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tables/table1.xml" ContentType="application/vnd.openxmlformats-officedocument.spreadsheetml.table+xml"/>
  <Override PartName="/xl/drawings/drawing8.xml" ContentType="application/vnd.openxmlformats-officedocument.drawing+xml"/>
  <Override PartName="/xl/tables/table2.xml" ContentType="application/vnd.openxmlformats-officedocument.spreadsheetml.table+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631cbe8b4e094aad" Type="http://schemas.microsoft.com/office/2006/relationships/ui/extensibility" Target="customUI/customUI.xml"/><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a5dd68708f054851" Type="http://schemas.microsoft.com/office/2007/relationships/ui/extensibility" Target="customUI/customUI14.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126"/>
  <workbookPr codeName="ThisWorkbook" hidePivotFieldList="1"/>
  <mc:AlternateContent xmlns:mc="http://schemas.openxmlformats.org/markup-compatibility/2006">
    <mc:Choice Requires="x15">
      <x15ac:absPath xmlns:x15ac="http://schemas.microsoft.com/office/spreadsheetml/2010/11/ac" url="D:\fc\fcproduction\files_vol\task\65b91ba99b26bf4627054b2e\"/>
    </mc:Choice>
  </mc:AlternateContent>
  <xr:revisionPtr revIDLastSave="0" documentId="8_{26D8E5EF-8427-483A-9711-B98277497246}" xr6:coauthVersionLast="47" xr6:coauthVersionMax="47" xr10:uidLastSave="{00000000-0000-0000-0000-000000000000}"/>
  <bookViews>
    <workbookView xWindow="380" yWindow="380" windowWidth="16800" windowHeight="9760" tabRatio="794" xr2:uid="{00000000-000D-0000-FFFF-FFFF00000000}"/>
  </bookViews>
  <sheets>
    <sheet name="Info" sheetId="24" r:id="rId1"/>
    <sheet name="Trial" sheetId="23" r:id="rId2"/>
    <sheet name="Instructions" sheetId="11" r:id="rId3"/>
    <sheet name="Setup" sheetId="13" r:id="rId4"/>
    <sheet name="Groups" sheetId="25" r:id="rId5"/>
    <sheet name="TB" sheetId="3" r:id="rId6"/>
    <sheet name="Income" sheetId="14" r:id="rId7"/>
    <sheet name="Expenses" sheetId="2" r:id="rId8"/>
    <sheet name="IS" sheetId="7" r:id="rId9"/>
    <sheet name="CFS" sheetId="26" r:id="rId10"/>
    <sheet name="BS" sheetId="17" r:id="rId11"/>
    <sheet name="Bank" sheetId="27" r:id="rId12"/>
    <sheet name="SalesTax" sheetId="28" r:id="rId13"/>
  </sheets>
  <definedNames>
    <definedName name="_xlnm._FilterDatabase" localSheetId="11" hidden="1">Bank!$A$4:$C$4</definedName>
    <definedName name="_xlnm._FilterDatabase" localSheetId="10" hidden="1">BS!$B$4:$F$45</definedName>
    <definedName name="_xlnm._FilterDatabase" localSheetId="9" hidden="1">CFS!$A$4:$E$42</definedName>
    <definedName name="_xlnm._FilterDatabase" localSheetId="7" hidden="1">Expenses!$A$4:$M$293</definedName>
    <definedName name="_xlnm._FilterDatabase" localSheetId="6" hidden="1">Income!$A$4:$N$79</definedName>
    <definedName name="_xlnm._FilterDatabase" localSheetId="8" hidden="1">IS!$A$4:$E$48</definedName>
    <definedName name="_xlnm._FilterDatabase" localSheetId="12" hidden="1">SalesTax!#REF!</definedName>
    <definedName name="AccountAll">OFFSET(TB!$A$4,1,0,ROW(TB!$A$84)-ROW(TB!$A$4),COLUMN(TB!$C$4))</definedName>
    <definedName name="AccountNo">OFFSET(TB!$A$4,1,0,ROW(TB!$A$72)-ROW(TB!$A$4)-1,1)</definedName>
    <definedName name="AccountOpen">OFFSET(TB!$E$4,1,0,ROW(TB!$A$84)-ROW(TB!$A$4),1)</definedName>
    <definedName name="AccountSelect">OFFSET(TB!$A$4,1,0,ROW(TB!$A$72)-ROW(TB!$A$4)-1,COLUMN(TB!$A$4))</definedName>
    <definedName name="BankAll">OFFSET(Setup!$A$24,1,0,ROW(Setup!$B$30)-ROW(Setup!$B$24)-1,COLUMN(Setup!$B$24))</definedName>
    <definedName name="BankCode">OFFSET(Setup!$A$24,1,0,ROW(Setup!$B$30)-ROW(Setup!$B$24)-1,1)</definedName>
    <definedName name="ExpAccount">Expense[[#Data],[Account Number]]</definedName>
    <definedName name="ExpBank">Expense[[#Data],[Bank Code]]</definedName>
    <definedName name="ExpDocDate">Expense[[#Data],[Document Date]]</definedName>
    <definedName name="ExpError">Expense[[#Data],[Error Code]]</definedName>
    <definedName name="ExpExcl">Expense[[#Data],[Exclusive Amount]]</definedName>
    <definedName name="ExpIncl">Expense[[#Data],[Inclusive Amount]]</definedName>
    <definedName name="ExpPayDate">Expense[[#Data],[Payment Date]]</definedName>
    <definedName name="ExpTax1">Expense[[#Data],[Sales Tax 1 Amount]]</definedName>
    <definedName name="ExpTax2">Expense[[#Data],[Sales Tax 2 Amount]]</definedName>
    <definedName name="ExpTaxCode1">Expense[[#Data],[Tax 1 Code]]</definedName>
    <definedName name="ExpTaxCode2">Expense[[#Data],[Tax 2 Code]]</definedName>
    <definedName name="ExpTaxCount">COLUMN(Expenses!$O$4)-COLUMN(Expenses!$M$4)</definedName>
    <definedName name="GroupAll">OFFSET(Groups!$A$4,1,0,ROW(Groups!$A$36)-ROW(Groups!$A$4),COLUMN(Groups!$B$4))</definedName>
    <definedName name="IncAccount">Income[[#Data],[Account Number]]</definedName>
    <definedName name="IncBank">Income[[#Data],[Bank Code]]</definedName>
    <definedName name="IncDocDate">Income[[#Data],[Invoice Date]]</definedName>
    <definedName name="IncError">Income[[#Data],[Error Code]]</definedName>
    <definedName name="IncExcl">Income[[#Data],[Exclusive Amount]]</definedName>
    <definedName name="IncIncl">Income[[#Data],[Inclusive Amount]]</definedName>
    <definedName name="IncInvoice">Income[[#Data],[Invoice Number]]</definedName>
    <definedName name="IncPayAmount">Income[[#Data],[Payment Amount]]</definedName>
    <definedName name="IncPayDate">Income[[#Data],[Payment Date]]</definedName>
    <definedName name="IncTax1">Income[[#Data],[Sales Tax 1 Amount]]</definedName>
    <definedName name="IncTax2">Income[[#Data],[Sales Tax 2 Amount]]</definedName>
    <definedName name="IncTaxCode1">Income[[#Data],[Tax 1 Code]]</definedName>
    <definedName name="IncTaxCode2">Income[[#Data],[Tax 2 Code]]</definedName>
    <definedName name="IncTaxCount">COLUMN(Income!$P$4)-COLUMN(Income!$N$4)</definedName>
    <definedName name="KeyBS">BS!$A$4:$A$44</definedName>
    <definedName name="KeyIS">IS!$A$4:$A$45</definedName>
    <definedName name="MonthNames">Setup!$B$38:$B$49</definedName>
    <definedName name="Months">IS!$C$4:$N$4</definedName>
    <definedName name="_xlnm.Print_Area" localSheetId="10">BS!$B$1:$P$45</definedName>
    <definedName name="_xlnm.Print_Area" localSheetId="9">CFS!$B$1:$O$40</definedName>
    <definedName name="_xlnm.Print_Area" localSheetId="2">Instructions!$A$1:$A$436</definedName>
    <definedName name="_xlnm.Print_Area" localSheetId="8">IS!$B$1:$P$46</definedName>
    <definedName name="_xlnm.Print_Area" localSheetId="5">TB!$A$1:$G$84</definedName>
    <definedName name="_xlnm.Print_Titles" localSheetId="11">Bank!$1:$3</definedName>
    <definedName name="_xlnm.Print_Titles" localSheetId="10">BS!$1:$4</definedName>
    <definedName name="_xlnm.Print_Titles" localSheetId="9">CFS!$1:$4</definedName>
    <definedName name="_xlnm.Print_Titles" localSheetId="7">Expenses!$1:$4</definedName>
    <definedName name="_xlnm.Print_Titles" localSheetId="4">Groups!$1:$4</definedName>
    <definedName name="_xlnm.Print_Titles" localSheetId="6">Income!$1:$4</definedName>
    <definedName name="_xlnm.Print_Titles" localSheetId="2">Instructions!$1:$4</definedName>
    <definedName name="_xlnm.Print_Titles" localSheetId="8">IS!$1:$4</definedName>
    <definedName name="TaxCode">OFFSET(Setup!$A$15,1,0,ROW(Setup!$B$21)-ROW(Setup!$B$15)-1,1)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2" i="28" l="1"/>
  <c r="G2" i="28"/>
  <c r="C2" i="28"/>
  <c r="B39" i="17" l="1"/>
  <c r="G69" i="3" a="1"/>
  <c r="G69" i="3" s="1"/>
  <c r="G68" i="3" a="1"/>
  <c r="G68" i="3" s="1"/>
  <c r="G67" i="3" a="1"/>
  <c r="G67" i="3" s="1"/>
  <c r="G60" i="3" a="1"/>
  <c r="G60" i="3" s="1"/>
  <c r="G49" i="3" a="1"/>
  <c r="G49" i="3" s="1"/>
  <c r="D39" i="27" l="1" a="1"/>
  <c r="D39" i="27" s="1"/>
  <c r="C39" i="27" a="1"/>
  <c r="C39" i="27" s="1"/>
  <c r="D38" i="27" a="1"/>
  <c r="D38" i="27" s="1"/>
  <c r="C38" i="27" a="1"/>
  <c r="C38" i="27" s="1"/>
  <c r="D37" i="27" a="1"/>
  <c r="D37" i="27" s="1"/>
  <c r="C37" i="27" a="1"/>
  <c r="C37" i="27" s="1"/>
  <c r="D35" i="27" a="1"/>
  <c r="D35" i="27" s="1"/>
  <c r="C35" i="27" a="1"/>
  <c r="C35" i="27" s="1"/>
  <c r="D32" i="27" a="1"/>
  <c r="D32" i="27" s="1"/>
  <c r="C32" i="27" a="1"/>
  <c r="C32" i="27" s="1"/>
  <c r="D31" i="27" a="1"/>
  <c r="D31" i="27" s="1"/>
  <c r="C31" i="27" a="1"/>
  <c r="C31" i="27" s="1"/>
  <c r="D30" i="27" a="1"/>
  <c r="D30" i="27" s="1"/>
  <c r="C30" i="27" a="1"/>
  <c r="C30" i="27" s="1"/>
  <c r="D29" i="27" a="1"/>
  <c r="D29" i="27" s="1"/>
  <c r="C29" i="27" a="1"/>
  <c r="C29" i="27" s="1"/>
  <c r="D27" i="27" a="1"/>
  <c r="D27" i="27" s="1"/>
  <c r="C27" i="27" a="1"/>
  <c r="C27" i="27" s="1"/>
  <c r="D26" i="27" a="1"/>
  <c r="D26" i="27" s="1"/>
  <c r="C26" i="27" a="1"/>
  <c r="C26" i="27" s="1"/>
  <c r="D25" i="27" a="1"/>
  <c r="D25" i="27" s="1"/>
  <c r="C25" i="27" a="1"/>
  <c r="C25" i="27" s="1"/>
  <c r="D24" i="27" a="1"/>
  <c r="D24" i="27" s="1"/>
  <c r="C24" i="27" a="1"/>
  <c r="C24" i="27" s="1"/>
  <c r="D22" i="27" a="1"/>
  <c r="D22" i="27" s="1"/>
  <c r="C22" i="27" a="1"/>
  <c r="C22" i="27" s="1"/>
  <c r="D21" i="27" a="1"/>
  <c r="D21" i="27" s="1"/>
  <c r="C21" i="27" a="1"/>
  <c r="C21" i="27" s="1"/>
  <c r="D20" i="27" a="1"/>
  <c r="D20" i="27" s="1"/>
  <c r="C20" i="27" a="1"/>
  <c r="C20" i="27" s="1"/>
  <c r="D19" i="27" a="1"/>
  <c r="D19" i="27" s="1"/>
  <c r="C19" i="27" a="1"/>
  <c r="C19" i="27" s="1"/>
  <c r="D18" i="27" a="1"/>
  <c r="D18" i="27" s="1"/>
  <c r="C18" i="27" a="1"/>
  <c r="C18" i="27" s="1"/>
  <c r="D17" i="27" a="1"/>
  <c r="D17" i="27" s="1"/>
  <c r="C17" i="27" a="1"/>
  <c r="C17" i="27" s="1"/>
  <c r="D16" i="27" a="1"/>
  <c r="D16" i="27" s="1"/>
  <c r="C16" i="27" a="1"/>
  <c r="C16" i="27" s="1"/>
  <c r="D15" i="27" a="1"/>
  <c r="D15" i="27" s="1"/>
  <c r="C15" i="27" a="1"/>
  <c r="C15" i="27" s="1"/>
  <c r="D14" i="27" a="1"/>
  <c r="D14" i="27" s="1"/>
  <c r="C14" i="27" a="1"/>
  <c r="C14" i="27" s="1"/>
  <c r="D12" i="27" a="1"/>
  <c r="D12" i="27" s="1"/>
  <c r="C12" i="27" a="1"/>
  <c r="C12" i="27" s="1"/>
  <c r="D11" i="27" a="1"/>
  <c r="D11" i="27" s="1"/>
  <c r="C11" i="27" a="1"/>
  <c r="C11" i="27" s="1"/>
  <c r="D9" i="27" a="1"/>
  <c r="D9" i="27" s="1"/>
  <c r="C9" i="27" a="1"/>
  <c r="C9" i="27" s="1"/>
  <c r="D10" i="13" l="1"/>
  <c r="D8" i="13"/>
  <c r="C4" i="27" l="1"/>
  <c r="P67" i="14" l="1"/>
  <c r="O67" i="14" s="1"/>
  <c r="Q67" i="14"/>
  <c r="R67" i="14"/>
  <c r="P77" i="14"/>
  <c r="O77" i="14" s="1"/>
  <c r="Q77" i="14"/>
  <c r="L77" i="14" s="1" a="1"/>
  <c r="L77" i="14" s="1"/>
  <c r="R77" i="14"/>
  <c r="O291" i="2"/>
  <c r="N291" i="2" s="1"/>
  <c r="P291" i="2"/>
  <c r="O292" i="2"/>
  <c r="N292" i="2" s="1"/>
  <c r="P292" i="2"/>
  <c r="O80" i="2"/>
  <c r="N80" i="2" s="1"/>
  <c r="O103" i="2"/>
  <c r="N103" i="2" s="1"/>
  <c r="O125" i="2"/>
  <c r="N125" i="2" s="1"/>
  <c r="O151" i="2"/>
  <c r="N151" i="2" s="1"/>
  <c r="O176" i="2"/>
  <c r="N176" i="2" s="1"/>
  <c r="O199" i="2"/>
  <c r="N199" i="2" s="1"/>
  <c r="O219" i="2"/>
  <c r="N219" i="2" s="1"/>
  <c r="O243" i="2"/>
  <c r="N243" i="2" s="1"/>
  <c r="O264" i="2"/>
  <c r="N264" i="2" s="1"/>
  <c r="P80" i="2"/>
  <c r="P103" i="2"/>
  <c r="P125" i="2"/>
  <c r="P151" i="2"/>
  <c r="P176" i="2"/>
  <c r="P199" i="2"/>
  <c r="P219" i="2"/>
  <c r="P243" i="2"/>
  <c r="P264" i="2"/>
  <c r="O57" i="2"/>
  <c r="N57" i="2" s="1"/>
  <c r="P57" i="2"/>
  <c r="O56" i="2"/>
  <c r="N56" i="2" s="1"/>
  <c r="P56" i="2"/>
  <c r="O79" i="2"/>
  <c r="N79" i="2" s="1"/>
  <c r="P79" i="2"/>
  <c r="O102" i="2"/>
  <c r="N102" i="2" s="1"/>
  <c r="P102" i="2"/>
  <c r="O124" i="2"/>
  <c r="N124" i="2" s="1"/>
  <c r="P124" i="2"/>
  <c r="O150" i="2"/>
  <c r="N150" i="2" s="1"/>
  <c r="P150" i="2"/>
  <c r="O175" i="2"/>
  <c r="N175" i="2" s="1"/>
  <c r="P175" i="2"/>
  <c r="O198" i="2"/>
  <c r="N198" i="2" s="1"/>
  <c r="P198" i="2"/>
  <c r="O218" i="2"/>
  <c r="N218" i="2" s="1"/>
  <c r="P218" i="2"/>
  <c r="O242" i="2"/>
  <c r="N242" i="2" s="1"/>
  <c r="P242" i="2"/>
  <c r="O263" i="2"/>
  <c r="N263" i="2" s="1"/>
  <c r="P263" i="2"/>
  <c r="O30" i="2"/>
  <c r="N30" i="2" s="1"/>
  <c r="O31" i="2"/>
  <c r="N31" i="2" s="1"/>
  <c r="P30" i="2"/>
  <c r="P31" i="2"/>
  <c r="O51" i="2"/>
  <c r="N51" i="2" s="1"/>
  <c r="P51" i="2"/>
  <c r="O52" i="2"/>
  <c r="N52" i="2" s="1"/>
  <c r="P52" i="2"/>
  <c r="O24" i="2"/>
  <c r="N24" i="2" s="1"/>
  <c r="P24" i="2"/>
  <c r="P69" i="14"/>
  <c r="O69" i="14" s="1"/>
  <c r="Q69" i="14"/>
  <c r="L69" i="14" s="1" a="1"/>
  <c r="L69" i="14" s="1"/>
  <c r="R69" i="14"/>
  <c r="M199" i="2" l="1"/>
  <c r="M51" i="2"/>
  <c r="M242" i="2"/>
  <c r="M150" i="2"/>
  <c r="M56" i="2"/>
  <c r="M176" i="2"/>
  <c r="M291" i="2"/>
  <c r="M151" i="2"/>
  <c r="M218" i="2"/>
  <c r="M124" i="2"/>
  <c r="L124" i="2" s="1" a="1"/>
  <c r="L124" i="2" s="1"/>
  <c r="M57" i="2"/>
  <c r="M125" i="2"/>
  <c r="M103" i="2"/>
  <c r="M24" i="2"/>
  <c r="M30" i="2"/>
  <c r="M198" i="2"/>
  <c r="M102" i="2"/>
  <c r="M264" i="2"/>
  <c r="M80" i="2"/>
  <c r="M243" i="2"/>
  <c r="M31" i="2"/>
  <c r="M52" i="2"/>
  <c r="L52" i="2" s="1" a="1"/>
  <c r="L52" i="2" s="1"/>
  <c r="M263" i="2"/>
  <c r="M175" i="2"/>
  <c r="M79" i="2"/>
  <c r="M219" i="2"/>
  <c r="M292" i="2"/>
  <c r="N69" i="14"/>
  <c r="N77" i="14"/>
  <c r="N67" i="14"/>
  <c r="P72" i="14"/>
  <c r="O72" i="14" s="1"/>
  <c r="Q72" i="14"/>
  <c r="L72" i="14" s="1" a="1"/>
  <c r="L72" i="14" s="1"/>
  <c r="R72" i="14"/>
  <c r="P63" i="14"/>
  <c r="O63" i="14" s="1"/>
  <c r="Q63" i="14"/>
  <c r="R63" i="14"/>
  <c r="O23" i="2"/>
  <c r="N23" i="2" s="1"/>
  <c r="O46" i="2"/>
  <c r="N46" i="2" s="1"/>
  <c r="O72" i="2"/>
  <c r="N72" i="2" s="1"/>
  <c r="O95" i="2"/>
  <c r="N95" i="2" s="1"/>
  <c r="O118" i="2"/>
  <c r="N118" i="2" s="1"/>
  <c r="O142" i="2"/>
  <c r="N142" i="2" s="1"/>
  <c r="O167" i="2"/>
  <c r="N167" i="2" s="1"/>
  <c r="O190" i="2"/>
  <c r="N190" i="2" s="1"/>
  <c r="O212" i="2"/>
  <c r="N212" i="2" s="1"/>
  <c r="O236" i="2"/>
  <c r="N236" i="2" s="1"/>
  <c r="O257" i="2"/>
  <c r="N257" i="2" s="1"/>
  <c r="O280" i="2"/>
  <c r="N280" i="2" s="1"/>
  <c r="P23" i="2"/>
  <c r="P46" i="2"/>
  <c r="P72" i="2"/>
  <c r="P95" i="2"/>
  <c r="P118" i="2"/>
  <c r="P142" i="2"/>
  <c r="P167" i="2"/>
  <c r="P190" i="2"/>
  <c r="P212" i="2"/>
  <c r="P236" i="2"/>
  <c r="P257" i="2"/>
  <c r="P280" i="2"/>
  <c r="O22" i="2"/>
  <c r="N22" i="2" s="1"/>
  <c r="O45" i="2"/>
  <c r="N45" i="2" s="1"/>
  <c r="O71" i="2"/>
  <c r="N71" i="2" s="1"/>
  <c r="O94" i="2"/>
  <c r="N94" i="2" s="1"/>
  <c r="O117" i="2"/>
  <c r="N117" i="2" s="1"/>
  <c r="O141" i="2"/>
  <c r="N141" i="2" s="1"/>
  <c r="O166" i="2"/>
  <c r="N166" i="2" s="1"/>
  <c r="O189" i="2"/>
  <c r="N189" i="2" s="1"/>
  <c r="O211" i="2"/>
  <c r="N211" i="2" s="1"/>
  <c r="O235" i="2"/>
  <c r="N235" i="2" s="1"/>
  <c r="O256" i="2"/>
  <c r="N256" i="2" s="1"/>
  <c r="O279" i="2"/>
  <c r="N279" i="2" s="1"/>
  <c r="P22" i="2"/>
  <c r="P45" i="2"/>
  <c r="P71" i="2"/>
  <c r="P94" i="2"/>
  <c r="P117" i="2"/>
  <c r="P141" i="2"/>
  <c r="P166" i="2"/>
  <c r="P189" i="2"/>
  <c r="P211" i="2"/>
  <c r="P235" i="2"/>
  <c r="P256" i="2"/>
  <c r="P279" i="2"/>
  <c r="O21" i="2"/>
  <c r="N21" i="2" s="1"/>
  <c r="O44" i="2"/>
  <c r="N44" i="2" s="1"/>
  <c r="O70" i="2"/>
  <c r="N70" i="2" s="1"/>
  <c r="O93" i="2"/>
  <c r="N93" i="2" s="1"/>
  <c r="O116" i="2"/>
  <c r="N116" i="2" s="1"/>
  <c r="O140" i="2"/>
  <c r="N140" i="2" s="1"/>
  <c r="O165" i="2"/>
  <c r="N165" i="2" s="1"/>
  <c r="O188" i="2"/>
  <c r="N188" i="2" s="1"/>
  <c r="O210" i="2"/>
  <c r="N210" i="2" s="1"/>
  <c r="O234" i="2"/>
  <c r="N234" i="2" s="1"/>
  <c r="O255" i="2"/>
  <c r="N255" i="2" s="1"/>
  <c r="O278" i="2"/>
  <c r="N278" i="2" s="1"/>
  <c r="P21" i="2"/>
  <c r="P44" i="2"/>
  <c r="P70" i="2"/>
  <c r="P93" i="2"/>
  <c r="P116" i="2"/>
  <c r="P140" i="2"/>
  <c r="P165" i="2"/>
  <c r="P188" i="2"/>
  <c r="P210" i="2"/>
  <c r="P234" i="2"/>
  <c r="P255" i="2"/>
  <c r="P278" i="2"/>
  <c r="O288" i="2"/>
  <c r="N288" i="2" s="1"/>
  <c r="P288" i="2"/>
  <c r="O286" i="2"/>
  <c r="N286" i="2" s="1"/>
  <c r="P286" i="2"/>
  <c r="O76" i="2"/>
  <c r="N76" i="2" s="1"/>
  <c r="O98" i="2"/>
  <c r="N98" i="2" s="1"/>
  <c r="O121" i="2"/>
  <c r="N121" i="2" s="1"/>
  <c r="O147" i="2"/>
  <c r="N147" i="2" s="1"/>
  <c r="O170" i="2"/>
  <c r="N170" i="2" s="1"/>
  <c r="O194" i="2"/>
  <c r="N194" i="2" s="1"/>
  <c r="O215" i="2"/>
  <c r="N215" i="2" s="1"/>
  <c r="O239" i="2"/>
  <c r="N239" i="2" s="1"/>
  <c r="O260" i="2"/>
  <c r="N260" i="2" s="1"/>
  <c r="O293" i="2"/>
  <c r="N293" i="2" s="1"/>
  <c r="P76" i="2"/>
  <c r="P98" i="2"/>
  <c r="P121" i="2"/>
  <c r="P147" i="2"/>
  <c r="P170" i="2"/>
  <c r="P194" i="2"/>
  <c r="P215" i="2"/>
  <c r="P239" i="2"/>
  <c r="P260" i="2"/>
  <c r="P293" i="2"/>
  <c r="O50" i="2"/>
  <c r="N50" i="2" s="1"/>
  <c r="P50" i="2"/>
  <c r="O27" i="2"/>
  <c r="N27" i="2" s="1"/>
  <c r="P27" i="2"/>
  <c r="P11" i="14"/>
  <c r="O11" i="14" s="1"/>
  <c r="P16" i="14"/>
  <c r="O16" i="14" s="1"/>
  <c r="P21" i="14"/>
  <c r="O21" i="14" s="1"/>
  <c r="P28" i="14"/>
  <c r="O28" i="14" s="1"/>
  <c r="P33" i="14"/>
  <c r="O33" i="14" s="1"/>
  <c r="P38" i="14"/>
  <c r="O38" i="14" s="1"/>
  <c r="P43" i="14"/>
  <c r="O43" i="14" s="1"/>
  <c r="P48" i="14"/>
  <c r="O48" i="14" s="1"/>
  <c r="P55" i="14"/>
  <c r="O55" i="14" s="1"/>
  <c r="P61" i="14"/>
  <c r="O61" i="14" s="1"/>
  <c r="P66" i="14"/>
  <c r="O66" i="14" s="1"/>
  <c r="P74" i="14"/>
  <c r="O74" i="14" s="1"/>
  <c r="Q11" i="14"/>
  <c r="Q16" i="14"/>
  <c r="Q21" i="14"/>
  <c r="Q28" i="14"/>
  <c r="Q33" i="14"/>
  <c r="Q38" i="14"/>
  <c r="Q43" i="14"/>
  <c r="Q48" i="14"/>
  <c r="Q55" i="14"/>
  <c r="Q61" i="14"/>
  <c r="Q66" i="14"/>
  <c r="Q74" i="14"/>
  <c r="R11" i="14"/>
  <c r="R16" i="14"/>
  <c r="R21" i="14"/>
  <c r="R28" i="14"/>
  <c r="R33" i="14"/>
  <c r="R38" i="14"/>
  <c r="R43" i="14"/>
  <c r="R48" i="14"/>
  <c r="R55" i="14"/>
  <c r="R61" i="14"/>
  <c r="R66" i="14"/>
  <c r="R74" i="14"/>
  <c r="P24" i="14"/>
  <c r="O24" i="14" s="1"/>
  <c r="P29" i="14"/>
  <c r="O29" i="14" s="1"/>
  <c r="P34" i="14"/>
  <c r="O34" i="14" s="1"/>
  <c r="P39" i="14"/>
  <c r="O39" i="14" s="1"/>
  <c r="P44" i="14"/>
  <c r="O44" i="14" s="1"/>
  <c r="P49" i="14"/>
  <c r="O49" i="14" s="1"/>
  <c r="P57" i="14"/>
  <c r="O57" i="14" s="1"/>
  <c r="P62" i="14"/>
  <c r="O62" i="14" s="1"/>
  <c r="P68" i="14"/>
  <c r="O68" i="14" s="1"/>
  <c r="P75" i="14"/>
  <c r="O75" i="14" s="1"/>
  <c r="Q24" i="14"/>
  <c r="Q29" i="14"/>
  <c r="Q34" i="14"/>
  <c r="Q39" i="14"/>
  <c r="Q44" i="14"/>
  <c r="Q49" i="14"/>
  <c r="Q57" i="14"/>
  <c r="Q62" i="14"/>
  <c r="Q68" i="14"/>
  <c r="Q75" i="14"/>
  <c r="R24" i="14"/>
  <c r="R29" i="14"/>
  <c r="R34" i="14"/>
  <c r="R39" i="14"/>
  <c r="R44" i="14"/>
  <c r="R49" i="14"/>
  <c r="R57" i="14"/>
  <c r="R62" i="14"/>
  <c r="R68" i="14"/>
  <c r="R75" i="14"/>
  <c r="P17" i="14"/>
  <c r="O17" i="14" s="1"/>
  <c r="Q17" i="14"/>
  <c r="R17" i="14"/>
  <c r="P12" i="14"/>
  <c r="O12" i="14" s="1"/>
  <c r="Q12" i="14"/>
  <c r="R12" i="14"/>
  <c r="P15" i="14"/>
  <c r="O15" i="14" s="1"/>
  <c r="Q15" i="14"/>
  <c r="R15" i="14"/>
  <c r="P20" i="14"/>
  <c r="O20" i="14" s="1"/>
  <c r="Q20" i="14"/>
  <c r="R20" i="14"/>
  <c r="P26" i="14"/>
  <c r="O26" i="14" s="1"/>
  <c r="Q26" i="14"/>
  <c r="R26" i="14"/>
  <c r="P30" i="14"/>
  <c r="O30" i="14" s="1"/>
  <c r="Q30" i="14"/>
  <c r="R30" i="14"/>
  <c r="P37" i="14"/>
  <c r="O37" i="14" s="1"/>
  <c r="Q37" i="14"/>
  <c r="R37" i="14"/>
  <c r="P42" i="14"/>
  <c r="O42" i="14" s="1"/>
  <c r="Q42" i="14"/>
  <c r="R42" i="14"/>
  <c r="P47" i="14"/>
  <c r="O47" i="14" s="1"/>
  <c r="Q47" i="14"/>
  <c r="R47" i="14"/>
  <c r="P52" i="14"/>
  <c r="O52" i="14" s="1"/>
  <c r="Q52" i="14"/>
  <c r="R52" i="14"/>
  <c r="P58" i="14"/>
  <c r="O58" i="14" s="1"/>
  <c r="Q58" i="14"/>
  <c r="R58" i="14"/>
  <c r="P65" i="14"/>
  <c r="O65" i="14" s="1"/>
  <c r="Q65" i="14"/>
  <c r="R65" i="14"/>
  <c r="P73" i="14"/>
  <c r="O73" i="14" s="1"/>
  <c r="Q73" i="14"/>
  <c r="R73" i="14"/>
  <c r="P78" i="14"/>
  <c r="O78" i="14" s="1"/>
  <c r="Q78" i="14"/>
  <c r="R78" i="14"/>
  <c r="M121" i="2" l="1"/>
  <c r="M165" i="2"/>
  <c r="M166" i="2"/>
  <c r="M167" i="2"/>
  <c r="M293" i="2"/>
  <c r="M98" i="2"/>
  <c r="M140" i="2"/>
  <c r="M141" i="2"/>
  <c r="M142" i="2"/>
  <c r="M260" i="2"/>
  <c r="M76" i="2"/>
  <c r="M116" i="2"/>
  <c r="M117" i="2"/>
  <c r="M118" i="2"/>
  <c r="M239" i="2"/>
  <c r="M278" i="2"/>
  <c r="M93" i="2"/>
  <c r="M279" i="2"/>
  <c r="M94" i="2"/>
  <c r="M280" i="2"/>
  <c r="M95" i="2"/>
  <c r="M27" i="2"/>
  <c r="M215" i="2"/>
  <c r="M286" i="2"/>
  <c r="M255" i="2"/>
  <c r="M70" i="2"/>
  <c r="M256" i="2"/>
  <c r="M71" i="2"/>
  <c r="M257" i="2"/>
  <c r="M72" i="2"/>
  <c r="M194" i="2"/>
  <c r="M234" i="2"/>
  <c r="M44" i="2"/>
  <c r="L44" i="2" s="1" a="1"/>
  <c r="L44" i="2" s="1"/>
  <c r="M235" i="2"/>
  <c r="M45" i="2"/>
  <c r="M236" i="2"/>
  <c r="M46" i="2"/>
  <c r="M50" i="2"/>
  <c r="M170" i="2"/>
  <c r="M288" i="2"/>
  <c r="M210" i="2"/>
  <c r="M21" i="2"/>
  <c r="M211" i="2"/>
  <c r="M22" i="2"/>
  <c r="M212" i="2"/>
  <c r="L212" i="2" s="1" a="1"/>
  <c r="L212" i="2" s="1"/>
  <c r="M23" i="2"/>
  <c r="M147" i="2"/>
  <c r="M188" i="2"/>
  <c r="M189" i="2"/>
  <c r="M190" i="2"/>
  <c r="N42" i="14"/>
  <c r="N73" i="14"/>
  <c r="N68" i="14"/>
  <c r="N24" i="14"/>
  <c r="N33" i="14"/>
  <c r="N65" i="14"/>
  <c r="N20" i="14"/>
  <c r="N62" i="14"/>
  <c r="N74" i="14"/>
  <c r="N28" i="14"/>
  <c r="N47" i="14"/>
  <c r="N17" i="14"/>
  <c r="N57" i="14"/>
  <c r="N66" i="14"/>
  <c r="N21" i="14"/>
  <c r="N78" i="14"/>
  <c r="N30" i="14"/>
  <c r="N49" i="14"/>
  <c r="N61" i="14"/>
  <c r="N16" i="14"/>
  <c r="N63" i="14"/>
  <c r="N37" i="14"/>
  <c r="N58" i="14"/>
  <c r="N15" i="14"/>
  <c r="N44" i="14"/>
  <c r="N55" i="14"/>
  <c r="N11" i="14"/>
  <c r="N39" i="14"/>
  <c r="N48" i="14"/>
  <c r="N34" i="14"/>
  <c r="N43" i="14"/>
  <c r="N72" i="14"/>
  <c r="N26" i="14"/>
  <c r="N52" i="14"/>
  <c r="N12" i="14"/>
  <c r="N75" i="14"/>
  <c r="N29" i="14"/>
  <c r="N38" i="14"/>
  <c r="L292" i="2" a="1"/>
  <c r="L292" i="2" s="1"/>
  <c r="L260" i="2" a="1"/>
  <c r="L260" i="2" s="1"/>
  <c r="L76" i="2" a="1"/>
  <c r="L76" i="2" s="1"/>
  <c r="L116" i="2" a="1"/>
  <c r="L116" i="2" s="1"/>
  <c r="M77" i="14" a="1"/>
  <c r="M77" i="14" s="1"/>
  <c r="M67" i="14" a="1"/>
  <c r="M67" i="14" s="1"/>
  <c r="M69" i="14" a="1"/>
  <c r="M69" i="14" s="1"/>
  <c r="L243" i="2" a="1"/>
  <c r="L243" i="2" s="1"/>
  <c r="L198" i="2" a="1"/>
  <c r="L198" i="2" s="1"/>
  <c r="L176" i="2" a="1"/>
  <c r="L176" i="2" s="1"/>
  <c r="L79" i="2" a="1"/>
  <c r="L79" i="2" s="1"/>
  <c r="L175" i="2" a="1"/>
  <c r="L175" i="2" s="1"/>
  <c r="L102" i="2" a="1"/>
  <c r="L102" i="2" s="1"/>
  <c r="L291" i="2" a="1"/>
  <c r="L291" i="2" s="1"/>
  <c r="G71" i="3" s="1" a="1"/>
  <c r="G71" i="3" s="1"/>
  <c r="L151" i="2" a="1"/>
  <c r="L151" i="2" s="1"/>
  <c r="L57" i="2" a="1"/>
  <c r="L57" i="2" s="1"/>
  <c r="L218" i="2" a="1"/>
  <c r="L218" i="2" s="1"/>
  <c r="L51" i="2" a="1"/>
  <c r="L51" i="2" s="1"/>
  <c r="L242" i="2" a="1"/>
  <c r="L242" i="2" s="1"/>
  <c r="L199" i="2" a="1"/>
  <c r="L199" i="2" s="1"/>
  <c r="L80" i="2" a="1"/>
  <c r="L80" i="2" s="1"/>
  <c r="L30" i="2" a="1"/>
  <c r="L30" i="2" s="1"/>
  <c r="L103" i="2" a="1"/>
  <c r="L103" i="2" s="1"/>
  <c r="L263" i="2" a="1"/>
  <c r="L263" i="2" s="1"/>
  <c r="L56" i="2" a="1"/>
  <c r="L56" i="2" s="1"/>
  <c r="L219" i="2" a="1"/>
  <c r="L219" i="2" s="1"/>
  <c r="L264" i="2" a="1"/>
  <c r="L264" i="2" s="1"/>
  <c r="L24" i="2" a="1"/>
  <c r="L24" i="2" s="1"/>
  <c r="L31" i="2" a="1"/>
  <c r="L31" i="2" s="1"/>
  <c r="L125" i="2" a="1"/>
  <c r="L125" i="2" s="1"/>
  <c r="L150" i="2" a="1"/>
  <c r="L150" i="2" s="1"/>
  <c r="O5" i="2"/>
  <c r="N5" i="2" s="1"/>
  <c r="O7" i="2"/>
  <c r="N7" i="2" s="1"/>
  <c r="O8" i="2"/>
  <c r="N8" i="2" s="1"/>
  <c r="O9" i="2"/>
  <c r="N9" i="2" s="1"/>
  <c r="O10" i="2"/>
  <c r="N10" i="2" s="1"/>
  <c r="O11" i="2"/>
  <c r="N11" i="2" s="1"/>
  <c r="O12" i="2"/>
  <c r="N12" i="2" s="1"/>
  <c r="O13" i="2"/>
  <c r="N13" i="2" s="1"/>
  <c r="O14" i="2"/>
  <c r="N14" i="2" s="1"/>
  <c r="O15" i="2"/>
  <c r="N15" i="2" s="1"/>
  <c r="O16" i="2"/>
  <c r="N16" i="2" s="1"/>
  <c r="O17" i="2"/>
  <c r="N17" i="2" s="1"/>
  <c r="O18" i="2"/>
  <c r="N18" i="2" s="1"/>
  <c r="O19" i="2"/>
  <c r="N19" i="2" s="1"/>
  <c r="O20" i="2"/>
  <c r="N20" i="2" s="1"/>
  <c r="O25" i="2"/>
  <c r="N25" i="2" s="1"/>
  <c r="O26" i="2"/>
  <c r="N26" i="2" s="1"/>
  <c r="O28" i="2"/>
  <c r="N28" i="2" s="1"/>
  <c r="O29" i="2"/>
  <c r="N29" i="2" s="1"/>
  <c r="O32" i="2"/>
  <c r="N32" i="2" s="1"/>
  <c r="O33" i="2"/>
  <c r="N33" i="2" s="1"/>
  <c r="O34" i="2"/>
  <c r="N34" i="2" s="1"/>
  <c r="O35" i="2"/>
  <c r="N35" i="2" s="1"/>
  <c r="O36" i="2"/>
  <c r="N36" i="2" s="1"/>
  <c r="O37" i="2"/>
  <c r="N37" i="2" s="1"/>
  <c r="O38" i="2"/>
  <c r="N38" i="2" s="1"/>
  <c r="O39" i="2"/>
  <c r="N39" i="2" s="1"/>
  <c r="O40" i="2"/>
  <c r="N40" i="2" s="1"/>
  <c r="O41" i="2"/>
  <c r="N41" i="2" s="1"/>
  <c r="O42" i="2"/>
  <c r="N42" i="2" s="1"/>
  <c r="O43" i="2"/>
  <c r="N43" i="2" s="1"/>
  <c r="O47" i="2"/>
  <c r="N47" i="2" s="1"/>
  <c r="O48" i="2"/>
  <c r="N48" i="2" s="1"/>
  <c r="O49" i="2"/>
  <c r="N49" i="2" s="1"/>
  <c r="O53" i="2"/>
  <c r="N53" i="2" s="1"/>
  <c r="O54" i="2"/>
  <c r="N54" i="2" s="1"/>
  <c r="O55" i="2"/>
  <c r="N55" i="2" s="1"/>
  <c r="O58" i="2"/>
  <c r="N58" i="2" s="1"/>
  <c r="O59" i="2"/>
  <c r="N59" i="2" s="1"/>
  <c r="O61" i="2"/>
  <c r="N61" i="2" s="1"/>
  <c r="O62" i="2"/>
  <c r="N62" i="2" s="1"/>
  <c r="O63" i="2"/>
  <c r="N63" i="2" s="1"/>
  <c r="O64" i="2"/>
  <c r="N64" i="2" s="1"/>
  <c r="O65" i="2"/>
  <c r="N65" i="2" s="1"/>
  <c r="O66" i="2"/>
  <c r="N66" i="2" s="1"/>
  <c r="O67" i="2"/>
  <c r="N67" i="2" s="1"/>
  <c r="O68" i="2"/>
  <c r="N68" i="2" s="1"/>
  <c r="O69" i="2"/>
  <c r="N69" i="2" s="1"/>
  <c r="O73" i="2"/>
  <c r="N73" i="2" s="1"/>
  <c r="O74" i="2"/>
  <c r="N74" i="2" s="1"/>
  <c r="O75" i="2"/>
  <c r="N75" i="2" s="1"/>
  <c r="O77" i="2"/>
  <c r="N77" i="2" s="1"/>
  <c r="O78" i="2"/>
  <c r="N78" i="2" s="1"/>
  <c r="O81" i="2"/>
  <c r="N81" i="2" s="1"/>
  <c r="O82" i="2"/>
  <c r="N82" i="2" s="1"/>
  <c r="O83" i="2"/>
  <c r="N83" i="2" s="1"/>
  <c r="O84" i="2"/>
  <c r="N84" i="2" s="1"/>
  <c r="O85" i="2"/>
  <c r="N85" i="2" s="1"/>
  <c r="O86" i="2"/>
  <c r="N86" i="2" s="1"/>
  <c r="O87" i="2"/>
  <c r="N87" i="2" s="1"/>
  <c r="O88" i="2"/>
  <c r="N88" i="2" s="1"/>
  <c r="O89" i="2"/>
  <c r="N89" i="2" s="1"/>
  <c r="O90" i="2"/>
  <c r="N90" i="2" s="1"/>
  <c r="O91" i="2"/>
  <c r="N91" i="2" s="1"/>
  <c r="O92" i="2"/>
  <c r="N92" i="2" s="1"/>
  <c r="O96" i="2"/>
  <c r="N96" i="2" s="1"/>
  <c r="O97" i="2"/>
  <c r="N97" i="2" s="1"/>
  <c r="O99" i="2"/>
  <c r="N99" i="2" s="1"/>
  <c r="O100" i="2"/>
  <c r="N100" i="2" s="1"/>
  <c r="O101" i="2"/>
  <c r="N101" i="2" s="1"/>
  <c r="O104" i="2"/>
  <c r="N104" i="2" s="1"/>
  <c r="O105" i="2"/>
  <c r="N105" i="2" s="1"/>
  <c r="O106" i="2"/>
  <c r="N106" i="2" s="1"/>
  <c r="O107" i="2"/>
  <c r="N107" i="2" s="1"/>
  <c r="O108" i="2"/>
  <c r="N108" i="2" s="1"/>
  <c r="O109" i="2"/>
  <c r="N109" i="2" s="1"/>
  <c r="O110" i="2"/>
  <c r="N110" i="2" s="1"/>
  <c r="O111" i="2"/>
  <c r="N111" i="2" s="1"/>
  <c r="O112" i="2"/>
  <c r="N112" i="2" s="1"/>
  <c r="O113" i="2"/>
  <c r="N113" i="2" s="1"/>
  <c r="O114" i="2"/>
  <c r="N114" i="2" s="1"/>
  <c r="O115" i="2"/>
  <c r="N115" i="2" s="1"/>
  <c r="O119" i="2"/>
  <c r="N119" i="2" s="1"/>
  <c r="O120" i="2"/>
  <c r="N120" i="2" s="1"/>
  <c r="O122" i="2"/>
  <c r="N122" i="2" s="1"/>
  <c r="O123" i="2"/>
  <c r="N123" i="2" s="1"/>
  <c r="O126" i="2"/>
  <c r="N126" i="2" s="1"/>
  <c r="O60" i="2"/>
  <c r="N60" i="2" s="1"/>
  <c r="O127" i="2"/>
  <c r="N127" i="2" s="1"/>
  <c r="O128" i="2"/>
  <c r="N128" i="2" s="1"/>
  <c r="O129" i="2"/>
  <c r="N129" i="2" s="1"/>
  <c r="O130" i="2"/>
  <c r="N130" i="2" s="1"/>
  <c r="O131" i="2"/>
  <c r="N131" i="2" s="1"/>
  <c r="O132" i="2"/>
  <c r="N132" i="2" s="1"/>
  <c r="O133" i="2"/>
  <c r="N133" i="2" s="1"/>
  <c r="O135" i="2"/>
  <c r="N135" i="2" s="1"/>
  <c r="O136" i="2"/>
  <c r="N136" i="2" s="1"/>
  <c r="O137" i="2"/>
  <c r="N137" i="2" s="1"/>
  <c r="O138" i="2"/>
  <c r="N138" i="2" s="1"/>
  <c r="O139" i="2"/>
  <c r="N139" i="2" s="1"/>
  <c r="O143" i="2"/>
  <c r="N143" i="2" s="1"/>
  <c r="O144" i="2"/>
  <c r="N144" i="2" s="1"/>
  <c r="O145" i="2"/>
  <c r="N145" i="2" s="1"/>
  <c r="O146" i="2"/>
  <c r="N146" i="2" s="1"/>
  <c r="O148" i="2"/>
  <c r="N148" i="2" s="1"/>
  <c r="O149" i="2"/>
  <c r="N149" i="2" s="1"/>
  <c r="O152" i="2"/>
  <c r="N152" i="2" s="1"/>
  <c r="O153" i="2"/>
  <c r="N153" i="2" s="1"/>
  <c r="O154" i="2"/>
  <c r="N154" i="2" s="1"/>
  <c r="O155" i="2"/>
  <c r="N155" i="2" s="1"/>
  <c r="O156" i="2"/>
  <c r="N156" i="2" s="1"/>
  <c r="O157" i="2"/>
  <c r="N157" i="2" s="1"/>
  <c r="O158" i="2"/>
  <c r="N158" i="2" s="1"/>
  <c r="O159" i="2"/>
  <c r="N159" i="2" s="1"/>
  <c r="O160" i="2"/>
  <c r="N160" i="2" s="1"/>
  <c r="O134" i="2"/>
  <c r="N134" i="2" s="1"/>
  <c r="O161" i="2"/>
  <c r="N161" i="2" s="1"/>
  <c r="O162" i="2"/>
  <c r="N162" i="2" s="1"/>
  <c r="O163" i="2"/>
  <c r="N163" i="2" s="1"/>
  <c r="O164" i="2"/>
  <c r="N164" i="2" s="1"/>
  <c r="O168" i="2"/>
  <c r="N168" i="2" s="1"/>
  <c r="O169" i="2"/>
  <c r="N169" i="2" s="1"/>
  <c r="O171" i="2"/>
  <c r="N171" i="2" s="1"/>
  <c r="O172" i="2"/>
  <c r="N172" i="2" s="1"/>
  <c r="O173" i="2"/>
  <c r="N173" i="2" s="1"/>
  <c r="O174" i="2"/>
  <c r="N174" i="2" s="1"/>
  <c r="O177" i="2"/>
  <c r="N177" i="2" s="1"/>
  <c r="O178" i="2"/>
  <c r="N178" i="2" s="1"/>
  <c r="O179" i="2"/>
  <c r="N179" i="2" s="1"/>
  <c r="O180" i="2"/>
  <c r="N180" i="2" s="1"/>
  <c r="O181" i="2"/>
  <c r="N181" i="2" s="1"/>
  <c r="O182" i="2"/>
  <c r="N182" i="2" s="1"/>
  <c r="O183" i="2"/>
  <c r="N183" i="2" s="1"/>
  <c r="O184" i="2"/>
  <c r="N184" i="2" s="1"/>
  <c r="O185" i="2"/>
  <c r="N185" i="2" s="1"/>
  <c r="O186" i="2"/>
  <c r="N186" i="2" s="1"/>
  <c r="O187" i="2"/>
  <c r="N187" i="2" s="1"/>
  <c r="O191" i="2"/>
  <c r="N191" i="2" s="1"/>
  <c r="O192" i="2"/>
  <c r="N192" i="2" s="1"/>
  <c r="O193" i="2"/>
  <c r="N193" i="2" s="1"/>
  <c r="O195" i="2"/>
  <c r="N195" i="2" s="1"/>
  <c r="O196" i="2"/>
  <c r="N196" i="2" s="1"/>
  <c r="O197" i="2"/>
  <c r="N197" i="2" s="1"/>
  <c r="O200" i="2"/>
  <c r="N200" i="2" s="1"/>
  <c r="O201" i="2"/>
  <c r="N201" i="2" s="1"/>
  <c r="O202" i="2"/>
  <c r="N202" i="2" s="1"/>
  <c r="O203" i="2"/>
  <c r="N203" i="2" s="1"/>
  <c r="O204" i="2"/>
  <c r="N204" i="2" s="1"/>
  <c r="O205" i="2"/>
  <c r="N205" i="2" s="1"/>
  <c r="O206" i="2"/>
  <c r="N206" i="2" s="1"/>
  <c r="O207" i="2"/>
  <c r="N207" i="2" s="1"/>
  <c r="O208" i="2"/>
  <c r="N208" i="2" s="1"/>
  <c r="O209" i="2"/>
  <c r="N209" i="2" s="1"/>
  <c r="O213" i="2"/>
  <c r="N213" i="2" s="1"/>
  <c r="O214" i="2"/>
  <c r="N214" i="2" s="1"/>
  <c r="O216" i="2"/>
  <c r="N216" i="2" s="1"/>
  <c r="O217" i="2"/>
  <c r="N217" i="2" s="1"/>
  <c r="O220" i="2"/>
  <c r="N220" i="2" s="1"/>
  <c r="O221" i="2"/>
  <c r="N221" i="2" s="1"/>
  <c r="O222" i="2"/>
  <c r="N222" i="2" s="1"/>
  <c r="O223" i="2"/>
  <c r="N223" i="2" s="1"/>
  <c r="O224" i="2"/>
  <c r="N224" i="2" s="1"/>
  <c r="O225" i="2"/>
  <c r="N225" i="2" s="1"/>
  <c r="O6" i="2"/>
  <c r="N6" i="2" s="1"/>
  <c r="O226" i="2"/>
  <c r="N226" i="2" s="1"/>
  <c r="O227" i="2"/>
  <c r="N227" i="2" s="1"/>
  <c r="O228" i="2"/>
  <c r="N228" i="2" s="1"/>
  <c r="O229" i="2"/>
  <c r="N229" i="2" s="1"/>
  <c r="O230" i="2"/>
  <c r="N230" i="2" s="1"/>
  <c r="O231" i="2"/>
  <c r="N231" i="2" s="1"/>
  <c r="O232" i="2"/>
  <c r="N232" i="2" s="1"/>
  <c r="O233" i="2"/>
  <c r="N233" i="2" s="1"/>
  <c r="O237" i="2"/>
  <c r="N237" i="2" s="1"/>
  <c r="O238" i="2"/>
  <c r="N238" i="2" s="1"/>
  <c r="O240" i="2"/>
  <c r="N240" i="2" s="1"/>
  <c r="O241" i="2"/>
  <c r="N241" i="2" s="1"/>
  <c r="O244" i="2"/>
  <c r="N244" i="2" s="1"/>
  <c r="O245" i="2"/>
  <c r="N245" i="2" s="1"/>
  <c r="O246" i="2"/>
  <c r="N246" i="2" s="1"/>
  <c r="O247" i="2"/>
  <c r="N247" i="2" s="1"/>
  <c r="O248" i="2"/>
  <c r="N248" i="2" s="1"/>
  <c r="O249" i="2"/>
  <c r="N249" i="2" s="1"/>
  <c r="O250" i="2"/>
  <c r="N250" i="2" s="1"/>
  <c r="O251" i="2"/>
  <c r="N251" i="2" s="1"/>
  <c r="O252" i="2"/>
  <c r="N252" i="2" s="1"/>
  <c r="O253" i="2"/>
  <c r="N253" i="2" s="1"/>
  <c r="O254" i="2"/>
  <c r="N254" i="2" s="1"/>
  <c r="O281" i="2"/>
  <c r="N281" i="2" s="1"/>
  <c r="O258" i="2"/>
  <c r="N258" i="2" s="1"/>
  <c r="O259" i="2"/>
  <c r="N259" i="2" s="1"/>
  <c r="O261" i="2"/>
  <c r="N261" i="2" s="1"/>
  <c r="O262" i="2"/>
  <c r="N262" i="2" s="1"/>
  <c r="O265" i="2"/>
  <c r="N265" i="2" s="1"/>
  <c r="O266" i="2"/>
  <c r="N266" i="2" s="1"/>
  <c r="O267" i="2"/>
  <c r="N267" i="2" s="1"/>
  <c r="O268" i="2"/>
  <c r="N268" i="2" s="1"/>
  <c r="O269" i="2"/>
  <c r="N269" i="2" s="1"/>
  <c r="O270" i="2"/>
  <c r="N270" i="2" s="1"/>
  <c r="O271" i="2"/>
  <c r="N271" i="2" s="1"/>
  <c r="O272" i="2"/>
  <c r="N272" i="2" s="1"/>
  <c r="O273" i="2"/>
  <c r="N273" i="2" s="1"/>
  <c r="O274" i="2"/>
  <c r="N274" i="2" s="1"/>
  <c r="O275" i="2"/>
  <c r="N275" i="2" s="1"/>
  <c r="O276" i="2"/>
  <c r="N276" i="2" s="1"/>
  <c r="O277" i="2"/>
  <c r="N277" i="2" s="1"/>
  <c r="O282" i="2"/>
  <c r="N282" i="2" s="1"/>
  <c r="O283" i="2"/>
  <c r="N283" i="2" s="1"/>
  <c r="O284" i="2"/>
  <c r="N284" i="2" s="1"/>
  <c r="O285" i="2"/>
  <c r="N285" i="2" s="1"/>
  <c r="O287" i="2"/>
  <c r="N287" i="2" s="1"/>
  <c r="O289" i="2"/>
  <c r="N289" i="2" s="1"/>
  <c r="O290" i="2"/>
  <c r="N290" i="2" s="1"/>
  <c r="P5" i="14"/>
  <c r="O5" i="14" s="1"/>
  <c r="P6" i="14"/>
  <c r="O6" i="14" s="1"/>
  <c r="P7" i="14"/>
  <c r="O7" i="14" s="1"/>
  <c r="P8" i="14"/>
  <c r="O8" i="14" s="1"/>
  <c r="P9" i="14"/>
  <c r="O9" i="14" s="1"/>
  <c r="P10" i="14"/>
  <c r="O10" i="14" s="1"/>
  <c r="P13" i="14"/>
  <c r="O13" i="14" s="1"/>
  <c r="P14" i="14"/>
  <c r="O14" i="14" s="1"/>
  <c r="P18" i="14"/>
  <c r="O18" i="14" s="1"/>
  <c r="P19" i="14"/>
  <c r="O19" i="14" s="1"/>
  <c r="P22" i="14"/>
  <c r="O22" i="14" s="1"/>
  <c r="P23" i="14"/>
  <c r="O23" i="14" s="1"/>
  <c r="P25" i="14"/>
  <c r="O25" i="14" s="1"/>
  <c r="P27" i="14"/>
  <c r="O27" i="14" s="1"/>
  <c r="P31" i="14"/>
  <c r="O31" i="14" s="1"/>
  <c r="P32" i="14"/>
  <c r="O32" i="14" s="1"/>
  <c r="P35" i="14"/>
  <c r="O35" i="14" s="1"/>
  <c r="P36" i="14"/>
  <c r="O36" i="14" s="1"/>
  <c r="P40" i="14"/>
  <c r="O40" i="14" s="1"/>
  <c r="P41" i="14"/>
  <c r="O41" i="14" s="1"/>
  <c r="P45" i="14"/>
  <c r="O45" i="14" s="1"/>
  <c r="P46" i="14"/>
  <c r="O46" i="14" s="1"/>
  <c r="P50" i="14"/>
  <c r="O50" i="14" s="1"/>
  <c r="P51" i="14"/>
  <c r="O51" i="14" s="1"/>
  <c r="P53" i="14"/>
  <c r="O53" i="14" s="1"/>
  <c r="P54" i="14"/>
  <c r="O54" i="14" s="1"/>
  <c r="P56" i="14"/>
  <c r="O56" i="14" s="1"/>
  <c r="P59" i="14"/>
  <c r="O59" i="14" s="1"/>
  <c r="P60" i="14"/>
  <c r="O60" i="14" s="1"/>
  <c r="P64" i="14"/>
  <c r="O64" i="14" s="1"/>
  <c r="P70" i="14"/>
  <c r="O70" i="14" s="1"/>
  <c r="P71" i="14"/>
  <c r="O71" i="14" s="1"/>
  <c r="P76" i="14"/>
  <c r="O76" i="14" s="1"/>
  <c r="P79" i="14"/>
  <c r="O79" i="14" s="1"/>
  <c r="Q5" i="14"/>
  <c r="Q6" i="14"/>
  <c r="Q7" i="14"/>
  <c r="Q8" i="14"/>
  <c r="L8" i="14" s="1" a="1"/>
  <c r="L8" i="14" s="1"/>
  <c r="Q9" i="14"/>
  <c r="L9" i="14" s="1" a="1"/>
  <c r="L9" i="14" s="1"/>
  <c r="Q10" i="14"/>
  <c r="L10" i="14" s="1" a="1"/>
  <c r="L10" i="14" s="1"/>
  <c r="Q13" i="14"/>
  <c r="Q14" i="14"/>
  <c r="Q18" i="14"/>
  <c r="Q19" i="14"/>
  <c r="Q22" i="14"/>
  <c r="Q23" i="14"/>
  <c r="Q25" i="14"/>
  <c r="Q27" i="14"/>
  <c r="Q31" i="14"/>
  <c r="Q32" i="14"/>
  <c r="Q35" i="14"/>
  <c r="Q36" i="14"/>
  <c r="Q40" i="14"/>
  <c r="Q41" i="14"/>
  <c r="Q45" i="14"/>
  <c r="Q46" i="14"/>
  <c r="Q50" i="14"/>
  <c r="Q51" i="14"/>
  <c r="Q53" i="14"/>
  <c r="Q54" i="14"/>
  <c r="L54" i="14" s="1" a="1"/>
  <c r="L54" i="14" s="1"/>
  <c r="Q56" i="14"/>
  <c r="Q59" i="14"/>
  <c r="Q60" i="14"/>
  <c r="Q64" i="14"/>
  <c r="Q70" i="14"/>
  <c r="Q71" i="14"/>
  <c r="Q76" i="14"/>
  <c r="Q79" i="14"/>
  <c r="N3" i="2" l="1"/>
  <c r="O3" i="14"/>
  <c r="M277" i="2"/>
  <c r="M269" i="2"/>
  <c r="M258" i="2"/>
  <c r="M248" i="2"/>
  <c r="M237" i="2"/>
  <c r="M226" i="2"/>
  <c r="M217" i="2"/>
  <c r="M205" i="2"/>
  <c r="M195" i="2"/>
  <c r="M183" i="2"/>
  <c r="M173" i="2"/>
  <c r="M161" i="2"/>
  <c r="M154" i="2"/>
  <c r="M143" i="2"/>
  <c r="M131" i="2"/>
  <c r="M122" i="2"/>
  <c r="M110" i="2"/>
  <c r="M100" i="2"/>
  <c r="M88" i="2"/>
  <c r="M78" i="2"/>
  <c r="M66" i="2"/>
  <c r="M55" i="2"/>
  <c r="M41" i="2"/>
  <c r="M33" i="2"/>
  <c r="M18" i="2"/>
  <c r="M10" i="2"/>
  <c r="M240" i="2"/>
  <c r="M20" i="2"/>
  <c r="L20" i="2" s="1" a="1"/>
  <c r="L20" i="2" s="1"/>
  <c r="M290" i="2"/>
  <c r="M276" i="2"/>
  <c r="L276" i="2" s="1" a="1"/>
  <c r="L276" i="2" s="1"/>
  <c r="M268" i="2"/>
  <c r="L268" i="2" s="1" a="1"/>
  <c r="L268" i="2" s="1"/>
  <c r="M281" i="2"/>
  <c r="M247" i="2"/>
  <c r="M233" i="2"/>
  <c r="M6" i="2"/>
  <c r="M216" i="2"/>
  <c r="M204" i="2"/>
  <c r="M193" i="2"/>
  <c r="M182" i="2"/>
  <c r="M172" i="2"/>
  <c r="M134" i="2"/>
  <c r="M153" i="2"/>
  <c r="M139" i="2"/>
  <c r="M130" i="2"/>
  <c r="M120" i="2"/>
  <c r="M109" i="2"/>
  <c r="M99" i="2"/>
  <c r="M87" i="2"/>
  <c r="M77" i="2"/>
  <c r="M65" i="2"/>
  <c r="M54" i="2"/>
  <c r="M40" i="2"/>
  <c r="M32" i="2"/>
  <c r="M17" i="2"/>
  <c r="M9" i="2"/>
  <c r="M271" i="2"/>
  <c r="M228" i="2"/>
  <c r="L228" i="2" s="1" a="1"/>
  <c r="L228" i="2" s="1"/>
  <c r="M197" i="2"/>
  <c r="M177" i="2"/>
  <c r="M156" i="2"/>
  <c r="L156" i="2" s="1" a="1"/>
  <c r="L156" i="2" s="1"/>
  <c r="M145" i="2"/>
  <c r="M126" i="2"/>
  <c r="M104" i="2"/>
  <c r="M90" i="2"/>
  <c r="M82" i="2"/>
  <c r="M68" i="2"/>
  <c r="L68" i="2" s="1" a="1"/>
  <c r="L68" i="2" s="1"/>
  <c r="M59" i="2"/>
  <c r="M35" i="2"/>
  <c r="M12" i="2"/>
  <c r="L12" i="2" s="1" a="1"/>
  <c r="L12" i="2" s="1"/>
  <c r="M289" i="2"/>
  <c r="M275" i="2"/>
  <c r="L275" i="2" s="1" a="1"/>
  <c r="L275" i="2" s="1"/>
  <c r="M267" i="2"/>
  <c r="M254" i="2"/>
  <c r="M246" i="2"/>
  <c r="L246" i="2" s="1" a="1"/>
  <c r="L246" i="2" s="1"/>
  <c r="M232" i="2"/>
  <c r="M225" i="2"/>
  <c r="M214" i="2"/>
  <c r="M203" i="2"/>
  <c r="M192" i="2"/>
  <c r="M181" i="2"/>
  <c r="M171" i="2"/>
  <c r="M160" i="2"/>
  <c r="M152" i="2"/>
  <c r="M138" i="2"/>
  <c r="M129" i="2"/>
  <c r="M119" i="2"/>
  <c r="M108" i="2"/>
  <c r="L108" i="2" s="1" a="1"/>
  <c r="L108" i="2" s="1"/>
  <c r="G48" i="3" s="1" a="1"/>
  <c r="G48" i="3" s="1"/>
  <c r="M97" i="2"/>
  <c r="M86" i="2"/>
  <c r="M75" i="2"/>
  <c r="M64" i="2"/>
  <c r="M53" i="2"/>
  <c r="M39" i="2"/>
  <c r="M29" i="2"/>
  <c r="M16" i="2"/>
  <c r="M8" i="2"/>
  <c r="M250" i="2"/>
  <c r="M43" i="2"/>
  <c r="M287" i="2"/>
  <c r="M274" i="2"/>
  <c r="M266" i="2"/>
  <c r="L266" i="2" s="1" a="1"/>
  <c r="L266" i="2" s="1"/>
  <c r="M253" i="2"/>
  <c r="M245" i="2"/>
  <c r="M231" i="2"/>
  <c r="M224" i="2"/>
  <c r="M213" i="2"/>
  <c r="M202" i="2"/>
  <c r="M191" i="2"/>
  <c r="M180" i="2"/>
  <c r="L180" i="2" s="1" a="1"/>
  <c r="L180" i="2" s="1"/>
  <c r="M169" i="2"/>
  <c r="M159" i="2"/>
  <c r="M149" i="2"/>
  <c r="M137" i="2"/>
  <c r="M128" i="2"/>
  <c r="M115" i="2"/>
  <c r="M107" i="2"/>
  <c r="M96" i="2"/>
  <c r="M85" i="2"/>
  <c r="M74" i="2"/>
  <c r="M63" i="2"/>
  <c r="M49" i="2"/>
  <c r="M38" i="2"/>
  <c r="M28" i="2"/>
  <c r="L28" i="2" s="1" a="1"/>
  <c r="L28" i="2" s="1"/>
  <c r="M15" i="2"/>
  <c r="M7" i="2"/>
  <c r="M283" i="2"/>
  <c r="M221" i="2"/>
  <c r="M163" i="2"/>
  <c r="M112" i="2"/>
  <c r="M285" i="2"/>
  <c r="M273" i="2"/>
  <c r="M265" i="2"/>
  <c r="M252" i="2"/>
  <c r="L252" i="2" s="1" a="1"/>
  <c r="L252" i="2" s="1"/>
  <c r="M244" i="2"/>
  <c r="L244" i="2" s="1" a="1"/>
  <c r="L244" i="2" s="1"/>
  <c r="M230" i="2"/>
  <c r="M223" i="2"/>
  <c r="M209" i="2"/>
  <c r="M201" i="2"/>
  <c r="M187" i="2"/>
  <c r="M179" i="2"/>
  <c r="M168" i="2"/>
  <c r="M158" i="2"/>
  <c r="M148" i="2"/>
  <c r="M136" i="2"/>
  <c r="M127" i="2"/>
  <c r="M114" i="2"/>
  <c r="M106" i="2"/>
  <c r="M92" i="2"/>
  <c r="L92" i="2" s="1" a="1"/>
  <c r="L92" i="2" s="1"/>
  <c r="M84" i="2"/>
  <c r="L84" i="2" s="1" a="1"/>
  <c r="L84" i="2" s="1"/>
  <c r="M73" i="2"/>
  <c r="M62" i="2"/>
  <c r="M48" i="2"/>
  <c r="M37" i="2"/>
  <c r="M26" i="2"/>
  <c r="M14" i="2"/>
  <c r="M5" i="2"/>
  <c r="M284" i="2"/>
  <c r="L284" i="2" s="1" a="1"/>
  <c r="L284" i="2" s="1"/>
  <c r="M272" i="2"/>
  <c r="M262" i="2"/>
  <c r="L262" i="2" s="1" a="1"/>
  <c r="L262" i="2" s="1"/>
  <c r="M251" i="2"/>
  <c r="M241" i="2"/>
  <c r="M229" i="2"/>
  <c r="M222" i="2"/>
  <c r="M208" i="2"/>
  <c r="M200" i="2"/>
  <c r="M186" i="2"/>
  <c r="M178" i="2"/>
  <c r="M164" i="2"/>
  <c r="L164" i="2" s="1" a="1"/>
  <c r="L164" i="2" s="1"/>
  <c r="M157" i="2"/>
  <c r="M146" i="2"/>
  <c r="M135" i="2"/>
  <c r="M60" i="2"/>
  <c r="L60" i="2" s="1" a="1"/>
  <c r="L60" i="2" s="1"/>
  <c r="M113" i="2"/>
  <c r="M105" i="2"/>
  <c r="M91" i="2"/>
  <c r="M83" i="2"/>
  <c r="M69" i="2"/>
  <c r="M61" i="2"/>
  <c r="M47" i="2"/>
  <c r="M36" i="2"/>
  <c r="L36" i="2" s="1" a="1"/>
  <c r="L36" i="2" s="1"/>
  <c r="M25" i="2"/>
  <c r="M13" i="2"/>
  <c r="M261" i="2"/>
  <c r="M207" i="2"/>
  <c r="M185" i="2"/>
  <c r="M133" i="2"/>
  <c r="M282" i="2"/>
  <c r="L282" i="2" s="1" a="1"/>
  <c r="L282" i="2" s="1"/>
  <c r="M270" i="2"/>
  <c r="L270" i="2" s="1" a="1"/>
  <c r="L270" i="2" s="1"/>
  <c r="M259" i="2"/>
  <c r="M249" i="2"/>
  <c r="M238" i="2"/>
  <c r="M227" i="2"/>
  <c r="M220" i="2"/>
  <c r="L220" i="2" s="1" a="1"/>
  <c r="L220" i="2" s="1"/>
  <c r="M206" i="2"/>
  <c r="M196" i="2"/>
  <c r="L196" i="2" s="1" a="1"/>
  <c r="L196" i="2" s="1"/>
  <c r="M184" i="2"/>
  <c r="M174" i="2"/>
  <c r="M162" i="2"/>
  <c r="M155" i="2"/>
  <c r="M144" i="2"/>
  <c r="M132" i="2"/>
  <c r="L132" i="2" s="1" a="1"/>
  <c r="L132" i="2" s="1"/>
  <c r="M123" i="2"/>
  <c r="M111" i="2"/>
  <c r="M101" i="2"/>
  <c r="M89" i="2"/>
  <c r="M81" i="2"/>
  <c r="M67" i="2"/>
  <c r="M58" i="2"/>
  <c r="M42" i="2"/>
  <c r="M34" i="2"/>
  <c r="M19" i="2"/>
  <c r="M11" i="2"/>
  <c r="N79" i="14"/>
  <c r="N54" i="14"/>
  <c r="N36" i="14"/>
  <c r="N19" i="14"/>
  <c r="N6" i="14"/>
  <c r="N76" i="14"/>
  <c r="N53" i="14"/>
  <c r="N35" i="14"/>
  <c r="N18" i="14"/>
  <c r="N5" i="14"/>
  <c r="N71" i="14"/>
  <c r="N51" i="14"/>
  <c r="N32" i="14"/>
  <c r="N14" i="14"/>
  <c r="N70" i="14"/>
  <c r="N50" i="14"/>
  <c r="N31" i="14"/>
  <c r="N13" i="14"/>
  <c r="N56" i="14"/>
  <c r="N40" i="14"/>
  <c r="N22" i="14"/>
  <c r="N7" i="14"/>
  <c r="N64" i="14"/>
  <c r="N46" i="14"/>
  <c r="N27" i="14"/>
  <c r="N10" i="14"/>
  <c r="N60" i="14"/>
  <c r="N45" i="14"/>
  <c r="N25" i="14"/>
  <c r="N9" i="14"/>
  <c r="N59" i="14"/>
  <c r="N41" i="14"/>
  <c r="N23" i="14"/>
  <c r="N8" i="14"/>
  <c r="L188" i="2" a="1"/>
  <c r="L188" i="2" s="1"/>
  <c r="L236" i="2" a="1"/>
  <c r="L236" i="2" s="1"/>
  <c r="L140" i="2" a="1"/>
  <c r="L140" i="2" s="1"/>
  <c r="L271" i="2" a="1"/>
  <c r="L271" i="2" s="1"/>
  <c r="L100" i="2" a="1"/>
  <c r="L100" i="2" s="1"/>
  <c r="L172" i="2" a="1"/>
  <c r="L172" i="2" s="1"/>
  <c r="M78" i="14" a="1"/>
  <c r="M78" i="14" s="1"/>
  <c r="M26" i="14" a="1"/>
  <c r="M26" i="14" s="1"/>
  <c r="M72" i="14" a="1"/>
  <c r="M72" i="14" s="1"/>
  <c r="M73" i="14" a="1"/>
  <c r="M73" i="14" s="1"/>
  <c r="M17" i="14" a="1"/>
  <c r="M17" i="14" s="1"/>
  <c r="M63" i="14" a="1"/>
  <c r="M63" i="14" s="1"/>
  <c r="M43" i="14" a="1"/>
  <c r="M43" i="14" s="1"/>
  <c r="M48" i="14" a="1"/>
  <c r="M48" i="14" s="1"/>
  <c r="M44" i="14" a="1"/>
  <c r="M44" i="14" s="1"/>
  <c r="M30" i="14" a="1"/>
  <c r="M30" i="14" s="1"/>
  <c r="M55" i="14" a="1"/>
  <c r="M55" i="14" s="1"/>
  <c r="M75" i="14" a="1"/>
  <c r="M75" i="14" s="1"/>
  <c r="M39" i="14" a="1"/>
  <c r="M39" i="14" s="1"/>
  <c r="M28" i="14" a="1"/>
  <c r="M28" i="14" s="1"/>
  <c r="M24" i="14" a="1"/>
  <c r="M24" i="14" s="1"/>
  <c r="M33" i="14" a="1"/>
  <c r="M33" i="14" s="1"/>
  <c r="M11" i="14" a="1"/>
  <c r="M11" i="14" s="1"/>
  <c r="M58" i="14" a="1"/>
  <c r="M58" i="14" s="1"/>
  <c r="M29" i="14" a="1"/>
  <c r="M29" i="14" s="1"/>
  <c r="M52" i="14" a="1"/>
  <c r="M52" i="14" s="1"/>
  <c r="M38" i="14" a="1"/>
  <c r="M38" i="14" s="1"/>
  <c r="M49" i="14" a="1"/>
  <c r="M49" i="14" s="1"/>
  <c r="M16" i="14" a="1"/>
  <c r="M16" i="14" s="1"/>
  <c r="M61" i="14" a="1"/>
  <c r="M61" i="14" s="1"/>
  <c r="M66" i="14" a="1"/>
  <c r="M66" i="14" s="1"/>
  <c r="M74" i="14" a="1"/>
  <c r="M74" i="14" s="1"/>
  <c r="M68" i="14" a="1"/>
  <c r="M68" i="14" s="1"/>
  <c r="M57" i="14" a="1"/>
  <c r="M57" i="14" s="1"/>
  <c r="M62" i="14" a="1"/>
  <c r="M62" i="14" s="1"/>
  <c r="M37" i="14" a="1"/>
  <c r="M37" i="14" s="1"/>
  <c r="M47" i="14" a="1"/>
  <c r="M47" i="14" s="1"/>
  <c r="M12" i="14" a="1"/>
  <c r="M12" i="14" s="1"/>
  <c r="M34" i="14" a="1"/>
  <c r="M34" i="14" s="1"/>
  <c r="M42" i="14" a="1"/>
  <c r="M42" i="14" s="1"/>
  <c r="M65" i="14" a="1"/>
  <c r="M65" i="14" s="1"/>
  <c r="M15" i="14" a="1"/>
  <c r="M15" i="14" s="1"/>
  <c r="M20" i="14" a="1"/>
  <c r="M20" i="14" s="1"/>
  <c r="M21" i="14" a="1"/>
  <c r="M21" i="14" s="1"/>
  <c r="L235" i="2" a="1"/>
  <c r="L235" i="2" s="1"/>
  <c r="L256" i="2" a="1"/>
  <c r="L256" i="2" s="1"/>
  <c r="L215" i="2" a="1"/>
  <c r="L215" i="2" s="1"/>
  <c r="L234" i="2" a="1"/>
  <c r="L234" i="2" s="1"/>
  <c r="L95" i="2" a="1"/>
  <c r="L95" i="2" s="1"/>
  <c r="L93" i="2" a="1"/>
  <c r="L93" i="2" s="1"/>
  <c r="L117" i="2" a="1"/>
  <c r="L117" i="2" s="1"/>
  <c r="L98" i="2" a="1"/>
  <c r="L98" i="2" s="1"/>
  <c r="L147" i="2" a="1"/>
  <c r="L147" i="2" s="1"/>
  <c r="L21" i="2" a="1"/>
  <c r="L21" i="2" s="1"/>
  <c r="L50" i="2" a="1"/>
  <c r="L50" i="2" s="1"/>
  <c r="L23" i="2" a="1"/>
  <c r="L23" i="2" s="1"/>
  <c r="L210" i="2" a="1"/>
  <c r="L210" i="2" s="1"/>
  <c r="L194" i="2" a="1"/>
  <c r="L194" i="2" s="1"/>
  <c r="L72" i="2" a="1"/>
  <c r="L72" i="2" s="1"/>
  <c r="L70" i="2" a="1"/>
  <c r="L70" i="2" s="1"/>
  <c r="L27" i="2" a="1"/>
  <c r="L27" i="2" s="1"/>
  <c r="L280" i="2" a="1"/>
  <c r="L280" i="2" s="1"/>
  <c r="L278" i="2" a="1"/>
  <c r="L278" i="2" s="1"/>
  <c r="L166" i="2" a="1"/>
  <c r="L166" i="2" s="1"/>
  <c r="L293" i="2" a="1"/>
  <c r="L293" i="2" s="1"/>
  <c r="L190" i="2" a="1"/>
  <c r="L190" i="2" s="1"/>
  <c r="L22" i="2" a="1"/>
  <c r="L22" i="2" s="1"/>
  <c r="L288" i="2" a="1"/>
  <c r="L288" i="2" s="1"/>
  <c r="L46" i="2" a="1"/>
  <c r="L46" i="2" s="1"/>
  <c r="L257" i="2" a="1"/>
  <c r="L257" i="2" s="1"/>
  <c r="L255" i="2" a="1"/>
  <c r="L255" i="2" s="1"/>
  <c r="L167" i="2" a="1"/>
  <c r="L167" i="2" s="1"/>
  <c r="L94" i="2" a="1"/>
  <c r="L94" i="2" s="1"/>
  <c r="L239" i="2" a="1"/>
  <c r="L239" i="2" s="1"/>
  <c r="L121" i="2" a="1"/>
  <c r="L121" i="2" s="1"/>
  <c r="L142" i="2" a="1"/>
  <c r="L142" i="2" s="1"/>
  <c r="L189" i="2" a="1"/>
  <c r="L189" i="2" s="1"/>
  <c r="L211" i="2" a="1"/>
  <c r="L211" i="2" s="1"/>
  <c r="L170" i="2" a="1"/>
  <c r="L170" i="2" s="1"/>
  <c r="L45" i="2" a="1"/>
  <c r="L45" i="2" s="1"/>
  <c r="L71" i="2" a="1"/>
  <c r="L71" i="2" s="1"/>
  <c r="L286" i="2" a="1"/>
  <c r="L286" i="2" s="1"/>
  <c r="L165" i="2" a="1"/>
  <c r="L165" i="2" s="1"/>
  <c r="L279" i="2" a="1"/>
  <c r="L279" i="2" s="1"/>
  <c r="L118" i="2" a="1"/>
  <c r="L118" i="2" s="1"/>
  <c r="L141" i="2" a="1"/>
  <c r="L141" i="2" s="1"/>
  <c r="C34" i="27" a="1"/>
  <c r="C34" i="27" s="1"/>
  <c r="D34" i="27" a="1"/>
  <c r="D34" i="27" s="1"/>
  <c r="D23" i="27" a="1"/>
  <c r="D23" i="27" s="1"/>
  <c r="C23" i="27" a="1"/>
  <c r="C23" i="27" s="1"/>
  <c r="D13" i="27" a="1"/>
  <c r="D13" i="27" s="1"/>
  <c r="C13" i="27" a="1"/>
  <c r="C13" i="27" s="1"/>
  <c r="C10" i="27" a="1"/>
  <c r="C10" i="27" s="1"/>
  <c r="D10" i="27" a="1"/>
  <c r="D10" i="27" s="1"/>
  <c r="D33" i="27" a="1"/>
  <c r="D33" i="27" s="1"/>
  <c r="C33" i="27" a="1"/>
  <c r="C33" i="27" s="1"/>
  <c r="D36" i="27" a="1"/>
  <c r="D36" i="27" s="1"/>
  <c r="C36" i="27" a="1"/>
  <c r="C36" i="27" s="1"/>
  <c r="D28" i="27" a="1"/>
  <c r="D28" i="27" s="1"/>
  <c r="C28" i="27" a="1"/>
  <c r="C28" i="27" s="1"/>
  <c r="A1" i="28"/>
  <c r="L204" i="2" l="1" a="1"/>
  <c r="L204" i="2" s="1"/>
  <c r="L148" i="2" a="1"/>
  <c r="L148" i="2" s="1"/>
  <c r="M10" i="14" a="1"/>
  <c r="M10" i="14" s="1"/>
  <c r="M13" i="14" a="1"/>
  <c r="M13" i="14" s="1"/>
  <c r="M14" i="14" a="1"/>
  <c r="M14" i="14" s="1"/>
  <c r="M36" i="14" a="1"/>
  <c r="M36" i="14" s="1"/>
  <c r="M53" i="14" a="1"/>
  <c r="M53" i="14" s="1"/>
  <c r="M18" i="14" a="1"/>
  <c r="M18" i="14" s="1"/>
  <c r="M6" i="14" a="1"/>
  <c r="M6" i="14" s="1"/>
  <c r="M64" i="14" a="1"/>
  <c r="M64" i="14" s="1"/>
  <c r="M31" i="14" a="1"/>
  <c r="M31" i="14" s="1"/>
  <c r="M60" i="14" a="1"/>
  <c r="M60" i="14" s="1"/>
  <c r="M79" i="14" a="1"/>
  <c r="M79" i="14" s="1"/>
  <c r="M54" i="14" a="1"/>
  <c r="M54" i="14" s="1"/>
  <c r="M23" i="14" a="1"/>
  <c r="M23" i="14" s="1"/>
  <c r="M56" i="14" a="1"/>
  <c r="M56" i="14" s="1"/>
  <c r="M40" i="14" a="1"/>
  <c r="M40" i="14" s="1"/>
  <c r="M70" i="14" a="1"/>
  <c r="M70" i="14" s="1"/>
  <c r="M71" i="14" a="1"/>
  <c r="M71" i="14" s="1"/>
  <c r="M35" i="14" a="1"/>
  <c r="M35" i="14" s="1"/>
  <c r="M7" i="14" a="1"/>
  <c r="M7" i="14" s="1"/>
  <c r="M9" i="14" a="1"/>
  <c r="M9" i="14" s="1"/>
  <c r="G42" i="3" a="1"/>
  <c r="G42" i="3" s="1"/>
  <c r="M22" i="14" a="1"/>
  <c r="M22" i="14" s="1"/>
  <c r="M50" i="14" a="1"/>
  <c r="M50" i="14" s="1"/>
  <c r="M51" i="14" a="1"/>
  <c r="M51" i="14" s="1"/>
  <c r="G41" i="3" a="1"/>
  <c r="G41" i="3" s="1"/>
  <c r="G70" i="3" a="1"/>
  <c r="G70" i="3" s="1"/>
  <c r="M59" i="14" a="1"/>
  <c r="M59" i="14" s="1"/>
  <c r="M25" i="14" a="1"/>
  <c r="M25" i="14" s="1"/>
  <c r="M32" i="14" a="1"/>
  <c r="M32" i="14" s="1"/>
  <c r="M5" i="14" a="1"/>
  <c r="M5" i="14" s="1"/>
  <c r="M76" i="14" a="1"/>
  <c r="M76" i="14" s="1"/>
  <c r="M8" i="14" a="1"/>
  <c r="M8" i="14" s="1"/>
  <c r="M45" i="14" a="1"/>
  <c r="M45" i="14" s="1"/>
  <c r="M19" i="14" a="1"/>
  <c r="M19" i="14" s="1"/>
  <c r="M41" i="14" a="1"/>
  <c r="M41" i="14" s="1"/>
  <c r="M27" i="14" a="1"/>
  <c r="M27" i="14" s="1"/>
  <c r="M46" i="14" a="1"/>
  <c r="M46" i="14" s="1"/>
  <c r="L285" i="2" a="1"/>
  <c r="L285" i="2" s="1"/>
  <c r="G63" i="3" s="1" a="1"/>
  <c r="G63" i="3" s="1"/>
  <c r="G61" i="3" a="1"/>
  <c r="G61" i="3" s="1"/>
  <c r="G44" i="3" a="1"/>
  <c r="G44" i="3" s="1"/>
  <c r="L115" i="2" a="1"/>
  <c r="L115" i="2" s="1"/>
  <c r="L159" i="2" a="1"/>
  <c r="L159" i="2" s="1"/>
  <c r="L213" i="2" a="1"/>
  <c r="L213" i="2" s="1"/>
  <c r="L253" i="2" a="1"/>
  <c r="L253" i="2" s="1"/>
  <c r="L16" i="2" a="1"/>
  <c r="L16" i="2" s="1"/>
  <c r="L64" i="2" a="1"/>
  <c r="L64" i="2" s="1"/>
  <c r="L119" i="2" a="1"/>
  <c r="L119" i="2" s="1"/>
  <c r="L160" i="2" a="1"/>
  <c r="L160" i="2" s="1"/>
  <c r="L203" i="2" a="1"/>
  <c r="L203" i="2" s="1"/>
  <c r="L254" i="2" a="1"/>
  <c r="L254" i="2" s="1"/>
  <c r="L82" i="2" a="1"/>
  <c r="L82" i="2" s="1"/>
  <c r="L126" i="2" a="1"/>
  <c r="L126" i="2" s="1"/>
  <c r="L13" i="2" a="1"/>
  <c r="L13" i="2" s="1"/>
  <c r="L105" i="2" a="1"/>
  <c r="L105" i="2" s="1"/>
  <c r="L15" i="2" a="1"/>
  <c r="L15" i="2" s="1"/>
  <c r="L74" i="2" a="1"/>
  <c r="L74" i="2" s="1"/>
  <c r="L48" i="2" a="1"/>
  <c r="L48" i="2" s="1"/>
  <c r="L40" i="2" a="1"/>
  <c r="L40" i="2" s="1"/>
  <c r="L87" i="2" a="1"/>
  <c r="L87" i="2" s="1"/>
  <c r="L130" i="2" a="1"/>
  <c r="L130" i="2" s="1"/>
  <c r="L193" i="2" a="1"/>
  <c r="L193" i="2" s="1"/>
  <c r="L247" i="2" a="1"/>
  <c r="L247" i="2" s="1"/>
  <c r="L43" i="2" a="1"/>
  <c r="L43" i="2" s="1"/>
  <c r="L261" i="2" a="1"/>
  <c r="L261" i="2" s="1"/>
  <c r="L135" i="2" a="1"/>
  <c r="L135" i="2" s="1"/>
  <c r="L5" i="2" a="1"/>
  <c r="L5" i="2" s="1"/>
  <c r="L114" i="2" a="1"/>
  <c r="L114" i="2" s="1"/>
  <c r="L168" i="2" a="1"/>
  <c r="L168" i="2" s="1"/>
  <c r="L209" i="2" a="1"/>
  <c r="L209" i="2" s="1"/>
  <c r="L18" i="2" a="1"/>
  <c r="L18" i="2" s="1"/>
  <c r="L66" i="2" a="1"/>
  <c r="L66" i="2" s="1"/>
  <c r="L122" i="2" a="1"/>
  <c r="L122" i="2" s="1"/>
  <c r="L161" i="2" a="1"/>
  <c r="L161" i="2" s="1"/>
  <c r="L205" i="2" a="1"/>
  <c r="L205" i="2" s="1"/>
  <c r="L248" i="2" a="1"/>
  <c r="L248" i="2" s="1"/>
  <c r="L11" i="2" a="1"/>
  <c r="L11" i="2" s="1"/>
  <c r="L58" i="2" a="1"/>
  <c r="L58" i="2" s="1"/>
  <c r="L101" i="2" a="1"/>
  <c r="L101" i="2" s="1"/>
  <c r="L155" i="2" a="1"/>
  <c r="L155" i="2" s="1"/>
  <c r="L38" i="2" a="1"/>
  <c r="L38" i="2" s="1"/>
  <c r="L85" i="2" a="1"/>
  <c r="L85" i="2" s="1"/>
  <c r="L128" i="2" a="1"/>
  <c r="L128" i="2" s="1"/>
  <c r="L169" i="2" a="1"/>
  <c r="L169" i="2" s="1"/>
  <c r="L224" i="2" a="1"/>
  <c r="L224" i="2" s="1"/>
  <c r="L274" i="2" a="1"/>
  <c r="L274" i="2" s="1"/>
  <c r="L29" i="2" a="1"/>
  <c r="L29" i="2" s="1"/>
  <c r="L75" i="2" a="1"/>
  <c r="L75" i="2" s="1"/>
  <c r="L129" i="2" a="1"/>
  <c r="L129" i="2" s="1"/>
  <c r="L171" i="2" a="1"/>
  <c r="L171" i="2" s="1"/>
  <c r="L214" i="2" a="1"/>
  <c r="L214" i="2" s="1"/>
  <c r="L267" i="2" a="1"/>
  <c r="L267" i="2" s="1"/>
  <c r="L90" i="2" a="1"/>
  <c r="L90" i="2" s="1"/>
  <c r="L133" i="2" a="1"/>
  <c r="L133" i="2" s="1"/>
  <c r="L61" i="2" a="1"/>
  <c r="L61" i="2" s="1"/>
  <c r="L222" i="2" a="1"/>
  <c r="L222" i="2" s="1"/>
  <c r="L9" i="2" a="1"/>
  <c r="L9" i="2" s="1"/>
  <c r="L54" i="2" a="1"/>
  <c r="L54" i="2" s="1"/>
  <c r="L99" i="2" a="1"/>
  <c r="L99" i="2" s="1"/>
  <c r="L139" i="2" a="1"/>
  <c r="L139" i="2" s="1"/>
  <c r="L216" i="2" a="1"/>
  <c r="L216" i="2" s="1"/>
  <c r="L281" i="2" a="1"/>
  <c r="L281" i="2" s="1"/>
  <c r="L59" i="2" a="1"/>
  <c r="L59" i="2" s="1"/>
  <c r="L47" i="2" a="1"/>
  <c r="L47" i="2" s="1"/>
  <c r="G47" i="3" s="1" a="1"/>
  <c r="G47" i="3" s="1"/>
  <c r="L146" i="2" a="1"/>
  <c r="L146" i="2" s="1"/>
  <c r="G66" i="3" s="1" a="1"/>
  <c r="G66" i="3" s="1"/>
  <c r="L37" i="2" a="1"/>
  <c r="L37" i="2" s="1"/>
  <c r="L127" i="2" a="1"/>
  <c r="L127" i="2" s="1"/>
  <c r="L179" i="2" a="1"/>
  <c r="L179" i="2" s="1"/>
  <c r="L223" i="2" a="1"/>
  <c r="L223" i="2" s="1"/>
  <c r="L206" i="2" a="1"/>
  <c r="L206" i="2" s="1"/>
  <c r="L259" i="2" a="1"/>
  <c r="L259" i="2" s="1"/>
  <c r="L33" i="2" a="1"/>
  <c r="L33" i="2" s="1"/>
  <c r="L78" i="2" a="1"/>
  <c r="L78" i="2" s="1"/>
  <c r="L131" i="2" a="1"/>
  <c r="L131" i="2" s="1"/>
  <c r="L173" i="2" a="1"/>
  <c r="L173" i="2" s="1"/>
  <c r="L217" i="2" a="1"/>
  <c r="L217" i="2" s="1"/>
  <c r="L258" i="2" a="1"/>
  <c r="L258" i="2" s="1"/>
  <c r="L19" i="2" a="1"/>
  <c r="L19" i="2" s="1"/>
  <c r="L67" i="2" a="1"/>
  <c r="L67" i="2" s="1"/>
  <c r="L273" i="2" a="1"/>
  <c r="L273" i="2" s="1"/>
  <c r="L197" i="2" a="1"/>
  <c r="L197" i="2" s="1"/>
  <c r="L178" i="2" a="1"/>
  <c r="L178" i="2" s="1"/>
  <c r="L229" i="2" a="1"/>
  <c r="L229" i="2" s="1"/>
  <c r="L49" i="2" a="1"/>
  <c r="L49" i="2" s="1"/>
  <c r="L96" i="2" a="1"/>
  <c r="L96" i="2" s="1"/>
  <c r="L137" i="2" a="1"/>
  <c r="L137" i="2" s="1"/>
  <c r="L191" i="2" a="1"/>
  <c r="L191" i="2" s="1"/>
  <c r="L231" i="2" a="1"/>
  <c r="L231" i="2" s="1"/>
  <c r="L287" i="2" a="1"/>
  <c r="L287" i="2" s="1"/>
  <c r="L39" i="2" a="1"/>
  <c r="L39" i="2" s="1"/>
  <c r="L86" i="2" a="1"/>
  <c r="L86" i="2" s="1"/>
  <c r="L138" i="2" a="1"/>
  <c r="L138" i="2" s="1"/>
  <c r="L181" i="2" a="1"/>
  <c r="L181" i="2" s="1"/>
  <c r="L225" i="2" a="1"/>
  <c r="L225" i="2" s="1"/>
  <c r="L289" i="2" a="1"/>
  <c r="L289" i="2" s="1"/>
  <c r="G64" i="3" s="1" a="1"/>
  <c r="G64" i="3" s="1"/>
  <c r="L104" i="2" a="1"/>
  <c r="L104" i="2" s="1"/>
  <c r="L145" i="2" a="1"/>
  <c r="L145" i="2" s="1"/>
  <c r="L69" i="2" a="1"/>
  <c r="L69" i="2" s="1"/>
  <c r="L14" i="2" a="1"/>
  <c r="L14" i="2" s="1"/>
  <c r="L17" i="2" a="1"/>
  <c r="L17" i="2" s="1"/>
  <c r="L65" i="2" a="1"/>
  <c r="L65" i="2" s="1"/>
  <c r="L109" i="2" a="1"/>
  <c r="L109" i="2" s="1"/>
  <c r="L153" i="2" a="1"/>
  <c r="L153" i="2" s="1"/>
  <c r="L6" i="2" a="1"/>
  <c r="L6" i="2" s="1"/>
  <c r="L290" i="2" a="1"/>
  <c r="L290" i="2" s="1"/>
  <c r="L240" i="2" a="1"/>
  <c r="L240" i="2" s="1"/>
  <c r="L91" i="2" a="1"/>
  <c r="L91" i="2" s="1"/>
  <c r="L157" i="2" a="1"/>
  <c r="L157" i="2" s="1"/>
  <c r="G54" i="3" s="1" a="1"/>
  <c r="G54" i="3" s="1"/>
  <c r="L73" i="2" a="1"/>
  <c r="L73" i="2" s="1"/>
  <c r="L136" i="2" a="1"/>
  <c r="L136" i="2" s="1"/>
  <c r="L187" i="2" a="1"/>
  <c r="L187" i="2" s="1"/>
  <c r="L230" i="2" a="1"/>
  <c r="L230" i="2" s="1"/>
  <c r="L41" i="2" a="1"/>
  <c r="L41" i="2" s="1"/>
  <c r="L88" i="2" a="1"/>
  <c r="L88" i="2" s="1"/>
  <c r="L143" i="2" a="1"/>
  <c r="L143" i="2" s="1"/>
  <c r="L183" i="2" a="1"/>
  <c r="L183" i="2" s="1"/>
  <c r="L226" i="2" a="1"/>
  <c r="L226" i="2" s="1"/>
  <c r="L269" i="2" a="1"/>
  <c r="L269" i="2" s="1"/>
  <c r="L34" i="2" a="1"/>
  <c r="L34" i="2" s="1"/>
  <c r="L81" i="2" a="1"/>
  <c r="L81" i="2" s="1"/>
  <c r="L123" i="2" a="1"/>
  <c r="L123" i="2" s="1"/>
  <c r="L174" i="2" a="1"/>
  <c r="L174" i="2" s="1"/>
  <c r="L238" i="2" a="1"/>
  <c r="L238" i="2" s="1"/>
  <c r="L177" i="2" a="1"/>
  <c r="L177" i="2" s="1"/>
  <c r="L221" i="2" a="1"/>
  <c r="L221" i="2" s="1"/>
  <c r="L200" i="2" a="1"/>
  <c r="L200" i="2" s="1"/>
  <c r="L272" i="2" a="1"/>
  <c r="L272" i="2" s="1"/>
  <c r="L7" i="2" a="1"/>
  <c r="L7" i="2" s="1"/>
  <c r="L63" i="2" a="1"/>
  <c r="L63" i="2" s="1"/>
  <c r="L107" i="2" a="1"/>
  <c r="L107" i="2" s="1"/>
  <c r="L149" i="2" a="1"/>
  <c r="L149" i="2" s="1"/>
  <c r="L202" i="2" a="1"/>
  <c r="L202" i="2" s="1"/>
  <c r="L245" i="2" a="1"/>
  <c r="L245" i="2" s="1"/>
  <c r="L8" i="2" a="1"/>
  <c r="L8" i="2" s="1"/>
  <c r="L53" i="2" a="1"/>
  <c r="L53" i="2" s="1"/>
  <c r="L97" i="2" a="1"/>
  <c r="L97" i="2" s="1"/>
  <c r="L152" i="2" a="1"/>
  <c r="L152" i="2" s="1"/>
  <c r="L192" i="2" a="1"/>
  <c r="L192" i="2" s="1"/>
  <c r="L232" i="2" a="1"/>
  <c r="L232" i="2" s="1"/>
  <c r="L182" i="2" a="1"/>
  <c r="L182" i="2" s="1"/>
  <c r="L112" i="2" a="1"/>
  <c r="L112" i="2" s="1"/>
  <c r="L283" i="2" a="1"/>
  <c r="L283" i="2" s="1"/>
  <c r="L83" i="2" a="1"/>
  <c r="L83" i="2" s="1"/>
  <c r="L26" i="2" a="1"/>
  <c r="L26" i="2" s="1"/>
  <c r="L32" i="2" a="1"/>
  <c r="L32" i="2" s="1"/>
  <c r="L77" i="2" a="1"/>
  <c r="L77" i="2" s="1"/>
  <c r="L120" i="2" a="1"/>
  <c r="L120" i="2" s="1"/>
  <c r="L134" i="2" a="1"/>
  <c r="L134" i="2" s="1"/>
  <c r="L233" i="2" a="1"/>
  <c r="L233" i="2" s="1"/>
  <c r="L35" i="2" a="1"/>
  <c r="L35" i="2" s="1"/>
  <c r="L250" i="2" a="1"/>
  <c r="L250" i="2" s="1"/>
  <c r="L113" i="2" a="1"/>
  <c r="L113" i="2" s="1"/>
  <c r="L241" i="2" a="1"/>
  <c r="L241" i="2" s="1"/>
  <c r="L106" i="2" a="1"/>
  <c r="L106" i="2" s="1"/>
  <c r="L158" i="2" a="1"/>
  <c r="L158" i="2" s="1"/>
  <c r="L201" i="2" a="1"/>
  <c r="L201" i="2" s="1"/>
  <c r="L10" i="2" a="1"/>
  <c r="L10" i="2" s="1"/>
  <c r="L55" i="2" a="1"/>
  <c r="L55" i="2" s="1"/>
  <c r="L110" i="2" a="1"/>
  <c r="L110" i="2" s="1"/>
  <c r="L154" i="2" a="1"/>
  <c r="L154" i="2" s="1"/>
  <c r="L195" i="2" a="1"/>
  <c r="L195" i="2" s="1"/>
  <c r="L237" i="2" a="1"/>
  <c r="L237" i="2" s="1"/>
  <c r="L277" i="2" a="1"/>
  <c r="L277" i="2" s="1"/>
  <c r="L42" i="2" a="1"/>
  <c r="L42" i="2" s="1"/>
  <c r="L89" i="2" a="1"/>
  <c r="L89" i="2" s="1"/>
  <c r="L144" i="2" a="1"/>
  <c r="L144" i="2" s="1"/>
  <c r="L184" i="2" a="1"/>
  <c r="L184" i="2" s="1"/>
  <c r="L249" i="2" a="1"/>
  <c r="L249" i="2" s="1"/>
  <c r="L185" i="2" a="1"/>
  <c r="L185" i="2" s="1"/>
  <c r="L25" i="2" a="1"/>
  <c r="L25" i="2" s="1"/>
  <c r="L208" i="2" a="1"/>
  <c r="L208" i="2" s="1"/>
  <c r="L265" i="2" a="1"/>
  <c r="L265" i="2" s="1"/>
  <c r="L62" i="2" a="1"/>
  <c r="L62" i="2" s="1"/>
  <c r="L111" i="2" a="1"/>
  <c r="L111" i="2" s="1"/>
  <c r="G56" i="3" s="1" a="1"/>
  <c r="G56" i="3" s="1"/>
  <c r="L162" i="2" a="1"/>
  <c r="L162" i="2" s="1"/>
  <c r="L227" i="2" a="1"/>
  <c r="L227" i="2" s="1"/>
  <c r="L163" i="2" a="1"/>
  <c r="L163" i="2" s="1"/>
  <c r="L207" i="2" a="1"/>
  <c r="L207" i="2" s="1"/>
  <c r="L186" i="2" a="1"/>
  <c r="L186" i="2" s="1"/>
  <c r="L251" i="2" a="1"/>
  <c r="L251" i="2" s="1"/>
  <c r="A1" i="27"/>
  <c r="L2" i="2"/>
  <c r="G40" i="3" l="1" a="1"/>
  <c r="G40" i="3" s="1"/>
  <c r="G55" i="3" a="1"/>
  <c r="G55" i="3" s="1"/>
  <c r="G52" i="3" a="1"/>
  <c r="G52" i="3" s="1"/>
  <c r="G53" i="3" a="1"/>
  <c r="G53" i="3" s="1"/>
  <c r="G43" i="3" a="1"/>
  <c r="G43" i="3" s="1"/>
  <c r="G46" i="3" a="1"/>
  <c r="G46" i="3" s="1"/>
  <c r="G58" i="3" a="1"/>
  <c r="G58" i="3" s="1"/>
  <c r="G50" i="3" a="1"/>
  <c r="G50" i="3" s="1"/>
  <c r="G62" i="3" a="1"/>
  <c r="G62" i="3" s="1"/>
  <c r="G45" i="3" a="1"/>
  <c r="G45" i="3" s="1"/>
  <c r="G59" i="3" a="1"/>
  <c r="G59" i="3" s="1"/>
  <c r="G57" i="3" a="1"/>
  <c r="G57" i="3" s="1"/>
  <c r="G65" i="3" a="1"/>
  <c r="G65" i="3" s="1"/>
  <c r="G51" i="3" a="1"/>
  <c r="G51" i="3" s="1"/>
  <c r="K5" i="2"/>
  <c r="K9" i="2"/>
  <c r="K13" i="2"/>
  <c r="K17" i="2"/>
  <c r="K21" i="2"/>
  <c r="K25" i="2"/>
  <c r="K29" i="2"/>
  <c r="K33" i="2"/>
  <c r="K37" i="2"/>
  <c r="K41" i="2"/>
  <c r="K45" i="2"/>
  <c r="K49" i="2"/>
  <c r="K53" i="2"/>
  <c r="K57" i="2"/>
  <c r="K61" i="2"/>
  <c r="K65" i="2"/>
  <c r="K69" i="2"/>
  <c r="K73" i="2"/>
  <c r="K77" i="2"/>
  <c r="K81" i="2"/>
  <c r="K85" i="2"/>
  <c r="K89" i="2"/>
  <c r="K93" i="2"/>
  <c r="K97" i="2"/>
  <c r="K101" i="2"/>
  <c r="K105" i="2"/>
  <c r="K109" i="2"/>
  <c r="K113" i="2"/>
  <c r="K117" i="2"/>
  <c r="K121" i="2"/>
  <c r="K125" i="2"/>
  <c r="K129" i="2"/>
  <c r="K133" i="2"/>
  <c r="K137" i="2"/>
  <c r="K141" i="2"/>
  <c r="K145" i="2"/>
  <c r="K149" i="2"/>
  <c r="K153" i="2"/>
  <c r="K157" i="2"/>
  <c r="K161" i="2"/>
  <c r="K165" i="2"/>
  <c r="K169" i="2"/>
  <c r="K173" i="2"/>
  <c r="K177" i="2"/>
  <c r="K181" i="2"/>
  <c r="K185" i="2"/>
  <c r="K189" i="2"/>
  <c r="K193" i="2"/>
  <c r="K197" i="2"/>
  <c r="K201" i="2"/>
  <c r="K205" i="2"/>
  <c r="K209" i="2"/>
  <c r="K213" i="2"/>
  <c r="K217" i="2"/>
  <c r="K221" i="2"/>
  <c r="K225" i="2"/>
  <c r="K229" i="2"/>
  <c r="K233" i="2"/>
  <c r="K237" i="2"/>
  <c r="K241" i="2"/>
  <c r="K245" i="2"/>
  <c r="K249" i="2"/>
  <c r="K253" i="2"/>
  <c r="K257" i="2"/>
  <c r="K261" i="2"/>
  <c r="K265" i="2"/>
  <c r="K269" i="2"/>
  <c r="K273" i="2"/>
  <c r="K277" i="2"/>
  <c r="K281" i="2"/>
  <c r="K285" i="2"/>
  <c r="K289" i="2"/>
  <c r="K293" i="2"/>
  <c r="K6" i="2"/>
  <c r="K10" i="2"/>
  <c r="K14" i="2"/>
  <c r="K18" i="2"/>
  <c r="K22" i="2"/>
  <c r="K26" i="2"/>
  <c r="K30" i="2"/>
  <c r="K34" i="2"/>
  <c r="K38" i="2"/>
  <c r="K42" i="2"/>
  <c r="K46" i="2"/>
  <c r="K50" i="2"/>
  <c r="K54" i="2"/>
  <c r="K58" i="2"/>
  <c r="K62" i="2"/>
  <c r="K66" i="2"/>
  <c r="K70" i="2"/>
  <c r="K74" i="2"/>
  <c r="K78" i="2"/>
  <c r="K82" i="2"/>
  <c r="K86" i="2"/>
  <c r="K90" i="2"/>
  <c r="K94" i="2"/>
  <c r="K98" i="2"/>
  <c r="K102" i="2"/>
  <c r="K106" i="2"/>
  <c r="K110" i="2"/>
  <c r="K114" i="2"/>
  <c r="K118" i="2"/>
  <c r="K122" i="2"/>
  <c r="K126" i="2"/>
  <c r="K130" i="2"/>
  <c r="K134" i="2"/>
  <c r="K138" i="2"/>
  <c r="K142" i="2"/>
  <c r="K146" i="2"/>
  <c r="K150" i="2"/>
  <c r="K154" i="2"/>
  <c r="K158" i="2"/>
  <c r="K162" i="2"/>
  <c r="K166" i="2"/>
  <c r="K170" i="2"/>
  <c r="K174" i="2"/>
  <c r="K178" i="2"/>
  <c r="K182" i="2"/>
  <c r="K186" i="2"/>
  <c r="K190" i="2"/>
  <c r="K194" i="2"/>
  <c r="K198" i="2"/>
  <c r="K202" i="2"/>
  <c r="K206" i="2"/>
  <c r="K210" i="2"/>
  <c r="K214" i="2"/>
  <c r="K218" i="2"/>
  <c r="K222" i="2"/>
  <c r="K226" i="2"/>
  <c r="K230" i="2"/>
  <c r="K234" i="2"/>
  <c r="K238" i="2"/>
  <c r="K242" i="2"/>
  <c r="K246" i="2"/>
  <c r="K250" i="2"/>
  <c r="K254" i="2"/>
  <c r="K258" i="2"/>
  <c r="K262" i="2"/>
  <c r="K266" i="2"/>
  <c r="K270" i="2"/>
  <c r="K274" i="2"/>
  <c r="K278" i="2"/>
  <c r="K282" i="2"/>
  <c r="K286" i="2"/>
  <c r="K290" i="2"/>
  <c r="K7" i="2"/>
  <c r="K11" i="2"/>
  <c r="K15" i="2"/>
  <c r="K19" i="2"/>
  <c r="K23" i="2"/>
  <c r="K27" i="2"/>
  <c r="K31" i="2"/>
  <c r="K35" i="2"/>
  <c r="K39" i="2"/>
  <c r="K43" i="2"/>
  <c r="K47" i="2"/>
  <c r="K51" i="2"/>
  <c r="K55" i="2"/>
  <c r="K59" i="2"/>
  <c r="K63" i="2"/>
  <c r="K67" i="2"/>
  <c r="K71" i="2"/>
  <c r="K75" i="2"/>
  <c r="K79" i="2"/>
  <c r="K83" i="2"/>
  <c r="K87" i="2"/>
  <c r="K91" i="2"/>
  <c r="K95" i="2"/>
  <c r="K99" i="2"/>
  <c r="K103" i="2"/>
  <c r="K107" i="2"/>
  <c r="K111" i="2"/>
  <c r="K115" i="2"/>
  <c r="K119" i="2"/>
  <c r="K123" i="2"/>
  <c r="K127" i="2"/>
  <c r="K131" i="2"/>
  <c r="K135" i="2"/>
  <c r="K139" i="2"/>
  <c r="K143" i="2"/>
  <c r="K147" i="2"/>
  <c r="K151" i="2"/>
  <c r="K155" i="2"/>
  <c r="K159" i="2"/>
  <c r="K163" i="2"/>
  <c r="K167" i="2"/>
  <c r="K171" i="2"/>
  <c r="K175" i="2"/>
  <c r="K179" i="2"/>
  <c r="K183" i="2"/>
  <c r="K187" i="2"/>
  <c r="K191" i="2"/>
  <c r="K195" i="2"/>
  <c r="K199" i="2"/>
  <c r="K203" i="2"/>
  <c r="K207" i="2"/>
  <c r="K211" i="2"/>
  <c r="K215" i="2"/>
  <c r="K219" i="2"/>
  <c r="K223" i="2"/>
  <c r="K227" i="2"/>
  <c r="K231" i="2"/>
  <c r="K235" i="2"/>
  <c r="K239" i="2"/>
  <c r="K243" i="2"/>
  <c r="K247" i="2"/>
  <c r="K251" i="2"/>
  <c r="K255" i="2"/>
  <c r="K259" i="2"/>
  <c r="K263" i="2"/>
  <c r="K267" i="2"/>
  <c r="K271" i="2"/>
  <c r="K275" i="2"/>
  <c r="K279" i="2"/>
  <c r="K283" i="2"/>
  <c r="K287" i="2"/>
  <c r="K291" i="2"/>
  <c r="K8" i="2"/>
  <c r="K12" i="2"/>
  <c r="K16" i="2"/>
  <c r="K20" i="2"/>
  <c r="K24" i="2"/>
  <c r="K28" i="2"/>
  <c r="K32" i="2"/>
  <c r="K36" i="2"/>
  <c r="K40" i="2"/>
  <c r="K44" i="2"/>
  <c r="K48" i="2"/>
  <c r="K52" i="2"/>
  <c r="K56" i="2"/>
  <c r="K60" i="2"/>
  <c r="K64" i="2"/>
  <c r="K68" i="2"/>
  <c r="K72" i="2"/>
  <c r="K76" i="2"/>
  <c r="K80" i="2"/>
  <c r="K84" i="2"/>
  <c r="K88" i="2"/>
  <c r="K92" i="2"/>
  <c r="K96" i="2"/>
  <c r="K100" i="2"/>
  <c r="K104" i="2"/>
  <c r="K108" i="2"/>
  <c r="K112" i="2"/>
  <c r="K116" i="2"/>
  <c r="K120" i="2"/>
  <c r="K124" i="2"/>
  <c r="K128" i="2"/>
  <c r="K132" i="2"/>
  <c r="K136" i="2"/>
  <c r="K140" i="2"/>
  <c r="K144" i="2"/>
  <c r="K148" i="2"/>
  <c r="K152" i="2"/>
  <c r="K156" i="2"/>
  <c r="K160" i="2"/>
  <c r="K164" i="2"/>
  <c r="K168" i="2"/>
  <c r="K172" i="2"/>
  <c r="K176" i="2"/>
  <c r="K180" i="2"/>
  <c r="K184" i="2"/>
  <c r="K188" i="2"/>
  <c r="K192" i="2"/>
  <c r="K196" i="2"/>
  <c r="K200" i="2"/>
  <c r="K204" i="2"/>
  <c r="K208" i="2"/>
  <c r="K212" i="2"/>
  <c r="K216" i="2"/>
  <c r="K220" i="2"/>
  <c r="K224" i="2"/>
  <c r="K228" i="2"/>
  <c r="K232" i="2"/>
  <c r="K236" i="2"/>
  <c r="K240" i="2"/>
  <c r="K244" i="2"/>
  <c r="K248" i="2"/>
  <c r="K252" i="2"/>
  <c r="K256" i="2"/>
  <c r="K260" i="2"/>
  <c r="K264" i="2"/>
  <c r="K268" i="2"/>
  <c r="K272" i="2"/>
  <c r="K276" i="2"/>
  <c r="K280" i="2"/>
  <c r="K284" i="2"/>
  <c r="K288" i="2"/>
  <c r="K292" i="2"/>
  <c r="M2" i="14"/>
  <c r="H71" i="3"/>
  <c r="H70" i="3"/>
  <c r="H69" i="3"/>
  <c r="H68" i="3"/>
  <c r="H67" i="3"/>
  <c r="H66" i="3"/>
  <c r="H65" i="3"/>
  <c r="H64" i="3"/>
  <c r="H63" i="3"/>
  <c r="H62" i="3"/>
  <c r="H61" i="3"/>
  <c r="H60" i="3"/>
  <c r="H59" i="3"/>
  <c r="H58" i="3"/>
  <c r="H57" i="3"/>
  <c r="H56" i="3"/>
  <c r="H55" i="3"/>
  <c r="H54" i="3"/>
  <c r="H53" i="3"/>
  <c r="H52" i="3"/>
  <c r="H51" i="3"/>
  <c r="H50" i="3"/>
  <c r="H49" i="3"/>
  <c r="H48" i="3"/>
  <c r="H47" i="3"/>
  <c r="H46" i="3"/>
  <c r="H45" i="3"/>
  <c r="H44" i="3"/>
  <c r="H43" i="3"/>
  <c r="H42" i="3"/>
  <c r="H41" i="3"/>
  <c r="H40" i="3"/>
  <c r="B7" i="17"/>
  <c r="R54" i="14"/>
  <c r="J3" i="14"/>
  <c r="P5" i="2"/>
  <c r="P7" i="2"/>
  <c r="P8" i="2"/>
  <c r="P9" i="2"/>
  <c r="P10" i="2"/>
  <c r="P11" i="2"/>
  <c r="P12" i="2"/>
  <c r="P13" i="2"/>
  <c r="P14" i="2"/>
  <c r="P15" i="2"/>
  <c r="P16" i="2"/>
  <c r="P17" i="2"/>
  <c r="P18" i="2"/>
  <c r="P19" i="2"/>
  <c r="P20" i="2"/>
  <c r="P25" i="2"/>
  <c r="P26" i="2"/>
  <c r="P28" i="2"/>
  <c r="P29" i="2"/>
  <c r="P32" i="2"/>
  <c r="P33" i="2"/>
  <c r="P34" i="2"/>
  <c r="P35" i="2"/>
  <c r="P36" i="2"/>
  <c r="P37" i="2"/>
  <c r="P38" i="2"/>
  <c r="P39" i="2"/>
  <c r="P40" i="2"/>
  <c r="P41" i="2"/>
  <c r="P42" i="2"/>
  <c r="P43" i="2"/>
  <c r="P47" i="2"/>
  <c r="P48" i="2"/>
  <c r="P49" i="2"/>
  <c r="P53" i="2"/>
  <c r="P54" i="2"/>
  <c r="P55" i="2"/>
  <c r="P58" i="2"/>
  <c r="P59" i="2"/>
  <c r="P61" i="2"/>
  <c r="P62" i="2"/>
  <c r="P63" i="2"/>
  <c r="P64" i="2"/>
  <c r="P65" i="2"/>
  <c r="P66" i="2"/>
  <c r="P67" i="2"/>
  <c r="P68" i="2"/>
  <c r="P69" i="2"/>
  <c r="P73" i="2"/>
  <c r="P74" i="2"/>
  <c r="P75" i="2"/>
  <c r="P77" i="2"/>
  <c r="P78" i="2"/>
  <c r="P81" i="2"/>
  <c r="P82" i="2"/>
  <c r="P83" i="2"/>
  <c r="P84" i="2"/>
  <c r="P85" i="2"/>
  <c r="P86" i="2"/>
  <c r="P87" i="2"/>
  <c r="P88" i="2"/>
  <c r="P89" i="2"/>
  <c r="P90" i="2"/>
  <c r="P91" i="2"/>
  <c r="P92" i="2"/>
  <c r="P96" i="2"/>
  <c r="P97" i="2"/>
  <c r="P99" i="2"/>
  <c r="P100" i="2"/>
  <c r="P101" i="2"/>
  <c r="P104" i="2"/>
  <c r="P105" i="2"/>
  <c r="P106" i="2"/>
  <c r="P107" i="2"/>
  <c r="P108" i="2"/>
  <c r="P109" i="2"/>
  <c r="P110" i="2"/>
  <c r="P111" i="2"/>
  <c r="P112" i="2"/>
  <c r="P113" i="2"/>
  <c r="P114" i="2"/>
  <c r="P115" i="2"/>
  <c r="P119" i="2"/>
  <c r="P120" i="2"/>
  <c r="P122" i="2"/>
  <c r="P123" i="2"/>
  <c r="P126" i="2"/>
  <c r="P60" i="2"/>
  <c r="P127" i="2"/>
  <c r="P128" i="2"/>
  <c r="P129" i="2"/>
  <c r="P130" i="2"/>
  <c r="P131" i="2"/>
  <c r="P132" i="2"/>
  <c r="P133" i="2"/>
  <c r="P135" i="2"/>
  <c r="P136" i="2"/>
  <c r="P137" i="2"/>
  <c r="P138" i="2"/>
  <c r="P139" i="2"/>
  <c r="P143" i="2"/>
  <c r="P144" i="2"/>
  <c r="P145" i="2"/>
  <c r="P146" i="2"/>
  <c r="P148" i="2"/>
  <c r="P149" i="2"/>
  <c r="P152" i="2"/>
  <c r="P153" i="2"/>
  <c r="P154" i="2"/>
  <c r="P155" i="2"/>
  <c r="P156" i="2"/>
  <c r="P157" i="2"/>
  <c r="P158" i="2"/>
  <c r="P159" i="2"/>
  <c r="P160" i="2"/>
  <c r="P134" i="2"/>
  <c r="P161" i="2"/>
  <c r="P162" i="2"/>
  <c r="P163" i="2"/>
  <c r="P164" i="2"/>
  <c r="P168" i="2"/>
  <c r="P169" i="2"/>
  <c r="P171" i="2"/>
  <c r="P172" i="2"/>
  <c r="P173" i="2"/>
  <c r="P174" i="2"/>
  <c r="P177" i="2"/>
  <c r="P178" i="2"/>
  <c r="P179" i="2"/>
  <c r="P180" i="2"/>
  <c r="P181" i="2"/>
  <c r="P182" i="2"/>
  <c r="P183" i="2"/>
  <c r="P184" i="2"/>
  <c r="P185" i="2"/>
  <c r="P186" i="2"/>
  <c r="P187" i="2"/>
  <c r="P191" i="2"/>
  <c r="P192" i="2"/>
  <c r="P193" i="2"/>
  <c r="P195" i="2"/>
  <c r="P196" i="2"/>
  <c r="P197" i="2"/>
  <c r="P200" i="2"/>
  <c r="P201" i="2"/>
  <c r="P202" i="2"/>
  <c r="P203" i="2"/>
  <c r="P204" i="2"/>
  <c r="P205" i="2"/>
  <c r="P206" i="2"/>
  <c r="P207" i="2"/>
  <c r="P208" i="2"/>
  <c r="P209" i="2"/>
  <c r="P213" i="2"/>
  <c r="P214" i="2"/>
  <c r="P216" i="2"/>
  <c r="P217" i="2"/>
  <c r="P220" i="2"/>
  <c r="P221" i="2"/>
  <c r="P222" i="2"/>
  <c r="P223" i="2"/>
  <c r="P224" i="2"/>
  <c r="P225" i="2"/>
  <c r="P6" i="2"/>
  <c r="P226" i="2"/>
  <c r="P227" i="2"/>
  <c r="P228" i="2"/>
  <c r="P229" i="2"/>
  <c r="P230" i="2"/>
  <c r="P231" i="2"/>
  <c r="P232" i="2"/>
  <c r="P233" i="2"/>
  <c r="P237" i="2"/>
  <c r="P238" i="2"/>
  <c r="P240" i="2"/>
  <c r="P241" i="2"/>
  <c r="P244" i="2"/>
  <c r="P245" i="2"/>
  <c r="P246" i="2"/>
  <c r="P247" i="2"/>
  <c r="P248" i="2"/>
  <c r="P249" i="2"/>
  <c r="P250" i="2"/>
  <c r="P251" i="2"/>
  <c r="P252" i="2"/>
  <c r="P253" i="2"/>
  <c r="P254" i="2"/>
  <c r="P281" i="2"/>
  <c r="P258" i="2"/>
  <c r="P259" i="2"/>
  <c r="P261" i="2"/>
  <c r="P262" i="2"/>
  <c r="P265" i="2"/>
  <c r="P266" i="2"/>
  <c r="P267" i="2"/>
  <c r="P268" i="2"/>
  <c r="P269" i="2"/>
  <c r="P270" i="2"/>
  <c r="P271" i="2"/>
  <c r="P272" i="2"/>
  <c r="P273" i="2"/>
  <c r="P274" i="2"/>
  <c r="P275" i="2"/>
  <c r="P276" i="2"/>
  <c r="P277" i="2"/>
  <c r="P282" i="2"/>
  <c r="P283" i="2"/>
  <c r="P284" i="2"/>
  <c r="P285" i="2"/>
  <c r="P287" i="2"/>
  <c r="P289" i="2"/>
  <c r="P290" i="2"/>
  <c r="R5" i="14"/>
  <c r="R6" i="14"/>
  <c r="R7" i="14"/>
  <c r="R8" i="14"/>
  <c r="R9" i="14"/>
  <c r="R10" i="14"/>
  <c r="R13" i="14"/>
  <c r="R14" i="14"/>
  <c r="R18" i="14"/>
  <c r="R19" i="14"/>
  <c r="R22" i="14"/>
  <c r="R23" i="14"/>
  <c r="R25" i="14"/>
  <c r="R27" i="14"/>
  <c r="R31" i="14"/>
  <c r="R32" i="14"/>
  <c r="R35" i="14"/>
  <c r="R36" i="14"/>
  <c r="R40" i="14"/>
  <c r="R41" i="14"/>
  <c r="R45" i="14"/>
  <c r="R46" i="14"/>
  <c r="R50" i="14"/>
  <c r="R51" i="14"/>
  <c r="R53" i="14"/>
  <c r="R56" i="14"/>
  <c r="R59" i="14"/>
  <c r="R60" i="14"/>
  <c r="R64" i="14"/>
  <c r="R70" i="14"/>
  <c r="R71" i="14"/>
  <c r="R76" i="14"/>
  <c r="R79" i="14"/>
  <c r="A19" i="17"/>
  <c r="A21" i="17"/>
  <c r="A20" i="17"/>
  <c r="A18" i="17"/>
  <c r="A17" i="17"/>
  <c r="H79" i="3"/>
  <c r="H78" i="3"/>
  <c r="H36" i="3" l="1"/>
  <c r="L75" i="14" a="1"/>
  <c r="L75" i="14" s="1"/>
  <c r="L71" i="14" a="1"/>
  <c r="L71" i="14" s="1"/>
  <c r="L63" i="14" a="1"/>
  <c r="L63" i="14" s="1"/>
  <c r="L55" i="14" a="1"/>
  <c r="L55" i="14" s="1"/>
  <c r="L47" i="14" a="1"/>
  <c r="L47" i="14" s="1"/>
  <c r="L39" i="14" a="1"/>
  <c r="L39" i="14" s="1"/>
  <c r="L31" i="14" a="1"/>
  <c r="L31" i="14" s="1"/>
  <c r="L23" i="14" a="1"/>
  <c r="L23" i="14" s="1"/>
  <c r="L11" i="14" a="1"/>
  <c r="L11" i="14" s="1"/>
  <c r="L42" i="14" a="1"/>
  <c r="L42" i="14" s="1"/>
  <c r="L26" i="14" a="1"/>
  <c r="L26" i="14" s="1"/>
  <c r="L79" i="14" a="1"/>
  <c r="L79" i="14" s="1"/>
  <c r="L67" i="14" a="1"/>
  <c r="L67" i="14" s="1"/>
  <c r="L59" i="14" a="1"/>
  <c r="L59" i="14" s="1"/>
  <c r="L51" i="14" a="1"/>
  <c r="L51" i="14" s="1"/>
  <c r="L43" i="14" a="1"/>
  <c r="L43" i="14" s="1"/>
  <c r="L35" i="14" a="1"/>
  <c r="L35" i="14" s="1"/>
  <c r="L27" i="14" a="1"/>
  <c r="L27" i="14" s="1"/>
  <c r="L19" i="14" a="1"/>
  <c r="L19" i="14" s="1"/>
  <c r="L15" i="14" a="1"/>
  <c r="L15" i="14" s="1"/>
  <c r="L7" i="14" a="1"/>
  <c r="L7" i="14" s="1"/>
  <c r="L30" i="14" a="1"/>
  <c r="L30" i="14" s="1"/>
  <c r="L14" i="14" a="1"/>
  <c r="L14" i="14" s="1"/>
  <c r="L13" i="14" a="1"/>
  <c r="L13" i="14" s="1"/>
  <c r="L74" i="14" a="1"/>
  <c r="L74" i="14" s="1"/>
  <c r="L58" i="14" a="1"/>
  <c r="L58" i="14" s="1"/>
  <c r="L50" i="14" a="1"/>
  <c r="L50" i="14" s="1"/>
  <c r="L38" i="14" a="1"/>
  <c r="L38" i="14" s="1"/>
  <c r="L22" i="14" a="1"/>
  <c r="L22" i="14" s="1"/>
  <c r="L6" i="14" a="1"/>
  <c r="L6" i="14" s="1"/>
  <c r="L28" i="14" a="1"/>
  <c r="L28" i="14" s="1"/>
  <c r="L78" i="14" a="1"/>
  <c r="L78" i="14" s="1"/>
  <c r="L70" i="14" a="1"/>
  <c r="L70" i="14" s="1"/>
  <c r="L66" i="14" a="1"/>
  <c r="L66" i="14" s="1"/>
  <c r="L62" i="14" a="1"/>
  <c r="L62" i="14" s="1"/>
  <c r="L46" i="14" a="1"/>
  <c r="L46" i="14" s="1"/>
  <c r="L34" i="14" a="1"/>
  <c r="L34" i="14" s="1"/>
  <c r="L18" i="14" a="1"/>
  <c r="L18" i="14" s="1"/>
  <c r="L16" i="14" a="1"/>
  <c r="L16" i="14" s="1"/>
  <c r="L73" i="14" a="1"/>
  <c r="L73" i="14" s="1"/>
  <c r="L61" i="14" a="1"/>
  <c r="L61" i="14" s="1"/>
  <c r="L49" i="14" a="1"/>
  <c r="L49" i="14" s="1"/>
  <c r="L41" i="14" a="1"/>
  <c r="L41" i="14" s="1"/>
  <c r="L33" i="14" a="1"/>
  <c r="L33" i="14" s="1"/>
  <c r="L25" i="14" a="1"/>
  <c r="L25" i="14" s="1"/>
  <c r="L21" i="14" a="1"/>
  <c r="L21" i="14" s="1"/>
  <c r="L24" i="14" a="1"/>
  <c r="L24" i="14" s="1"/>
  <c r="L65" i="14" a="1"/>
  <c r="L65" i="14" s="1"/>
  <c r="L57" i="14" a="1"/>
  <c r="L57" i="14" s="1"/>
  <c r="L53" i="14" a="1"/>
  <c r="L53" i="14" s="1"/>
  <c r="L45" i="14" a="1"/>
  <c r="L45" i="14" s="1"/>
  <c r="L37" i="14" a="1"/>
  <c r="L37" i="14" s="1"/>
  <c r="L29" i="14" a="1"/>
  <c r="L29" i="14" s="1"/>
  <c r="L17" i="14" a="1"/>
  <c r="L17" i="14" s="1"/>
  <c r="L20" i="14" a="1"/>
  <c r="L20" i="14" s="1"/>
  <c r="L76" i="14" a="1"/>
  <c r="L76" i="14" s="1"/>
  <c r="L68" i="14" a="1"/>
  <c r="L68" i="14" s="1"/>
  <c r="L64" i="14" a="1"/>
  <c r="L64" i="14" s="1"/>
  <c r="L60" i="14" a="1"/>
  <c r="L60" i="14" s="1"/>
  <c r="L56" i="14" a="1"/>
  <c r="L56" i="14" s="1"/>
  <c r="L52" i="14" a="1"/>
  <c r="L52" i="14" s="1"/>
  <c r="L48" i="14" a="1"/>
  <c r="L48" i="14" s="1"/>
  <c r="L44" i="14" a="1"/>
  <c r="L44" i="14" s="1"/>
  <c r="L40" i="14" a="1"/>
  <c r="L40" i="14" s="1"/>
  <c r="L36" i="14" a="1"/>
  <c r="L36" i="14" s="1"/>
  <c r="L32" i="14" a="1"/>
  <c r="L32" i="14" s="1"/>
  <c r="L12" i="14" a="1"/>
  <c r="L12" i="14" s="1"/>
  <c r="E25" i="13"/>
  <c r="L5" i="14" a="1"/>
  <c r="L5" i="14" s="1"/>
  <c r="E3" i="3"/>
  <c r="K3" i="2"/>
  <c r="C79" i="3"/>
  <c r="C78" i="3"/>
  <c r="C3" i="3"/>
  <c r="H7" i="3"/>
  <c r="H11" i="3"/>
  <c r="H15" i="3"/>
  <c r="H19" i="3"/>
  <c r="H23" i="3"/>
  <c r="H27" i="3"/>
  <c r="H31" i="3"/>
  <c r="H35" i="3"/>
  <c r="H8" i="3"/>
  <c r="H12" i="3"/>
  <c r="H16" i="3"/>
  <c r="H20" i="3"/>
  <c r="H24" i="3"/>
  <c r="H28" i="3"/>
  <c r="H32" i="3"/>
  <c r="H37" i="3"/>
  <c r="H9" i="3"/>
  <c r="H13" i="3"/>
  <c r="H17" i="3"/>
  <c r="H21" i="3"/>
  <c r="H25" i="3"/>
  <c r="H29" i="3"/>
  <c r="H33" i="3"/>
  <c r="H38" i="3"/>
  <c r="H6" i="3"/>
  <c r="H10" i="3"/>
  <c r="H14" i="3"/>
  <c r="H18" i="3"/>
  <c r="H22" i="3"/>
  <c r="H26" i="3"/>
  <c r="H30" i="3"/>
  <c r="H34" i="3"/>
  <c r="H39" i="3"/>
  <c r="H5" i="3"/>
  <c r="E2" i="3"/>
  <c r="D4" i="17"/>
  <c r="C4" i="26"/>
  <c r="C4" i="17"/>
  <c r="C4" i="7"/>
  <c r="E26" i="13"/>
  <c r="E27" i="13"/>
  <c r="E28" i="13"/>
  <c r="E29" i="13"/>
  <c r="A79" i="3"/>
  <c r="B79" i="3"/>
  <c r="A78" i="3"/>
  <c r="B78" i="3"/>
  <c r="B40" i="17"/>
  <c r="B42" i="17"/>
  <c r="B35" i="26"/>
  <c r="B34" i="26"/>
  <c r="B32" i="26"/>
  <c r="B29" i="26"/>
  <c r="B28" i="26"/>
  <c r="B27" i="26"/>
  <c r="B21" i="26"/>
  <c r="B20" i="26"/>
  <c r="B19" i="26"/>
  <c r="B18" i="26"/>
  <c r="B17" i="26"/>
  <c r="B16" i="26"/>
  <c r="B15" i="26"/>
  <c r="B14" i="26"/>
  <c r="B12" i="26"/>
  <c r="B8" i="26"/>
  <c r="B7" i="26"/>
  <c r="G5" i="3" l="1" a="1"/>
  <c r="G5" i="3" s="1"/>
  <c r="G39" i="3" a="1"/>
  <c r="G39" i="3" s="1"/>
  <c r="G35" i="3" a="1"/>
  <c r="G35" i="3" s="1"/>
  <c r="G31" i="3" a="1"/>
  <c r="G31" i="3" s="1"/>
  <c r="G23" i="3" a="1"/>
  <c r="G23" i="3" s="1"/>
  <c r="G15" i="3" a="1"/>
  <c r="G15" i="3" s="1"/>
  <c r="G7" i="3" a="1"/>
  <c r="G7" i="3" s="1"/>
  <c r="G27" i="3" a="1"/>
  <c r="G27" i="3" s="1"/>
  <c r="G19" i="3" a="1"/>
  <c r="G19" i="3" s="1"/>
  <c r="G11" i="3" a="1"/>
  <c r="G11" i="3" s="1"/>
  <c r="G24" i="3" a="1"/>
  <c r="G24" i="3" s="1"/>
  <c r="G38" i="3" a="1"/>
  <c r="G38" i="3" s="1"/>
  <c r="G34" i="3" a="1"/>
  <c r="G34" i="3" s="1"/>
  <c r="G30" i="3" a="1"/>
  <c r="G30" i="3" s="1"/>
  <c r="G26" i="3" a="1"/>
  <c r="G26" i="3" s="1"/>
  <c r="G22" i="3" a="1"/>
  <c r="G22" i="3" s="1"/>
  <c r="G18" i="3" a="1"/>
  <c r="G18" i="3" s="1"/>
  <c r="G14" i="3" a="1"/>
  <c r="G14" i="3" s="1"/>
  <c r="G10" i="3" a="1"/>
  <c r="G10" i="3" s="1"/>
  <c r="G6" i="3" a="1"/>
  <c r="G6" i="3" s="1"/>
  <c r="G37" i="3" a="1"/>
  <c r="G37" i="3" s="1"/>
  <c r="G33" i="3" a="1"/>
  <c r="G33" i="3" s="1"/>
  <c r="G29" i="3" a="1"/>
  <c r="G29" i="3" s="1"/>
  <c r="G25" i="3" a="1"/>
  <c r="G25" i="3" s="1"/>
  <c r="G21" i="3" a="1"/>
  <c r="G21" i="3" s="1"/>
  <c r="G17" i="3" a="1"/>
  <c r="G17" i="3" s="1"/>
  <c r="G13" i="3" a="1"/>
  <c r="G13" i="3" s="1"/>
  <c r="G9" i="3" a="1"/>
  <c r="G9" i="3" s="1"/>
  <c r="G32" i="3" a="1"/>
  <c r="G32" i="3" s="1"/>
  <c r="G16" i="3" a="1"/>
  <c r="G16" i="3" s="1"/>
  <c r="G8" i="3" a="1"/>
  <c r="G8" i="3" s="1"/>
  <c r="G36" i="3" a="1"/>
  <c r="G36" i="3" s="1"/>
  <c r="G28" i="3" a="1"/>
  <c r="G28" i="3" s="1"/>
  <c r="G20" i="3" a="1"/>
  <c r="G20" i="3" s="1"/>
  <c r="G12" i="3" a="1"/>
  <c r="G12" i="3" s="1"/>
  <c r="E69" i="3" a="1"/>
  <c r="E69" i="3" s="1"/>
  <c r="E37" i="3" a="1"/>
  <c r="E37" i="3" s="1"/>
  <c r="E25" i="3" a="1"/>
  <c r="E25" i="3" s="1"/>
  <c r="E71" i="3" a="1"/>
  <c r="E71" i="3" s="1"/>
  <c r="E67" i="3" a="1"/>
  <c r="E67" i="3" s="1"/>
  <c r="E63" i="3" a="1"/>
  <c r="E63" i="3" s="1"/>
  <c r="E59" i="3" a="1"/>
  <c r="E59" i="3" s="1"/>
  <c r="E55" i="3" a="1"/>
  <c r="E55" i="3" s="1"/>
  <c r="E51" i="3" a="1"/>
  <c r="E51" i="3" s="1"/>
  <c r="E47" i="3" a="1"/>
  <c r="E47" i="3" s="1"/>
  <c r="E43" i="3" a="1"/>
  <c r="E43" i="3" s="1"/>
  <c r="E39" i="3" a="1"/>
  <c r="E39" i="3" s="1"/>
  <c r="E35" i="3" a="1"/>
  <c r="E35" i="3" s="1"/>
  <c r="E31" i="3" a="1"/>
  <c r="E31" i="3" s="1"/>
  <c r="E27" i="3" a="1"/>
  <c r="E27" i="3" s="1"/>
  <c r="E23" i="3" a="1"/>
  <c r="E23" i="3" s="1"/>
  <c r="E19" i="3" a="1"/>
  <c r="E19" i="3" s="1"/>
  <c r="E15" i="3" a="1"/>
  <c r="E15" i="3" s="1"/>
  <c r="E11" i="3" a="1"/>
  <c r="E11" i="3" s="1"/>
  <c r="E7" i="3" a="1"/>
  <c r="E7" i="3" s="1"/>
  <c r="E61" i="3" a="1"/>
  <c r="E61" i="3" s="1"/>
  <c r="E45" i="3" a="1"/>
  <c r="E45" i="3" s="1"/>
  <c r="E33" i="3" a="1"/>
  <c r="E33" i="3" s="1"/>
  <c r="E21" i="3" a="1"/>
  <c r="E21" i="3" s="1"/>
  <c r="E9" i="3" a="1"/>
  <c r="E9" i="3" s="1"/>
  <c r="E49" i="3" a="1"/>
  <c r="E49" i="3" s="1"/>
  <c r="E13" i="3" a="1"/>
  <c r="E13" i="3" s="1"/>
  <c r="E70" i="3" a="1"/>
  <c r="E70" i="3" s="1"/>
  <c r="E66" i="3" a="1"/>
  <c r="E66" i="3" s="1"/>
  <c r="E62" i="3" a="1"/>
  <c r="E62" i="3" s="1"/>
  <c r="E58" i="3" a="1"/>
  <c r="E58" i="3" s="1"/>
  <c r="E54" i="3" a="1"/>
  <c r="E54" i="3" s="1"/>
  <c r="E50" i="3" a="1"/>
  <c r="E50" i="3" s="1"/>
  <c r="E46" i="3" a="1"/>
  <c r="E46" i="3" s="1"/>
  <c r="E42" i="3" a="1"/>
  <c r="E42" i="3" s="1"/>
  <c r="E38" i="3" a="1"/>
  <c r="E38" i="3" s="1"/>
  <c r="E34" i="3" a="1"/>
  <c r="E34" i="3" s="1"/>
  <c r="E30" i="3" a="1"/>
  <c r="E30" i="3" s="1"/>
  <c r="E26" i="3" a="1"/>
  <c r="E26" i="3" s="1"/>
  <c r="E22" i="3" a="1"/>
  <c r="E22" i="3" s="1"/>
  <c r="E18" i="3" a="1"/>
  <c r="E18" i="3" s="1"/>
  <c r="E14" i="3" a="1"/>
  <c r="E14" i="3" s="1"/>
  <c r="E10" i="3" a="1"/>
  <c r="E10" i="3" s="1"/>
  <c r="E6" i="3" a="1"/>
  <c r="E6" i="3" s="1"/>
  <c r="E65" i="3" a="1"/>
  <c r="E65" i="3" s="1"/>
  <c r="E57" i="3" a="1"/>
  <c r="E57" i="3" s="1"/>
  <c r="E53" i="3" a="1"/>
  <c r="E53" i="3" s="1"/>
  <c r="E41" i="3" a="1"/>
  <c r="E41" i="3" s="1"/>
  <c r="E29" i="3" a="1"/>
  <c r="E29" i="3" s="1"/>
  <c r="E17" i="3" a="1"/>
  <c r="E17" i="3" s="1"/>
  <c r="E68" i="3" a="1"/>
  <c r="E68" i="3" s="1"/>
  <c r="E64" i="3" a="1"/>
  <c r="E64" i="3" s="1"/>
  <c r="E60" i="3" a="1"/>
  <c r="E60" i="3" s="1"/>
  <c r="E56" i="3" a="1"/>
  <c r="E56" i="3" s="1"/>
  <c r="E52" i="3" a="1"/>
  <c r="E52" i="3" s="1"/>
  <c r="E48" i="3" a="1"/>
  <c r="E48" i="3" s="1"/>
  <c r="E44" i="3" a="1"/>
  <c r="E44" i="3" s="1"/>
  <c r="E40" i="3" a="1"/>
  <c r="E40" i="3" s="1"/>
  <c r="E36" i="3" a="1"/>
  <c r="E36" i="3" s="1"/>
  <c r="E32" i="3" a="1"/>
  <c r="E32" i="3" s="1"/>
  <c r="E28" i="3" a="1"/>
  <c r="E28" i="3" s="1"/>
  <c r="E24" i="3" a="1"/>
  <c r="E24" i="3" s="1"/>
  <c r="E20" i="3" a="1"/>
  <c r="E20" i="3" s="1"/>
  <c r="E16" i="3" a="1"/>
  <c r="E16" i="3" s="1"/>
  <c r="E12" i="3" a="1"/>
  <c r="E12" i="3" s="1"/>
  <c r="E8" i="3" a="1"/>
  <c r="E8" i="3" s="1"/>
  <c r="E5" i="3" a="1"/>
  <c r="E5" i="3" s="1"/>
  <c r="C42" i="7" a="1"/>
  <c r="C42" i="7" s="1"/>
  <c r="C28" i="7" a="1"/>
  <c r="C28" i="7" s="1"/>
  <c r="C27" i="7" a="1"/>
  <c r="C27" i="7" s="1"/>
  <c r="C26" i="7" a="1"/>
  <c r="C26" i="7" s="1"/>
  <c r="C25" i="7" a="1"/>
  <c r="C25" i="7" s="1"/>
  <c r="C37" i="7" a="1"/>
  <c r="C37" i="7" s="1"/>
  <c r="C40" i="7" a="1"/>
  <c r="C40" i="7" s="1"/>
  <c r="C36" i="7" a="1"/>
  <c r="C36" i="7" s="1"/>
  <c r="C14" i="7" a="1"/>
  <c r="C14" i="7" s="1"/>
  <c r="C6" i="7" a="1"/>
  <c r="C6" i="7" s="1"/>
  <c r="C24" i="7" a="1"/>
  <c r="C24" i="7" s="1"/>
  <c r="C15" i="7" a="1"/>
  <c r="C15" i="7" s="1"/>
  <c r="C7" i="7" a="1"/>
  <c r="C7" i="7" s="1"/>
  <c r="C34" i="7" a="1"/>
  <c r="C34" i="7" s="1"/>
  <c r="C19" i="7" a="1"/>
  <c r="C19" i="7" s="1"/>
  <c r="C16" i="7" a="1"/>
  <c r="C16" i="7" s="1"/>
  <c r="C23" i="7" a="1"/>
  <c r="C23" i="7" s="1"/>
  <c r="C17" i="7" a="1"/>
  <c r="C17" i="7" s="1"/>
  <c r="C9" i="7" a="1"/>
  <c r="C9" i="7" s="1"/>
  <c r="C22" i="7" a="1"/>
  <c r="C22" i="7" s="1"/>
  <c r="C18" i="7" a="1"/>
  <c r="C18" i="7" s="1"/>
  <c r="C12" i="7" a="1"/>
  <c r="C12" i="7" s="1"/>
  <c r="C31" i="7" a="1"/>
  <c r="C31" i="7" s="1"/>
  <c r="C13" i="7" a="1"/>
  <c r="C13" i="7" s="1"/>
  <c r="C20" i="7" a="1"/>
  <c r="C20" i="7" s="1"/>
  <c r="C11" i="7" a="1"/>
  <c r="C11" i="7" s="1"/>
  <c r="C44" i="7" a="1"/>
  <c r="C44" i="7" s="1"/>
  <c r="C21" i="7" a="1"/>
  <c r="C21" i="7" s="1"/>
  <c r="C32" i="7" a="1"/>
  <c r="C32" i="7" s="1"/>
  <c r="C5" i="7" a="1"/>
  <c r="C5" i="7" s="1"/>
  <c r="E79" i="3"/>
  <c r="A6" i="28"/>
  <c r="G9" i="27"/>
  <c r="E78" i="3"/>
  <c r="D21" i="17"/>
  <c r="D19" i="17"/>
  <c r="B1" i="26"/>
  <c r="B44" i="7"/>
  <c r="B42" i="7"/>
  <c r="B40" i="7"/>
  <c r="B37" i="7"/>
  <c r="B36" i="7"/>
  <c r="B32" i="7"/>
  <c r="B31" i="7"/>
  <c r="G6" i="28" l="1" a="1"/>
  <c r="G6" i="28" s="1"/>
  <c r="H6" i="28" a="1"/>
  <c r="H6" i="28" s="1"/>
  <c r="D6" i="28" a="1"/>
  <c r="D6" i="28" s="1"/>
  <c r="C6" i="28" a="1"/>
  <c r="C6" i="28" s="1"/>
  <c r="E6" i="28" a="1"/>
  <c r="E6" i="28" s="1"/>
  <c r="F36" i="3"/>
  <c r="J9" i="27"/>
  <c r="H9" i="27"/>
  <c r="I9" i="27"/>
  <c r="C10" i="26"/>
  <c r="C11" i="26"/>
  <c r="C16" i="26"/>
  <c r="C15" i="26"/>
  <c r="C21" i="26"/>
  <c r="C20" i="26"/>
  <c r="C12" i="26"/>
  <c r="D4" i="26"/>
  <c r="E4" i="26" s="1"/>
  <c r="C32" i="26"/>
  <c r="C29" i="26"/>
  <c r="C28" i="26"/>
  <c r="C27" i="26"/>
  <c r="C34" i="26"/>
  <c r="C8" i="26"/>
  <c r="B28" i="7"/>
  <c r="B27" i="7"/>
  <c r="B26" i="7"/>
  <c r="B25" i="7"/>
  <c r="B24" i="7"/>
  <c r="B23" i="7"/>
  <c r="B22" i="7"/>
  <c r="B21" i="7"/>
  <c r="B20" i="7"/>
  <c r="B19" i="7"/>
  <c r="B18" i="7"/>
  <c r="B17" i="7"/>
  <c r="B16" i="7"/>
  <c r="B15" i="7"/>
  <c r="B13" i="7"/>
  <c r="B12" i="7"/>
  <c r="B11" i="7"/>
  <c r="B9" i="7"/>
  <c r="B7" i="7"/>
  <c r="B41" i="17"/>
  <c r="B37" i="17"/>
  <c r="B36" i="17"/>
  <c r="B33" i="17"/>
  <c r="B30" i="17"/>
  <c r="B29" i="17"/>
  <c r="B28" i="17"/>
  <c r="B27" i="17"/>
  <c r="B22" i="17"/>
  <c r="B16" i="17"/>
  <c r="B15" i="17"/>
  <c r="B14" i="17"/>
  <c r="B11" i="17"/>
  <c r="B10" i="17"/>
  <c r="B9" i="17"/>
  <c r="B8" i="17"/>
  <c r="A1" i="25"/>
  <c r="J6" i="28" l="1"/>
  <c r="K6" i="28"/>
  <c r="I6" i="28"/>
  <c r="K9" i="27"/>
  <c r="H10" i="27" s="1"/>
  <c r="D11" i="26"/>
  <c r="D10" i="26"/>
  <c r="E10" i="26"/>
  <c r="E11" i="26"/>
  <c r="C24" i="26"/>
  <c r="E21" i="26"/>
  <c r="E20" i="26"/>
  <c r="E12" i="26"/>
  <c r="E16" i="26"/>
  <c r="E15" i="26"/>
  <c r="D21" i="26"/>
  <c r="D20" i="26"/>
  <c r="D12" i="26"/>
  <c r="D16" i="26"/>
  <c r="D15" i="26"/>
  <c r="C30" i="26"/>
  <c r="E32" i="26"/>
  <c r="E29" i="26"/>
  <c r="E28" i="26"/>
  <c r="E27" i="26"/>
  <c r="E34" i="26"/>
  <c r="D8" i="26"/>
  <c r="D24" i="26" s="1"/>
  <c r="D32" i="26"/>
  <c r="D29" i="26"/>
  <c r="D28" i="26"/>
  <c r="D34" i="26"/>
  <c r="E8" i="26"/>
  <c r="E24" i="26" s="1"/>
  <c r="F4" i="26"/>
  <c r="F10" i="26" l="1"/>
  <c r="F11" i="26"/>
  <c r="F12" i="26"/>
  <c r="F16" i="26"/>
  <c r="F15" i="26"/>
  <c r="F20" i="26"/>
  <c r="F21" i="26"/>
  <c r="F32" i="26"/>
  <c r="F29" i="26"/>
  <c r="F28" i="26"/>
  <c r="F27" i="26"/>
  <c r="F34" i="26"/>
  <c r="E30" i="26"/>
  <c r="F8" i="26"/>
  <c r="F24" i="26" s="1"/>
  <c r="G4" i="26"/>
  <c r="G10" i="26" l="1"/>
  <c r="G11" i="26"/>
  <c r="G12" i="26"/>
  <c r="G21" i="26"/>
  <c r="G20" i="26"/>
  <c r="G16" i="26"/>
  <c r="G15" i="26"/>
  <c r="F30" i="26"/>
  <c r="G29" i="26"/>
  <c r="G28" i="26"/>
  <c r="G27" i="26"/>
  <c r="G32" i="26"/>
  <c r="G34" i="26"/>
  <c r="G8" i="26"/>
  <c r="G24" i="26" s="1"/>
  <c r="H4" i="26"/>
  <c r="H11" i="26" l="1"/>
  <c r="H10" i="26"/>
  <c r="H21" i="26"/>
  <c r="H20" i="26"/>
  <c r="H12" i="26"/>
  <c r="H16" i="26"/>
  <c r="H15" i="26"/>
  <c r="G30" i="26"/>
  <c r="H32" i="26"/>
  <c r="H28" i="26"/>
  <c r="H27" i="26"/>
  <c r="H34" i="26"/>
  <c r="I4" i="26"/>
  <c r="I10" i="26" l="1"/>
  <c r="I11" i="26"/>
  <c r="I21" i="26"/>
  <c r="I20" i="26"/>
  <c r="I12" i="26"/>
  <c r="I16" i="26"/>
  <c r="I15" i="26"/>
  <c r="I32" i="26"/>
  <c r="I29" i="26"/>
  <c r="I28" i="26"/>
  <c r="I27" i="26"/>
  <c r="I34" i="26"/>
  <c r="I8" i="26"/>
  <c r="I24" i="26" s="1"/>
  <c r="J4" i="26"/>
  <c r="J10" i="26" l="1"/>
  <c r="J11" i="26"/>
  <c r="J12" i="26"/>
  <c r="J16" i="26"/>
  <c r="J15" i="26"/>
  <c r="J21" i="26"/>
  <c r="J20" i="26"/>
  <c r="J32" i="26"/>
  <c r="J29" i="26"/>
  <c r="J28" i="26"/>
  <c r="J27" i="26"/>
  <c r="J34" i="26"/>
  <c r="I30" i="26"/>
  <c r="J8" i="26"/>
  <c r="J24" i="26" s="1"/>
  <c r="K4" i="26"/>
  <c r="K10" i="26" l="1"/>
  <c r="K11" i="26"/>
  <c r="K15" i="26"/>
  <c r="K21" i="26"/>
  <c r="K20" i="26"/>
  <c r="K12" i="26"/>
  <c r="K16" i="26"/>
  <c r="K32" i="26"/>
  <c r="K29" i="26"/>
  <c r="K28" i="26"/>
  <c r="K27" i="26"/>
  <c r="K34" i="26"/>
  <c r="J30" i="26"/>
  <c r="K8" i="26"/>
  <c r="K24" i="26" s="1"/>
  <c r="L4" i="26"/>
  <c r="L11" i="26" l="1"/>
  <c r="L10" i="26"/>
  <c r="L21" i="26"/>
  <c r="L20" i="26"/>
  <c r="L12" i="26"/>
  <c r="L16" i="26"/>
  <c r="L15" i="26"/>
  <c r="L32" i="26"/>
  <c r="L29" i="26"/>
  <c r="L28" i="26"/>
  <c r="L27" i="26"/>
  <c r="K30" i="26"/>
  <c r="L8" i="26"/>
  <c r="L24" i="26" s="1"/>
  <c r="M4" i="26"/>
  <c r="M10" i="26" l="1"/>
  <c r="M11" i="26"/>
  <c r="M21" i="26"/>
  <c r="M20" i="26"/>
  <c r="M12" i="26"/>
  <c r="M16" i="26"/>
  <c r="M15" i="26"/>
  <c r="M32" i="26"/>
  <c r="M29" i="26"/>
  <c r="M28" i="26"/>
  <c r="M27" i="26"/>
  <c r="M34" i="26"/>
  <c r="L30" i="26"/>
  <c r="M8" i="26"/>
  <c r="M24" i="26" s="1"/>
  <c r="N4" i="26"/>
  <c r="O4" i="26" l="1"/>
  <c r="N11" i="26"/>
  <c r="O11" i="26" s="1"/>
  <c r="N10" i="26"/>
  <c r="O10" i="26" s="1"/>
  <c r="N12" i="26"/>
  <c r="O12" i="26" s="1"/>
  <c r="N16" i="26"/>
  <c r="O16" i="26" s="1"/>
  <c r="N15" i="26"/>
  <c r="O15" i="26" s="1"/>
  <c r="N21" i="26"/>
  <c r="O21" i="26" s="1"/>
  <c r="N20" i="26"/>
  <c r="O20" i="26" s="1"/>
  <c r="N32" i="26"/>
  <c r="O32" i="26" s="1"/>
  <c r="N29" i="26"/>
  <c r="N28" i="26"/>
  <c r="O28" i="26" s="1"/>
  <c r="M30" i="26"/>
  <c r="H77" i="3" l="1"/>
  <c r="G77" i="3" s="1"/>
  <c r="H76" i="3"/>
  <c r="H75" i="3"/>
  <c r="C76" i="3" l="1"/>
  <c r="E76" i="3"/>
  <c r="C77" i="3"/>
  <c r="E77" i="3"/>
  <c r="C75" i="3"/>
  <c r="E75" i="3"/>
  <c r="D25" i="13"/>
  <c r="D29" i="13"/>
  <c r="D28" i="13"/>
  <c r="D27" i="13"/>
  <c r="D26" i="13"/>
  <c r="A77" i="3"/>
  <c r="B77" i="3"/>
  <c r="B1" i="17" l="1"/>
  <c r="B1" i="7"/>
  <c r="A1" i="2"/>
  <c r="A1" i="14"/>
  <c r="A1" i="3"/>
  <c r="A1" i="13"/>
  <c r="G2" i="3" l="1"/>
  <c r="B49" i="13"/>
  <c r="B48" i="13"/>
  <c r="B47" i="13"/>
  <c r="B46" i="13"/>
  <c r="B45" i="13"/>
  <c r="B44" i="13"/>
  <c r="B43" i="13"/>
  <c r="B42" i="13"/>
  <c r="B41" i="13"/>
  <c r="B40" i="13"/>
  <c r="B39" i="13"/>
  <c r="B38" i="13"/>
  <c r="A76" i="3" l="1"/>
  <c r="A75" i="3"/>
  <c r="B38" i="17" l="1"/>
  <c r="B14" i="7"/>
  <c r="B5" i="7"/>
  <c r="B6" i="7"/>
  <c r="B19" i="17"/>
  <c r="B20" i="17"/>
  <c r="B34" i="7"/>
  <c r="B21" i="17"/>
  <c r="B76" i="3"/>
  <c r="B18" i="17" s="1"/>
  <c r="B75" i="3"/>
  <c r="B17" i="17" s="1"/>
  <c r="E3" i="2"/>
  <c r="E3" i="14"/>
  <c r="L34" i="26"/>
  <c r="N34" i="26"/>
  <c r="C35" i="26"/>
  <c r="D27" i="26"/>
  <c r="D35" i="26"/>
  <c r="E35" i="26"/>
  <c r="F35" i="26"/>
  <c r="G35" i="26"/>
  <c r="H29" i="26"/>
  <c r="H35" i="26"/>
  <c r="I35" i="26"/>
  <c r="J35" i="26"/>
  <c r="K35" i="26"/>
  <c r="L35" i="26"/>
  <c r="M35" i="26"/>
  <c r="N27" i="26"/>
  <c r="N30" i="26" s="1"/>
  <c r="N35" i="26"/>
  <c r="G81" i="3"/>
  <c r="G79" i="3"/>
  <c r="P2" i="7"/>
  <c r="L7" i="26" l="1"/>
  <c r="L23" i="26" s="1"/>
  <c r="I7" i="26"/>
  <c r="I23" i="26" s="1"/>
  <c r="E7" i="26"/>
  <c r="E23" i="26" s="1"/>
  <c r="D7" i="26"/>
  <c r="D23" i="26" s="1"/>
  <c r="M7" i="26"/>
  <c r="M23" i="26" s="1"/>
  <c r="G7" i="26"/>
  <c r="G23" i="26" s="1"/>
  <c r="H7" i="26"/>
  <c r="H23" i="26" s="1"/>
  <c r="F7" i="26"/>
  <c r="F23" i="26" s="1"/>
  <c r="N8" i="26"/>
  <c r="N24" i="26" s="1"/>
  <c r="N7" i="26"/>
  <c r="N23" i="26" s="1"/>
  <c r="K7" i="26"/>
  <c r="K23" i="26" s="1"/>
  <c r="J7" i="26"/>
  <c r="J23" i="26" s="1"/>
  <c r="G78" i="3"/>
  <c r="F78" i="3" s="1"/>
  <c r="D20" i="17"/>
  <c r="D18" i="17"/>
  <c r="G76" i="3"/>
  <c r="C81" i="3"/>
  <c r="D17" i="17"/>
  <c r="G75" i="3"/>
  <c r="G80" i="3"/>
  <c r="L3" i="14"/>
  <c r="E80" i="3"/>
  <c r="C80" i="3"/>
  <c r="D14" i="17"/>
  <c r="E17" i="26"/>
  <c r="J17" i="26"/>
  <c r="C7" i="26"/>
  <c r="C23" i="26" s="1"/>
  <c r="C17" i="26"/>
  <c r="O34" i="26"/>
  <c r="F79" i="3"/>
  <c r="N17" i="26"/>
  <c r="M17" i="26"/>
  <c r="L17" i="26"/>
  <c r="I17" i="26"/>
  <c r="H17" i="26"/>
  <c r="F17" i="26"/>
  <c r="K17" i="26"/>
  <c r="H8" i="26"/>
  <c r="G17" i="26"/>
  <c r="D17" i="26"/>
  <c r="P3" i="7"/>
  <c r="P21" i="7" s="1" a="1"/>
  <c r="P21" i="7" s="1"/>
  <c r="E82" i="3"/>
  <c r="G82" i="3"/>
  <c r="F69" i="3"/>
  <c r="F61" i="3"/>
  <c r="F53" i="3"/>
  <c r="F49" i="3"/>
  <c r="F41" i="3"/>
  <c r="F68" i="3"/>
  <c r="F64" i="3"/>
  <c r="F60" i="3"/>
  <c r="F48" i="3"/>
  <c r="F44" i="3"/>
  <c r="E81" i="3"/>
  <c r="F71" i="3"/>
  <c r="F67" i="3"/>
  <c r="F63" i="3"/>
  <c r="F42" i="3"/>
  <c r="O35" i="26"/>
  <c r="D30" i="26"/>
  <c r="O27" i="26"/>
  <c r="H30" i="26"/>
  <c r="O29" i="26"/>
  <c r="D36" i="17"/>
  <c r="D4" i="7"/>
  <c r="E4" i="17"/>
  <c r="E14" i="17" s="1"/>
  <c r="P3" i="14"/>
  <c r="O3" i="2"/>
  <c r="L3" i="2"/>
  <c r="M3" i="2"/>
  <c r="M3" i="14"/>
  <c r="N3" i="14"/>
  <c r="P19" i="7" l="1" a="1"/>
  <c r="P19" i="7" s="1"/>
  <c r="P27" i="7" a="1"/>
  <c r="P27" i="7" s="1"/>
  <c r="P22" i="7" a="1"/>
  <c r="P22" i="7" s="1"/>
  <c r="P7" i="7" a="1"/>
  <c r="P7" i="7" s="1"/>
  <c r="P25" i="7" a="1"/>
  <c r="P25" i="7" s="1"/>
  <c r="P12" i="7" a="1"/>
  <c r="P12" i="7" s="1"/>
  <c r="P23" i="7" a="1"/>
  <c r="P23" i="7" s="1"/>
  <c r="P15" i="7" a="1"/>
  <c r="P15" i="7" s="1"/>
  <c r="P6" i="7" a="1"/>
  <c r="P6" i="7" s="1"/>
  <c r="P20" i="7" a="1"/>
  <c r="P20" i="7" s="1"/>
  <c r="P24" i="7" a="1"/>
  <c r="P24" i="7" s="1"/>
  <c r="P11" i="7" a="1"/>
  <c r="P11" i="7" s="1"/>
  <c r="P14" i="7" a="1"/>
  <c r="P14" i="7" s="1"/>
  <c r="P36" i="7" a="1"/>
  <c r="P36" i="7" s="1"/>
  <c r="P31" i="7" a="1"/>
  <c r="P31" i="7" s="1"/>
  <c r="P28" i="7" a="1"/>
  <c r="P28" i="7" s="1"/>
  <c r="P18" i="7" a="1"/>
  <c r="P18" i="7" s="1"/>
  <c r="P40" i="7" a="1"/>
  <c r="P40" i="7" s="1"/>
  <c r="P32" i="7" a="1"/>
  <c r="P32" i="7" s="1"/>
  <c r="P9" i="7" a="1"/>
  <c r="P9" i="7" s="1"/>
  <c r="P26" i="7" a="1"/>
  <c r="P26" i="7" s="1"/>
  <c r="P42" i="7" a="1"/>
  <c r="P42" i="7" s="1"/>
  <c r="P34" i="7" a="1"/>
  <c r="P34" i="7" s="1"/>
  <c r="D36" i="7" a="1"/>
  <c r="D36" i="7" s="1"/>
  <c r="D34" i="7" a="1"/>
  <c r="D34" i="7" s="1"/>
  <c r="D32" i="7" a="1"/>
  <c r="D32" i="7" s="1"/>
  <c r="D31" i="7" a="1"/>
  <c r="D31" i="7" s="1"/>
  <c r="D28" i="7" a="1"/>
  <c r="D28" i="7" s="1"/>
  <c r="D23" i="7" a="1"/>
  <c r="D23" i="7" s="1"/>
  <c r="D22" i="7" a="1"/>
  <c r="D22" i="7" s="1"/>
  <c r="D21" i="7" a="1"/>
  <c r="D21" i="7" s="1"/>
  <c r="D20" i="7" a="1"/>
  <c r="D20" i="7" s="1"/>
  <c r="D44" i="7" a="1"/>
  <c r="D44" i="7" s="1"/>
  <c r="D33" i="26" s="1"/>
  <c r="D36" i="26" s="1"/>
  <c r="D24" i="7" a="1"/>
  <c r="D24" i="7" s="1"/>
  <c r="D16" i="7" a="1"/>
  <c r="D16" i="7" s="1"/>
  <c r="D7" i="7" a="1"/>
  <c r="D7" i="7" s="1"/>
  <c r="D19" i="7" a="1"/>
  <c r="D19" i="7" s="1"/>
  <c r="D9" i="7" a="1"/>
  <c r="D9" i="7" s="1"/>
  <c r="D27" i="7" a="1"/>
  <c r="D27" i="7" s="1"/>
  <c r="D17" i="7" a="1"/>
  <c r="D17" i="7" s="1"/>
  <c r="D11" i="7" a="1"/>
  <c r="D11" i="7" s="1"/>
  <c r="D18" i="7" a="1"/>
  <c r="D18" i="7" s="1"/>
  <c r="D12" i="7" a="1"/>
  <c r="D12" i="7" s="1"/>
  <c r="D13" i="7" a="1"/>
  <c r="D13" i="7" s="1"/>
  <c r="D5" i="7" a="1"/>
  <c r="D5" i="7" s="1"/>
  <c r="D25" i="7" a="1"/>
  <c r="D25" i="7" s="1"/>
  <c r="D14" i="7" a="1"/>
  <c r="D14" i="7" s="1"/>
  <c r="D37" i="7" a="1"/>
  <c r="D37" i="7" s="1"/>
  <c r="D26" i="7" a="1"/>
  <c r="D26" i="7" s="1"/>
  <c r="D15" i="7" a="1"/>
  <c r="D15" i="7" s="1"/>
  <c r="D42" i="7" a="1"/>
  <c r="D42" i="7" s="1"/>
  <c r="D6" i="7" a="1"/>
  <c r="D6" i="7" s="1"/>
  <c r="D40" i="7" a="1"/>
  <c r="D40" i="7" s="1"/>
  <c r="P17" i="7" a="1"/>
  <c r="P17" i="7" s="1"/>
  <c r="P5" i="7" a="1"/>
  <c r="P5" i="7" s="1"/>
  <c r="P44" i="7" a="1"/>
  <c r="P44" i="7" s="1"/>
  <c r="P37" i="7" a="1"/>
  <c r="P37" i="7" s="1"/>
  <c r="P16" i="7" a="1"/>
  <c r="P16" i="7" s="1"/>
  <c r="P13" i="7" a="1"/>
  <c r="P13" i="7" s="1"/>
  <c r="O8" i="26"/>
  <c r="F80" i="3"/>
  <c r="F57" i="3"/>
  <c r="F45" i="3"/>
  <c r="F65" i="3"/>
  <c r="F47" i="3"/>
  <c r="F54" i="3"/>
  <c r="F55" i="3"/>
  <c r="F43" i="3"/>
  <c r="F52" i="3"/>
  <c r="F62" i="3"/>
  <c r="F40" i="3"/>
  <c r="F46" i="3"/>
  <c r="F58" i="3"/>
  <c r="F51" i="3"/>
  <c r="F66" i="3"/>
  <c r="F56" i="3"/>
  <c r="F70" i="3"/>
  <c r="F59" i="3"/>
  <c r="F50" i="3"/>
  <c r="A7" i="28"/>
  <c r="G10" i="27"/>
  <c r="F7" i="3"/>
  <c r="F20" i="3"/>
  <c r="F37" i="3"/>
  <c r="F17" i="3"/>
  <c r="F15" i="3"/>
  <c r="F35" i="3"/>
  <c r="F33" i="3"/>
  <c r="F31" i="3"/>
  <c r="F18" i="3"/>
  <c r="F34" i="3"/>
  <c r="F8" i="3"/>
  <c r="F24" i="3"/>
  <c r="F21" i="3"/>
  <c r="F38" i="3"/>
  <c r="F6" i="3"/>
  <c r="F22" i="3"/>
  <c r="F39" i="3"/>
  <c r="F23" i="3"/>
  <c r="F12" i="3"/>
  <c r="F28" i="3"/>
  <c r="F9" i="3"/>
  <c r="F25" i="3"/>
  <c r="F11" i="3"/>
  <c r="F10" i="3"/>
  <c r="F26" i="3"/>
  <c r="F27" i="3"/>
  <c r="F16" i="3"/>
  <c r="F32" i="3"/>
  <c r="F13" i="3"/>
  <c r="F29" i="3"/>
  <c r="F19" i="3"/>
  <c r="F14" i="3"/>
  <c r="F30" i="3"/>
  <c r="O23" i="26"/>
  <c r="E21" i="17"/>
  <c r="E20" i="17"/>
  <c r="E19" i="17"/>
  <c r="E18" i="17"/>
  <c r="E17" i="17"/>
  <c r="O7" i="26"/>
  <c r="H24" i="26"/>
  <c r="O24" i="26" s="1"/>
  <c r="O17" i="26"/>
  <c r="E36" i="17"/>
  <c r="D18" i="26" s="1"/>
  <c r="C33" i="7"/>
  <c r="C33" i="26"/>
  <c r="C36" i="26" s="1"/>
  <c r="O30" i="26"/>
  <c r="C38" i="7"/>
  <c r="E4" i="7"/>
  <c r="C29" i="7"/>
  <c r="C8" i="7"/>
  <c r="F77" i="3"/>
  <c r="F4" i="17"/>
  <c r="F14" i="17" s="1"/>
  <c r="F81" i="3"/>
  <c r="F82" i="3"/>
  <c r="F76" i="3"/>
  <c r="F75" i="3"/>
  <c r="C84" i="3"/>
  <c r="B6" i="28" s="1" a="1"/>
  <c r="B6" i="28" s="1"/>
  <c r="F6" i="28" s="1"/>
  <c r="F5" i="3"/>
  <c r="E84" i="3"/>
  <c r="G84" i="3"/>
  <c r="G7" i="28" l="1" a="1"/>
  <c r="G7" i="28" s="1"/>
  <c r="H7" i="28" a="1"/>
  <c r="H7" i="28" s="1"/>
  <c r="C7" i="28" a="1"/>
  <c r="C7" i="28" s="1"/>
  <c r="D7" i="28" a="1"/>
  <c r="D7" i="28" s="1"/>
  <c r="E7" i="28" a="1"/>
  <c r="E7" i="28" s="1"/>
  <c r="C39" i="17" a="1"/>
  <c r="C39" i="17" s="1"/>
  <c r="D39" i="17" s="1" a="1"/>
  <c r="D39" i="17" s="1"/>
  <c r="E39" i="17" s="1" a="1"/>
  <c r="E39" i="17" s="1"/>
  <c r="F39" i="17" s="1" a="1"/>
  <c r="F39" i="17" s="1"/>
  <c r="C42" i="17" a="1"/>
  <c r="C42" i="17" s="1"/>
  <c r="D42" i="17" s="1" a="1"/>
  <c r="D42" i="17" s="1"/>
  <c r="E42" i="17" s="1" a="1"/>
  <c r="E42" i="17" s="1"/>
  <c r="F42" i="17" s="1" a="1"/>
  <c r="F42" i="17" s="1"/>
  <c r="C9" i="17" a="1"/>
  <c r="C9" i="17" s="1"/>
  <c r="D9" i="17" s="1" a="1"/>
  <c r="D9" i="17" s="1"/>
  <c r="E9" i="17" s="1" a="1"/>
  <c r="E9" i="17" s="1"/>
  <c r="F9" i="17" s="1" a="1"/>
  <c r="F9" i="17" s="1"/>
  <c r="C30" i="17" a="1"/>
  <c r="C30" i="17" s="1"/>
  <c r="C41" i="17" a="1"/>
  <c r="C41" i="17" s="1"/>
  <c r="D41" i="17" s="1" a="1"/>
  <c r="D41" i="17" s="1"/>
  <c r="E41" i="17" s="1" a="1"/>
  <c r="E41" i="17" s="1"/>
  <c r="F41" i="17" s="1" a="1"/>
  <c r="F41" i="17" s="1"/>
  <c r="G11" i="27"/>
  <c r="I11" i="27" s="1"/>
  <c r="E42" i="7" a="1"/>
  <c r="E42" i="7" s="1"/>
  <c r="E26" i="7" a="1"/>
  <c r="E26" i="7" s="1"/>
  <c r="E25" i="7" a="1"/>
  <c r="E25" i="7" s="1"/>
  <c r="E24" i="7" a="1"/>
  <c r="E24" i="7" s="1"/>
  <c r="E23" i="7" a="1"/>
  <c r="E23" i="7" s="1"/>
  <c r="E37" i="7" a="1"/>
  <c r="E37" i="7" s="1"/>
  <c r="E34" i="7" a="1"/>
  <c r="E34" i="7" s="1"/>
  <c r="E19" i="7" a="1"/>
  <c r="E19" i="7" s="1"/>
  <c r="E17" i="7" a="1"/>
  <c r="E17" i="7" s="1"/>
  <c r="E11" i="7" a="1"/>
  <c r="E11" i="7" s="1"/>
  <c r="E27" i="7" a="1"/>
  <c r="E27" i="7" s="1"/>
  <c r="E18" i="7" a="1"/>
  <c r="E18" i="7" s="1"/>
  <c r="E20" i="7" a="1"/>
  <c r="E20" i="7" s="1"/>
  <c r="E12" i="7" a="1"/>
  <c r="E12" i="7" s="1"/>
  <c r="E32" i="7" a="1"/>
  <c r="E32" i="7" s="1"/>
  <c r="E13" i="7" a="1"/>
  <c r="E13" i="7" s="1"/>
  <c r="E31" i="7" a="1"/>
  <c r="E31" i="7" s="1"/>
  <c r="E15" i="7" a="1"/>
  <c r="E15" i="7" s="1"/>
  <c r="E6" i="7" a="1"/>
  <c r="E6" i="7" s="1"/>
  <c r="E44" i="7" a="1"/>
  <c r="E44" i="7" s="1"/>
  <c r="E33" i="26" s="1"/>
  <c r="E36" i="26" s="1"/>
  <c r="E40" i="7" a="1"/>
  <c r="E40" i="7" s="1"/>
  <c r="E21" i="7" a="1"/>
  <c r="E21" i="7" s="1"/>
  <c r="E7" i="7" a="1"/>
  <c r="E7" i="7" s="1"/>
  <c r="E36" i="7" a="1"/>
  <c r="E36" i="7" s="1"/>
  <c r="E22" i="7" a="1"/>
  <c r="E22" i="7" s="1"/>
  <c r="E28" i="7" a="1"/>
  <c r="E28" i="7" s="1"/>
  <c r="E16" i="7" a="1"/>
  <c r="E16" i="7" s="1"/>
  <c r="E5" i="7" a="1"/>
  <c r="E5" i="7" s="1"/>
  <c r="E9" i="7" a="1"/>
  <c r="E9" i="7" s="1"/>
  <c r="E14" i="7" a="1"/>
  <c r="E14" i="7" s="1"/>
  <c r="C40" i="17" a="1"/>
  <c r="C40" i="17" s="1"/>
  <c r="D40" i="17" s="1" a="1"/>
  <c r="D40" i="17" s="1"/>
  <c r="E40" i="17" s="1" a="1"/>
  <c r="E40" i="17" s="1"/>
  <c r="F40" i="17" s="1" a="1"/>
  <c r="F40" i="17" s="1"/>
  <c r="C18" i="17" a="1"/>
  <c r="C18" i="17" s="1"/>
  <c r="C17" i="17" a="1"/>
  <c r="C17" i="17" s="1"/>
  <c r="C16" i="17" a="1"/>
  <c r="C16" i="17" s="1"/>
  <c r="D16" i="17" s="1" a="1"/>
  <c r="D16" i="17" s="1"/>
  <c r="E16" i="17" s="1" a="1"/>
  <c r="E16" i="17" s="1"/>
  <c r="F16" i="17" s="1" a="1"/>
  <c r="F16" i="17" s="1"/>
  <c r="C11" i="17" a="1"/>
  <c r="C11" i="17" s="1"/>
  <c r="D11" i="17" s="1" a="1"/>
  <c r="D11" i="17" s="1"/>
  <c r="E11" i="17" s="1" a="1"/>
  <c r="E11" i="17" s="1"/>
  <c r="F11" i="17" s="1" a="1"/>
  <c r="F11" i="17" s="1"/>
  <c r="C19" i="17" a="1"/>
  <c r="C19" i="17" s="1"/>
  <c r="C10" i="17" a="1"/>
  <c r="C10" i="17" s="1"/>
  <c r="D10" i="17" s="1" a="1"/>
  <c r="D10" i="17" s="1"/>
  <c r="E10" i="17" s="1" a="1"/>
  <c r="E10" i="17" s="1"/>
  <c r="F10" i="17" s="1" a="1"/>
  <c r="F10" i="17" s="1"/>
  <c r="C22" i="17" a="1"/>
  <c r="C22" i="17" s="1"/>
  <c r="D22" i="17" s="1" a="1"/>
  <c r="D22" i="17" s="1"/>
  <c r="E22" i="17" s="1" a="1"/>
  <c r="E22" i="17" s="1"/>
  <c r="F22" i="17" s="1" a="1"/>
  <c r="F22" i="17" s="1"/>
  <c r="C20" i="17" a="1"/>
  <c r="C20" i="17" s="1"/>
  <c r="C37" i="17" a="1"/>
  <c r="C37" i="17" s="1"/>
  <c r="D37" i="17" s="1" a="1"/>
  <c r="D37" i="17" s="1"/>
  <c r="E37" i="17" s="1" a="1"/>
  <c r="E37" i="17" s="1"/>
  <c r="F37" i="17" s="1" a="1"/>
  <c r="F37" i="17" s="1"/>
  <c r="C7" i="17" a="1"/>
  <c r="C7" i="17" s="1"/>
  <c r="D7" i="17" s="1" a="1"/>
  <c r="D7" i="17" s="1"/>
  <c r="E7" i="17" s="1" a="1"/>
  <c r="E7" i="17" s="1"/>
  <c r="F7" i="17" s="1" a="1"/>
  <c r="F7" i="17" s="1"/>
  <c r="C21" i="17" a="1"/>
  <c r="C21" i="17" s="1"/>
  <c r="C8" i="17" a="1"/>
  <c r="C8" i="17" s="1"/>
  <c r="D8" i="17" s="1" a="1"/>
  <c r="D8" i="17" s="1"/>
  <c r="E8" i="17" s="1" a="1"/>
  <c r="E8" i="17" s="1"/>
  <c r="F8" i="17" s="1" a="1"/>
  <c r="F8" i="17" s="1"/>
  <c r="C27" i="17" a="1"/>
  <c r="C27" i="17" s="1"/>
  <c r="D27" i="17" s="1" a="1"/>
  <c r="D27" i="17" s="1"/>
  <c r="E27" i="17" s="1" a="1"/>
  <c r="E27" i="17" s="1"/>
  <c r="F27" i="17" s="1" a="1"/>
  <c r="F27" i="17" s="1"/>
  <c r="C15" i="17" a="1"/>
  <c r="C15" i="17" s="1"/>
  <c r="D15" i="17" s="1" a="1"/>
  <c r="D15" i="17" s="1"/>
  <c r="E15" i="17" s="1" a="1"/>
  <c r="E15" i="17" s="1"/>
  <c r="F15" i="17" s="1" a="1"/>
  <c r="F15" i="17" s="1"/>
  <c r="C14" i="17" a="1"/>
  <c r="C14" i="17" s="1"/>
  <c r="C14" i="26" s="1"/>
  <c r="C38" i="17" a="1"/>
  <c r="C38" i="17" s="1"/>
  <c r="C29" i="17" a="1"/>
  <c r="C29" i="17" s="1"/>
  <c r="C36" i="17" a="1"/>
  <c r="C36" i="17" s="1"/>
  <c r="C33" i="17" a="1"/>
  <c r="C33" i="17" s="1"/>
  <c r="D33" i="17" s="1" a="1"/>
  <c r="D33" i="17" s="1"/>
  <c r="E33" i="17" s="1" a="1"/>
  <c r="E33" i="17" s="1"/>
  <c r="F33" i="17" s="1" a="1"/>
  <c r="F33" i="17" s="1"/>
  <c r="C28" i="17" a="1"/>
  <c r="C28" i="17" s="1"/>
  <c r="D28" i="17" s="1" a="1"/>
  <c r="D28" i="17" s="1"/>
  <c r="E28" i="17" s="1" a="1"/>
  <c r="E28" i="17" s="1"/>
  <c r="F28" i="17" s="1" a="1"/>
  <c r="F28" i="17" s="1"/>
  <c r="J11" i="27"/>
  <c r="I10" i="27"/>
  <c r="J10" i="27"/>
  <c r="B7" i="28"/>
  <c r="A8" i="28"/>
  <c r="F21" i="17"/>
  <c r="F20" i="17"/>
  <c r="F19" i="17"/>
  <c r="F18" i="17"/>
  <c r="F17" i="17"/>
  <c r="E14" i="26"/>
  <c r="F4" i="7"/>
  <c r="P33" i="7"/>
  <c r="P38" i="7"/>
  <c r="P8" i="7"/>
  <c r="P29" i="7"/>
  <c r="F36" i="17"/>
  <c r="E18" i="26" s="1"/>
  <c r="D14" i="26"/>
  <c r="C38" i="26"/>
  <c r="O38" i="26" s="1"/>
  <c r="C39" i="7"/>
  <c r="C41" i="7" s="1"/>
  <c r="C43" i="7" s="1"/>
  <c r="D38" i="7"/>
  <c r="D33" i="7"/>
  <c r="D29" i="7"/>
  <c r="D8" i="7"/>
  <c r="G4" i="17"/>
  <c r="G14" i="17" s="1"/>
  <c r="F84" i="3"/>
  <c r="G8" i="28" l="1" a="1"/>
  <c r="G8" i="28" s="1"/>
  <c r="H8" i="28" a="1"/>
  <c r="H8" i="28" s="1"/>
  <c r="C8" i="28" a="1"/>
  <c r="C8" i="28" s="1"/>
  <c r="D8" i="28" a="1"/>
  <c r="D8" i="28" s="1"/>
  <c r="F7" i="28"/>
  <c r="B8" i="28" s="1"/>
  <c r="J7" i="28"/>
  <c r="K7" i="28"/>
  <c r="G15" i="17" a="1"/>
  <c r="G15" i="17" s="1"/>
  <c r="G8" i="17" a="1"/>
  <c r="G8" i="17" s="1"/>
  <c r="G28" i="17" a="1"/>
  <c r="G28" i="17" s="1"/>
  <c r="G22" i="17" a="1"/>
  <c r="G22" i="17" s="1"/>
  <c r="G10" i="17" a="1"/>
  <c r="G10" i="17" s="1"/>
  <c r="G9" i="17" a="1"/>
  <c r="G9" i="17" s="1"/>
  <c r="G27" i="17" a="1"/>
  <c r="G27" i="17" s="1"/>
  <c r="G42" i="17" a="1"/>
  <c r="G42" i="17" s="1"/>
  <c r="G11" i="17" a="1"/>
  <c r="G11" i="17" s="1"/>
  <c r="G16" i="17" a="1"/>
  <c r="G16" i="17" s="1"/>
  <c r="G7" i="17" a="1"/>
  <c r="G7" i="17" s="1"/>
  <c r="G33" i="17" a="1"/>
  <c r="G33" i="17" s="1"/>
  <c r="G37" i="17" a="1"/>
  <c r="G37" i="17" s="1"/>
  <c r="G40" i="17" a="1"/>
  <c r="G40" i="17" s="1"/>
  <c r="G41" i="17" a="1"/>
  <c r="G41" i="17" s="1"/>
  <c r="E8" i="28" a="1"/>
  <c r="E8" i="28" s="1"/>
  <c r="G39" i="17" a="1"/>
  <c r="G39" i="17" s="1"/>
  <c r="D38" i="17" a="1"/>
  <c r="D38" i="17" s="1"/>
  <c r="F21" i="7" a="1"/>
  <c r="F21" i="7" s="1"/>
  <c r="F44" i="7" a="1"/>
  <c r="F44" i="7" s="1"/>
  <c r="F33" i="26" s="1"/>
  <c r="F36" i="26" s="1"/>
  <c r="F40" i="7" a="1"/>
  <c r="F40" i="7" s="1"/>
  <c r="F27" i="7" a="1"/>
  <c r="F27" i="7" s="1"/>
  <c r="F12" i="7" a="1"/>
  <c r="F12" i="7" s="1"/>
  <c r="F32" i="7" a="1"/>
  <c r="F32" i="7" s="1"/>
  <c r="F23" i="7" a="1"/>
  <c r="F23" i="7" s="1"/>
  <c r="F20" i="7" a="1"/>
  <c r="F20" i="7" s="1"/>
  <c r="F13" i="7" a="1"/>
  <c r="F13" i="7" s="1"/>
  <c r="F26" i="7" a="1"/>
  <c r="F26" i="7" s="1"/>
  <c r="F14" i="7" a="1"/>
  <c r="F14" i="7" s="1"/>
  <c r="F5" i="7" a="1"/>
  <c r="F5" i="7" s="1"/>
  <c r="F22" i="7" a="1"/>
  <c r="F22" i="7" s="1"/>
  <c r="F6" i="7" a="1"/>
  <c r="F6" i="7" s="1"/>
  <c r="F25" i="7" a="1"/>
  <c r="F25" i="7" s="1"/>
  <c r="F16" i="7" a="1"/>
  <c r="F16" i="7" s="1"/>
  <c r="F9" i="7" a="1"/>
  <c r="F9" i="7" s="1"/>
  <c r="F42" i="7" a="1"/>
  <c r="F42" i="7" s="1"/>
  <c r="F37" i="7" a="1"/>
  <c r="F37" i="7" s="1"/>
  <c r="F36" i="7" a="1"/>
  <c r="F36" i="7" s="1"/>
  <c r="F28" i="7" a="1"/>
  <c r="F28" i="7" s="1"/>
  <c r="F17" i="7" a="1"/>
  <c r="F17" i="7" s="1"/>
  <c r="F18" i="7" a="1"/>
  <c r="F18" i="7" s="1"/>
  <c r="F11" i="7" a="1"/>
  <c r="F11" i="7" s="1"/>
  <c r="F31" i="7" a="1"/>
  <c r="F31" i="7" s="1"/>
  <c r="F15" i="7" a="1"/>
  <c r="F15" i="7" s="1"/>
  <c r="F7" i="7" a="1"/>
  <c r="F7" i="7" s="1"/>
  <c r="F34" i="7" a="1"/>
  <c r="F34" i="7" s="1"/>
  <c r="F19" i="7" a="1"/>
  <c r="F19" i="7" s="1"/>
  <c r="F24" i="7" a="1"/>
  <c r="F24" i="7" s="1"/>
  <c r="I7" i="28"/>
  <c r="K10" i="27"/>
  <c r="H11" i="27" s="1"/>
  <c r="K11" i="27" s="1"/>
  <c r="H12" i="27" s="1"/>
  <c r="G12" i="27"/>
  <c r="A9" i="28"/>
  <c r="G4" i="7"/>
  <c r="G21" i="17"/>
  <c r="G20" i="17"/>
  <c r="G19" i="17"/>
  <c r="G18" i="17"/>
  <c r="G17" i="17"/>
  <c r="F14" i="26"/>
  <c r="E8" i="7"/>
  <c r="E33" i="7"/>
  <c r="P39" i="7"/>
  <c r="P41" i="7" s="1"/>
  <c r="P43" i="7" s="1"/>
  <c r="P45" i="7" s="1"/>
  <c r="C18" i="26"/>
  <c r="C43" i="17"/>
  <c r="G36" i="17"/>
  <c r="F18" i="26" s="1"/>
  <c r="C45" i="7"/>
  <c r="D30" i="17" s="1"/>
  <c r="C6" i="26"/>
  <c r="E29" i="7"/>
  <c r="D39" i="7"/>
  <c r="D41" i="7" s="1"/>
  <c r="D43" i="7" s="1"/>
  <c r="E38" i="7"/>
  <c r="C34" i="17"/>
  <c r="C31" i="17"/>
  <c r="D23" i="17"/>
  <c r="C23" i="17"/>
  <c r="H4" i="17"/>
  <c r="H14" i="17" s="1"/>
  <c r="C12" i="17"/>
  <c r="D29" i="17"/>
  <c r="G9" i="28" l="1" a="1"/>
  <c r="G9" i="28" s="1"/>
  <c r="H9" i="28" a="1"/>
  <c r="H9" i="28" s="1"/>
  <c r="C9" i="28" a="1"/>
  <c r="C9" i="28" s="1"/>
  <c r="D9" i="28" a="1"/>
  <c r="D9" i="28" s="1"/>
  <c r="F8" i="28"/>
  <c r="B9" i="28" s="1"/>
  <c r="K8" i="28"/>
  <c r="J8" i="28"/>
  <c r="D43" i="17"/>
  <c r="C19" i="26"/>
  <c r="H28" i="17" a="1"/>
  <c r="H28" i="17" s="1"/>
  <c r="H41" i="17" a="1"/>
  <c r="H41" i="17" s="1"/>
  <c r="H11" i="17" a="1"/>
  <c r="H11" i="17" s="1"/>
  <c r="H40" i="17" a="1"/>
  <c r="H40" i="17" s="1"/>
  <c r="H42" i="17" a="1"/>
  <c r="H42" i="17" s="1"/>
  <c r="H37" i="17" a="1"/>
  <c r="H37" i="17" s="1"/>
  <c r="H27" i="17" a="1"/>
  <c r="H27" i="17" s="1"/>
  <c r="H33" i="17" a="1"/>
  <c r="H33" i="17" s="1"/>
  <c r="H9" i="17" a="1"/>
  <c r="H9" i="17" s="1"/>
  <c r="H7" i="17" a="1"/>
  <c r="H7" i="17" s="1"/>
  <c r="H10" i="17" a="1"/>
  <c r="H10" i="17" s="1"/>
  <c r="H8" i="17" a="1"/>
  <c r="H8" i="17" s="1"/>
  <c r="H15" i="17" a="1"/>
  <c r="H15" i="17" s="1"/>
  <c r="H16" i="17" a="1"/>
  <c r="H16" i="17" s="1"/>
  <c r="H22" i="17" a="1"/>
  <c r="H22" i="17" s="1"/>
  <c r="E9" i="28" a="1"/>
  <c r="E9" i="28" s="1"/>
  <c r="H39" i="17" a="1"/>
  <c r="H39" i="17" s="1"/>
  <c r="E38" i="17" a="1"/>
  <c r="E38" i="17" s="1"/>
  <c r="G37" i="7" a="1"/>
  <c r="G37" i="7" s="1"/>
  <c r="G34" i="7" a="1"/>
  <c r="G34" i="7" s="1"/>
  <c r="G32" i="7" a="1"/>
  <c r="G32" i="7" s="1"/>
  <c r="G31" i="7" a="1"/>
  <c r="G31" i="7" s="1"/>
  <c r="G23" i="7" a="1"/>
  <c r="G23" i="7" s="1"/>
  <c r="G20" i="7" a="1"/>
  <c r="G20" i="7" s="1"/>
  <c r="G5" i="7" a="1"/>
  <c r="G5" i="7" s="1"/>
  <c r="G26" i="7" a="1"/>
  <c r="G26" i="7" s="1"/>
  <c r="G14" i="7" a="1"/>
  <c r="G14" i="7" s="1"/>
  <c r="G6" i="7" a="1"/>
  <c r="G6" i="7" s="1"/>
  <c r="G22" i="7" a="1"/>
  <c r="G22" i="7" s="1"/>
  <c r="G15" i="7" a="1"/>
  <c r="G15" i="7" s="1"/>
  <c r="G7" i="7" a="1"/>
  <c r="G7" i="7" s="1"/>
  <c r="G25" i="7" a="1"/>
  <c r="G25" i="7" s="1"/>
  <c r="G16" i="7" a="1"/>
  <c r="G16" i="7" s="1"/>
  <c r="G44" i="7" a="1"/>
  <c r="G44" i="7" s="1"/>
  <c r="G33" i="26" s="1"/>
  <c r="G36" i="26" s="1"/>
  <c r="G42" i="7" a="1"/>
  <c r="G42" i="7" s="1"/>
  <c r="G40" i="7" a="1"/>
  <c r="G40" i="7" s="1"/>
  <c r="G36" i="7" a="1"/>
  <c r="G36" i="7" s="1"/>
  <c r="G28" i="7" a="1"/>
  <c r="G28" i="7" s="1"/>
  <c r="G11" i="7" a="1"/>
  <c r="G11" i="7" s="1"/>
  <c r="G24" i="7" a="1"/>
  <c r="G24" i="7" s="1"/>
  <c r="G19" i="7" a="1"/>
  <c r="G19" i="7" s="1"/>
  <c r="G18" i="7" a="1"/>
  <c r="G18" i="7" s="1"/>
  <c r="G12" i="7" a="1"/>
  <c r="G12" i="7" s="1"/>
  <c r="G13" i="7" a="1"/>
  <c r="G13" i="7" s="1"/>
  <c r="G21" i="7" a="1"/>
  <c r="G21" i="7" s="1"/>
  <c r="G17" i="7" a="1"/>
  <c r="G17" i="7" s="1"/>
  <c r="G9" i="7" a="1"/>
  <c r="G9" i="7" s="1"/>
  <c r="G27" i="7" a="1"/>
  <c r="G27" i="7" s="1"/>
  <c r="I12" i="27"/>
  <c r="J12" i="27"/>
  <c r="G13" i="27"/>
  <c r="I8" i="28"/>
  <c r="F33" i="7"/>
  <c r="F8" i="7"/>
  <c r="A10" i="28"/>
  <c r="F29" i="7"/>
  <c r="H4" i="7"/>
  <c r="F38" i="7"/>
  <c r="H19" i="17"/>
  <c r="H18" i="17"/>
  <c r="H17" i="17"/>
  <c r="H21" i="17"/>
  <c r="H20" i="17"/>
  <c r="G14" i="26"/>
  <c r="H36" i="17"/>
  <c r="G18" i="26" s="1"/>
  <c r="E29" i="17"/>
  <c r="D45" i="7"/>
  <c r="E30" i="17" s="1"/>
  <c r="D6" i="26"/>
  <c r="E23" i="17"/>
  <c r="E39" i="7"/>
  <c r="E41" i="7" s="1"/>
  <c r="E43" i="7" s="1"/>
  <c r="C44" i="17"/>
  <c r="C24" i="17"/>
  <c r="D34" i="17"/>
  <c r="D31" i="17"/>
  <c r="I4" i="17"/>
  <c r="I14" i="17" s="1"/>
  <c r="D12" i="17"/>
  <c r="D24" i="17" s="1"/>
  <c r="G10" i="28" l="1" a="1"/>
  <c r="G10" i="28" s="1"/>
  <c r="H10" i="28" a="1"/>
  <c r="H10" i="28" s="1"/>
  <c r="C10" i="28" a="1"/>
  <c r="C10" i="28" s="1"/>
  <c r="D10" i="28" a="1"/>
  <c r="D10" i="28" s="1"/>
  <c r="J9" i="28"/>
  <c r="F9" i="28"/>
  <c r="B10" i="28" s="1"/>
  <c r="K9" i="28"/>
  <c r="F38" i="17" a="1"/>
  <c r="F38" i="17" s="1"/>
  <c r="F43" i="17" s="1"/>
  <c r="D19" i="26"/>
  <c r="I33" i="17" a="1"/>
  <c r="I33" i="17" s="1"/>
  <c r="I22" i="17" a="1"/>
  <c r="I22" i="17" s="1"/>
  <c r="I27" i="17" a="1"/>
  <c r="I27" i="17" s="1"/>
  <c r="I16" i="17" a="1"/>
  <c r="I16" i="17" s="1"/>
  <c r="I37" i="17" a="1"/>
  <c r="I37" i="17" s="1"/>
  <c r="I15" i="17" a="1"/>
  <c r="I15" i="17" s="1"/>
  <c r="I42" i="17" a="1"/>
  <c r="I42" i="17" s="1"/>
  <c r="I8" i="17" a="1"/>
  <c r="I8" i="17" s="1"/>
  <c r="I40" i="17" a="1"/>
  <c r="I40" i="17" s="1"/>
  <c r="I10" i="17" a="1"/>
  <c r="I10" i="17" s="1"/>
  <c r="I11" i="17" a="1"/>
  <c r="I11" i="17" s="1"/>
  <c r="I7" i="17" a="1"/>
  <c r="I7" i="17" s="1"/>
  <c r="I41" i="17" a="1"/>
  <c r="I41" i="17" s="1"/>
  <c r="I9" i="17" a="1"/>
  <c r="I9" i="17" s="1"/>
  <c r="I28" i="17" a="1"/>
  <c r="I28" i="17" s="1"/>
  <c r="E43" i="17"/>
  <c r="E10" i="28" a="1"/>
  <c r="E10" i="28" s="1"/>
  <c r="I39" i="17" a="1"/>
  <c r="I39" i="17" s="1"/>
  <c r="G38" i="7"/>
  <c r="H44" i="7" a="1"/>
  <c r="H44" i="7" s="1"/>
  <c r="H33" i="26" s="1"/>
  <c r="H36" i="26" s="1"/>
  <c r="H40" i="7" a="1"/>
  <c r="H40" i="7" s="1"/>
  <c r="H36" i="7" a="1"/>
  <c r="H36" i="7" s="1"/>
  <c r="H27" i="7" a="1"/>
  <c r="H27" i="7" s="1"/>
  <c r="H26" i="7" a="1"/>
  <c r="H26" i="7" s="1"/>
  <c r="H25" i="7" a="1"/>
  <c r="H25" i="7" s="1"/>
  <c r="H24" i="7" a="1"/>
  <c r="H24" i="7" s="1"/>
  <c r="H32" i="7" a="1"/>
  <c r="H32" i="7" s="1"/>
  <c r="H15" i="7" a="1"/>
  <c r="H15" i="7" s="1"/>
  <c r="H22" i="7" a="1"/>
  <c r="H22" i="7" s="1"/>
  <c r="H16" i="7" a="1"/>
  <c r="H16" i="7" s="1"/>
  <c r="H7" i="7" a="1"/>
  <c r="H7" i="7" s="1"/>
  <c r="H31" i="7" a="1"/>
  <c r="H31" i="7" s="1"/>
  <c r="H9" i="7" a="1"/>
  <c r="H9" i="7" s="1"/>
  <c r="H21" i="7" a="1"/>
  <c r="H21" i="7" s="1"/>
  <c r="H17" i="7" a="1"/>
  <c r="H17" i="7" s="1"/>
  <c r="H11" i="7" a="1"/>
  <c r="H11" i="7" s="1"/>
  <c r="H37" i="7" a="1"/>
  <c r="H37" i="7" s="1"/>
  <c r="H19" i="7" a="1"/>
  <c r="H19" i="7" s="1"/>
  <c r="H34" i="7" a="1"/>
  <c r="H34" i="7" s="1"/>
  <c r="H20" i="7" a="1"/>
  <c r="H20" i="7" s="1"/>
  <c r="H13" i="7" a="1"/>
  <c r="H13" i="7" s="1"/>
  <c r="H23" i="7" a="1"/>
  <c r="H23" i="7" s="1"/>
  <c r="H12" i="7" a="1"/>
  <c r="H12" i="7" s="1"/>
  <c r="H6" i="7" a="1"/>
  <c r="H6" i="7" s="1"/>
  <c r="H5" i="7" a="1"/>
  <c r="H5" i="7" s="1"/>
  <c r="H42" i="7" a="1"/>
  <c r="H42" i="7" s="1"/>
  <c r="H28" i="7" a="1"/>
  <c r="H28" i="7" s="1"/>
  <c r="H14" i="7" a="1"/>
  <c r="H14" i="7" s="1"/>
  <c r="H18" i="7" a="1"/>
  <c r="H18" i="7" s="1"/>
  <c r="I13" i="27"/>
  <c r="J13" i="27"/>
  <c r="K12" i="27"/>
  <c r="H13" i="27" s="1"/>
  <c r="G33" i="7"/>
  <c r="A11" i="28"/>
  <c r="G14" i="27"/>
  <c r="I9" i="28"/>
  <c r="F39" i="7"/>
  <c r="F41" i="7" s="1"/>
  <c r="F43" i="7" s="1"/>
  <c r="F6" i="26" s="1"/>
  <c r="I4" i="7"/>
  <c r="G8" i="7"/>
  <c r="G29" i="7"/>
  <c r="I21" i="17"/>
  <c r="I20" i="17"/>
  <c r="I19" i="17"/>
  <c r="I18" i="17"/>
  <c r="I17" i="17"/>
  <c r="C22" i="26"/>
  <c r="E31" i="17"/>
  <c r="I36" i="17"/>
  <c r="H18" i="26" s="1"/>
  <c r="H14" i="26"/>
  <c r="F29" i="17"/>
  <c r="F23" i="17"/>
  <c r="E45" i="7"/>
  <c r="F30" i="17" s="1"/>
  <c r="E6" i="26"/>
  <c r="C45" i="17"/>
  <c r="C46" i="17"/>
  <c r="D44" i="17"/>
  <c r="D45" i="17" s="1"/>
  <c r="E34" i="17"/>
  <c r="J4" i="17"/>
  <c r="J14" i="17" s="1"/>
  <c r="E12" i="17"/>
  <c r="G11" i="28" l="1" a="1"/>
  <c r="G11" i="28" s="1"/>
  <c r="H11" i="28" a="1"/>
  <c r="H11" i="28" s="1"/>
  <c r="C11" i="28" a="1"/>
  <c r="C11" i="28" s="1"/>
  <c r="D11" i="28" a="1"/>
  <c r="D11" i="28" s="1"/>
  <c r="J10" i="28"/>
  <c r="F10" i="28"/>
  <c r="B11" i="28" s="1"/>
  <c r="K10" i="28"/>
  <c r="G38" i="17" a="1"/>
  <c r="G38" i="17" s="1"/>
  <c r="G43" i="17" s="1"/>
  <c r="E19" i="26"/>
  <c r="E22" i="26" s="1"/>
  <c r="E25" i="26" s="1"/>
  <c r="J8" i="17" a="1"/>
  <c r="J8" i="17" s="1"/>
  <c r="J28" i="17" a="1"/>
  <c r="J28" i="17" s="1"/>
  <c r="J42" i="17" a="1"/>
  <c r="J42" i="17" s="1"/>
  <c r="J9" i="17" a="1"/>
  <c r="J9" i="17" s="1"/>
  <c r="J15" i="17" a="1"/>
  <c r="J15" i="17" s="1"/>
  <c r="J41" i="17" a="1"/>
  <c r="J41" i="17" s="1"/>
  <c r="J37" i="17" a="1"/>
  <c r="J37" i="17" s="1"/>
  <c r="J7" i="17" a="1"/>
  <c r="J7" i="17" s="1"/>
  <c r="J16" i="17" a="1"/>
  <c r="J16" i="17" s="1"/>
  <c r="J11" i="17" a="1"/>
  <c r="J11" i="17" s="1"/>
  <c r="J27" i="17" a="1"/>
  <c r="J27" i="17" s="1"/>
  <c r="J10" i="17" a="1"/>
  <c r="J10" i="17" s="1"/>
  <c r="J22" i="17" a="1"/>
  <c r="J22" i="17" s="1"/>
  <c r="J40" i="17" a="1"/>
  <c r="J40" i="17" s="1"/>
  <c r="J33" i="17" a="1"/>
  <c r="J33" i="17" s="1"/>
  <c r="E11" i="28" a="1"/>
  <c r="E11" i="28" s="1"/>
  <c r="J39" i="17" a="1"/>
  <c r="J39" i="17" s="1"/>
  <c r="I32" i="7" a="1"/>
  <c r="I32" i="7" s="1"/>
  <c r="I31" i="7" a="1"/>
  <c r="I31" i="7" s="1"/>
  <c r="I28" i="7" a="1"/>
  <c r="I28" i="7" s="1"/>
  <c r="I27" i="7" a="1"/>
  <c r="I27" i="7" s="1"/>
  <c r="I42" i="7" a="1"/>
  <c r="I42" i="7" s="1"/>
  <c r="I22" i="7" a="1"/>
  <c r="I22" i="7" s="1"/>
  <c r="I21" i="7" a="1"/>
  <c r="I21" i="7" s="1"/>
  <c r="I20" i="7" a="1"/>
  <c r="I20" i="7" s="1"/>
  <c r="I26" i="7" a="1"/>
  <c r="I26" i="7" s="1"/>
  <c r="I16" i="7" a="1"/>
  <c r="I16" i="7" s="1"/>
  <c r="I9" i="7" a="1"/>
  <c r="I9" i="7" s="1"/>
  <c r="I17" i="7" a="1"/>
  <c r="I17" i="7" s="1"/>
  <c r="I11" i="7" a="1"/>
  <c r="I11" i="7" s="1"/>
  <c r="I25" i="7" a="1"/>
  <c r="I25" i="7" s="1"/>
  <c r="I18" i="7" a="1"/>
  <c r="I18" i="7" s="1"/>
  <c r="I19" i="7" a="1"/>
  <c r="I19" i="7" s="1"/>
  <c r="I12" i="7" a="1"/>
  <c r="I12" i="7" s="1"/>
  <c r="I34" i="7" a="1"/>
  <c r="I34" i="7" s="1"/>
  <c r="I14" i="7" a="1"/>
  <c r="I14" i="7" s="1"/>
  <c r="I23" i="7" a="1"/>
  <c r="I23" i="7" s="1"/>
  <c r="I15" i="7" a="1"/>
  <c r="I15" i="7" s="1"/>
  <c r="I44" i="7" a="1"/>
  <c r="I44" i="7" s="1"/>
  <c r="I33" i="26" s="1"/>
  <c r="I36" i="26" s="1"/>
  <c r="I36" i="7" a="1"/>
  <c r="I36" i="7" s="1"/>
  <c r="I6" i="7" a="1"/>
  <c r="I6" i="7" s="1"/>
  <c r="I5" i="7" a="1"/>
  <c r="I5" i="7" s="1"/>
  <c r="I7" i="7" a="1"/>
  <c r="I7" i="7" s="1"/>
  <c r="I13" i="7" a="1"/>
  <c r="I13" i="7" s="1"/>
  <c r="I40" i="7" a="1"/>
  <c r="I40" i="7" s="1"/>
  <c r="I24" i="7" a="1"/>
  <c r="I24" i="7" s="1"/>
  <c r="I37" i="7" a="1"/>
  <c r="I37" i="7" s="1"/>
  <c r="I14" i="27"/>
  <c r="J14" i="27"/>
  <c r="F45" i="7"/>
  <c r="G30" i="17" s="1"/>
  <c r="K13" i="27"/>
  <c r="H14" i="27" s="1"/>
  <c r="G39" i="7"/>
  <c r="G41" i="7" s="1"/>
  <c r="G43" i="7" s="1"/>
  <c r="G45" i="7" s="1"/>
  <c r="A12" i="28"/>
  <c r="G15" i="27"/>
  <c r="I10" i="28"/>
  <c r="J4" i="7"/>
  <c r="H8" i="7"/>
  <c r="H38" i="7"/>
  <c r="H33" i="7"/>
  <c r="H29" i="7"/>
  <c r="J21" i="17"/>
  <c r="J20" i="17"/>
  <c r="J19" i="17"/>
  <c r="J18" i="17"/>
  <c r="J17" i="17"/>
  <c r="E44" i="17"/>
  <c r="C25" i="26"/>
  <c r="C37" i="26" s="1"/>
  <c r="C39" i="26" s="1"/>
  <c r="D22" i="26"/>
  <c r="F31" i="17"/>
  <c r="I14" i="26"/>
  <c r="J36" i="17"/>
  <c r="I18" i="26" s="1"/>
  <c r="G29" i="17"/>
  <c r="G23" i="17"/>
  <c r="D46" i="17"/>
  <c r="F34" i="17"/>
  <c r="E24" i="17"/>
  <c r="K4" i="17"/>
  <c r="K14" i="17" s="1"/>
  <c r="F12" i="17"/>
  <c r="G12" i="28" l="1" a="1"/>
  <c r="G12" i="28" s="1"/>
  <c r="H12" i="28" a="1"/>
  <c r="H12" i="28" s="1"/>
  <c r="C12" i="28" a="1"/>
  <c r="C12" i="28" s="1"/>
  <c r="D12" i="28" a="1"/>
  <c r="D12" i="28" s="1"/>
  <c r="J11" i="28"/>
  <c r="F11" i="28"/>
  <c r="B12" i="28" s="1"/>
  <c r="K11" i="28"/>
  <c r="H38" i="17" a="1"/>
  <c r="H38" i="17" s="1"/>
  <c r="H43" i="17" s="1"/>
  <c r="F19" i="26"/>
  <c r="K22" i="17" a="1"/>
  <c r="K22" i="17" s="1"/>
  <c r="K15" i="17" a="1"/>
  <c r="K15" i="17" s="1"/>
  <c r="K7" i="17" a="1"/>
  <c r="K7" i="17" s="1"/>
  <c r="K33" i="17" a="1"/>
  <c r="K33" i="17" s="1"/>
  <c r="K37" i="17" a="1"/>
  <c r="K37" i="17" s="1"/>
  <c r="K40" i="17" a="1"/>
  <c r="K40" i="17" s="1"/>
  <c r="K41" i="17" a="1"/>
  <c r="K41" i="17" s="1"/>
  <c r="K10" i="17" a="1"/>
  <c r="K10" i="17" s="1"/>
  <c r="K9" i="17" a="1"/>
  <c r="K9" i="17" s="1"/>
  <c r="K27" i="17" a="1"/>
  <c r="K27" i="17" s="1"/>
  <c r="K42" i="17" a="1"/>
  <c r="K42" i="17" s="1"/>
  <c r="K11" i="17" a="1"/>
  <c r="K11" i="17" s="1"/>
  <c r="K28" i="17" a="1"/>
  <c r="K28" i="17" s="1"/>
  <c r="K16" i="17" a="1"/>
  <c r="K16" i="17" s="1"/>
  <c r="K8" i="17" a="1"/>
  <c r="K8" i="17" s="1"/>
  <c r="E12" i="28" a="1"/>
  <c r="E12" i="28" s="1"/>
  <c r="K39" i="17" a="1"/>
  <c r="K39" i="17" s="1"/>
  <c r="J40" i="7" a="1"/>
  <c r="J40" i="7" s="1"/>
  <c r="J34" i="7" a="1"/>
  <c r="J34" i="7" s="1"/>
  <c r="J32" i="7" a="1"/>
  <c r="J32" i="7" s="1"/>
  <c r="J36" i="7" a="1"/>
  <c r="J36" i="7" s="1"/>
  <c r="J25" i="7" a="1"/>
  <c r="J25" i="7" s="1"/>
  <c r="J24" i="7" a="1"/>
  <c r="J24" i="7" s="1"/>
  <c r="J23" i="7" a="1"/>
  <c r="J23" i="7" s="1"/>
  <c r="J22" i="7" a="1"/>
  <c r="J22" i="7" s="1"/>
  <c r="J18" i="7" a="1"/>
  <c r="J18" i="7" s="1"/>
  <c r="J11" i="7" a="1"/>
  <c r="J11" i="7" s="1"/>
  <c r="J31" i="7" a="1"/>
  <c r="J31" i="7" s="1"/>
  <c r="J12" i="7" a="1"/>
  <c r="J12" i="7" s="1"/>
  <c r="J21" i="7" a="1"/>
  <c r="J21" i="7" s="1"/>
  <c r="J19" i="7" a="1"/>
  <c r="J19" i="7" s="1"/>
  <c r="J13" i="7" a="1"/>
  <c r="J13" i="7" s="1"/>
  <c r="J44" i="7" a="1"/>
  <c r="J44" i="7" s="1"/>
  <c r="J33" i="26" s="1"/>
  <c r="J36" i="26" s="1"/>
  <c r="J42" i="7" a="1"/>
  <c r="J42" i="7" s="1"/>
  <c r="J37" i="7" a="1"/>
  <c r="J37" i="7" s="1"/>
  <c r="J28" i="7" a="1"/>
  <c r="J28" i="7" s="1"/>
  <c r="J14" i="7" a="1"/>
  <c r="J14" i="7" s="1"/>
  <c r="J5" i="7" a="1"/>
  <c r="J5" i="7" s="1"/>
  <c r="J27" i="7" a="1"/>
  <c r="J27" i="7" s="1"/>
  <c r="J20" i="7" a="1"/>
  <c r="J20" i="7" s="1"/>
  <c r="J15" i="7" a="1"/>
  <c r="J15" i="7" s="1"/>
  <c r="J7" i="7" a="1"/>
  <c r="J7" i="7" s="1"/>
  <c r="J16" i="7" a="1"/>
  <c r="J16" i="7" s="1"/>
  <c r="J9" i="7" a="1"/>
  <c r="J9" i="7" s="1"/>
  <c r="J26" i="7" a="1"/>
  <c r="J26" i="7" s="1"/>
  <c r="J6" i="7" a="1"/>
  <c r="J6" i="7" s="1"/>
  <c r="J17" i="7" a="1"/>
  <c r="J17" i="7" s="1"/>
  <c r="I15" i="27"/>
  <c r="J15" i="27"/>
  <c r="I11" i="28"/>
  <c r="G6" i="26"/>
  <c r="K14" i="27"/>
  <c r="H15" i="27" s="1"/>
  <c r="A13" i="28"/>
  <c r="G16" i="27"/>
  <c r="I33" i="7"/>
  <c r="I38" i="7"/>
  <c r="K4" i="7"/>
  <c r="I8" i="7"/>
  <c r="H39" i="7"/>
  <c r="H41" i="7" s="1"/>
  <c r="H43" i="7" s="1"/>
  <c r="H6" i="26" s="1"/>
  <c r="I29" i="7"/>
  <c r="K21" i="17"/>
  <c r="K20" i="17"/>
  <c r="K19" i="17"/>
  <c r="K18" i="17"/>
  <c r="K17" i="17"/>
  <c r="D25" i="26"/>
  <c r="D37" i="26" s="1"/>
  <c r="D47" i="17"/>
  <c r="D38" i="26"/>
  <c r="D48" i="17"/>
  <c r="E37" i="26"/>
  <c r="F44" i="17"/>
  <c r="G31" i="17"/>
  <c r="J14" i="26"/>
  <c r="K36" i="17"/>
  <c r="J18" i="26" s="1"/>
  <c r="H29" i="17"/>
  <c r="H30" i="17"/>
  <c r="H23" i="17"/>
  <c r="G12" i="17"/>
  <c r="G24" i="17" s="1"/>
  <c r="E46" i="17"/>
  <c r="E45" i="17"/>
  <c r="G34" i="17"/>
  <c r="F24" i="17"/>
  <c r="L4" i="17"/>
  <c r="L14" i="17" s="1"/>
  <c r="G13" i="28" l="1" a="1"/>
  <c r="G13" i="28" s="1"/>
  <c r="H13" i="28" a="1"/>
  <c r="H13" i="28" s="1"/>
  <c r="C13" i="28" a="1"/>
  <c r="C13" i="28" s="1"/>
  <c r="D13" i="28" a="1"/>
  <c r="D13" i="28" s="1"/>
  <c r="J12" i="28"/>
  <c r="F12" i="28"/>
  <c r="B13" i="28" s="1"/>
  <c r="K12" i="28"/>
  <c r="G19" i="26"/>
  <c r="I38" i="17" a="1"/>
  <c r="I38" i="17" s="1"/>
  <c r="I43" i="17" s="1"/>
  <c r="L7" i="17" a="1"/>
  <c r="L7" i="17" s="1"/>
  <c r="L9" i="17" a="1"/>
  <c r="L9" i="17" s="1"/>
  <c r="L10" i="17" a="1"/>
  <c r="L10" i="17" s="1"/>
  <c r="L8" i="17" a="1"/>
  <c r="L8" i="17" s="1"/>
  <c r="L22" i="17" a="1"/>
  <c r="L22" i="17" s="1"/>
  <c r="L16" i="17" a="1"/>
  <c r="L16" i="17" s="1"/>
  <c r="L15" i="17" a="1"/>
  <c r="L15" i="17" s="1"/>
  <c r="L28" i="17" a="1"/>
  <c r="L28" i="17" s="1"/>
  <c r="L41" i="17" a="1"/>
  <c r="L41" i="17" s="1"/>
  <c r="L11" i="17" a="1"/>
  <c r="L11" i="17" s="1"/>
  <c r="L40" i="17" a="1"/>
  <c r="L40" i="17" s="1"/>
  <c r="L42" i="17" a="1"/>
  <c r="L42" i="17" s="1"/>
  <c r="L37" i="17" a="1"/>
  <c r="L37" i="17" s="1"/>
  <c r="L27" i="17" a="1"/>
  <c r="L27" i="17" s="1"/>
  <c r="L33" i="17" a="1"/>
  <c r="L33" i="17" s="1"/>
  <c r="E13" i="28" a="1"/>
  <c r="E13" i="28" s="1"/>
  <c r="L39" i="17" a="1"/>
  <c r="L39" i="17" s="1"/>
  <c r="K28" i="7" a="1"/>
  <c r="K28" i="7" s="1"/>
  <c r="K27" i="7" a="1"/>
  <c r="K27" i="7" s="1"/>
  <c r="K26" i="7" a="1"/>
  <c r="K26" i="7" s="1"/>
  <c r="K25" i="7" a="1"/>
  <c r="K25" i="7" s="1"/>
  <c r="K42" i="7" a="1"/>
  <c r="K42" i="7" s="1"/>
  <c r="K20" i="7" a="1"/>
  <c r="K20" i="7" s="1"/>
  <c r="K19" i="7" a="1"/>
  <c r="K19" i="7" s="1"/>
  <c r="K18" i="7" a="1"/>
  <c r="K18" i="7" s="1"/>
  <c r="K37" i="7" a="1"/>
  <c r="K37" i="7" s="1"/>
  <c r="K31" i="7" a="1"/>
  <c r="K31" i="7" s="1"/>
  <c r="K13" i="7" a="1"/>
  <c r="K13" i="7" s="1"/>
  <c r="K21" i="7" a="1"/>
  <c r="K21" i="7" s="1"/>
  <c r="K5" i="7" a="1"/>
  <c r="K5" i="7" s="1"/>
  <c r="K44" i="7" a="1"/>
  <c r="K44" i="7" s="1"/>
  <c r="K33" i="26" s="1"/>
  <c r="K36" i="26" s="1"/>
  <c r="K14" i="7" a="1"/>
  <c r="K14" i="7" s="1"/>
  <c r="K6" i="7" a="1"/>
  <c r="K6" i="7" s="1"/>
  <c r="K40" i="7" a="1"/>
  <c r="K40" i="7" s="1"/>
  <c r="K36" i="7" a="1"/>
  <c r="K36" i="7" s="1"/>
  <c r="K24" i="7" a="1"/>
  <c r="K24" i="7" s="1"/>
  <c r="K15" i="7" a="1"/>
  <c r="K15" i="7" s="1"/>
  <c r="K7" i="7" a="1"/>
  <c r="K7" i="7" s="1"/>
  <c r="K23" i="7" a="1"/>
  <c r="K23" i="7" s="1"/>
  <c r="K17" i="7" a="1"/>
  <c r="K17" i="7" s="1"/>
  <c r="K9" i="7" a="1"/>
  <c r="K9" i="7" s="1"/>
  <c r="K32" i="7" a="1"/>
  <c r="K32" i="7" s="1"/>
  <c r="K11" i="7" a="1"/>
  <c r="K11" i="7" s="1"/>
  <c r="K12" i="7" a="1"/>
  <c r="K12" i="7" s="1"/>
  <c r="K16" i="7" a="1"/>
  <c r="K16" i="7" s="1"/>
  <c r="K22" i="7" a="1"/>
  <c r="K22" i="7" s="1"/>
  <c r="K34" i="7" a="1"/>
  <c r="K34" i="7" s="1"/>
  <c r="H45" i="7"/>
  <c r="I30" i="17" s="1"/>
  <c r="I12" i="28"/>
  <c r="I16" i="27"/>
  <c r="J16" i="27"/>
  <c r="K15" i="27"/>
  <c r="H16" i="27" s="1"/>
  <c r="A14" i="28"/>
  <c r="G17" i="27"/>
  <c r="J33" i="7"/>
  <c r="L4" i="7"/>
  <c r="J38" i="7"/>
  <c r="J8" i="7"/>
  <c r="J29" i="7"/>
  <c r="G44" i="17"/>
  <c r="G45" i="17" s="1"/>
  <c r="I39" i="7"/>
  <c r="I41" i="7" s="1"/>
  <c r="I43" i="7" s="1"/>
  <c r="I45" i="7" s="1"/>
  <c r="L20" i="17"/>
  <c r="L21" i="17"/>
  <c r="L19" i="17"/>
  <c r="L18" i="17"/>
  <c r="L17" i="17"/>
  <c r="K14" i="26"/>
  <c r="H31" i="17"/>
  <c r="D39" i="26"/>
  <c r="E48" i="17" s="1"/>
  <c r="F22" i="26"/>
  <c r="L36" i="17"/>
  <c r="K18" i="26" s="1"/>
  <c r="I29" i="17"/>
  <c r="H12" i="17"/>
  <c r="H24" i="17" s="1"/>
  <c r="I23" i="17"/>
  <c r="F46" i="17"/>
  <c r="F45" i="17"/>
  <c r="H34" i="17"/>
  <c r="M4" i="17"/>
  <c r="M14" i="17" s="1"/>
  <c r="G14" i="28" l="1" a="1"/>
  <c r="G14" i="28" s="1"/>
  <c r="H14" i="28" a="1"/>
  <c r="H14" i="28" s="1"/>
  <c r="C14" i="28" a="1"/>
  <c r="C14" i="28" s="1"/>
  <c r="D14" i="28" a="1"/>
  <c r="D14" i="28" s="1"/>
  <c r="J13" i="28"/>
  <c r="F13" i="28"/>
  <c r="B14" i="28" s="1"/>
  <c r="K13" i="28"/>
  <c r="H19" i="26"/>
  <c r="J38" i="17" a="1"/>
  <c r="J38" i="17" s="1"/>
  <c r="J43" i="17" s="1"/>
  <c r="M41" i="17" a="1"/>
  <c r="M41" i="17" s="1"/>
  <c r="M33" i="17" a="1"/>
  <c r="M33" i="17" s="1"/>
  <c r="M28" i="17" a="1"/>
  <c r="M28" i="17" s="1"/>
  <c r="M37" i="17" a="1"/>
  <c r="M37" i="17" s="1"/>
  <c r="M16" i="17" a="1"/>
  <c r="M16" i="17" s="1"/>
  <c r="M42" i="17" a="1"/>
  <c r="M42" i="17" s="1"/>
  <c r="M22" i="17" a="1"/>
  <c r="M22" i="17" s="1"/>
  <c r="M27" i="17" a="1"/>
  <c r="M27" i="17" s="1"/>
  <c r="M9" i="17" a="1"/>
  <c r="M9" i="17" s="1"/>
  <c r="M8" i="17" a="1"/>
  <c r="M8" i="17" s="1"/>
  <c r="M15" i="17" a="1"/>
  <c r="M15" i="17" s="1"/>
  <c r="M40" i="17" a="1"/>
  <c r="M40" i="17" s="1"/>
  <c r="M7" i="17" a="1"/>
  <c r="M7" i="17" s="1"/>
  <c r="M11" i="17" a="1"/>
  <c r="M11" i="17" s="1"/>
  <c r="M10" i="17" a="1"/>
  <c r="M10" i="17" s="1"/>
  <c r="E14" i="28" a="1"/>
  <c r="E14" i="28" s="1"/>
  <c r="M39" i="17" a="1"/>
  <c r="M39" i="17" s="1"/>
  <c r="L36" i="7" a="1"/>
  <c r="L36" i="7" s="1"/>
  <c r="L23" i="7" a="1"/>
  <c r="L23" i="7" s="1"/>
  <c r="L22" i="7" a="1"/>
  <c r="L22" i="7" s="1"/>
  <c r="L21" i="7" a="1"/>
  <c r="L21" i="7" s="1"/>
  <c r="L44" i="7" a="1"/>
  <c r="L44" i="7" s="1"/>
  <c r="L33" i="26" s="1"/>
  <c r="L36" i="26" s="1"/>
  <c r="L25" i="7" a="1"/>
  <c r="L25" i="7" s="1"/>
  <c r="L14" i="7" a="1"/>
  <c r="L14" i="7" s="1"/>
  <c r="L6" i="7" a="1"/>
  <c r="L6" i="7" s="1"/>
  <c r="L28" i="7" a="1"/>
  <c r="L28" i="7" s="1"/>
  <c r="L19" i="7" a="1"/>
  <c r="L19" i="7" s="1"/>
  <c r="L15" i="7" a="1"/>
  <c r="L15" i="7" s="1"/>
  <c r="L42" i="7" a="1"/>
  <c r="L42" i="7" s="1"/>
  <c r="L40" i="7" a="1"/>
  <c r="L40" i="7" s="1"/>
  <c r="L37" i="7" a="1"/>
  <c r="L37" i="7" s="1"/>
  <c r="L24" i="7" a="1"/>
  <c r="L24" i="7" s="1"/>
  <c r="L16" i="7" a="1"/>
  <c r="L16" i="7" s="1"/>
  <c r="L7" i="7" a="1"/>
  <c r="L7" i="7" s="1"/>
  <c r="L34" i="7" a="1"/>
  <c r="L34" i="7" s="1"/>
  <c r="L20" i="7" a="1"/>
  <c r="L20" i="7" s="1"/>
  <c r="L9" i="7" a="1"/>
  <c r="L9" i="7" s="1"/>
  <c r="L32" i="7" a="1"/>
  <c r="L32" i="7" s="1"/>
  <c r="L12" i="7" a="1"/>
  <c r="L12" i="7" s="1"/>
  <c r="L26" i="7" a="1"/>
  <c r="L26" i="7" s="1"/>
  <c r="L31" i="7" a="1"/>
  <c r="L31" i="7" s="1"/>
  <c r="L5" i="7" a="1"/>
  <c r="L5" i="7" s="1"/>
  <c r="L13" i="7" a="1"/>
  <c r="L13" i="7" s="1"/>
  <c r="L17" i="7" a="1"/>
  <c r="L17" i="7" s="1"/>
  <c r="L27" i="7" a="1"/>
  <c r="L27" i="7" s="1"/>
  <c r="L11" i="7" a="1"/>
  <c r="L11" i="7" s="1"/>
  <c r="L18" i="7" a="1"/>
  <c r="L18" i="7" s="1"/>
  <c r="I13" i="28"/>
  <c r="M4" i="7"/>
  <c r="I17" i="27"/>
  <c r="J17" i="27"/>
  <c r="K16" i="27"/>
  <c r="H17" i="27" s="1"/>
  <c r="A15" i="28"/>
  <c r="G18" i="27"/>
  <c r="K33" i="7"/>
  <c r="J39" i="7"/>
  <c r="J41" i="7" s="1"/>
  <c r="J43" i="7" s="1"/>
  <c r="J6" i="26" s="1"/>
  <c r="G46" i="17"/>
  <c r="K8" i="7"/>
  <c r="K29" i="7"/>
  <c r="K38" i="7"/>
  <c r="I6" i="26"/>
  <c r="M21" i="17"/>
  <c r="M20" i="17"/>
  <c r="M19" i="17"/>
  <c r="M18" i="17"/>
  <c r="M17" i="17"/>
  <c r="H44" i="17"/>
  <c r="H46" i="17" s="1"/>
  <c r="E38" i="26"/>
  <c r="E39" i="26" s="1"/>
  <c r="F38" i="26" s="1"/>
  <c r="E47" i="17"/>
  <c r="F25" i="26"/>
  <c r="F37" i="26" s="1"/>
  <c r="G22" i="26"/>
  <c r="I31" i="17"/>
  <c r="L14" i="26"/>
  <c r="M36" i="17"/>
  <c r="L18" i="26" s="1"/>
  <c r="J29" i="17"/>
  <c r="J30" i="17"/>
  <c r="I12" i="17"/>
  <c r="I24" i="17" s="1"/>
  <c r="J23" i="17"/>
  <c r="I34" i="17"/>
  <c r="N4" i="17"/>
  <c r="N14" i="17" s="1"/>
  <c r="G15" i="28" l="1" a="1"/>
  <c r="G15" i="28" s="1"/>
  <c r="H15" i="28" a="1"/>
  <c r="H15" i="28" s="1"/>
  <c r="C15" i="28" a="1"/>
  <c r="C15" i="28" s="1"/>
  <c r="D15" i="28" a="1"/>
  <c r="D15" i="28" s="1"/>
  <c r="J14" i="28"/>
  <c r="F14" i="28"/>
  <c r="B15" i="28" s="1"/>
  <c r="K14" i="28"/>
  <c r="I19" i="26"/>
  <c r="K38" i="17" a="1"/>
  <c r="K38" i="17" s="1"/>
  <c r="K43" i="17" s="1"/>
  <c r="N10" i="17" a="1"/>
  <c r="N10" i="17" s="1"/>
  <c r="N22" i="17" a="1"/>
  <c r="N22" i="17" s="1"/>
  <c r="N27" i="17" a="1"/>
  <c r="N27" i="17" s="1"/>
  <c r="N11" i="17" a="1"/>
  <c r="N11" i="17" s="1"/>
  <c r="N42" i="17" a="1"/>
  <c r="N42" i="17" s="1"/>
  <c r="N7" i="17" a="1"/>
  <c r="N7" i="17" s="1"/>
  <c r="N16" i="17" a="1"/>
  <c r="N16" i="17" s="1"/>
  <c r="N40" i="17" a="1"/>
  <c r="N40" i="17" s="1"/>
  <c r="N37" i="17" a="1"/>
  <c r="N37" i="17" s="1"/>
  <c r="N15" i="17" a="1"/>
  <c r="N15" i="17" s="1"/>
  <c r="N28" i="17" a="1"/>
  <c r="N28" i="17" s="1"/>
  <c r="N8" i="17" a="1"/>
  <c r="N8" i="17" s="1"/>
  <c r="N33" i="17" a="1"/>
  <c r="N33" i="17" s="1"/>
  <c r="N9" i="17" a="1"/>
  <c r="N9" i="17" s="1"/>
  <c r="N41" i="17" a="1"/>
  <c r="N41" i="17" s="1"/>
  <c r="E15" i="28" a="1"/>
  <c r="E15" i="28" s="1"/>
  <c r="N39" i="17" a="1"/>
  <c r="N39" i="17" s="1"/>
  <c r="G19" i="27"/>
  <c r="J19" i="27" s="1"/>
  <c r="M42" i="7" a="1"/>
  <c r="M42" i="7" s="1"/>
  <c r="M37" i="7" a="1"/>
  <c r="M37" i="7" s="1"/>
  <c r="M34" i="7" a="1"/>
  <c r="M34" i="7" s="1"/>
  <c r="M28" i="7" a="1"/>
  <c r="M28" i="7" s="1"/>
  <c r="M21" i="7" a="1"/>
  <c r="M21" i="7" s="1"/>
  <c r="M7" i="7" a="1"/>
  <c r="M7" i="7" s="1"/>
  <c r="M44" i="7" a="1"/>
  <c r="M44" i="7" s="1"/>
  <c r="M33" i="26" s="1"/>
  <c r="M36" i="26" s="1"/>
  <c r="M40" i="7" a="1"/>
  <c r="M40" i="7" s="1"/>
  <c r="M24" i="7" a="1"/>
  <c r="M24" i="7" s="1"/>
  <c r="M16" i="7" a="1"/>
  <c r="M16" i="7" s="1"/>
  <c r="M9" i="7" a="1"/>
  <c r="M9" i="7" s="1"/>
  <c r="M36" i="7" a="1"/>
  <c r="M36" i="7" s="1"/>
  <c r="M27" i="7" a="1"/>
  <c r="M27" i="7" s="1"/>
  <c r="M20" i="7" a="1"/>
  <c r="M20" i="7" s="1"/>
  <c r="M17" i="7" a="1"/>
  <c r="M17" i="7" s="1"/>
  <c r="M11" i="7" a="1"/>
  <c r="M11" i="7" s="1"/>
  <c r="M23" i="7" a="1"/>
  <c r="M23" i="7" s="1"/>
  <c r="M26" i="7" a="1"/>
  <c r="M26" i="7" s="1"/>
  <c r="M13" i="7" a="1"/>
  <c r="M13" i="7" s="1"/>
  <c r="M5" i="7" a="1"/>
  <c r="M5" i="7" s="1"/>
  <c r="M31" i="7" a="1"/>
  <c r="M31" i="7" s="1"/>
  <c r="M22" i="7" a="1"/>
  <c r="M22" i="7" s="1"/>
  <c r="M18" i="7" a="1"/>
  <c r="M18" i="7" s="1"/>
  <c r="M14" i="7" a="1"/>
  <c r="M14" i="7" s="1"/>
  <c r="M25" i="7" a="1"/>
  <c r="M25" i="7" s="1"/>
  <c r="M19" i="7" a="1"/>
  <c r="M19" i="7" s="1"/>
  <c r="M32" i="7" a="1"/>
  <c r="M32" i="7" s="1"/>
  <c r="M15" i="7" a="1"/>
  <c r="M15" i="7" s="1"/>
  <c r="M12" i="7" a="1"/>
  <c r="M12" i="7" s="1"/>
  <c r="M6" i="7" a="1"/>
  <c r="M6" i="7" s="1"/>
  <c r="L38" i="7"/>
  <c r="L8" i="7"/>
  <c r="L33" i="7"/>
  <c r="A16" i="28"/>
  <c r="N4" i="7"/>
  <c r="L29" i="7"/>
  <c r="J45" i="7"/>
  <c r="K30" i="17" s="1"/>
  <c r="I18" i="27"/>
  <c r="J18" i="27"/>
  <c r="I14" i="28"/>
  <c r="K17" i="27"/>
  <c r="H18" i="27" s="1"/>
  <c r="K39" i="7"/>
  <c r="K41" i="7" s="1"/>
  <c r="K43" i="7" s="1"/>
  <c r="K6" i="26" s="1"/>
  <c r="H45" i="17"/>
  <c r="C5" i="27"/>
  <c r="A9" i="27" s="1"/>
  <c r="N21" i="17"/>
  <c r="N20" i="17"/>
  <c r="N19" i="17"/>
  <c r="N18" i="17"/>
  <c r="N17" i="17"/>
  <c r="P4" i="17"/>
  <c r="I44" i="17"/>
  <c r="I46" i="17" s="1"/>
  <c r="F47" i="17"/>
  <c r="F48" i="17"/>
  <c r="F39" i="26"/>
  <c r="G47" i="17" s="1"/>
  <c r="G25" i="26"/>
  <c r="G37" i="26" s="1"/>
  <c r="H22" i="26"/>
  <c r="M14" i="26"/>
  <c r="N36" i="17"/>
  <c r="M18" i="26" s="1"/>
  <c r="J31" i="17"/>
  <c r="K29" i="17"/>
  <c r="J12" i="17"/>
  <c r="J24" i="17" s="1"/>
  <c r="K23" i="17"/>
  <c r="J34" i="17"/>
  <c r="O4" i="17"/>
  <c r="O14" i="17" s="1"/>
  <c r="G16" i="28" l="1" a="1"/>
  <c r="G16" i="28" s="1"/>
  <c r="H16" i="28" a="1"/>
  <c r="H16" i="28" s="1"/>
  <c r="C16" i="28" a="1"/>
  <c r="C16" i="28" s="1"/>
  <c r="D16" i="28" a="1"/>
  <c r="D16" i="28" s="1"/>
  <c r="J15" i="28"/>
  <c r="F15" i="28"/>
  <c r="B16" i="28" s="1"/>
  <c r="K15" i="28"/>
  <c r="J19" i="26"/>
  <c r="L38" i="17" a="1"/>
  <c r="L38" i="17" s="1"/>
  <c r="L43" i="17" s="1"/>
  <c r="O9" i="17" a="1"/>
  <c r="O9" i="17" s="1"/>
  <c r="O7" i="17" a="1"/>
  <c r="O7" i="17" s="1"/>
  <c r="P7" i="17" s="1"/>
  <c r="O40" i="17" a="1"/>
  <c r="O40" i="17" s="1"/>
  <c r="P40" i="17" s="1"/>
  <c r="O41" i="17" a="1"/>
  <c r="O41" i="17" s="1"/>
  <c r="O16" i="17" a="1"/>
  <c r="O16" i="17" s="1"/>
  <c r="O33" i="17" a="1"/>
  <c r="O33" i="17" s="1"/>
  <c r="O42" i="17" a="1"/>
  <c r="O42" i="17" s="1"/>
  <c r="P42" i="17" s="1"/>
  <c r="O8" i="17" a="1"/>
  <c r="O8" i="17" s="1"/>
  <c r="P8" i="17" s="1"/>
  <c r="O11" i="17" a="1"/>
  <c r="O11" i="17" s="1"/>
  <c r="P11" i="17" s="1"/>
  <c r="O28" i="17" a="1"/>
  <c r="O28" i="17" s="1"/>
  <c r="O27" i="17" a="1"/>
  <c r="O27" i="17" s="1"/>
  <c r="O15" i="17" a="1"/>
  <c r="O15" i="17" s="1"/>
  <c r="P15" i="17" s="1"/>
  <c r="O22" i="17" a="1"/>
  <c r="O22" i="17" s="1"/>
  <c r="O37" i="17" a="1"/>
  <c r="O37" i="17" s="1"/>
  <c r="O10" i="17" a="1"/>
  <c r="O10" i="17" s="1"/>
  <c r="P10" i="17" s="1"/>
  <c r="I19" i="27"/>
  <c r="E16" i="28" a="1"/>
  <c r="E16" i="28" s="1"/>
  <c r="O39" i="17" a="1"/>
  <c r="O39" i="17" s="1"/>
  <c r="P39" i="17" s="1"/>
  <c r="G20" i="27"/>
  <c r="I20" i="27" s="1"/>
  <c r="N44" i="7" a="1"/>
  <c r="N44" i="7" s="1"/>
  <c r="N33" i="26" s="1"/>
  <c r="N36" i="26" s="1"/>
  <c r="N40" i="7" a="1"/>
  <c r="N40" i="7" s="1"/>
  <c r="O40" i="7" s="1"/>
  <c r="N31" i="7" a="1"/>
  <c r="N31" i="7" s="1"/>
  <c r="O31" i="7" s="1"/>
  <c r="N28" i="7" a="1"/>
  <c r="N28" i="7" s="1"/>
  <c r="O28" i="7" s="1"/>
  <c r="N27" i="7" a="1"/>
  <c r="N27" i="7" s="1"/>
  <c r="O27" i="7" s="1"/>
  <c r="N26" i="7" a="1"/>
  <c r="N26" i="7" s="1"/>
  <c r="O26" i="7" s="1"/>
  <c r="N24" i="7" a="1"/>
  <c r="N24" i="7" s="1"/>
  <c r="O24" i="7" s="1"/>
  <c r="N17" i="7" a="1"/>
  <c r="N17" i="7" s="1"/>
  <c r="O17" i="7" s="1"/>
  <c r="N42" i="7" a="1"/>
  <c r="N42" i="7" s="1"/>
  <c r="O42" i="7" s="1"/>
  <c r="N37" i="7" a="1"/>
  <c r="N37" i="7" s="1"/>
  <c r="O37" i="7" s="1"/>
  <c r="N36" i="7" a="1"/>
  <c r="N36" i="7" s="1"/>
  <c r="O36" i="7" s="1"/>
  <c r="N34" i="7" a="1"/>
  <c r="N34" i="7" s="1"/>
  <c r="O34" i="7" s="1"/>
  <c r="N20" i="7" a="1"/>
  <c r="N20" i="7" s="1"/>
  <c r="O20" i="7" s="1"/>
  <c r="N11" i="7" a="1"/>
  <c r="N11" i="7" s="1"/>
  <c r="O11" i="7" s="1"/>
  <c r="N23" i="7" a="1"/>
  <c r="N23" i="7" s="1"/>
  <c r="O23" i="7" s="1"/>
  <c r="N12" i="7" a="1"/>
  <c r="N12" i="7" s="1"/>
  <c r="O12" i="7" s="1"/>
  <c r="N32" i="7" a="1"/>
  <c r="N32" i="7" s="1"/>
  <c r="O32" i="7" s="1"/>
  <c r="N13" i="7" a="1"/>
  <c r="N13" i="7" s="1"/>
  <c r="O13" i="7" s="1"/>
  <c r="N6" i="7" a="1"/>
  <c r="N6" i="7" s="1"/>
  <c r="O6" i="7" s="1"/>
  <c r="N25" i="7" a="1"/>
  <c r="N25" i="7" s="1"/>
  <c r="O25" i="7" s="1"/>
  <c r="N19" i="7" a="1"/>
  <c r="N19" i="7" s="1"/>
  <c r="O19" i="7" s="1"/>
  <c r="N15" i="7" a="1"/>
  <c r="N15" i="7" s="1"/>
  <c r="O15" i="7" s="1"/>
  <c r="N7" i="7" a="1"/>
  <c r="N7" i="7" s="1"/>
  <c r="O7" i="7" s="1"/>
  <c r="N16" i="7" a="1"/>
  <c r="N16" i="7" s="1"/>
  <c r="O16" i="7" s="1"/>
  <c r="N22" i="7" a="1"/>
  <c r="N22" i="7" s="1"/>
  <c r="O22" i="7" s="1"/>
  <c r="N9" i="7" a="1"/>
  <c r="N9" i="7" s="1"/>
  <c r="O9" i="7" s="1"/>
  <c r="N14" i="7" a="1"/>
  <c r="N14" i="7" s="1"/>
  <c r="O14" i="7" s="1"/>
  <c r="N21" i="7" a="1"/>
  <c r="N21" i="7" s="1"/>
  <c r="N18" i="7" a="1"/>
  <c r="N18" i="7" s="1"/>
  <c r="O18" i="7" s="1"/>
  <c r="N5" i="7" a="1"/>
  <c r="N5" i="7" s="1"/>
  <c r="O5" i="7" s="1"/>
  <c r="M8" i="7"/>
  <c r="L39" i="7"/>
  <c r="L41" i="7" s="1"/>
  <c r="L43" i="7" s="1"/>
  <c r="L45" i="7" s="1"/>
  <c r="P4" i="7"/>
  <c r="O4" i="7"/>
  <c r="A17" i="28"/>
  <c r="M38" i="7"/>
  <c r="M33" i="7"/>
  <c r="M29" i="7"/>
  <c r="B9" i="27"/>
  <c r="K45" i="7"/>
  <c r="L30" i="17" s="1"/>
  <c r="K18" i="27"/>
  <c r="H19" i="27" s="1"/>
  <c r="A10" i="27"/>
  <c r="A11" i="27" s="1"/>
  <c r="I15" i="28"/>
  <c r="O21" i="17"/>
  <c r="P21" i="17" s="1"/>
  <c r="O20" i="17"/>
  <c r="P20" i="17" s="1"/>
  <c r="O19" i="17"/>
  <c r="P19" i="17" s="1"/>
  <c r="O18" i="17"/>
  <c r="P18" i="17" s="1"/>
  <c r="O17" i="17"/>
  <c r="I45" i="17"/>
  <c r="J44" i="17"/>
  <c r="J45" i="17" s="1"/>
  <c r="K31" i="17"/>
  <c r="G48" i="17"/>
  <c r="G38" i="26"/>
  <c r="G39" i="26" s="1"/>
  <c r="H25" i="26"/>
  <c r="H37" i="26" s="1"/>
  <c r="I22" i="26"/>
  <c r="P14" i="17"/>
  <c r="O36" i="17"/>
  <c r="L29" i="17"/>
  <c r="K12" i="17"/>
  <c r="K24" i="17" s="1"/>
  <c r="L23" i="17"/>
  <c r="K34" i="17"/>
  <c r="G17" i="28" l="1" a="1"/>
  <c r="G17" i="28" s="1"/>
  <c r="H17" i="28" a="1"/>
  <c r="H17" i="28" s="1"/>
  <c r="C17" i="28" a="1"/>
  <c r="C17" i="28" s="1"/>
  <c r="D17" i="28" a="1"/>
  <c r="D17" i="28" s="1"/>
  <c r="F16" i="28"/>
  <c r="B17" i="28" s="1"/>
  <c r="J16" i="28"/>
  <c r="K16" i="28"/>
  <c r="K19" i="26"/>
  <c r="M38" i="17" a="1"/>
  <c r="M38" i="17" s="1"/>
  <c r="M43" i="17" s="1"/>
  <c r="K19" i="27"/>
  <c r="H20" i="27" s="1"/>
  <c r="J20" i="27"/>
  <c r="E17" i="28" a="1"/>
  <c r="E17" i="28" s="1"/>
  <c r="I16" i="28"/>
  <c r="N33" i="7"/>
  <c r="L6" i="26"/>
  <c r="O44" i="7"/>
  <c r="N38" i="7"/>
  <c r="N29" i="7"/>
  <c r="O8" i="7"/>
  <c r="M39" i="7"/>
  <c r="M41" i="7" s="1"/>
  <c r="M43" i="7" s="1"/>
  <c r="M6" i="26" s="1"/>
  <c r="N8" i="7"/>
  <c r="O21" i="7"/>
  <c r="O29" i="7" s="1"/>
  <c r="O33" i="7"/>
  <c r="O38" i="7"/>
  <c r="P17" i="17"/>
  <c r="E9" i="27"/>
  <c r="B10" i="27" s="1"/>
  <c r="A12" i="27"/>
  <c r="J46" i="17"/>
  <c r="N14" i="26"/>
  <c r="O14" i="26" s="1"/>
  <c r="K44" i="17"/>
  <c r="K45" i="17" s="1"/>
  <c r="N18" i="26"/>
  <c r="O18" i="26" s="1"/>
  <c r="P36" i="17"/>
  <c r="O33" i="26"/>
  <c r="O36" i="26" s="1"/>
  <c r="H38" i="26"/>
  <c r="H39" i="26" s="1"/>
  <c r="H48" i="17"/>
  <c r="H47" i="17"/>
  <c r="I25" i="26"/>
  <c r="I37" i="26" s="1"/>
  <c r="J22" i="26"/>
  <c r="M30" i="17"/>
  <c r="L31" i="17"/>
  <c r="M29" i="17"/>
  <c r="P41" i="17"/>
  <c r="M23" i="17"/>
  <c r="L12" i="17"/>
  <c r="L24" i="17" s="1"/>
  <c r="P33" i="17"/>
  <c r="P34" i="17" s="1"/>
  <c r="L34" i="17"/>
  <c r="F17" i="28" l="1"/>
  <c r="J17" i="28"/>
  <c r="K17" i="28"/>
  <c r="K20" i="27"/>
  <c r="L19" i="26"/>
  <c r="N38" i="17" a="1"/>
  <c r="N38" i="17" s="1"/>
  <c r="N43" i="17" s="1"/>
  <c r="I17" i="28"/>
  <c r="N39" i="7"/>
  <c r="N41" i="7" s="1"/>
  <c r="N43" i="7" s="1"/>
  <c r="N45" i="7" s="1"/>
  <c r="M45" i="7"/>
  <c r="N30" i="17" s="1"/>
  <c r="O39" i="7"/>
  <c r="O41" i="7" s="1"/>
  <c r="O43" i="7" s="1"/>
  <c r="O45" i="7" s="1"/>
  <c r="E10" i="27"/>
  <c r="B11" i="27" s="1"/>
  <c r="E11" i="27" s="1"/>
  <c r="B12" i="27" s="1"/>
  <c r="A13" i="27"/>
  <c r="K46" i="17"/>
  <c r="L44" i="17"/>
  <c r="L45" i="17" s="1"/>
  <c r="I47" i="17"/>
  <c r="I38" i="26"/>
  <c r="I39" i="26" s="1"/>
  <c r="J48" i="17" s="1"/>
  <c r="I48" i="17"/>
  <c r="J25" i="26"/>
  <c r="J37" i="26" s="1"/>
  <c r="K22" i="26"/>
  <c r="P37" i="17"/>
  <c r="M31" i="17"/>
  <c r="N29" i="17"/>
  <c r="M12" i="17"/>
  <c r="M24" i="17" s="1"/>
  <c r="P16" i="17"/>
  <c r="P22" i="17"/>
  <c r="P28" i="17"/>
  <c r="N23" i="17"/>
  <c r="P27" i="17"/>
  <c r="M34" i="17"/>
  <c r="M19" i="26" l="1"/>
  <c r="O38" i="17" a="1"/>
  <c r="O38" i="17" s="1"/>
  <c r="N19" i="26" s="1"/>
  <c r="O19" i="26" s="1"/>
  <c r="N6" i="26"/>
  <c r="O6" i="26" s="1"/>
  <c r="L46" i="17"/>
  <c r="E12" i="27"/>
  <c r="B13" i="27" s="1"/>
  <c r="A14" i="27"/>
  <c r="O30" i="17"/>
  <c r="P30" i="17" s="1"/>
  <c r="P23" i="17"/>
  <c r="N31" i="17"/>
  <c r="J38" i="26"/>
  <c r="J39" i="26" s="1"/>
  <c r="J47" i="17"/>
  <c r="K25" i="26"/>
  <c r="K37" i="26" s="1"/>
  <c r="L22" i="26"/>
  <c r="M44" i="17"/>
  <c r="M45" i="17" s="1"/>
  <c r="O29" i="17"/>
  <c r="P29" i="17" s="1"/>
  <c r="O23" i="17"/>
  <c r="N12" i="17"/>
  <c r="N24" i="17" s="1"/>
  <c r="P9" i="17"/>
  <c r="N34" i="17"/>
  <c r="O43" i="17" l="1"/>
  <c r="P38" i="17"/>
  <c r="P43" i="17" s="1"/>
  <c r="O22" i="26"/>
  <c r="O25" i="26" s="1"/>
  <c r="O37" i="26" s="1"/>
  <c r="O39" i="26" s="1"/>
  <c r="E13" i="27"/>
  <c r="B14" i="27" s="1"/>
  <c r="A15" i="27"/>
  <c r="P31" i="17"/>
  <c r="P12" i="17"/>
  <c r="P24" i="17" s="1"/>
  <c r="N44" i="17"/>
  <c r="N45" i="17" s="1"/>
  <c r="K48" i="17"/>
  <c r="K47" i="17"/>
  <c r="K38" i="26"/>
  <c r="K39" i="26" s="1"/>
  <c r="L47" i="17" s="1"/>
  <c r="L25" i="26"/>
  <c r="L37" i="26" s="1"/>
  <c r="M22" i="26"/>
  <c r="N22" i="26"/>
  <c r="M46" i="17"/>
  <c r="O31" i="17"/>
  <c r="O12" i="17"/>
  <c r="O24" i="17" s="1"/>
  <c r="O34" i="17"/>
  <c r="P44" i="17" l="1"/>
  <c r="E14" i="27"/>
  <c r="B15" i="27" s="1"/>
  <c r="A16" i="27"/>
  <c r="N46" i="17"/>
  <c r="L48" i="17"/>
  <c r="L38" i="26"/>
  <c r="L39" i="26" s="1"/>
  <c r="N25" i="26"/>
  <c r="N37" i="26" s="1"/>
  <c r="M25" i="26"/>
  <c r="M37" i="26" s="1"/>
  <c r="O44" i="17"/>
  <c r="E15" i="27" l="1"/>
  <c r="B16" i="27" s="1"/>
  <c r="A17" i="27"/>
  <c r="M47" i="17"/>
  <c r="M48" i="17"/>
  <c r="M38" i="26"/>
  <c r="M39" i="26" s="1"/>
  <c r="O46" i="17"/>
  <c r="O45" i="17"/>
  <c r="E16" i="27" l="1"/>
  <c r="B17" i="27" s="1"/>
  <c r="A18" i="27"/>
  <c r="N47" i="17"/>
  <c r="N48" i="17"/>
  <c r="N38" i="26"/>
  <c r="N39" i="26" s="1"/>
  <c r="O47" i="17" s="1"/>
  <c r="E17" i="27" l="1"/>
  <c r="B18" i="27" s="1"/>
  <c r="A19" i="27"/>
  <c r="O48" i="17"/>
  <c r="E18" i="27" l="1"/>
  <c r="B19" i="27" s="1"/>
  <c r="A20" i="27"/>
  <c r="E19" i="27" l="1"/>
  <c r="B20" i="27" s="1"/>
  <c r="A21" i="27"/>
  <c r="E20" i="27" l="1"/>
  <c r="B21" i="27" s="1"/>
  <c r="A22" i="27"/>
  <c r="E21" i="27" l="1"/>
  <c r="B22" i="27" s="1"/>
  <c r="A23" i="27"/>
  <c r="E22" i="27" l="1"/>
  <c r="B23" i="27" s="1"/>
  <c r="A24" i="27"/>
  <c r="E23" i="27" l="1"/>
  <c r="B24" i="27" s="1"/>
  <c r="A25" i="27"/>
  <c r="E24" i="27" l="1"/>
  <c r="B25" i="27" s="1"/>
  <c r="A26" i="27"/>
  <c r="E25" i="27" l="1"/>
  <c r="B26" i="27" s="1"/>
  <c r="A27" i="27"/>
  <c r="E26" i="27" l="1"/>
  <c r="B27" i="27" s="1"/>
  <c r="A28" i="27"/>
  <c r="E27" i="27" l="1"/>
  <c r="B28" i="27" s="1"/>
  <c r="A29" i="27"/>
  <c r="E28" i="27" l="1"/>
  <c r="B29" i="27" s="1"/>
  <c r="A30" i="27"/>
  <c r="E29" i="27" l="1"/>
  <c r="B30" i="27" s="1"/>
  <c r="A31" i="27"/>
  <c r="E30" i="27" l="1"/>
  <c r="B31" i="27" s="1"/>
  <c r="A32" i="27"/>
  <c r="E31" i="27" l="1"/>
  <c r="B32" i="27" s="1"/>
  <c r="A33" i="27"/>
  <c r="E32" i="27" l="1"/>
  <c r="B33" i="27" s="1"/>
  <c r="A34" i="27"/>
  <c r="E33" i="27" l="1"/>
  <c r="B34" i="27" s="1"/>
  <c r="A35" i="27"/>
  <c r="E34" i="27" l="1"/>
  <c r="B35" i="27" s="1"/>
  <c r="A36" i="27"/>
  <c r="E35" i="27" l="1"/>
  <c r="B36" i="27" s="1"/>
  <c r="A37" i="27"/>
  <c r="E36" i="27" l="1"/>
  <c r="B37" i="27" s="1"/>
  <c r="A38" i="27"/>
  <c r="E37" i="27" l="1"/>
  <c r="B38" i="27"/>
  <c r="A39" i="27"/>
  <c r="E38" i="27" l="1"/>
  <c r="B39" i="27"/>
  <c r="E39" i="2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<sst xmlns="http://schemas.openxmlformats.org/spreadsheetml/2006/main" count="3279" uniqueCount="769">
  <si>
    <t>If you experience any difficulty while using this template and you are not able to find the appropriate guidance in these instructions, please e-mail us at support@excel-skills.com for assistance. This template has been designed with flexibility in mind to ensure that it can be used in most business environments. If however you need an Excel based template that is customized specifically for your business requirements, please e-mail our Support function and provide a brief explanation of your requirements.</t>
  </si>
  <si>
    <t>Excel Skills | Basic Accounting Template</t>
  </si>
  <si>
    <t>Recording Transactions - Income</t>
  </si>
  <si>
    <t>Trial Balance</t>
  </si>
  <si>
    <t>XY Solutions</t>
  </si>
  <si>
    <t>IS Communications</t>
  </si>
  <si>
    <t>S77782</t>
  </si>
  <si>
    <t>Furniture</t>
  </si>
  <si>
    <t>Office equipment</t>
  </si>
  <si>
    <t>DF Equipment</t>
  </si>
  <si>
    <t>Furniture City</t>
  </si>
  <si>
    <t>IAS Accountants</t>
  </si>
  <si>
    <t>Service Fees</t>
  </si>
  <si>
    <t>XY Traders</t>
  </si>
  <si>
    <t>Invoice 9987</t>
  </si>
  <si>
    <t>Invoice11203</t>
  </si>
  <si>
    <t>Invoice 12987</t>
  </si>
  <si>
    <t>Invoice 13432</t>
  </si>
  <si>
    <t>Invoice 14278</t>
  </si>
  <si>
    <t>Waltons</t>
  </si>
  <si>
    <t>IN1179</t>
  </si>
  <si>
    <t>IN1181</t>
  </si>
  <si>
    <t>IN1185</t>
  </si>
  <si>
    <t>IN1192</t>
  </si>
  <si>
    <t>GF Supplies</t>
  </si>
  <si>
    <t>PR Properties</t>
  </si>
  <si>
    <t>Salaries</t>
  </si>
  <si>
    <t>Newscorp</t>
  </si>
  <si>
    <t>ACC Institute</t>
  </si>
  <si>
    <t>Invoice EXP22</t>
  </si>
  <si>
    <t>Invoice EXP23</t>
  </si>
  <si>
    <t>Invoice EXP24</t>
  </si>
  <si>
    <t>Invoice EXP25</t>
  </si>
  <si>
    <t>Invoice EXP26</t>
  </si>
  <si>
    <t>Invoice EXP27</t>
  </si>
  <si>
    <t>Invoice EXP28</t>
  </si>
  <si>
    <t>Invoice EXP29</t>
  </si>
  <si>
    <t>Invoice EXP30</t>
  </si>
  <si>
    <t>Invoice EXP31</t>
  </si>
  <si>
    <t>Invoice EXP32</t>
  </si>
  <si>
    <t>Invoice EXP33</t>
  </si>
  <si>
    <t>Training Inc</t>
  </si>
  <si>
    <t>QQ International</t>
  </si>
  <si>
    <t>TR6998</t>
  </si>
  <si>
    <t>SA Airlines</t>
  </si>
  <si>
    <t>SA11235</t>
  </si>
  <si>
    <t>SA11988</t>
  </si>
  <si>
    <t>SA12741</t>
  </si>
  <si>
    <t>Inland Revenue</t>
  </si>
  <si>
    <t>JSE Brokers</t>
  </si>
  <si>
    <t>Remittance</t>
  </si>
  <si>
    <t>Share investment</t>
  </si>
  <si>
    <t>QA Attorneys</t>
  </si>
  <si>
    <t>Legal advice</t>
  </si>
  <si>
    <t>HP Finance</t>
  </si>
  <si>
    <t>Interest paid</t>
  </si>
  <si>
    <t>Capital repayment</t>
  </si>
  <si>
    <t>Sales Tax</t>
  </si>
  <si>
    <t>Help &amp; Customization</t>
  </si>
  <si>
    <t>Supplier</t>
  </si>
  <si>
    <t>Reference</t>
  </si>
  <si>
    <t>Description</t>
  </si>
  <si>
    <t>Instructions</t>
  </si>
  <si>
    <t>Recording Transactions - Expenses</t>
  </si>
  <si>
    <t>www.excel-skills.com</t>
  </si>
  <si>
    <t>Business Name</t>
  </si>
  <si>
    <t>Opening Balance</t>
  </si>
  <si>
    <t>Other Income</t>
  </si>
  <si>
    <t>Bank Charges</t>
  </si>
  <si>
    <t>Computer Expenses</t>
  </si>
  <si>
    <t>Entertainment</t>
  </si>
  <si>
    <t>Insurance</t>
  </si>
  <si>
    <t>Office Expenses</t>
  </si>
  <si>
    <t>Postage</t>
  </si>
  <si>
    <t>Professional &amp; Legal Fees</t>
  </si>
  <si>
    <t>Stationery</t>
  </si>
  <si>
    <t>Subscriptions &amp; Memberships</t>
  </si>
  <si>
    <t>Telephone &amp; Internet</t>
  </si>
  <si>
    <t>Training</t>
  </si>
  <si>
    <t>Travelling &amp; Accommodation</t>
  </si>
  <si>
    <t>Accounting Fees</t>
  </si>
  <si>
    <t>Office Rent</t>
  </si>
  <si>
    <t>Commission</t>
  </si>
  <si>
    <t>Utilities</t>
  </si>
  <si>
    <t>Consumables &amp; Cleaning</t>
  </si>
  <si>
    <t>Interest Paid</t>
  </si>
  <si>
    <t>Taxation</t>
  </si>
  <si>
    <t>Long Term Liabilities</t>
  </si>
  <si>
    <t>Invoice Date</t>
  </si>
  <si>
    <t>Customer</t>
  </si>
  <si>
    <t>Invoice Number</t>
  </si>
  <si>
    <t>Payment Date</t>
  </si>
  <si>
    <t>Tax Inclusive Amount</t>
  </si>
  <si>
    <t>A</t>
  </si>
  <si>
    <t>Exclusive Amount</t>
  </si>
  <si>
    <t>Document Date</t>
  </si>
  <si>
    <t>Other Expenses</t>
  </si>
  <si>
    <t>Retained Earnings</t>
  </si>
  <si>
    <t>Total Assets</t>
  </si>
  <si>
    <t>Total Equity &amp; Liabilities</t>
  </si>
  <si>
    <t>Balance Sheet</t>
  </si>
  <si>
    <t>Control Accounts</t>
  </si>
  <si>
    <t>Investments</t>
  </si>
  <si>
    <t>Other Debtors</t>
  </si>
  <si>
    <t>Reserves</t>
  </si>
  <si>
    <t>Depreciation</t>
  </si>
  <si>
    <t>Trade Debtors</t>
  </si>
  <si>
    <t>Trade Creditors</t>
  </si>
  <si>
    <t>E</t>
  </si>
  <si>
    <t>Bank Statement</t>
  </si>
  <si>
    <t>Debit Order</t>
  </si>
  <si>
    <t>Roll Forward for Subsequent Financial Periods</t>
  </si>
  <si>
    <t>Invoice</t>
  </si>
  <si>
    <t>Advertising &amp; Marketing</t>
  </si>
  <si>
    <t>Internet Service Provider</t>
  </si>
  <si>
    <t>Payroll</t>
  </si>
  <si>
    <t>Rent</t>
  </si>
  <si>
    <t>Course</t>
  </si>
  <si>
    <t>Parking</t>
  </si>
  <si>
    <t>Consumables</t>
  </si>
  <si>
    <t>Travel</t>
  </si>
  <si>
    <t>Return</t>
  </si>
  <si>
    <t>Provisional Tax</t>
  </si>
  <si>
    <t>Subscriptions</t>
  </si>
  <si>
    <t>Accommodation</t>
  </si>
  <si>
    <t>M00321037</t>
  </si>
  <si>
    <t>Annual Membership</t>
  </si>
  <si>
    <t>M00353051</t>
  </si>
  <si>
    <t>Example (Pty) Ltd</t>
  </si>
  <si>
    <t>Inclusive Amount</t>
  </si>
  <si>
    <t>Opening Bank Balance</t>
  </si>
  <si>
    <t>PTY Consultants</t>
  </si>
  <si>
    <t>DF Manufacturing</t>
  </si>
  <si>
    <t>XX Building Supplies</t>
  </si>
  <si>
    <t>TRF Solutions</t>
  </si>
  <si>
    <t>The Paint Shop</t>
  </si>
  <si>
    <t>WW Retail</t>
  </si>
  <si>
    <t>CC Supplies</t>
  </si>
  <si>
    <t>Energy Incorporated</t>
  </si>
  <si>
    <t>IT Solutions</t>
  </si>
  <si>
    <t>GP Accountants</t>
  </si>
  <si>
    <t>WC Financial Advisors</t>
  </si>
  <si>
    <t>EC Estate Agents</t>
  </si>
  <si>
    <t>Bank Accounts</t>
  </si>
  <si>
    <t>Code</t>
  </si>
  <si>
    <t>B1</t>
  </si>
  <si>
    <t>B1 Bank Account</t>
  </si>
  <si>
    <t>B2</t>
  </si>
  <si>
    <t>B2 Bank Account</t>
  </si>
  <si>
    <t>B3</t>
  </si>
  <si>
    <t>B3 Bank Account</t>
  </si>
  <si>
    <t>PC</t>
  </si>
  <si>
    <t>Input Error Codes</t>
  </si>
  <si>
    <t>Reason</t>
  </si>
  <si>
    <t>E1</t>
  </si>
  <si>
    <t>Payment date is before the invoice / document date</t>
  </si>
  <si>
    <t>E2</t>
  </si>
  <si>
    <t>Account number is invalid</t>
  </si>
  <si>
    <t>E3</t>
  </si>
  <si>
    <t>Bank code is invalid</t>
  </si>
  <si>
    <t>Cash Transfer Control</t>
  </si>
  <si>
    <t>Bank Code</t>
  </si>
  <si>
    <t>Error Code</t>
  </si>
  <si>
    <t>Expenses &amp; Other Payments</t>
  </si>
  <si>
    <t>IQ Bonds</t>
  </si>
  <si>
    <t>ABC Bank</t>
  </si>
  <si>
    <t>I381119</t>
  </si>
  <si>
    <t>EAG Brokers</t>
  </si>
  <si>
    <t>Capital Bank</t>
  </si>
  <si>
    <t>Interflora</t>
  </si>
  <si>
    <t>Cash</t>
  </si>
  <si>
    <t>Flowers</t>
  </si>
  <si>
    <t>Transfer</t>
  </si>
  <si>
    <t>Inter Account Transfer</t>
  </si>
  <si>
    <t>Petty Cash Reimbursement</t>
  </si>
  <si>
    <t>City Lodge</t>
  </si>
  <si>
    <t>S50037</t>
  </si>
  <si>
    <t>Note: Petty cash transactions should be treated in the same way as transactions that are processed through a bank account. This means that petty cash reimbursements should also be treated as transfers between bank accounts and allocated to the Cash Transfer Control account. Both the withdrawal out of the appropriate bank account and the "deposit" of cash into the petty cash account should therefore be recorded.</t>
  </si>
  <si>
    <t>Error Codes</t>
  </si>
  <si>
    <t>The following error codes may result from inaccurate input on the Income and Expenses sheets and will be displayed in the Error Code columns. The heading of the affected input column will be highlighted in orange:</t>
  </si>
  <si>
    <t>■ Review the Income and Expenses sheets and ensure that there are no error codes in the Error Code columns. The Error Code columns on both sheets should contain no error codes - if an error code is displayed in any transaction row, refer to the Error Codes section of these instructions for guidance on the reason why an error code is displayed and the corrective action that needs to be taken.</t>
  </si>
  <si>
    <t>■ Review the Income and Expenses sheets and ensure that a bank code has been allocated to all transactions. If there are any blank cells in the Bank Code column, select the appropriate bank code from the list box.</t>
  </si>
  <si>
    <t>© Copyright</t>
  </si>
  <si>
    <t>This template remains the intellectual property of www.excel-skills.com and is protected by international copyright laws. Any publication or distribution of this template outside the scope of the permitted use of the template is expressly prohibited. In terms of the permitted use of this template, only the distribution of the template to persons within the same organisation as the registered user or persons outside the organisation who can reasonably be expected to require access to the template as a direct result of the use of the template by the registered user is allowed. Subsequent distribution of the template by parties outside of the organisation is however expressly prohibited and represents an infringement of international copyright laws.</t>
  </si>
  <si>
    <t>B</t>
  </si>
  <si>
    <t>Setup</t>
  </si>
  <si>
    <t>Example (Pty) Limited</t>
  </si>
  <si>
    <t>Report Setup</t>
  </si>
  <si>
    <t>ASSETS</t>
  </si>
  <si>
    <t>Non-Current Assets</t>
  </si>
  <si>
    <t>Property, Plant &amp; Equipment - Cost</t>
  </si>
  <si>
    <t>Intangible Assets - Cost</t>
  </si>
  <si>
    <t>Intangible Assets - Amortization</t>
  </si>
  <si>
    <t>Land &amp; Buildings - Cost</t>
  </si>
  <si>
    <t>Plant &amp; Equipment - Cost</t>
  </si>
  <si>
    <t>Furniture &amp; Fittings - Cost</t>
  </si>
  <si>
    <t>Office Equipment - Cost</t>
  </si>
  <si>
    <t>Computer Equipment - Cost</t>
  </si>
  <si>
    <t>Other Assets - Cost</t>
  </si>
  <si>
    <t>Land &amp; Buildings - Accum Depreciation</t>
  </si>
  <si>
    <t>Plant &amp; Equipment - Accum Depreciation</t>
  </si>
  <si>
    <t>Furniture &amp; Fittings - Accum Depreciation</t>
  </si>
  <si>
    <t>Office Equipment -  Accum Depreciation</t>
  </si>
  <si>
    <t>Computer Equipment -  Accum Depreciation</t>
  </si>
  <si>
    <t>Other Assets -  Accum Depreciation</t>
  </si>
  <si>
    <t>Goodwill - Cost</t>
  </si>
  <si>
    <t>Trademarks - Cost</t>
  </si>
  <si>
    <t>Software - Cost</t>
  </si>
  <si>
    <t>Goodwill - Accum Amortization</t>
  </si>
  <si>
    <t>Trademarks - Accum Amortization</t>
  </si>
  <si>
    <t>Software - Accum Amortization</t>
  </si>
  <si>
    <t>Loans &amp; Advances</t>
  </si>
  <si>
    <t>Current Assets</t>
  </si>
  <si>
    <t>Prepayments</t>
  </si>
  <si>
    <t>Cash On Hand</t>
  </si>
  <si>
    <t>PC Petty Cash</t>
  </si>
  <si>
    <t>End of list</t>
  </si>
  <si>
    <t>JC</t>
  </si>
  <si>
    <t>GL Journal Control</t>
  </si>
  <si>
    <t>EQUITY &amp; LIABILITIES</t>
  </si>
  <si>
    <t>Equity</t>
  </si>
  <si>
    <t>Shareholders' Contributions</t>
  </si>
  <si>
    <t>Non-Current Liabilities</t>
  </si>
  <si>
    <t>Long Term Loans</t>
  </si>
  <si>
    <t>Current Liabilities</t>
  </si>
  <si>
    <t>Accruals</t>
  </si>
  <si>
    <t>Provision For Taxation</t>
  </si>
  <si>
    <t>Provision For Bonuses</t>
  </si>
  <si>
    <t>Payroll Accruals</t>
  </si>
  <si>
    <t>Interest Payable</t>
  </si>
  <si>
    <t>Dividends Payable</t>
  </si>
  <si>
    <t>Account 
Number</t>
  </si>
  <si>
    <t>Account Description</t>
  </si>
  <si>
    <t>Trial Balance: Opening Balance</t>
  </si>
  <si>
    <t>Trial Balance: Closing Balance</t>
  </si>
  <si>
    <t>Template: 
Opening Balance</t>
  </si>
  <si>
    <t>Account 
Movement</t>
  </si>
  <si>
    <t>Amortization</t>
  </si>
  <si>
    <t>Dividends</t>
  </si>
  <si>
    <t>Foreign Exchange Loss</t>
  </si>
  <si>
    <t>Loss on Disposal of Assets</t>
  </si>
  <si>
    <t>Property, Plant &amp; Equipment - Accum Dep</t>
  </si>
  <si>
    <t>BS-0005</t>
  </si>
  <si>
    <t>BS-0010</t>
  </si>
  <si>
    <t>BS-0015</t>
  </si>
  <si>
    <t>BS-0020</t>
  </si>
  <si>
    <t>BS-0025</t>
  </si>
  <si>
    <t>BS-0030</t>
  </si>
  <si>
    <t>BS-0105</t>
  </si>
  <si>
    <t>BS-0110</t>
  </si>
  <si>
    <t>BS-0115</t>
  </si>
  <si>
    <t>BS-0120</t>
  </si>
  <si>
    <t>BS-0125</t>
  </si>
  <si>
    <t>BS-0130</t>
  </si>
  <si>
    <t>BS-00G</t>
  </si>
  <si>
    <t>BS-01G</t>
  </si>
  <si>
    <t>BS-0205</t>
  </si>
  <si>
    <t>BS-0210</t>
  </si>
  <si>
    <t>BS-0215</t>
  </si>
  <si>
    <t>BS-0305</t>
  </si>
  <si>
    <t>BS-0310</t>
  </si>
  <si>
    <t>BS-0315</t>
  </si>
  <si>
    <t>BS-0400</t>
  </si>
  <si>
    <t>BS-0500</t>
  </si>
  <si>
    <t>BS-03G</t>
  </si>
  <si>
    <t>BS-04G</t>
  </si>
  <si>
    <t>BS-02G</t>
  </si>
  <si>
    <t>BS-RCG</t>
  </si>
  <si>
    <t>BS-05G</t>
  </si>
  <si>
    <t>BS-0900</t>
  </si>
  <si>
    <t>BS-0905</t>
  </si>
  <si>
    <t>BS-09G</t>
  </si>
  <si>
    <t>BS-PAG</t>
  </si>
  <si>
    <t>BS-RTG</t>
  </si>
  <si>
    <t>BS-0700</t>
  </si>
  <si>
    <t>BS-0799</t>
  </si>
  <si>
    <t>BS-07G</t>
  </si>
  <si>
    <t>BS-1300</t>
  </si>
  <si>
    <t>BS-1305</t>
  </si>
  <si>
    <t>BS-1310</t>
  </si>
  <si>
    <t>BS-13G</t>
  </si>
  <si>
    <t>BS-1405</t>
  </si>
  <si>
    <t>BS-14G</t>
  </si>
  <si>
    <t>BS-15G</t>
  </si>
  <si>
    <t>BS-1700</t>
  </si>
  <si>
    <t>BS-17G</t>
  </si>
  <si>
    <t>BS-18G</t>
  </si>
  <si>
    <t>BS-ING</t>
  </si>
  <si>
    <t>BS-16G</t>
  </si>
  <si>
    <t>IS-0305</t>
  </si>
  <si>
    <t>IS-0310</t>
  </si>
  <si>
    <t>IS-0315</t>
  </si>
  <si>
    <t>IS-0320</t>
  </si>
  <si>
    <t>IS-0325</t>
  </si>
  <si>
    <t>IS-0330</t>
  </si>
  <si>
    <t>IS-0335</t>
  </si>
  <si>
    <t>IS-0340</t>
  </si>
  <si>
    <t>IS-0345</t>
  </si>
  <si>
    <t>IS-0350</t>
  </si>
  <si>
    <t>IS-0355</t>
  </si>
  <si>
    <t>IS-0360</t>
  </si>
  <si>
    <t>IS-0365</t>
  </si>
  <si>
    <t>IS-0370</t>
  </si>
  <si>
    <t>IS-0375</t>
  </si>
  <si>
    <t>IS-0380</t>
  </si>
  <si>
    <t>IS-0385</t>
  </si>
  <si>
    <t>IS-0390</t>
  </si>
  <si>
    <t>IS-0505</t>
  </si>
  <si>
    <t>IS-0510</t>
  </si>
  <si>
    <t>IS-0600</t>
  </si>
  <si>
    <t>IS-0700</t>
  </si>
  <si>
    <t>IS-0800</t>
  </si>
  <si>
    <t>IS-0805</t>
  </si>
  <si>
    <t>IS-0810</t>
  </si>
  <si>
    <t>IS-0900</t>
  </si>
  <si>
    <t>IS-1000</t>
  </si>
  <si>
    <t>IS-0110</t>
  </si>
  <si>
    <t>IS-0105</t>
  </si>
  <si>
    <t>IS-0115</t>
  </si>
  <si>
    <t>Account Group Setup</t>
  </si>
  <si>
    <t>BS-1900</t>
  </si>
  <si>
    <t>BS-00</t>
  </si>
  <si>
    <t>BS-01</t>
  </si>
  <si>
    <t>BS-02</t>
  </si>
  <si>
    <t>BS-03</t>
  </si>
  <si>
    <t>BS-04</t>
  </si>
  <si>
    <t>BS-05</t>
  </si>
  <si>
    <t>BS-07</t>
  </si>
  <si>
    <t>BS-09</t>
  </si>
  <si>
    <t>BS-13</t>
  </si>
  <si>
    <t>BS-14</t>
  </si>
  <si>
    <t>BS-15</t>
  </si>
  <si>
    <t>BS-16</t>
  </si>
  <si>
    <t>BS-17</t>
  </si>
  <si>
    <t>BS-18</t>
  </si>
  <si>
    <t>BS-19</t>
  </si>
  <si>
    <t>Operating Expenses</t>
  </si>
  <si>
    <t>Staff Costs</t>
  </si>
  <si>
    <t>Depreciation &amp; Amortization</t>
  </si>
  <si>
    <t>Taxation Paid</t>
  </si>
  <si>
    <t>Dividends Paid</t>
  </si>
  <si>
    <t>IS-01</t>
  </si>
  <si>
    <t>IS-03</t>
  </si>
  <si>
    <t>IS-04</t>
  </si>
  <si>
    <t>IS-05</t>
  </si>
  <si>
    <t>IS-06</t>
  </si>
  <si>
    <t>IS-07</t>
  </si>
  <si>
    <t>IS-08</t>
  </si>
  <si>
    <t>IS-09</t>
  </si>
  <si>
    <t>IS-10</t>
  </si>
  <si>
    <t>© www.excel-skills.com</t>
  </si>
  <si>
    <t>Group 
Key</t>
  </si>
  <si>
    <t>Group Description</t>
  </si>
  <si>
    <t>Income From Services</t>
  </si>
  <si>
    <t>BS-B</t>
  </si>
  <si>
    <t>Retained Earnings - Opening</t>
  </si>
  <si>
    <t>Retained Earnings - Current</t>
  </si>
  <si>
    <t>Key</t>
  </si>
  <si>
    <t>BS-RC</t>
  </si>
  <si>
    <t>BS-PA</t>
  </si>
  <si>
    <t>BS-RT</t>
  </si>
  <si>
    <t>BS-IN</t>
  </si>
  <si>
    <t>IS-09G</t>
  </si>
  <si>
    <t>Total Turnover</t>
  </si>
  <si>
    <t>IS-0405</t>
  </si>
  <si>
    <t>Salaries &amp; Wages - Staff</t>
  </si>
  <si>
    <t>IS-0410</t>
  </si>
  <si>
    <t>Salaries &amp; Wages - Management</t>
  </si>
  <si>
    <t>Total Operating Expenses</t>
  </si>
  <si>
    <t>Total Staff Costs</t>
  </si>
  <si>
    <t>Total Depreciation &amp; Amortization</t>
  </si>
  <si>
    <t>Profit / (Loss) before Interest &amp; Tax</t>
  </si>
  <si>
    <t>IS-06G</t>
  </si>
  <si>
    <t>Profit / (Loss) before tax</t>
  </si>
  <si>
    <t>Profit / (Loss) for the year</t>
  </si>
  <si>
    <t>IS-07G</t>
  </si>
  <si>
    <t>IS-10G</t>
  </si>
  <si>
    <t>Retained earnings for the year</t>
  </si>
  <si>
    <t>IS-08G</t>
  </si>
  <si>
    <t>Income Statement</t>
  </si>
  <si>
    <t>Cash Flow Statement</t>
  </si>
  <si>
    <t>Cash flows from operating activities</t>
  </si>
  <si>
    <t>Adjustment for non-cash expenses:</t>
  </si>
  <si>
    <t>Changes in operating assets &amp; liabilities</t>
  </si>
  <si>
    <t>Other Provisions</t>
  </si>
  <si>
    <t>Cash generated from operations</t>
  </si>
  <si>
    <t>Net cash from operating activities</t>
  </si>
  <si>
    <t>Cash flows from investing activities</t>
  </si>
  <si>
    <t>Net cash used in investing activities</t>
  </si>
  <si>
    <t>Cash flows from financing activities</t>
  </si>
  <si>
    <t>Net cash from financing activities</t>
  </si>
  <si>
    <t>Increase / (Decrease) in cash equivalents</t>
  </si>
  <si>
    <t>Cash &amp; cash equivalents at beginning of year</t>
  </si>
  <si>
    <t>Cash &amp; cash equivalents at end of year</t>
  </si>
  <si>
    <t>None</t>
  </si>
  <si>
    <t>Journal</t>
  </si>
  <si>
    <t>cash flow statement status</t>
  </si>
  <si>
    <t>balance sheet status</t>
  </si>
  <si>
    <t>Provision for Taxation</t>
  </si>
  <si>
    <t>BS-2000</t>
  </si>
  <si>
    <t>BS-20</t>
  </si>
  <si>
    <t>BS-1505</t>
  </si>
  <si>
    <t>BS-1610</t>
  </si>
  <si>
    <t>BS-1805</t>
  </si>
  <si>
    <t>BS-20G</t>
  </si>
  <si>
    <t>BS-19G</t>
  </si>
  <si>
    <t>Status</t>
  </si>
  <si>
    <t>TB Status</t>
  </si>
  <si>
    <t>BS Status</t>
  </si>
  <si>
    <t>Trial Balance &amp; Chart of Accounts</t>
  </si>
  <si>
    <t>* Should be set once when you start using the template</t>
  </si>
  <si>
    <t>** Change annually to roll reporting periods forward or back</t>
  </si>
  <si>
    <t>Percentage</t>
  </si>
  <si>
    <t>C</t>
  </si>
  <si>
    <t>Exempt</t>
  </si>
  <si>
    <t>Z</t>
  </si>
  <si>
    <t>Zero Rated</t>
  </si>
  <si>
    <t>Standard Sales Tax 1</t>
  </si>
  <si>
    <t>Standard Sales Tax 2</t>
  </si>
  <si>
    <t>Standard Sales Tax 3</t>
  </si>
  <si>
    <t>Payment Amount</t>
  </si>
  <si>
    <t>Outstanding Balance</t>
  </si>
  <si>
    <t>Balance Date</t>
  </si>
  <si>
    <t>Unique INV</t>
  </si>
  <si>
    <t>Month</t>
  </si>
  <si>
    <t>Day</t>
  </si>
  <si>
    <t>Income</t>
  </si>
  <si>
    <t>Expenses</t>
  </si>
  <si>
    <t>Opening</t>
  </si>
  <si>
    <t>Closing</t>
  </si>
  <si>
    <t>Output</t>
  </si>
  <si>
    <t>Input</t>
  </si>
  <si>
    <t xml:space="preserve">Payment </t>
  </si>
  <si>
    <t>Inclusive</t>
  </si>
  <si>
    <t>Recording of opening balances</t>
  </si>
  <si>
    <t>Assets are debit balances and should be entered as positive values.</t>
  </si>
  <si>
    <t>Liabilities are credit balances and should be entered as negative values.</t>
  </si>
  <si>
    <t>Equity items are credit balances and should be entered as negative values.</t>
  </si>
  <si>
    <t>Bank and trade debtor balances should be entered on the Income sheet.</t>
  </si>
  <si>
    <t>Trade creditor balances should be entered on the Expenses sheet.</t>
  </si>
  <si>
    <t>The total in column C should be nil if all opening balances have been entered correctly.</t>
  </si>
  <si>
    <t>Commission Received</t>
  </si>
  <si>
    <t>IN0051</t>
  </si>
  <si>
    <t>IN0052</t>
  </si>
  <si>
    <t>IN0053</t>
  </si>
  <si>
    <t>IN0054</t>
  </si>
  <si>
    <t>IN0055</t>
  </si>
  <si>
    <t>IN0056</t>
  </si>
  <si>
    <t>IN0057</t>
  </si>
  <si>
    <t>IN0058</t>
  </si>
  <si>
    <t>IN0059</t>
  </si>
  <si>
    <t>IN0060</t>
  </si>
  <si>
    <t>IN0061</t>
  </si>
  <si>
    <t>IN0062</t>
  </si>
  <si>
    <t>IN0063</t>
  </si>
  <si>
    <t>IN0064</t>
  </si>
  <si>
    <t>IN0065</t>
  </si>
  <si>
    <t>IN0066</t>
  </si>
  <si>
    <t>IN0067</t>
  </si>
  <si>
    <t>IN0068</t>
  </si>
  <si>
    <t>IN0069</t>
  </si>
  <si>
    <t>IN0070</t>
  </si>
  <si>
    <t>IN0071</t>
  </si>
  <si>
    <t>IN0072</t>
  </si>
  <si>
    <t>IN0073</t>
  </si>
  <si>
    <t>IN0074</t>
  </si>
  <si>
    <t>IN0075</t>
  </si>
  <si>
    <t>IN0076</t>
  </si>
  <si>
    <t>IN0077</t>
  </si>
  <si>
    <t>IN0078</t>
  </si>
  <si>
    <t>IN0079</t>
  </si>
  <si>
    <t>OB</t>
  </si>
  <si>
    <t>Account Number</t>
  </si>
  <si>
    <t>Use a trial balance as at the end of the period which is reflected at the top of the sheet in column C for entering opening balances.</t>
  </si>
  <si>
    <t>Advertising Income</t>
  </si>
  <si>
    <t>Software Sales</t>
  </si>
  <si>
    <t>Google AdSense</t>
  </si>
  <si>
    <t>IN0080</t>
  </si>
  <si>
    <t>REC0021</t>
  </si>
  <si>
    <t>ERP Software</t>
  </si>
  <si>
    <t>Interest Received</t>
  </si>
  <si>
    <t>REC0020</t>
  </si>
  <si>
    <t>REC0023</t>
  </si>
  <si>
    <t>REC0026</t>
  </si>
  <si>
    <t>REC0028</t>
  </si>
  <si>
    <t>REC0024</t>
  </si>
  <si>
    <t>REC0025</t>
  </si>
  <si>
    <t>REC0027</t>
  </si>
  <si>
    <t>REC0029</t>
  </si>
  <si>
    <t>REC0031</t>
  </si>
  <si>
    <t>REC0033</t>
  </si>
  <si>
    <t>REC0035</t>
  </si>
  <si>
    <t>REC0037</t>
  </si>
  <si>
    <t>REC0039</t>
  </si>
  <si>
    <t>REC0041</t>
  </si>
  <si>
    <t>REC0043</t>
  </si>
  <si>
    <t>REC0022</t>
  </si>
  <si>
    <t>REC0030</t>
  </si>
  <si>
    <t>REC0032</t>
  </si>
  <si>
    <t>REC0034</t>
  </si>
  <si>
    <t>REC0036</t>
  </si>
  <si>
    <t>REC0038</t>
  </si>
  <si>
    <t>REC0040</t>
  </si>
  <si>
    <t>REC0042</t>
  </si>
  <si>
    <t>Monthly Accounting</t>
  </si>
  <si>
    <t>Google</t>
  </si>
  <si>
    <t>Online Marketing</t>
  </si>
  <si>
    <t>Card</t>
  </si>
  <si>
    <t>SA12146</t>
  </si>
  <si>
    <t>Net Pay - Staff</t>
  </si>
  <si>
    <t>Deductions - Staff</t>
  </si>
  <si>
    <t>Deductions - Management</t>
  </si>
  <si>
    <t>Effective %</t>
  </si>
  <si>
    <t>REC0044</t>
  </si>
  <si>
    <t>REC0045</t>
  </si>
  <si>
    <t>REC0046</t>
  </si>
  <si>
    <t>REC0047</t>
  </si>
  <si>
    <t>REC0048</t>
  </si>
  <si>
    <t>REC0049</t>
  </si>
  <si>
    <t>REC0050</t>
  </si>
  <si>
    <t>REC0051</t>
  </si>
  <si>
    <t>REC0052</t>
  </si>
  <si>
    <t>REC0053</t>
  </si>
  <si>
    <t>REC0054</t>
  </si>
  <si>
    <t>REC0055</t>
  </si>
  <si>
    <t>Net</t>
  </si>
  <si>
    <t>Monthly</t>
  </si>
  <si>
    <t>Loan Received</t>
  </si>
  <si>
    <t>Staff Loan Deduction</t>
  </si>
  <si>
    <t>Release Prepayment</t>
  </si>
  <si>
    <t>Dividend Declared</t>
  </si>
  <si>
    <t>CN0011</t>
  </si>
  <si>
    <t>Module Discount</t>
  </si>
  <si>
    <t>Additional Module</t>
  </si>
  <si>
    <t>Daily For Selected Month</t>
  </si>
  <si>
    <t>Monthly For Financial Year</t>
  </si>
  <si>
    <t>The template includes the following sheets:</t>
  </si>
  <si>
    <t>■ Open the TB sheet and ensure that the template opening balances (column C) add up to a total of nil. If your opening balances don't balance, the balance sheet will also not balance.</t>
  </si>
  <si>
    <t>First Day:</t>
  </si>
  <si>
    <t>First Financial Year *</t>
  </si>
  <si>
    <t>Reporting Year **</t>
  </si>
  <si>
    <t>The first financial year that is entered on the Setup sheet is very important because it determines the first period that will be included in the template calculations. The year that is specified in this input cell also determines the effective date for which opening balance sheet balances should be entered in column C on the TB sheet.</t>
  </si>
  <si>
    <t>The reporting year that is entered on the Setup sheet determines the 12 monthly periods that are included on the income statement, cash flow statement and balance sheet. The IS, CFS and BS sheets include 12 monthly periods - these periods and the calculations that are automatically performed on these sheets can therefore be amended by simply changing the reporting year on the Setup sheet to include a new 12-month financial period in these reports.</t>
  </si>
  <si>
    <t>Note: The first financial year basically needs to be set once when you start using the template but the reporting year can be used to roll the 12-month financial period that is included in the template forward or back by simply changing the year in this cell. The template can be used for multiple financial years and all template calculations are updated automatically when you change the reporting year.</t>
  </si>
  <si>
    <t>Year End Month</t>
  </si>
  <si>
    <t>The first step in setting up the template for your business is to enter your business name at the top of the Setup sheet. Your business name is included as a heading on all the other sheets. You also need to enter the first financial year &amp; the reporting year, select a year-end month and maintain your sales tax &amp; bank codes on the Setup sheet.</t>
  </si>
  <si>
    <t>Sales Tax Codes</t>
  </si>
  <si>
    <t>The template accommodates an unlimited number of sales tax codes. You can include as many sales tax codes as you want by editing the default list of sales tax codes on the Setup sheet and adding additional sales tax codes by inserting the required number of additional rows, entering a sales tax code (use letters between A and Z) and entering the appropriate sales tax percentage.</t>
  </si>
  <si>
    <t>Note: When adding bank account codes, we recommend inserting new rows anywhere above the JC bank account code and using a two character bank code for all new bank accounts. The JC bank account code is reserved for journal entries and the default code for this bank code should not be changed. Journals do not really have a cash effect but we are using the JC code to facilitate including general ledger journal type entries in the template.</t>
  </si>
  <si>
    <t>All the bank codes that are added to the Setup sheet are automatically included in the drop-down list boxes on the Income and Expenses sheets and are available for selection immediately after being added to the Setup sheet. If the default number of bank account codes (four including petty cash) is not sufficient for your requirements and you have added additional bank account codes to the Setup sheet, you also need to add these bank account codes to the TB and BS sheets.</t>
  </si>
  <si>
    <t>Note: It is very important that you add the additional bank account codes to the TB and BS sheets otherwise your trial balance and balance sheet will not balance!</t>
  </si>
  <si>
    <t>After adding the additional bank account codes to the TB sheet, you also need to add the new codes to the BS sheet. The procedure to follow is again really simple - insert the required number of additional rows above the JC bank account code (BS-BJC key in column A) and copy the formulas from one of the existing rows. You can copy the entire row to ensure that you have included the formulas in all columns. The formulas will automatically pick up the correct bank account codes.</t>
  </si>
  <si>
    <t>The input error codes at the bottom of the sheet are included for information purposes only and provide users with a reason for the error codes that may be encountered when entering transactions on the Income and Expenses sheets. These error codes are covered in more detail in the Error Codes section of these instructions.</t>
  </si>
  <si>
    <t>Chart of Accounts</t>
  </si>
  <si>
    <t>Account Groups</t>
  </si>
  <si>
    <t>Note: Changes to the Groups sheet do not influence any of the calculations on the other sheets and only have an effect on the account group descriptions that are included on the IS, CFS and BS sheets. If you want to make changes to our default account groups, we only recommend doing so if absolutely necessary and that you customize existing account groups before considering adding new account groups. Customizing similar, existing account groups which are not required is a lot easier than adding new account groups.</t>
  </si>
  <si>
    <t>Example: The account group key for property, plant &amp; equipment (cost) is BS-00 and the account group is included as a group total on the balance sheet (key of BS-00G) which means that all accounts that start with BS-00 will be included in this account group total on the balance sheet. The default account number for Land &amp; Buildings (cost) is BS-0005 which starts with BS-00 and therefore forms part of this account group.</t>
  </si>
  <si>
    <t>■ Scan the Groups sheet for similar items which you are not going to use. For an item to be similar, it needs to be of the same nature as the item that you want to add. For example, current assets can only be replaced by other current assets and liabilities can only be replaced by other liabilities. If the items differ in nature, you should add a new account group instead of using an existing one.</t>
  </si>
  <si>
    <t>■ If no suitable existing item can be found, insert a new row and add a new account group by entering the appropriate account group key and a description for the account group. When adding keys, you need to stick to the principle of a five character key which is unique and account numbers that need to be linked to this key, need to also start with the same five characters followed by a number between 00 and 99.</t>
  </si>
  <si>
    <t>■ When adding new account groups, we suggest using the next available account group number after the "BS-". The default balance sheet account groups end after "BS-20" which means that the first available account group is "BS-21". The default income statement account groups end after "IS-10" which means that the first available account group is "IS-11".</t>
  </si>
  <si>
    <t>■ After adding the appropriate account group to the Groups sheet, go to the TB sheet and add the required individual accounts which need to be included in the account group total on the balance sheet. Remember that the appropriate account numbers all need to start with the same first five characters as the account group and refer to the New Accounts section of these instructions for guidance on adding new accounts to the TB sheet.</t>
  </si>
  <si>
    <t>■ After adding the new account group to either the income statement or balance sheet, make sure that the total that this item is included in is correct. For most income statement or balance sheet items, this should automatically be the case but in some instances especially with regards to the income statement, you may need to edit some of the default formulas to ensure that the new account group is taken into account in the relevant totals.</t>
  </si>
  <si>
    <t>■ Next, if you have added a new balance sheet account group, you will also need to make changes to the cash flow statement. Income statement items are included in a cash flow statement by including a profit or loss from the income statement and it therefore probably won't be necessary to make changes to the cash flow statement if you have added a new income statement account group.</t>
  </si>
  <si>
    <t>■ If necessary, find a similar balance sheet item on the cash flow statement (CFS sheet), insert a new row above or below it, copy the entire row from the existing, similar line item and enter the new key in column A. Only similar items with a green key in column A should be used - the items with orange keys are custom formulas which cannot be copied for similar line items!</t>
  </si>
  <si>
    <t>■ Next, you need to add the new account group to the income statement or balance sheet. This is relatively simple - find a similar income statement or balance sheet item, insert a row above or below it, copy the entire row from the existing item into the new empty row and then change the account key in column A so that the new account group that you just created on the Groups sheet will be included in the calculations in the new line. For example, if your new account group has been created as BS-21, the key in column A on the balance sheet should be "BS-21G". Only similar items with a green key in column A should be used - the items with orange keys are custom formulas which cannot be copied for similar line items!</t>
  </si>
  <si>
    <t>■ You also need to ensure that the appropriate total on the cash flow statement includes the new account group which has been added otherwise your balance sheet may not balance.</t>
  </si>
  <si>
    <t>Note: Refer to the Account Integration section of the instructions for guidance on how to include individual accounts on the income statement or balance sheet. This section is part of the main Trial Balance section below.</t>
  </si>
  <si>
    <t>The accounts that are included on the income statement, cash flow statement and balance sheet are based on a pre-defined account structure which consists of pre-defined account groups that are used to populate the appropriate line items. A detailed list of these account groups is included on the Groups sheet.</t>
  </si>
  <si>
    <t>Note: If you do not change any of the default account groups, it is not necessary to review the rest of the instructions in the Account Groups section.</t>
  </si>
  <si>
    <t>Chart Of Accounts &amp; Trial Balance</t>
  </si>
  <si>
    <t>The default chart of accounts on the TB sheet includes all the individual accounts that have been created in each of the default account groups. Account groups constitute the first 5 characters of the account number and the individual account numbers are represented by the next two characters in the account numbers. Each account group can therefore accommodate up to 100 account numbers (00 to 99).</t>
  </si>
  <si>
    <t>The template can be customized for your business by reviewing the accounts that are included for each account group (as per the Groups sheet), changing the account descriptions in column B (where required) and inserting additional accounts if the number of accounts that are provided for in the default chart of accounts are not sufficient.</t>
  </si>
  <si>
    <t>Note: All new accounts need to be created within the existing account group structure (as per the Groups sheet) otherwise the template calculations may not be accurate and your balance sheet may not balance. New account groups can be created as per the Account Groups section of the instructions.</t>
  </si>
  <si>
    <t>Account Integration</t>
  </si>
  <si>
    <t>We have therefore added an account status in column H on the TB sheet where it is necessary to check the integration of an account (not necessary for control accounts). This column can have any of the following statuses:</t>
  </si>
  <si>
    <t>■ Group - individual account balances will be included as a group total on the income statement or balance sheet.</t>
  </si>
  <si>
    <t>■ Account - individual account balances will be included on the income statement or balance sheet.</t>
  </si>
  <si>
    <t>■ Double! - this status means that an account number integration has been added for the account number on both the individual account number and account group basis. If the integration for an account group is set up in such a way that accounts are integrated individually, you cannot also integrate the accounts on a group basis because the affected account balances will be included twice. The template calculations will be inaccurate if there is double integration. If individual account integration is applied, all the individual accounts that form part of an account group need to be included individually on the income statement or balance sheet.</t>
  </si>
  <si>
    <t>Note: If any row on the TB sheet contains an error or double status, the appropriate cell will be highlighted in red until the error is fixed. These errors usually result in imbalances on the balance sheet and therefore need to be fixed before the template calculations will be accurate.</t>
  </si>
  <si>
    <t>Control accounts are accounts that have a specific purpose in the context of the template design and can therefore not be edited or selected for the allocation of transactions. These accounts are automatically calculated based on the transactions that are recorded on the Income &amp; Expenses sheets and are included individually on the balance sheet and cash flow statement. This is also why all the control accounts are included in a separate section below the other accounts on the TB sheet.</t>
  </si>
  <si>
    <t>Note: Only the Income and Expenses account groups (excluding interest, taxation, dividends &amp; other income and expenses) are integrated on an individual account basis by default. If you therefore add additional accounts to these account groups or change any of the default account numbers in these sections, you will need to manually make the same changes to the appropriate items on the IS sheet.</t>
  </si>
  <si>
    <t>■ Error! - this status means that an account number has been created but no integration could be found for the new account number. You should check the account number format that you have entered and correct it if necessary. If the account number is correct, the error is probably the result of the account number not being included on the income statement or balance sheet.</t>
  </si>
  <si>
    <t>Opening Balances</t>
  </si>
  <si>
    <t>If you switch to our accounting template during the financial year, you need to enter the balance sheet accounts opening balances for the previous financial year as the template opening balances in column C on the TB sheet and record all transactions from the first day of the financial year on the Income and Expenses sheets.</t>
  </si>
  <si>
    <t>Note: The balance sheet opening balances should be based on a trial balance produced in your previous accounting solution as at the end of the financial year immediately before the first financial year that is included in the template. After entering all the opening balances, you also need to make sure that the total at the bottom of the TB sheet is nil otherwise your balance sheet will not balance.</t>
  </si>
  <si>
    <t>Note: The opening balances of all asset accounts should be entered as positive values and the opening balances of all liability &amp; equity accounts should be entered as negative values. This should be exactly as they are reflected on the trial balance in your previous accounting software.</t>
  </si>
  <si>
    <t>The opening balance for each of the bank codes that are included on the Setup sheet should be entered on the Income sheet as positive values. The month-end date of the month that precedes the first financial year which is specified on the Setup sheet should be entered in the invoice/document date and payment date columns. This approach will ensure that the opening bank balances are calculated correctly on the TB sheet.</t>
  </si>
  <si>
    <t>End of list - add accounts above this row</t>
  </si>
  <si>
    <t>The TB sheet effectively combines the chart of accounts and trial balance features. The trial balance consists of the opening balances at the start of the reporting period (which is specified on the Setup sheet), the account movement for the appropriate financial year and the closing balance at the end of the selected monthly period during the current financial year. All of these trial balance calculations are automatically calculated and included in columns E to G on the TB sheet.</t>
  </si>
  <si>
    <t>Note: The closing balances in column G are calculated based on the monthly period which is selected at the top of the sheet in the cell with the yellow cell background. If the reporting year on the Setup sheet is amended in such a way that the selected monthly period does not fall within the current financial year, this cell will be highlighted in red. You then need to select a valid month in order for the red highlighting to be removed.</t>
  </si>
  <si>
    <t>The monthly periods that are available for selection are the same as the monthly periods that are included on the monthly income statement, cash flow statement and balance sheet. You are therefore able to view a trial balance for any of the monthly periods in the current financial year by simply selecting the appropriate monthly period from the list box at the top of column G.</t>
  </si>
  <si>
    <t>A trail balance for any previous financial period which has been included in the template can also be viewed by simply changing the reporting year on the Setup sheet and then selecting the appropriate monthly period from the list box at the top of column G on the TB sheet.</t>
  </si>
  <si>
    <t>Adding new bank accounts</t>
  </si>
  <si>
    <t>The template includes five default bank codes but you can add an unlimited number of additional bank codes (or accounts) by adding the appropriate bank account codes &amp; descriptions to the Setup sheet. The new bank codes then also need to be added manually to the control accounts section on the TB sheet.</t>
  </si>
  <si>
    <t>This is actually a very simple exercise - simply insert the required number of new rows anywhere between the existing bank accounts in the control account section and copy the entire row from one of the existing bank account rows. All the formulas are automatically calculated &amp; updated with the correct bank codes.</t>
  </si>
  <si>
    <t>Note: Also remember that opening balances for all bank accounts need to be recorded on the Income sheet. If you add additional bank accounts to the TB sheet, the opening balances also need to be added to the Income sheet.</t>
  </si>
  <si>
    <t>The Income sheet contains the following user input columns:</t>
  </si>
  <si>
    <t>All income and other receipt transactions should be recorded on the Income sheet. User input is only required in the columns with yellow column headings. All the columns with light blue column headings contain formulas which are automatically copied when adding new transactions to the sheet.</t>
  </si>
  <si>
    <t>Note: All the columns on the Income sheet have been included in an Excel table. This feature is extremely useful when entering data in a table format because the formulas that are included in calculated columns (the columns with light blue column headings) are automatically copied when new rows are inserted into the table or when data is entered into the first blank row below the table. You can therefore enter a new transaction by simply entering an invoice number in column A - the table will then automatically extend to include the new transaction.</t>
  </si>
  <si>
    <t>The Income sheet contains the following calculated columns:</t>
  </si>
  <si>
    <t>Filtering Transactions</t>
  </si>
  <si>
    <t>Note that the visible row numbers are typically displayed in blue when a filter has been applied to the sheet. New transactions should not be entered while a filter is active on the sheet - if you see blue row numbers, all filters need to be removed before data is entered in the next blank row otherwise the Excel table may not extend automatically to include the new transaction.</t>
  </si>
  <si>
    <t>Note: The drop-down lists in the Account Number column contains both the account number and description but only the account number should be selected when allocating transactions. Excel doesn't actually allow the inclusion of two columns in a drop-down list but we have implemented a work around to provide the account description together with the account number in the drop-down list. The disadvantage of this work around is that you will not be able to enter account numbers - you either need to select the account number from the list or copy a similar transaction that you have entered before. The column will also contain an error indicator which refers to a data validation error - this is to be expected because of the work around that we implemented and can safely be ignored.</t>
  </si>
  <si>
    <t>Invoices with Multiple Lines</t>
  </si>
  <si>
    <t>Partial Payments</t>
  </si>
  <si>
    <t>Trade Debtors Balances</t>
  </si>
  <si>
    <t>Note: If the total of all the outstanding invoices does not agree to the balance sheet total, make sure that you have entered a unique invoice number for all invoices in column A and that there are no blank values in column A. If you leave invoice numbers blank, it may result in inaccurate outstanding balance calculations if any of the blank entries have not been paid in full.</t>
  </si>
  <si>
    <t>Recording Transactions - Transfers between Bank Accounts</t>
  </si>
  <si>
    <t>The Expenses sheet contains the following user input columns:</t>
  </si>
  <si>
    <t>All expenses and other payment transactions should be recorded on the Expenses sheet. We also recommend entering all journal entries on this sheet. User input is only required in the columns with yellow column headings. All the columns with light blue column headings contain formulas which are automatically copied when adding new transactions to the sheet.</t>
  </si>
  <si>
    <t>The Expenses sheet contains the following calculated columns:</t>
  </si>
  <si>
    <t>Trade Creditors Balances</t>
  </si>
  <si>
    <t>When funds are transferred between two bank accounts, both the deposit and withdrawal entries need to be recorded. We recommend recording both entries on the Expenses sheet. The deposit entry should be recorded by selecting the bank account into which the funds are transferred and entering the transfer amount as a negative value. The withdrawal entry should be recorded by selecting the bank account from which the funds are transferred and entering a positive amount.</t>
  </si>
  <si>
    <t>Note: You can check whether the balance of the Cash Transfer Control account is nil by selecting the appropriate month end from the list box in cell G3 on the TB sheet and checking whether the balance for account BS-0799 is nil. If the balance is not nil, the transactions for the appropriate period should be reviewed in order to determine why the allocations to the Cash Transfer Control account do not result in a nil balance.</t>
  </si>
  <si>
    <t>Recording Transactions - General Ledger Journal Entries</t>
  </si>
  <si>
    <t>We recommend that all general ledger journal type entries are also recorded on the Expenses sheet. We have basically created a specific bank code for the recording of journal entries so that these transactions will not have any cash effect when recorded incorrectly.</t>
  </si>
  <si>
    <t>■ E1 - this error code means that the payment date on the Income or Expenses sheet is before the invoice or document date. These errors can be rectified by either amending the appropriate invoice or document date or amending the appropriate payment date.</t>
  </si>
  <si>
    <t>Note: Input errors may result in inaccurate template calculations and it is therefore imperative that all errors are resolved before reviewing the income statement, cash flow statement and balance sheet. These errors may in fact also cause the balance sheet not to balance.</t>
  </si>
  <si>
    <t>The default account integration has been set up in such a way that the turnover, operating expenses, staff costs and depreciation &amp; amortization account groups are the only ones that are integrated on an individual account basis. All other account groups are integrated on a group basis which means that all the accounts that are included in the appropriate account groups are included in one total line on the income statement.</t>
  </si>
  <si>
    <t>Note: You can easily identify a group integration on the income statement, cash flow statement and balance sheet by the key in column A ending in a "G". If the key does not end in a "G" but includes complete account numbers, it means that the appropriate lines are integrated on an individual account basis.</t>
  </si>
  <si>
    <t>When an account group is integrated on an individual account basis and you make changes to the account numbers on the TB sheet or if you add new accounts to the account group, you basically also need to make the same changes to the income statement or balance sheet. This means that you either need to update the key in column A if the account numbers have been changed or that you need to insert additional lines for new accounts, copy the formulas from one of the existing lines and edit the key in column A to reflect the new account number(s).</t>
  </si>
  <si>
    <t>The same process can be followed if you want to change the integration of an account group from account group reporting (with the "G" at the end) to individual account reporting. Additional lines need to be added for all the account numbers that form part of the appropriate account group, the formulas in all columns on the sheet can be copied from the existing line and the keys in column A then need to be replaced by the full account numbers. It may also be necessary to update the appropriate total or profit line which the account groups forms part of.</t>
  </si>
  <si>
    <t>Note: The same principles with regards to account group integration as included in the Income Statement section applies to the cash flow statement. We do not however recommend changing the default account group integration on this sheet. Most account groups are set to report on an account group total basis and there is no real benefit in switching to individual account integration on the cash flow statement.</t>
  </si>
  <si>
    <t>Note: The only changes that may be required are the addition of new lines if you have added any new account groups to the template. You then basically need to copy a line of a similar nature (which has a green key in column A) and change the key in column A so that the monthly amounts are calculated based on the new account group.</t>
  </si>
  <si>
    <t>Note: All the keys in column A which are reflected in orange contain custom calculations relating to specific control accounts which should not be copied for any new account group lines.</t>
  </si>
  <si>
    <t>The balances sheet account integration is set up to report account group totals for most of the balance sheet items. The exception is the individual bank accounts in the current assets section which all report individually. If you therefore add additional bank codes to the Setup sheet, you also need to add additional rows in this section to include the new bank codes in the balance sheet. You only need to insert the required number of additional rows and copy the formulas from one of the existing bank account lines to complete this process. The formulas will automatically pick up the correct bank codes.</t>
  </si>
  <si>
    <t>Note: If you convert one or more account groups from account group reporting to individual account reporting, you may also need to update the appropriate total column on the balance sheet.</t>
  </si>
  <si>
    <t>Balance Sheet Imbalances</t>
  </si>
  <si>
    <t>We have included two rows below the balance sheet that contain control totals which indicate whether the balance sheet is in balance. The first row indicates whether the balance sheet balances (which means that the total assets equal the total equity &amp; liabilities) and the second row indicates whether the total of all the bank account balances on the balance sheet agrees to the monthly closing cash balance on the cash flow statement.</t>
  </si>
  <si>
    <t>Both control totals should always display an "ok" text string but if there is a problem with the appropriate control total, an "error" message which is highlighted in orange will be displayed. This error message means that there is an imbalance in the template and the value of the imbalance will be displayed above the error message for balance sheet errors and below the error message for cash flow statement errors.</t>
  </si>
  <si>
    <t>We recommend completing the following steps when encountering errors:</t>
  </si>
  <si>
    <t>■ Review the invoice date, document date and payment date columns on the Income and Expenses sheets and ensure that all dates have been entered in accordance with the regional date settings that are specified in the System Control Panel. A quick way of checking this is to format the appropriate date column as values - all valid dates will then be displayed as values and invalid date entries will still be displayed as text which looks like a date. After reviewing all dates, remember to undo the value formatting otherwise the contents of the affected date column will contain values instead of dates.</t>
  </si>
  <si>
    <t>■ Review the Income and Expenses sheets and ensure that a valid account number has been selected for all transactions. If there are any blank cells in the Account Number column, select a valid account number from the drop-down list.</t>
  </si>
  <si>
    <t>■ Review the income statement, cash flow statement and balance sheet and check that there are no duplicate keys in column A. If you duplicate an account number or group key, the balance sheet will not balance.</t>
  </si>
  <si>
    <t>If you've completed all of the above steps and still cannot resolve the imbalance on the balance sheet, contact our Support function for assistance. You probably need to send us your version of the template so that we can determine what the cause of the imbalance is.</t>
  </si>
  <si>
    <t>After specifying the first financial year on the Setup sheet and including the appropriate opening balances in column C on the TB sheet, the template can be rolled forward for subsequent financial years quite easily. All you need to do in order to roll the template forward for subsequent financial years or back for previous financial years is to amend the reporting year on the Setup sheet.</t>
  </si>
  <si>
    <t>When you change the reporting year, the monthly reporting periods on all the sheets that are included in the template are automatically changed and all calculations are automatically updated. You therefore do not need to save a separate version of the template for each financial year - you simply continue adding transactions to the Income and Expenses sheets and use the reporting year setting on the Setup sheet to navigate between financial years.</t>
  </si>
  <si>
    <t>Bank Account Movement Analysis</t>
  </si>
  <si>
    <t>Note: If you want to display the bank account movement totals for all bank codes, simply clear the contents of the bank code input cell. If no monthly period is selected, the calculations will default to the last month of the current financial year.</t>
  </si>
  <si>
    <t>Sales Tax Analysis</t>
  </si>
  <si>
    <t>The Inclusive section provides the monthly totals inclusive of sales tax - as per the Income sheet for the Output column and as per the Expenses sheet for the Input column. These totals are usually required when completing sales tax returns.</t>
  </si>
  <si>
    <t>The net monthly column is calculated by deducting the monthly input tax value from the monthly output tax value and therefore represents the net monthly sales tax liability (or asset if the input exceeds the output). The effective monthly sales tax percentages are also calculated and included on the sheet.</t>
  </si>
  <si>
    <t>Note: We have also included a Bank sheet in the template which enables users to analyse bank account movements in a lot more detail especially when preparing bank reconciliations. This sheet enables users to select a bank account code and month at the top of the sheet in order to display daily and monthly bank account movements. Aside from selecting the bank code and month, the sheet requires no user input.</t>
  </si>
  <si>
    <t>The description of line items on the balance sheet can be changed quite easily by changing the description of the appropriate account group on the Groups sheet and then changing the account descriptions of the appropriate accounts which are included in the account group on the TB sheet. Account groups can accommodate up to 100 individual accounts which are linked to the account group by the same first 5 account number characters.</t>
  </si>
  <si>
    <t>Note: If the accounts in an account group are integrated on an individual account number basis, you need to manually add all the individual accounts to the appropriate sheet in order to ensure that all accounts that are included in the appropriate account group are included on the appropriate sheet. If an individual account in the appropriate account group is omitted and transactions are allocated to it, the balance sheet may not balance.</t>
  </si>
  <si>
    <t>If you stick to the default account numbers and do not add any new accounts, you do not need to be concerned about the integration because all accounts will be included correctly. If you make changes to the account groups or account numbers, it is important to ensure that you have added account groups or accounts where necessary otherwise the template calculations may become inaccurate.</t>
  </si>
  <si>
    <t>Note: Control accounts include all the individual bank accounts, a trade debtors account, trade creditors account and a retained earnings account. These accounts are integral to the proper functioning of the template and should not be amended in any way (aside from adding additional bank accounts if required).</t>
  </si>
  <si>
    <t>Note: If you change the reporting of any account group from group to individual reporting and you do not include all account numbers on the income statement, your balance sheet may not balance. It is therefore imperative that you add all individual accounts to the appropriate account group if it is set up to report on an individual account basis. Refer to the TB sheet and more specifically the Status column where all integration errors will be highlighted in red.</t>
  </si>
  <si>
    <t>We have included the Bank sheet to enable users to analyse bank account movements for any bank account on a daily and monthly basis. The only user input that is required on this sheet is to select the appropriate bank code and monthly period from the drop-down lists at the top of the sheet.</t>
  </si>
  <si>
    <t>Note: Negative values that have been included on the Expenses sheet are deemed to be Income and therefore included in the Income columns. Transactions that have been allocated to the JC general journal bank code are not included in the calculations on this sheet.</t>
  </si>
  <si>
    <t>This innovative accounting template enables users to record income &amp; expenses and automatically produces a trial balance, income statement, cash flow statement and balance sheet. The template is easy to use and can be customized by editing the default accounts and adding an unlimited number of additional accounts. It also accommodates sales tax calculations and multiple bank accounts. After completing the initial template setup, the template can be rolled forward or back by simply changing the reporting year in a single input cell.</t>
  </si>
  <si>
    <t>Note: Once you have set the first financial year that needs to be included in the template, you need to use a trial balance as at the end of the previous financial year (as generated in your previous accounting solution) to enter the balance sheet opening balances in column C on the TB sheet. The total of all the balance sheet opening balances needs to be nil in order for the balance sheet to balance.</t>
  </si>
  <si>
    <t>This template can only be used for full financial years. The template does not make provision for entering opening balances for income statement items and you therefore need to start with data for a full financial year. If you therefore switch from another accounting solution to our template, you need to recapture all your income &amp; expenses as from the first day of the first financial year that is included in the template.</t>
  </si>
  <si>
    <t>You also need to select the appropriate year-end month from an input cell on the Setup sheet. This selection is used to determine the start date and the end date of each financial year and also determines the date on which opening balance sheet balances need to be included on the TB sheet.</t>
  </si>
  <si>
    <t>We have also included a SalesTax sheet which is automatically calculated and requires no user input. This sheet contains a monthly analysis of sales tax amounts and can be used to populate sales tax returns. The calculations can also be displayed for a specific sales tax code by simply selecting the appropriate code from the list box at the top of the sheet. When you then clear the contents of the list box, totals for all sales tax codes are displayed.</t>
  </si>
  <si>
    <t>Note: If an additional bank account has been added to the Setup sheet and not included on the TB or BS sheets, the appropriate row will contain an "add!" status in column D or E. This indicates that the bank account still needs to be added to the appropriate sheet.</t>
  </si>
  <si>
    <t>■ Open the Setup sheet and ensure that all additional bank accounts have been added to the TB and BS sheets. If a bank account has not been added to these sheets, the status in column D or E will show as "add!". Refer to the Setup - Bank Accounts section of the instructions for guidance on how to add bank accounts to the appropriate sheet. Once the bank account has been added, the status will automatically change to "ok".</t>
  </si>
  <si>
    <t>The same account integration principle is applied to most balance sheet account groups where the default integration is to report account group totals (as indicated by the "G" at the end of the account group keys). Although it is not difficult to add new account group keys to the Groups sheet and to then include the new keys in the balance sheet or income statement, there is a risk of balance sheet imbalances occurring if the cash flow statement movements are not included correctly. We therefore recommend completing the following steps if you want to add new account groups to the income statement or balance sheet:</t>
  </si>
  <si>
    <t>As you can see, it becomes relatively complex when needing to add new account groups to the template and it is therefore much easier to change the descriptions of one of the existing line items in order to accommodate new or renamed account groups.</t>
  </si>
  <si>
    <t>The TB sheet has a dual purpose - it contains the chart of accounts which represents a detailed list of the account numbers which are available for the allocation of transactions &amp; the reporting of transaction totals and it contains a detailed trial balance which is automatically calculated based on the transactions that are recorded on the Income and Expenses sheets and allocated to accounts in the Account Number columns.</t>
  </si>
  <si>
    <t>Additional accounts can be created on the TB sheet by inserting a new row, entering the appropriate account number, entering an account description and copying the formulas in columns E to H from one of the existing rows. We also recommend inserting the new row in the appropriate location based on the account number sequence (in an ascending order). The list boxes in the Account Number columns on the Income and Expenses sheets include the accounts in the same sequence as on the TB sheet - if account numbers are therefore not added in the correct order, it may be confusing when selecting accounts.</t>
  </si>
  <si>
    <t>Note: You can also delete any of the default accounts that are included in the chart of accounts on the TB sheet if they are not required for your business. Just be careful when doing so - if you have allocated transactions to an account and you subsequently delete it, it may cause errors and template imbalances!</t>
  </si>
  <si>
    <t>Note: If you need to add a line to any section of the income statement or balance sheet, insert a new row in the appropriate location, copy the formulas in all columns from one of the existing rows and change the key in column A to the appropriate full account number. The calculations will be updated automatically and the error on the TB sheet in the Status column should be resolved.</t>
  </si>
  <si>
    <t>If you are using the template for an existing business, you will need to enter the appropriate balance sheet opening balances as at the end of the year before the first financial year that is included in the template (as specified on the Setup sheet) in column C on the TB sheet. The template can only be used for full financial years and opening balances can therefore only be entered for balance sheet accounts.</t>
  </si>
  <si>
    <t>Example: If the opening B1 bank balance is $5,000 and the first day of the financial year is 1 March, an opening bank balance transaction needs to be recorded on the Income sheet with an inclusive invoice amount of $5,000, a document date &amp; payment date of 28 February, an exempt sales tax code (with a zero sales tax percentage), a bank code of B1 and a payment amount of $5,000. This balance will then be included automatically as the opening B1 bank balance in column C on the TB sheet.</t>
  </si>
  <si>
    <t>The opening trade debtors balance should also be entered on the Income sheet. You can enter the total in one row or enter the outstanding invoices individually (we recommend the latter because all outstanding invoices may not be paid on the same date). The invoice date that is entered in column B should be before the first day of the first financial year that is specified on the Setup sheet and the payment date should be the actual payment date (which will obviously be after the first day of the first financial year that is included in the template because the invoice is outstanding at the beginning of the first financial year).</t>
  </si>
  <si>
    <t>The opening trade creditors balance should be entered on the Expenses sheet (as a positive amount). You can enter the total in one row or enter the outstanding invoices individually (we recommend the latter because all outstanding invoices may not be paid on the same date and will also probably be paid to different suppliers). The document date should be before the first day of the first financial year that is included in the template (as per the Setup sheet) and the payment date should be left blank until the appropriate supplier has been paid.</t>
  </si>
  <si>
    <t>Example: If the opening trade creditor balance at 1 March consists of two invoices, enter the actual invoice dates in the Document Date column (the invoices should be dated on or before 28 February). The payment date column can be left blank until the invoices are paid and the actual date when the invoices are paid then needs to be entered in the Payment Date column. The opening trade creditors balance will then be calculated automatically and included on the TB sheet as a negative amount because trade creditors are liabilities.</t>
  </si>
  <si>
    <t>Note: When recording opening balances for bank accounts, trade debtors and trade creditors on the Income and Expenses sheets, we recommend assigning these entries to a balance sheet account and using a sales tax code which does not result in the calculation of sales tax (code E in the standard template). Any balance sheet account can be used but we recommend using account BS-0799 which is the Cash Transfer Control account.</t>
  </si>
  <si>
    <t>All transfers between bank accounts should be allocated to the Cash Transfer Control account (BS-0799). By using this default account for all bank transfers, you can easily determine when only one of the entries (deposit or withdrawal) has been recorded.</t>
  </si>
  <si>
    <t>The debit part of the journal entry should be recorded as a positive value and the credit part should be recorded as a negative value on the Expenses sheet. Both entries should be allocated to the JC bank code.</t>
  </si>
  <si>
    <t>If you want to change the account integration for any line on the balance sheet from group reporting to individual reporting, you again need to insert the required number of additional rows, copy the formulas from the existing line and replace the account group key in column A with the full account numbers. If you do not add all the accounts that form part of the appropriate account group, your balance sheet may not balance.</t>
  </si>
  <si>
    <t>Note: The template has been designed based on a fixed account number format. All account numbers start with a two character code which identifies whether an account is an income statement account (IS) or a balance sheet account (BS) followed by a hyphen, the two-digit account group (as listed on the Groups sheet) and a two-digit account number. This default account number format should not be deviated from otherwise the template calculations may not be accurate.</t>
  </si>
  <si>
    <t>Note: If the debit and credit parts of all journal entries balance to a total of nil, the JC bank account should always have a nil balance. If you therefore notice that the JC bank account has a balance, it means that you have made an error in recording some of your journal entries. You can then filter the Expenses sheet for all transactions with a bank code of JC and filter the document dates for the appropriate month in order to review all the journal entries for the particular month.</t>
  </si>
  <si>
    <t>If a partial payment of an invoice occurs, you should only enter the amount that has actually been paid in the Payment Amount column and the appropriate payment date in the Payment Date column. The unpaid balance will automatically be reflected as the outstanding balance for the appropriate invoice.</t>
  </si>
  <si>
    <t>Income &amp; Other Receipts</t>
  </si>
  <si>
    <r>
      <t>Setup</t>
    </r>
    <r>
      <rPr>
        <sz val="10"/>
        <rFont val="Arial"/>
        <family val="2"/>
      </rPr>
      <t xml:space="preserve"> - enter your business name to change the headings on all the sheets and customize the sales tax codes and bank codes. The sales tax codes &amp; percentages are used to calculate sales tax on all income &amp; expense transactions and bank codes can be used to allocate transactions to multiple bank accounts. The first financial year, reporting year and year-end input cells determine the monthly periods that are included on the trial balance, income statement, cash flow statement and balance sheet.</t>
    </r>
  </si>
  <si>
    <r>
      <rPr>
        <b/>
        <sz val="10"/>
        <rFont val="Arial"/>
        <family val="2"/>
      </rPr>
      <t>Groups</t>
    </r>
    <r>
      <rPr>
        <sz val="10"/>
        <rFont val="Arial"/>
        <family val="2"/>
      </rPr>
      <t xml:space="preserve"> - this sheet contains the default list of account groups that are used in this template. You can customize the descriptions of the account groups but we do not recommend changing the account group keys. Additional account groups can be added and inserted in the appropriate location on the income statement, cash flow statement and balance sheet.</t>
    </r>
  </si>
  <si>
    <r>
      <rPr>
        <b/>
        <sz val="10"/>
        <rFont val="Arial"/>
        <family val="2"/>
      </rPr>
      <t>TB</t>
    </r>
    <r>
      <rPr>
        <sz val="10"/>
        <rFont val="Arial"/>
        <family val="2"/>
      </rPr>
      <t xml:space="preserve"> - this sheet contains a full list of the accounts that are included in the template and a trial balance which is automatically calculated based on the transactions that are entered on the Income and Expenses sheets. The default accounts list can be customized by editing the existing accounts or by inserting new rows for additional accounts. The period for which the trial balance is calculated is determined by the month-end period that is selected at the top of the sheet in column G.</t>
    </r>
  </si>
  <si>
    <r>
      <t>Expenses</t>
    </r>
    <r>
      <rPr>
        <sz val="10"/>
        <rFont val="Arial"/>
        <family val="2"/>
      </rPr>
      <t xml:space="preserve"> - all expense and other payment transactions should be entered on this sheet. The columns with yellow column headings require user input and the columns with light blue column headings contain formulas and are therefore automatically calculated. We also recommend entering all journals on this sheet.</t>
    </r>
  </si>
  <si>
    <r>
      <rPr>
        <b/>
        <sz val="10"/>
        <rFont val="Arial"/>
        <family val="2"/>
      </rPr>
      <t>IS</t>
    </r>
    <r>
      <rPr>
        <sz val="10"/>
        <rFont val="Arial"/>
        <family val="2"/>
      </rPr>
      <t xml:space="preserve"> - the monthly income statement on this sheet is automatically compiled based on the transactions that are recorded on the Income and Expenses sheets. The 12 monthly periods that are included in the report are determined based on the reporting year that is specified on the Setup sheet.</t>
    </r>
  </si>
  <si>
    <r>
      <rPr>
        <b/>
        <sz val="10"/>
        <rFont val="Arial"/>
        <family val="2"/>
      </rPr>
      <t>CFS</t>
    </r>
    <r>
      <rPr>
        <sz val="10"/>
        <rFont val="Arial"/>
        <family val="2"/>
      </rPr>
      <t xml:space="preserve"> - the monthly cash flow statement on this sheet is automatically compiled based on the income statement and balance sheet calculations.</t>
    </r>
  </si>
  <si>
    <r>
      <rPr>
        <b/>
        <sz val="10"/>
        <rFont val="Arial"/>
        <family val="2"/>
      </rPr>
      <t>BS</t>
    </r>
    <r>
      <rPr>
        <sz val="10"/>
        <rFont val="Arial"/>
        <family val="2"/>
      </rPr>
      <t xml:space="preserve"> - the monthly balance sheet on this sheet is automatically compiled based on the transactions that are recorded on the Income and Expenses sheets. All the line items are set to report account group totals but you can include individual accounts by changing the keys in column A.</t>
    </r>
  </si>
  <si>
    <r>
      <rPr>
        <b/>
        <sz val="10"/>
        <rFont val="Arial"/>
        <family val="2"/>
      </rPr>
      <t>Bank</t>
    </r>
    <r>
      <rPr>
        <sz val="10"/>
        <rFont val="Arial"/>
        <family val="2"/>
      </rPr>
      <t xml:space="preserve"> - this sheet contains an analysis of bank account movements on a daily basis (for the selected month) and on a monthly basis for the current financial year. Aside from selecting the bank code and month, no user input is required on this sheet.</t>
    </r>
  </si>
  <si>
    <r>
      <t>Invoice Number</t>
    </r>
    <r>
      <rPr>
        <sz val="10"/>
        <rFont val="Arial"/>
        <family val="2"/>
      </rPr>
      <t xml:space="preserve"> - enter your invoice number or the appropriate transaction reference for cash receipt transactions. This column should always contain a value - if you do not issue document numbers for all your invoices &amp; receipts, any unique transaction reference can be used.</t>
    </r>
  </si>
  <si>
    <r>
      <t>Invoice Date</t>
    </r>
    <r>
      <rPr>
        <sz val="10"/>
        <rFont val="Arial"/>
        <family val="2"/>
      </rPr>
      <t xml:space="preserve"> - enter the date of the tax invoice or the bank statement date for cash receipt transactions. We've added data validation to this column to ensure that only valid dates are entered - you therefore need to ensure that you enter dates in accordance with the regional date settings that are specified in the System Control Panel.</t>
    </r>
  </si>
  <si>
    <r>
      <t>Customer</t>
    </r>
    <r>
      <rPr>
        <sz val="10"/>
        <rFont val="Arial"/>
        <family val="2"/>
      </rPr>
      <t xml:space="preserve"> - enter the name of the customer. If the Auto Complete feature is enabled, you should be able to accept its suggestion of the customer name after entering only a few characters. Note that it is important to enter customer names accurately if you want to use the Filter feature to display only the transactions for a specific customer.</t>
    </r>
  </si>
  <si>
    <r>
      <t>Description</t>
    </r>
    <r>
      <rPr>
        <sz val="10"/>
        <rFont val="Arial"/>
        <family val="2"/>
      </rPr>
      <t xml:space="preserve"> - enter a transaction description in this column.</t>
    </r>
  </si>
  <si>
    <r>
      <t>Tax Inclusive Amount</t>
    </r>
    <r>
      <rPr>
        <sz val="10"/>
        <rFont val="Arial"/>
        <family val="2"/>
      </rPr>
      <t xml:space="preserve"> - enter the transaction amount inclusive of sales tax. Income and receipts should be entered as positive amounts but if you have an expense or payment type transaction that is of an income or receipt nature, the transaction can be entered as a negative value. For example, entering a credit note that relates to an invoice that has been recorded previously. In most instances, expenses should however be recorded on the Expenses sheet.</t>
    </r>
  </si>
  <si>
    <r>
      <rPr>
        <b/>
        <sz val="10"/>
        <rFont val="Arial"/>
        <family val="2"/>
      </rPr>
      <t>Bank Code</t>
    </r>
    <r>
      <rPr>
        <sz val="10"/>
        <rFont val="Arial"/>
        <family val="2"/>
      </rPr>
      <t xml:space="preserve"> - this column contains a drop-down list which includes all the bank codes that have been added to the Setup sheet. Select the bank code of the bank account that will be affected by the particular transaction. Note that it is imperative that a bank code is assigned to each transaction.</t>
    </r>
  </si>
  <si>
    <r>
      <rPr>
        <b/>
        <sz val="10"/>
        <rFont val="Arial"/>
        <family val="2"/>
      </rPr>
      <t>Account Number</t>
    </r>
    <r>
      <rPr>
        <sz val="10"/>
        <rFont val="Arial"/>
        <family val="2"/>
      </rPr>
      <t xml:space="preserve"> - the drop-down list in this column contains all the account codes (and descriptions) that have been created on the TB sheet. You therefore need to create the appropriate account on the TB sheet before transactions can be allocated to the account. An account number should be selected for every transaction otherwise template imbalances may be encountered.</t>
    </r>
  </si>
  <si>
    <r>
      <rPr>
        <b/>
        <sz val="10"/>
        <rFont val="Arial"/>
        <family val="2"/>
      </rPr>
      <t>Payment Amount</t>
    </r>
    <r>
      <rPr>
        <sz val="10"/>
        <rFont val="Arial"/>
        <family val="2"/>
      </rPr>
      <t xml:space="preserve"> - when a customer pays an invoice, the payment amount should be entered into this column.</t>
    </r>
  </si>
  <si>
    <r>
      <t>Payment Date</t>
    </r>
    <r>
      <rPr>
        <sz val="10"/>
        <rFont val="Arial"/>
        <family val="2"/>
      </rPr>
      <t xml:space="preserve"> - enter the actual payment date in this column. The date that should be entered in this column should be the date on which the payment was received from the customer. The payment date and payment amount should be left blank if payment has not been received from the customer - the outstanding amount will then be included in trade debtors. Note that the payment date should always be greater than or equal to the invoice date.</t>
    </r>
  </si>
  <si>
    <r>
      <t>Inclusive Amount</t>
    </r>
    <r>
      <rPr>
        <sz val="10"/>
        <rFont val="Arial"/>
        <family val="2"/>
      </rPr>
      <t xml:space="preserve"> - this column is based on the inclusive invoice amount which the user enters in column E.</t>
    </r>
  </si>
  <si>
    <r>
      <rPr>
        <b/>
        <sz val="10"/>
        <rFont val="Arial"/>
        <family val="2"/>
      </rPr>
      <t>Unique INV</t>
    </r>
    <r>
      <rPr>
        <sz val="10"/>
        <rFont val="Arial"/>
        <family val="2"/>
      </rPr>
      <t xml:space="preserve"> - the formula in this column is used to determine whether the invoice number is unique. Invoices can be entered in multiple lines and this formula is used to prevent the duplication of the calculation of outstanding invoice balances.</t>
    </r>
  </si>
  <si>
    <r>
      <rPr>
        <b/>
        <sz val="10"/>
        <rFont val="Arial"/>
        <family val="2"/>
      </rPr>
      <t>Error Code</t>
    </r>
    <r>
      <rPr>
        <sz val="10"/>
        <rFont val="Arial"/>
        <family val="2"/>
      </rPr>
      <t xml:space="preserve"> - this column will contain an error code if there is a problem with the input in any of the previous columns. All the error codes that are displayed in this column should therefore be corrected in order to ensure that all the template calculations remain accurate. Refer to the Error Codes section of these instructions for more information about the reasons for an error code and how to resolve it.</t>
    </r>
  </si>
  <si>
    <r>
      <t>Document Date</t>
    </r>
    <r>
      <rPr>
        <sz val="10"/>
        <rFont val="Arial"/>
        <family val="2"/>
      </rPr>
      <t xml:space="preserve"> - enter the supplier invoice date, date of other supporting document or the bank statement date. We've added data validation to this column to ensure that only valid dates are entered - you therefore need to ensure that you enter dates in accordance with the regional date settings that are specified in the System Control Panel.</t>
    </r>
  </si>
  <si>
    <r>
      <t xml:space="preserve">Supplier </t>
    </r>
    <r>
      <rPr>
        <sz val="10"/>
        <rFont val="Arial"/>
        <family val="2"/>
      </rPr>
      <t>- enter the name of the supplier. If the Auto Complete feature is enabled, you should be able to accept its suggestion of the supplier name after entering only a few characters. Note that it is important to enter supplier names accurately if you want to use the Filter feature to display only the transactions for a specific supplier.</t>
    </r>
  </si>
  <si>
    <r>
      <t xml:space="preserve">Reference </t>
    </r>
    <r>
      <rPr>
        <sz val="10"/>
        <rFont val="Arial"/>
        <family val="2"/>
      </rPr>
      <t>- enter a reference for the transaction in this column. For example, this could be the supplier invoice number or a more general reference like "Debit Order" or "Bank Statement".</t>
    </r>
  </si>
  <si>
    <r>
      <t>Payment Date</t>
    </r>
    <r>
      <rPr>
        <sz val="10"/>
        <rFont val="Arial"/>
        <family val="2"/>
      </rPr>
      <t xml:space="preserve"> - enter the actual payment date in this column. The date that should be entered in this column should be the date on which the payment is made to the supplier. The payment date should be left blank if payment has not been made to the supplier - the outstanding balance will then be included in trade creditors. Note that the payment date should always be greater than or equal to the document date.</t>
    </r>
  </si>
  <si>
    <r>
      <t>Inclusive Amount</t>
    </r>
    <r>
      <rPr>
        <sz val="10"/>
        <rFont val="Arial"/>
        <family val="2"/>
      </rPr>
      <t xml:space="preserve"> - this column is based on the tax inclusive amount which the user enters in column E.</t>
    </r>
  </si>
  <si>
    <r>
      <t>Income</t>
    </r>
    <r>
      <rPr>
        <sz val="10"/>
        <rFont val="Arial"/>
        <family val="2"/>
      </rPr>
      <t xml:space="preserve"> - all income and other receipt transactions should be entered on this sheet. The columns with yellow column headings require user input and the columns with light blue column headings contain formulas and are therefore automatically calculated.</t>
    </r>
  </si>
  <si>
    <t>The template also accommodates an unlimited number of bank accounts. You can include as many bank accounts as you want by editing the default list of bank account codes on the Setup sheet and adding additional bank account codes by inserting the required number of additional rows, entering a bank code and entering a description of the bank account. You also then need to copy the formulas in columns D and E (indicated with light blue cell background) from one of the existing bank account codes.</t>
  </si>
  <si>
    <t>The bank accounts on the TB sheet are part of the control accounts section at the bottom of the sheet. If you need to add additional bank codes, we recommend doing so above the JC bank account (BS-BJC bank code in column A). Adding the additional bank account codes is a simple exercise - insert the required number of additional rows and copy the formulas from one of the existing bank account rows. The template will automatically display your bank account codes in the same sequence as they are included on the Setup sheet.</t>
  </si>
  <si>
    <t>The template provides for including accounts as a group total or as individual accounts on the income statement, cash flow statement and balance sheet. If an account is integrated on an account group basis on the IS, CFS or BS sheets, the key in column A should contain the account group number followed by a "G". If an account is integrated on an individual account basis, the key in column A on the IS, CFS or BS sheets should be the full account number with no additional characters at the end.</t>
  </si>
  <si>
    <t>All the opening balances that need to be entered on the TB sheet contain yellow cell backgrounds. The opening balances for the individual bank balances, the trade debtors line and the trade creditors line in the Control Accounts section however contain light blue cell backgrounds. This is because the subsequent movement in these opening balances will have an effect on the cash flow during the first financial period included in the template. These opening balances should therefore be entered on the Income or Expenses sheets and will be calculated automatically on the TB sheet based on the formulas which have been included in column C.</t>
  </si>
  <si>
    <t>Note: The total of all opening balances in column C on the TB sheet should still be nil and the formulas in the cells with light blue column headings in the control accounts section should not be amended in any way or replaced by values otherwise the template calculations will be inaccurate. If the total in column C is not nil, it is not as a result of any formula but as a result of opening balances not being entered correctly. DO NOT change any of the formulas in the cells with light blue cell backgrounds!</t>
  </si>
  <si>
    <t>Example: If a company's year-end is February and the opening trade debtor balance at 28 February of the year before the first financial year which is included in the template consists of two invoices, enter the actual invoice dates in the Invoice Date column (the invoices should be dated on or before 28 February). The payment date can be left blank until the invoices are paid and the actual date when the payment is received should be entered in this column with the payment amount in the Payment Amount column. The opening trade debtor balance will then automatically be calculated and included on the TB sheet.</t>
  </si>
  <si>
    <t>The income statement includes 12 monthly periods, an annual total and a column for comparison to a prior year. The periods are based on the reporting year which is specified on the Setup sheet. If you want to amend the 12 month reporting period, you only need to change the reporting year on this sheet in order for the reporting period and all calculations on the IS sheet to be updated.</t>
  </si>
  <si>
    <t>Note: If you are not going to use any of the default account groups which have been included on the income statement, we suggest hiding the rows instead of deleting them. If you do decide to delete the rows containing the affected account groups, you may have to fix some of the total or profit calculations. After deleting the account groups, you should also delete the individual accounts on the TB sheet linked to the appropriate account groups so that no transactions can be allocated to these groups.</t>
  </si>
  <si>
    <t>Note: Only the balance sheet items with green account keys can be changed to individual account reporting. The items with orange keys are control accounts which have unique formulas which cannot be used for any of the other balance sheet items.</t>
  </si>
  <si>
    <t>■ Review the Status column on the TB sheet and ensure that there are no items highlighted in red. If an item is highlighted in red and contains an error message, it indicates that the appropriate account group has been set to report on an individual account basis and that the highlighted account has not been added to the income statement or balance sheet. If an item is highlighted in red and contains a double error, it means that the account group has been integrated on the individual account number basis but that the group integration (ending in a "G") is also still active on the income statement or balance sheet. The row with the group integration in the Key column on the income statement or balance sheet therefore needs to be deleted.</t>
  </si>
  <si>
    <t>Note: The main difference between our Basic Accounting and Service Based Accounting templates is that the Service Based Accounting template also includes customer details and invoicing. If you do not need to produce invoices for customers, the Basic Accounting template should be used.</t>
  </si>
  <si>
    <t>BS-1710</t>
  </si>
  <si>
    <t>Sales Tax 1 - National / Federal</t>
  </si>
  <si>
    <t>Sales Tax 2 - State</t>
  </si>
  <si>
    <t>Sales Tax 1 Amount</t>
  </si>
  <si>
    <t>Sales Tax 2 Amount</t>
  </si>
  <si>
    <t>Tax 1 Code</t>
  </si>
  <si>
    <t>Tax 2 Code</t>
  </si>
  <si>
    <t>Tax Type</t>
  </si>
  <si>
    <t>Tax Code 1</t>
  </si>
  <si>
    <t>Tax Code 2</t>
  </si>
  <si>
    <r>
      <rPr>
        <b/>
        <sz val="10"/>
        <rFont val="Arial"/>
        <family val="2"/>
      </rPr>
      <t>SalesTax</t>
    </r>
    <r>
      <rPr>
        <sz val="10"/>
        <rFont val="Arial"/>
        <family val="2"/>
      </rPr>
      <t xml:space="preserve"> - this sheet contains a monthly sales tax analysis which can be used for sales tax returns. All the calculations are automated. You can select the tax type and any of the individual sales tax codes at the top of the sheet to view the output and input values for any tax type or tax code. There are two tax types for national or federal sales tax and state sales tax.</t>
    </r>
  </si>
  <si>
    <r>
      <rPr>
        <b/>
        <sz val="10"/>
        <rFont val="Arial"/>
        <family val="2"/>
      </rPr>
      <t>Tax 1 Code</t>
    </r>
    <r>
      <rPr>
        <sz val="10"/>
        <rFont val="Arial"/>
        <family val="2"/>
      </rPr>
      <t xml:space="preserve"> - this column contains a drop-down list which enables you to select one of the tax codes on to the Setup sheet and should be used for national or federal sales tax. The sales tax percentage applied to the transaction is determined based on the selected sales tax code. If your business is not registered for sales tax purposes, all transactions should be recorded by using a sales tax code with a zero percentage. If no sales tax code is selected, no sales tax will be calculated.</t>
    </r>
  </si>
  <si>
    <r>
      <rPr>
        <b/>
        <sz val="10"/>
        <rFont val="Arial"/>
        <family val="2"/>
      </rPr>
      <t>Tax 2 Code</t>
    </r>
    <r>
      <rPr>
        <sz val="10"/>
        <rFont val="Arial"/>
        <family val="2"/>
      </rPr>
      <t xml:space="preserve"> - this column contains a drop-down list which enables you to select one of the tax codes on to the Setup sheet and should be used for state sales tax. The sales tax percentage applied to the transaction is determined based on the selected sales tax code. If your business is not registered for sales tax purposes, all transactions should be recorded by using a sales tax code with a zero percentage. If no sales tax code is selected, no sales tax will be calculated.</t>
    </r>
  </si>
  <si>
    <r>
      <rPr>
        <b/>
        <sz val="10"/>
        <rFont val="Arial"/>
        <family val="2"/>
      </rPr>
      <t>Outstanding Balance</t>
    </r>
    <r>
      <rPr>
        <sz val="10"/>
        <rFont val="Arial"/>
        <family val="2"/>
      </rPr>
      <t xml:space="preserve"> - if an invoice has not been paid in full, the outstanding balance will be reflected in this column. The outstanding balance is determined based on the balance date that is entered in cell L2 at the top of the sheet. If the balance date contains no value, the current system date will be used to determine which invoices are currently outstanding. You can therefore use the balance date input cell to calculate the trade debtors balance as at any user defined date.</t>
    </r>
  </si>
  <si>
    <r>
      <t xml:space="preserve">Exclusive Amount </t>
    </r>
    <r>
      <rPr>
        <sz val="10"/>
        <rFont val="Arial"/>
        <family val="2"/>
      </rPr>
      <t>- the formula in this column deducts the sales tax amounts from the inclusive invoice amount in order to calculate an amount excluding sales tax. For accounting purposes, the exclusive amounts are allocated to the income statement, the sales tax amounts are allocated to the appropriate sales tax control accounts and the inclusive amounts are allocated to trade debtors or bank (depending on whether the amounts have been paid or not).</t>
    </r>
  </si>
  <si>
    <r>
      <rPr>
        <b/>
        <sz val="10"/>
        <rFont val="Arial"/>
        <family val="2"/>
      </rPr>
      <t>Sales Tax 1 Amount</t>
    </r>
    <r>
      <rPr>
        <sz val="10"/>
        <rFont val="Arial"/>
        <family val="2"/>
      </rPr>
      <t xml:space="preserve"> - this column contains a formula which calculates the national or federal sales tax amount based on the tax 1 code selected in column F. Sales tax will only be calculated if a sales tax code has been selected in column F. The calculation is based on the sales tax percentages specified on the Setup sheet.</t>
    </r>
  </si>
  <si>
    <r>
      <rPr>
        <b/>
        <sz val="10"/>
        <rFont val="Arial"/>
        <family val="2"/>
      </rPr>
      <t>Sales Tax 2 Amount</t>
    </r>
    <r>
      <rPr>
        <sz val="10"/>
        <rFont val="Arial"/>
        <family val="2"/>
      </rPr>
      <t xml:space="preserve"> - this column contains a formula which calculates the state sales tax amount based on the tax 2 code selected in column G. Sales tax will only be calculated if a sales tax code has been selected in column G. The calculation is based on the sales tax percentages specified on the Setup sheet.</t>
    </r>
  </si>
  <si>
    <t>All the transactions entered on the Income sheet are automatically updated to the other sheets in this template. It is therefore imperative that all transactions are entered according to the guidance outlined in this section of the instructions otherwise it could result in imbalances in the template.</t>
  </si>
  <si>
    <t>All the column headings on this sheet contain a filter selection arrow - this feature indicates that the Filter feature has been activated for the data on this sheet. This Excel feature is very useful when you need to filter the data that forms part of a table based on the filter criteria which are available after clicking the selection arrow.</t>
  </si>
  <si>
    <t>Example: If you only want to display the income transactions for a particular invoice or payment month, you can filter the data based on the Invoice Date or Payment Date column by selecting the appropriate date filter from the filter menu which is displayed after clicking the selection arrow. After reviewing the filtered data, simply select the "Clear filter" option in the filtered column in order to remove the filter and to display all the transactions on the worksheet.</t>
  </si>
  <si>
    <t>The sheet also contains totals above the column headings for all columns which contain values and which are suitable for the calculation of transaction totals. The formulas in these cells result in only the transactions which are visible on the worksheet being included in the calculation of the appropriate totals. If you therefore print the sheet while a filter is in effect, the totals above the column headings will be calculated accurately and only include the transactions which have been printed.</t>
  </si>
  <si>
    <t>If an invoice consists of multiple lines, the invoice needs to be entered by repeating the invoice number, invoice date and customer name in all the rows relating to the invoice. When the invoice is paid in full, the payment dates need to be repeated in all the lines relating to the particular invoice and the payment amounts can be copied from the inclusive invoice values for each line.</t>
  </si>
  <si>
    <t>If a multiple line invoice is partially paid, the payment date and payment amount of the first payment can be entered in the first line relating to the particular invoice and the other lines need to be left blank. This will ensure that the outstanding invoice balance contains only the part of the invoice which has not been paid. When the next payment is made, the next payment amount and date needs to be entered and if there is still an unpaid part, it will be included in the outstanding balance calculation.</t>
  </si>
  <si>
    <t>When the remaining outstanding part of the invoice is subsequently paid, there may not be space to enter the next payment date and amount if the invoice was included in a single line. You therefore need to insert a new row below the original invoice row, copy all the data from column A to I from the original invoice line, replace the value in the Tax Inclusive Amount column with a zero value and enter the new payment amount &amp; date into the row which has been added. These steps need to be repeated if more than two payments are made for any invoice and there aren't sufficient lines to record payment dates &amp; amounts.</t>
  </si>
  <si>
    <t>If you want to view the list of invoices which make up any of the monthly trade debtor balances on the balance sheet, enter the month-end date as the balance date in cell L2 and then use the filter arrow next to the column heading in the outstanding balance column to deselect all zero values. All the invoices with balances at the appropriate month-end date will then be displayed.</t>
  </si>
  <si>
    <t>The template provides for two sales tax types namely national or federal sales tax and state sales tax. If you only require one sales tax type and you would like to delete the second sales tax type, you will be able to do so without affecting the template formulas by simply deleting the columns for Tax 2 Code (column G) and Sales Tax 2 Amount (column O). All the appropriate sales tax calculations will then only be based on the one sales tax type.</t>
  </si>
  <si>
    <t>Note: You cannot delete both sales tax types. If you do not require any sales tax calculations, you can leave the sales tax 1 codes in column F blank and delete the sales tax 2 columns indicated above. No sales tax amounts will then be calculated.</t>
  </si>
  <si>
    <t>Note: All the columns on the Expenses sheet have been included in an Excel table. This feature is extremely useful when entering data in a table format because the formulas in the calculated columns (the columns with light blue column headings) are automatically copied when new rows are inserted into the table or when data is entered into the first blank row below the table. You can therefore enter a new transaction by simply entering a document date in column A - the table will then automatically extend to include the new transaction.</t>
  </si>
  <si>
    <r>
      <t>Tax Inclusive Amount</t>
    </r>
    <r>
      <rPr>
        <sz val="10"/>
        <rFont val="Arial"/>
        <family val="2"/>
      </rPr>
      <t xml:space="preserve"> - enter the transaction amount inclusive of sales tax. Expenses and payments should be entered as positive amounts but if you have an income or receipt type transaction which is of an expense or payment nature, the transaction can be entered as a negative value. For example, entering a supplier claim which relates to a supplier invoice that has been recorded previously. In most instances, income and receipt transactions should however be recorded on the Income sheet.</t>
    </r>
  </si>
  <si>
    <r>
      <rPr>
        <b/>
        <sz val="10"/>
        <rFont val="Arial"/>
        <family val="2"/>
      </rPr>
      <t>Tax 2 Code</t>
    </r>
    <r>
      <rPr>
        <sz val="10"/>
        <rFont val="Arial"/>
        <family val="2"/>
      </rPr>
      <t xml:space="preserve"> - this column contains a drop-down list which enables you to select one of the tax codes added to the Setup sheet and relates to state sales tax. The sales tax percentage which is applied to the transaction is determined based on the sales tax code selected. If your business is not registered for sales tax purposes, all transactions should be recorded by using a sales tax code which has a zero percentage on the Setup sheet. If no sales tax code is selected, no sales tax will be calculated.</t>
    </r>
  </si>
  <si>
    <r>
      <rPr>
        <b/>
        <sz val="10"/>
        <rFont val="Arial"/>
        <family val="2"/>
      </rPr>
      <t>Outstanding Balance</t>
    </r>
    <r>
      <rPr>
        <sz val="10"/>
        <rFont val="Arial"/>
        <family val="2"/>
      </rPr>
      <t xml:space="preserve"> - if an expense has not been paid in full, the outstanding balance will be reflected in this column. The outstanding balance is determined based on the balance date that is entered in cell K2 at the top of the sheet. If the balance date contains no value, the current system date will be used to determine which invoices are currently outstanding. You can therefore use the balance date input cell to calculate the trade creditors balance as at any user defined date.</t>
    </r>
  </si>
  <si>
    <r>
      <t xml:space="preserve">Exclusive Amount </t>
    </r>
    <r>
      <rPr>
        <sz val="10"/>
        <rFont val="Arial"/>
        <family val="2"/>
      </rPr>
      <t>- the formula in this column deducts the sales tax amounts from the tax inclusive amount in order to calculate an amount excluding sales tax. For accounting purposes, the exclusive amounts are allocated to the income statement, the sales tax amounts are allocated to the sales tax control accounts and the inclusive amounts are allocated to trade creditors or bank (depending on whether the amounts have been paid or not).</t>
    </r>
  </si>
  <si>
    <r>
      <rPr>
        <b/>
        <sz val="10"/>
        <rFont val="Arial"/>
        <family val="2"/>
      </rPr>
      <t>Sales Tax 1 Amount</t>
    </r>
    <r>
      <rPr>
        <sz val="10"/>
        <rFont val="Arial"/>
        <family val="2"/>
      </rPr>
      <t xml:space="preserve"> - this column contains a formula which calculates the national or federal sales tax amounts based on the tax codes selected in column F. Sales tax will only be calculated if a sales tax code has been selected in column F. The calculation is based on the sales tax percentages specified on the Setup sheet.</t>
    </r>
  </si>
  <si>
    <r>
      <rPr>
        <b/>
        <sz val="10"/>
        <rFont val="Arial"/>
        <family val="2"/>
      </rPr>
      <t>Sales Tax 2 Amount</t>
    </r>
    <r>
      <rPr>
        <sz val="10"/>
        <rFont val="Arial"/>
        <family val="2"/>
      </rPr>
      <t xml:space="preserve"> - this column contains a formula which calculates the state sales tax amounts based on the tax codes selected in column G. Sales tax will only be calculated if a sales tax code has been selected in column G. The calculation is based on the sales tax percentages specified on the Setup sheet.</t>
    </r>
  </si>
  <si>
    <t>All the transactions that are entered on the Expenses sheet are automatically updated to the other sheets in this template. It is therefore imperative that all transactions are entered according to the guidance outlined in this section of the instructions otherwise it could result in imbalances in the template.</t>
  </si>
  <si>
    <t>Example: If you only want to display the transactions for a particular invoice or payment month, you can filter the data based on the Document Date or Payment Date column by selecting the appropriate date filter from the filter menu which is displayed after clicking the selection arrow. After reviewing the filtered data, simply select the "Clear filter" option in the filtered column in order to remove the filter and to display all the transactions on the worksheet.</t>
  </si>
  <si>
    <t>If you want to view the list of expenses which make up any of the monthly trade creditor balances on the balance sheet, simply enter the appropriate month-end date as the balance date in cell K2 and then use the filter arrow next to the column heading in the outstanding balance column to deselect all zero values. All the expenses with balances at the appropriate month-end date will then be displayed.</t>
  </si>
  <si>
    <t>The template provides for two sales tax types namely national or federal sales tax and state sales tax. If you only require one sales tax type and you would like to delete the second sales tax type, you will be able to do so without affecting the template formulas by simply deleting the columns for Tax 2 Code (column G) and Sales Tax 2 Amount (column N). All the appropriate sales tax calculations will then only be based on the one sales tax type.</t>
  </si>
  <si>
    <t>■ E3 - this error code means that the selected bank account code is invalid. All the bank account codes which have been created on the Setup sheet will be included in the bank code list boxes and the error can therefore be rectified by simply selecting a valid bank account code from the list box. New bank account codes must be created on the Setup sheet before being available for selection.</t>
  </si>
  <si>
    <t>■ E2 - this error code means that the selected account number on the Income or Expenses sheet is invalid. All the accounts which have been entered on the TB sheet will be included in the account number list boxes and the error can therefore be rectified by simply selecting a valid account number from the list box. New accounts must be created on the TB sheet before being available for selection.</t>
  </si>
  <si>
    <t>All the transactions recorded on the Income and Expenses sheets are automatically updated to the monthly income statement which is included on the IS sheet. All of these income statement accounts are reflected exclusive of any sales tax which may be applicable to the source transactions.</t>
  </si>
  <si>
    <t>All the transactions recorded on the Income and Expenses sheets are also automatically updated to the monthly cash flow statement which is included on the CFS sheet. No user input is required on this sheet.</t>
  </si>
  <si>
    <t>All the transactions recorded on the Income and Expenses sheets are also automatically updated to the monthly balance sheet which is included on the BS sheet. No user input is required on this sheet.</t>
  </si>
  <si>
    <t>The main components of the sales tax control accounts are output tax, input tax and payments. The output tax totals are calculated based on the Sales Tax Amount columns on the Income sheet, the input tax totals are calculated based on the Sales Tax Amount columns on the Expenses sheet and the Payment column includes all transactions on the Income and Expenses sheets which have been allocated to account BS-1700 or BS-1710.</t>
  </si>
  <si>
    <t>Note: All sales tax payments should be recorded on the Expenses sheet and allocated to the appropriate sales tax control account while all sales tax refunds should be recorded on the Income sheet and allocated to the sales tax control accounts (BS-1700 for national or federal sales tax or BS-1710 for state sales tax).</t>
  </si>
  <si>
    <t>Note: You can select the tax type from the list box in cell D2 - options include national / federal sales tax, state sales tax or both. If cell D2 is empty, the both option is assumed and the calculations are reflected for both sales taxes and therefore both sales tax control accounts.</t>
  </si>
  <si>
    <t>Note: You can also select individual sales tax codes from the list boxes in cell E2 and F2 at the top of the sheet to display the calculations based on any of the tax codes which have been included on the Setup sheet. The content of these list box can then simply be cleared to display the values for all sales tax codes.</t>
  </si>
  <si>
    <t>Note: The template provides for two sales tax types namely national or federal sales tax and state sales tax. If you only require one sales tax type and you would like to delete the second sales tax type, you will be able to do so without affecting the template formulas by simply deleting the columns for Tax 2 Code and Sales Tax 2 Amount on the Income and Expenses sheets. All the appropriate sales tax calculations will then only be based on the one sales tax type.</t>
  </si>
  <si>
    <t>Note: You cannot delete both sales tax types. If you do not require any sales tax calculations, you can leave the sales tax 1 codes blank and delete the sales tax 2 columns as indicated above. No sales tax amounts will then be calculated.</t>
  </si>
  <si>
    <r>
      <rPr>
        <b/>
        <sz val="10"/>
        <rFont val="Arial"/>
        <family val="2"/>
      </rPr>
      <t>Tax 1 Code</t>
    </r>
    <r>
      <rPr>
        <sz val="10"/>
        <rFont val="Arial"/>
        <family val="2"/>
      </rPr>
      <t xml:space="preserve"> - this column contains a drop-down list which enables you to select one of the tax codes added to the Setup sheet and relates to national or federal sales tax. The sales tax percentage which is applied to the transaction is determined based on the sales tax code selected. If your business is not registered for sales tax purposes, all transactions should be recorded by using a sales tax code which has a zero percentage on the Setup sheet. If no sales tax code is selected, no sales tax will be calculated.</t>
    </r>
  </si>
  <si>
    <t>Note: No new columns should be added between the Inclusive Amount and Exclusive Amount columns otherwise it will influence some of the sales tax calculations in this template. Also, if you delete the columns for the second sales tax type, the Sales Tax 1 Amount column may display a validation warning but this can safely be ignored as it has no effect on the template calculations. If you do not want to see these validation warnings, just keep both sales tax types and just don't select any tax codes in the second sales tax column.</t>
  </si>
  <si>
    <t>If you do not need sales tax to be calculated, you can simply leave the sales tax code columns blank or select any code with a zero percentage on the Setup sheet which will result in no sales tax being calculated.</t>
  </si>
  <si>
    <t>If you do not need both sales tax columns, we recommend selecting the appropriate sales tax codes in the first column and simply leaving the second sales tax code column blank or using a sales tax code with a zero percentage which would result in no sales tax being calculated in the second sales tax amount column. You can delete the second sales tax code and amount columns without affecting the sales tax calculations in the first sales tax code and amount columns but it may result in a data validation warning being displayed in the first sales tax amount column. These warnings just refer to the missing parts for the second sales tax calculations in the formulas and can safely be ignored.</t>
  </si>
  <si>
    <t>All the sales tax codes are available in both sales tax columns but you can use different sales tax codes and therefore different percentages for national or federal sales tax and state sales tax by simply selecting the relevant codes in the appropriate column which automatically results in the appropriate sales tax percentage being applied to the sales tax calculations. If the sales tax percentages change, you can simply create a new sales tax code for the new percentage and use it from the effective date for the new sales tax percentage.</t>
  </si>
  <si>
    <t>The sales tax codes included in the list on the Setup sheet are automatically included in the drop-down lists in the Sales Tax Code columns on the Income and Expenses sheets and the relevant percentages are automatically used to calculate the sales tax amounts on the same sheets. The template provides for two default sales tax types - national or federal sales tax and state sales tax and each sales tax type therefore has its own code selection and amount columns.</t>
  </si>
  <si>
    <t>We have also included an additional sheet which enables users to analyse sales tax movements on a monthly basis. The SalesTax sheet breaks the movement in the sales tax control accounts (BS-1700 and BS-1710) down into individual components which makes it easier to calculate sales tax return and paid amounts.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</si>
</sst>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_(* \(#,##0.00\);_(* &quot;-&quot;??_);_(@_)"/>
    <numFmt numFmtId="164" formatCode="&quot;R&quot;\ #,##0.00;[Red]&quot;R&quot;\ \-#,##0.00"/>
    <numFmt numFmtId="165" formatCode="mmm\-yyyy"/>
    <numFmt numFmtId="166" formatCode="0.0%"/>
    <numFmt numFmtId="167" formatCode="0.00000000000"/>
    <numFmt numFmtId="168" formatCode="0.00000000000000000"/>
    <numFmt numFmtId="169" formatCode="dd\ mmm\ yyyy"/>
    <numFmt numFmtId="170" formatCode="mmmm"/>
    <numFmt numFmtId="171" formatCode="mmm/yyyy"/>
  </numFmts>
  <fonts count="35" x14ac:knownFonts="1">
    <font>
      <sz val="10"/>
      <name val="Century Gothic"/>
      <family val="2"/>
      <scheme val="minor"/>
    </font>
    <font>
      <sz val="10"/>
      <name val="Arial"/>
      <family val="2"/>
    </font>
    <font>
      <sz val="8"/>
      <name val="Arial"/>
      <family val="2"/>
    </font>
    <font>
      <u/>
      <sz val="10"/>
      <color indexed="12"/>
      <name val="Arial"/>
      <family val="2"/>
    </font>
    <font>
      <sz val="11"/>
      <name val="Century Gothic"/>
      <family val="2"/>
      <scheme val="minor"/>
    </font>
    <font>
      <b/>
      <sz val="10"/>
      <name val="Century Gothic"/>
      <family val="2"/>
      <scheme val="minor"/>
    </font>
    <font>
      <sz val="10"/>
      <name val="Century Gothic"/>
      <family val="2"/>
      <scheme val="minor"/>
    </font>
    <font>
      <i/>
      <sz val="10"/>
      <name val="Century Gothic"/>
      <family val="2"/>
      <scheme val="minor"/>
    </font>
    <font>
      <b/>
      <sz val="10"/>
      <color indexed="8"/>
      <name val="Century Gothic"/>
      <family val="2"/>
      <scheme val="minor"/>
    </font>
    <font>
      <b/>
      <sz val="12"/>
      <name val="Century Gothic"/>
      <family val="2"/>
      <scheme val="minor"/>
    </font>
    <font>
      <b/>
      <u/>
      <sz val="10"/>
      <color indexed="12"/>
      <name val="Century Gothic"/>
      <family val="2"/>
      <scheme val="minor"/>
    </font>
    <font>
      <sz val="10"/>
      <color theme="0"/>
      <name val="Century Gothic"/>
      <family val="2"/>
      <scheme val="minor"/>
    </font>
    <font>
      <b/>
      <i/>
      <sz val="10"/>
      <name val="Century Gothic"/>
      <family val="2"/>
      <scheme val="minor"/>
    </font>
    <font>
      <b/>
      <u/>
      <sz val="10"/>
      <name val="Century Gothic"/>
      <family val="2"/>
      <scheme val="minor"/>
    </font>
    <font>
      <sz val="10"/>
      <color indexed="8"/>
      <name val="Century Gothic"/>
      <family val="2"/>
      <scheme val="minor"/>
    </font>
    <font>
      <i/>
      <sz val="10"/>
      <color rgb="FFFF6600"/>
      <name val="Century Gothic"/>
      <family val="2"/>
      <scheme val="minor"/>
    </font>
    <font>
      <sz val="10"/>
      <color indexed="10"/>
      <name val="Century Gothic"/>
      <family val="2"/>
      <scheme val="minor"/>
    </font>
    <font>
      <i/>
      <sz val="10"/>
      <color indexed="8"/>
      <name val="Century Gothic"/>
      <family val="2"/>
      <scheme val="minor"/>
    </font>
    <font>
      <b/>
      <sz val="10"/>
      <color theme="1"/>
      <name val="Century Gothic"/>
      <family val="2"/>
      <scheme val="minor"/>
    </font>
    <font>
      <b/>
      <sz val="10"/>
      <color theme="0"/>
      <name val="Century Gothic"/>
      <family val="2"/>
      <scheme val="minor"/>
    </font>
    <font>
      <sz val="10"/>
      <color rgb="FFFF6600"/>
      <name val="Century Gothic"/>
      <family val="2"/>
      <scheme val="minor"/>
    </font>
    <font>
      <b/>
      <sz val="10"/>
      <color rgb="FFFF6600"/>
      <name val="Century Gothic"/>
      <family val="2"/>
      <scheme val="minor"/>
    </font>
    <font>
      <sz val="10"/>
      <color indexed="17"/>
      <name val="Century Gothic"/>
      <family val="2"/>
      <scheme val="minor"/>
    </font>
    <font>
      <b/>
      <sz val="10"/>
      <color indexed="17"/>
      <name val="Century Gothic"/>
      <family val="2"/>
      <scheme val="minor"/>
    </font>
    <font>
      <i/>
      <sz val="10"/>
      <color theme="0"/>
      <name val="Century Gothic"/>
      <family val="2"/>
      <scheme val="minor"/>
    </font>
    <font>
      <sz val="9"/>
      <color rgb="FF008000"/>
      <name val="Century Gothic"/>
      <family val="2"/>
      <scheme val="minor"/>
    </font>
    <font>
      <b/>
      <sz val="9"/>
      <color rgb="FF008000"/>
      <name val="Century Gothic"/>
      <family val="2"/>
      <scheme val="minor"/>
    </font>
    <font>
      <sz val="9"/>
      <color rgb="FFFF6600"/>
      <name val="Century Gothic"/>
      <family val="2"/>
      <scheme val="minor"/>
    </font>
    <font>
      <i/>
      <sz val="9"/>
      <color rgb="FF008000"/>
      <name val="Century Gothic"/>
      <family val="2"/>
      <scheme val="minor"/>
    </font>
    <font>
      <b/>
      <i/>
      <sz val="9"/>
      <color rgb="FF008000"/>
      <name val="Century Gothic"/>
      <family val="2"/>
      <scheme val="minor"/>
    </font>
    <font>
      <b/>
      <sz val="10"/>
      <name val="Arial"/>
      <family val="2"/>
    </font>
    <font>
      <i/>
      <sz val="10"/>
      <name val="Arial"/>
      <family val="2"/>
    </font>
    <font>
      <b/>
      <u/>
      <sz val="10"/>
      <color theme="4" tint="-0.249977111117893"/>
      <name val="Arial"/>
      <family val="2"/>
    </font>
    <font>
      <b/>
      <sz val="10"/>
      <color indexed="8"/>
      <name val="Arial"/>
      <family val="2"/>
    </font>
    <font>
      <b/>
      <sz val="12"/>
      <name val="Arial"/>
      <family val="2"/>
    </font>
  </fonts>
  <fills count="7">
    <fill>
      <patternFill patternType="none"/>
    </fill>
    <fill>
      <patternFill patternType="gray125"/>
    </fill>
    <fill>
      <patternFill patternType="solid">
        <fgColor indexed="41"/>
        <bgColor indexed="64"/>
      </patternFill>
    </fill>
    <fill>
      <patternFill patternType="solid">
        <fgColor indexed="43"/>
        <bgColor indexed="64"/>
      </patternFill>
    </fill>
    <fill>
      <patternFill patternType="solid">
        <fgColor rgb="FFFFFF99"/>
        <bgColor indexed="64"/>
      </patternFill>
    </fill>
    <fill>
      <patternFill patternType="solid">
        <fgColor rgb="FFCCFFFF"/>
        <bgColor indexed="64"/>
      </patternFill>
    </fill>
    <fill>
      <patternFill patternType="solid">
        <fgColor rgb="FF002060"/>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medium">
        <color indexed="64"/>
      </bottom>
      <diagonal/>
    </border>
    <border>
      <left/>
      <right/>
      <top/>
      <bottom style="double">
        <color indexed="64"/>
      </bottom>
      <diagonal/>
    </border>
    <border>
      <left/>
      <right/>
      <top style="thin">
        <color indexed="64"/>
      </top>
      <bottom/>
      <diagonal/>
    </border>
    <border>
      <left/>
      <right/>
      <top style="thin">
        <color indexed="64"/>
      </top>
      <bottom style="double">
        <color indexed="64"/>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s>
  <cellStyleXfs count="4">
    <xf numFmtId="0" fontId="0" fillId="0" borderId="0"/>
    <xf numFmtId="43" fontId="1" fillId="0" borderId="0" applyFont="0" applyFill="0" applyBorder="0" applyAlignment="0" applyProtection="0"/>
    <xf numFmtId="0" fontId="3" fillId="0" borderId="0" applyNumberFormat="0" applyFill="0" applyBorder="0" applyAlignment="0" applyProtection="0">
      <alignment vertical="top"/>
      <protection locked="0"/>
    </xf>
    <xf numFmtId="9" fontId="1" fillId="0" borderId="0" applyFont="0" applyFill="0" applyBorder="0" applyAlignment="0" applyProtection="0"/>
  </cellStyleXfs>
  <cellXfs count="213">
    <xf numFmtId="0" fontId="0" fillId="0" borderId="0" xfId="0"/>
    <xf numFmtId="0" fontId="4" fillId="0" borderId="0" xfId="0" applyFont="1"/>
    <xf numFmtId="0" fontId="5" fillId="0" borderId="0" xfId="0" applyFont="1" applyAlignment="1" applyProtection="1">
      <alignment vertical="center" wrapText="1"/>
      <protection hidden="1"/>
    </xf>
    <xf numFmtId="0" fontId="5" fillId="0" borderId="0" xfId="0" applyFont="1" applyProtection="1">
      <protection hidden="1"/>
    </xf>
    <xf numFmtId="0" fontId="6" fillId="0" borderId="0" xfId="0" applyFont="1" applyProtection="1">
      <protection hidden="1"/>
    </xf>
    <xf numFmtId="0" fontId="10" fillId="0" borderId="0" xfId="2" applyFont="1" applyAlignment="1" applyProtection="1">
      <alignment horizontal="right"/>
      <protection hidden="1"/>
    </xf>
    <xf numFmtId="0" fontId="7" fillId="0" borderId="0" xfId="0" applyFont="1" applyProtection="1">
      <protection hidden="1"/>
    </xf>
    <xf numFmtId="0" fontId="11" fillId="0" borderId="0" xfId="0" applyFont="1" applyProtection="1">
      <protection hidden="1"/>
    </xf>
    <xf numFmtId="0" fontId="7" fillId="0" borderId="0" xfId="0" applyFont="1" applyAlignment="1" applyProtection="1">
      <alignment horizontal="center"/>
      <protection hidden="1"/>
    </xf>
    <xf numFmtId="0" fontId="6" fillId="3" borderId="1" xfId="0" applyFont="1" applyFill="1" applyBorder="1" applyAlignment="1" applyProtection="1">
      <alignment horizontal="center"/>
      <protection hidden="1"/>
    </xf>
    <xf numFmtId="14" fontId="6" fillId="0" borderId="0" xfId="0" applyNumberFormat="1" applyFont="1" applyAlignment="1" applyProtection="1">
      <alignment horizontal="center"/>
      <protection hidden="1"/>
    </xf>
    <xf numFmtId="170" fontId="6" fillId="3" borderId="1" xfId="0" applyNumberFormat="1" applyFont="1" applyFill="1" applyBorder="1" applyAlignment="1" applyProtection="1">
      <alignment horizontal="center"/>
      <protection hidden="1"/>
    </xf>
    <xf numFmtId="0" fontId="12" fillId="0" borderId="0" xfId="0" applyFont="1" applyProtection="1">
      <protection hidden="1"/>
    </xf>
    <xf numFmtId="0" fontId="6" fillId="4" borderId="1" xfId="0" applyFont="1" applyFill="1" applyBorder="1" applyProtection="1">
      <protection hidden="1"/>
    </xf>
    <xf numFmtId="0" fontId="6" fillId="4" borderId="5" xfId="0" applyFont="1" applyFill="1" applyBorder="1" applyAlignment="1" applyProtection="1">
      <alignment horizontal="left"/>
      <protection hidden="1"/>
    </xf>
    <xf numFmtId="0" fontId="6" fillId="4" borderId="4" xfId="0" applyFont="1" applyFill="1" applyBorder="1" applyAlignment="1" applyProtection="1">
      <alignment horizontal="left"/>
      <protection hidden="1"/>
    </xf>
    <xf numFmtId="166" fontId="6" fillId="3" borderId="1" xfId="3" applyNumberFormat="1" applyFont="1" applyFill="1" applyBorder="1" applyAlignment="1" applyProtection="1">
      <alignment horizontal="center"/>
      <protection hidden="1"/>
    </xf>
    <xf numFmtId="0" fontId="6" fillId="0" borderId="0" xfId="0" applyFont="1" applyAlignment="1" applyProtection="1">
      <alignment horizontal="left"/>
      <protection hidden="1"/>
    </xf>
    <xf numFmtId="166" fontId="6" fillId="0" borderId="0" xfId="3" applyNumberFormat="1" applyFont="1" applyFill="1" applyBorder="1" applyAlignment="1" applyProtection="1">
      <alignment horizontal="center"/>
      <protection hidden="1"/>
    </xf>
    <xf numFmtId="0" fontId="6" fillId="5" borderId="1" xfId="0" applyFont="1" applyFill="1" applyBorder="1" applyAlignment="1" applyProtection="1">
      <alignment horizontal="center"/>
      <protection hidden="1"/>
    </xf>
    <xf numFmtId="0" fontId="6" fillId="5" borderId="1" xfId="0" applyFont="1" applyFill="1" applyBorder="1" applyProtection="1">
      <protection hidden="1"/>
    </xf>
    <xf numFmtId="0" fontId="6" fillId="5" borderId="5" xfId="0" applyFont="1" applyFill="1" applyBorder="1" applyAlignment="1" applyProtection="1">
      <alignment horizontal="left"/>
      <protection hidden="1"/>
    </xf>
    <xf numFmtId="0" fontId="6" fillId="5" borderId="4" xfId="0" applyFont="1" applyFill="1" applyBorder="1" applyAlignment="1" applyProtection="1">
      <alignment horizontal="left"/>
      <protection hidden="1"/>
    </xf>
    <xf numFmtId="0" fontId="7" fillId="0" borderId="0" xfId="0" applyFont="1" applyAlignment="1" applyProtection="1">
      <alignment horizontal="left"/>
      <protection hidden="1"/>
    </xf>
    <xf numFmtId="170" fontId="11" fillId="0" borderId="0" xfId="0" applyNumberFormat="1" applyFont="1" applyAlignment="1" applyProtection="1">
      <alignment horizontal="left"/>
      <protection hidden="1"/>
    </xf>
    <xf numFmtId="0" fontId="9" fillId="0" borderId="0" xfId="0" applyFont="1" applyProtection="1">
      <protection hidden="1"/>
    </xf>
    <xf numFmtId="0" fontId="8" fillId="3" borderId="1" xfId="0" applyFont="1" applyFill="1" applyBorder="1" applyAlignment="1" applyProtection="1">
      <alignment horizontal="left" vertical="center" wrapText="1"/>
      <protection hidden="1"/>
    </xf>
    <xf numFmtId="0" fontId="8" fillId="3" borderId="1" xfId="0" applyFont="1" applyFill="1" applyBorder="1" applyAlignment="1" applyProtection="1">
      <alignment vertical="center" wrapText="1"/>
      <protection hidden="1"/>
    </xf>
    <xf numFmtId="43" fontId="13" fillId="0" borderId="0" xfId="1" applyFont="1" applyAlignment="1" applyProtection="1">
      <alignment horizontal="right"/>
      <protection hidden="1"/>
    </xf>
    <xf numFmtId="43" fontId="6" fillId="0" borderId="0" xfId="1" applyFont="1" applyProtection="1">
      <protection hidden="1"/>
    </xf>
    <xf numFmtId="0" fontId="6" fillId="0" borderId="0" xfId="0" applyFont="1" applyAlignment="1" applyProtection="1">
      <alignment horizontal="center"/>
      <protection hidden="1"/>
    </xf>
    <xf numFmtId="43" fontId="11" fillId="0" borderId="0" xfId="1" applyFont="1" applyProtection="1">
      <protection hidden="1"/>
    </xf>
    <xf numFmtId="14" fontId="11" fillId="0" borderId="0" xfId="1" applyNumberFormat="1" applyFont="1" applyAlignment="1" applyProtection="1">
      <alignment horizontal="center"/>
      <protection hidden="1"/>
    </xf>
    <xf numFmtId="0" fontId="11" fillId="0" borderId="0" xfId="0" applyFont="1" applyAlignment="1" applyProtection="1">
      <alignment horizontal="center"/>
      <protection hidden="1"/>
    </xf>
    <xf numFmtId="0" fontId="6" fillId="0" borderId="0" xfId="0" applyFont="1" applyAlignment="1" applyProtection="1">
      <alignment vertical="center"/>
      <protection hidden="1"/>
    </xf>
    <xf numFmtId="169" fontId="6" fillId="2" borderId="2" xfId="1" applyNumberFormat="1" applyFont="1" applyFill="1" applyBorder="1" applyAlignment="1" applyProtection="1">
      <alignment horizontal="center" vertical="center"/>
      <protection hidden="1"/>
    </xf>
    <xf numFmtId="43" fontId="6" fillId="0" borderId="0" xfId="1" applyFont="1" applyAlignment="1" applyProtection="1">
      <alignment vertical="center"/>
      <protection hidden="1"/>
    </xf>
    <xf numFmtId="169" fontId="6" fillId="3" borderId="1" xfId="1" applyNumberFormat="1" applyFont="1" applyFill="1" applyBorder="1" applyAlignment="1" applyProtection="1">
      <alignment horizontal="center" vertical="center"/>
      <protection hidden="1"/>
    </xf>
    <xf numFmtId="0" fontId="6" fillId="0" borderId="0" xfId="0" applyFont="1" applyAlignment="1" applyProtection="1">
      <alignment horizontal="center" vertical="center"/>
      <protection hidden="1"/>
    </xf>
    <xf numFmtId="43" fontId="5" fillId="3" borderId="1" xfId="1" applyFont="1" applyFill="1" applyBorder="1" applyAlignment="1" applyProtection="1">
      <alignment horizontal="center" vertical="center" wrapText="1"/>
      <protection hidden="1"/>
    </xf>
    <xf numFmtId="43" fontId="5" fillId="2" borderId="1" xfId="1" applyFont="1" applyFill="1" applyBorder="1" applyAlignment="1" applyProtection="1">
      <alignment horizontal="center" vertical="center" wrapText="1"/>
      <protection hidden="1"/>
    </xf>
    <xf numFmtId="0" fontId="14" fillId="0" borderId="0" xfId="0" applyFont="1" applyAlignment="1" applyProtection="1">
      <alignment horizontal="left"/>
      <protection hidden="1"/>
    </xf>
    <xf numFmtId="0" fontId="14" fillId="0" borderId="0" xfId="0" applyFont="1" applyProtection="1">
      <protection hidden="1"/>
    </xf>
    <xf numFmtId="43" fontId="6" fillId="3" borderId="3" xfId="1" applyFont="1" applyFill="1" applyBorder="1" applyProtection="1">
      <protection hidden="1"/>
    </xf>
    <xf numFmtId="0" fontId="5" fillId="0" borderId="0" xfId="0" applyFont="1" applyAlignment="1" applyProtection="1">
      <alignment horizontal="center"/>
      <protection hidden="1"/>
    </xf>
    <xf numFmtId="43" fontId="6" fillId="3" borderId="1" xfId="1" applyFont="1" applyFill="1" applyBorder="1" applyProtection="1">
      <protection hidden="1"/>
    </xf>
    <xf numFmtId="0" fontId="15" fillId="0" borderId="0" xfId="0" applyFont="1" applyAlignment="1" applyProtection="1">
      <alignment horizontal="left"/>
      <protection hidden="1"/>
    </xf>
    <xf numFmtId="0" fontId="15" fillId="0" borderId="0" xfId="0" applyFont="1" applyProtection="1">
      <protection hidden="1"/>
    </xf>
    <xf numFmtId="43" fontId="15" fillId="0" borderId="0" xfId="1" applyFont="1" applyProtection="1">
      <protection hidden="1"/>
    </xf>
    <xf numFmtId="0" fontId="15" fillId="0" borderId="0" xfId="0" applyFont="1" applyAlignment="1" applyProtection="1">
      <alignment horizontal="center"/>
      <protection hidden="1"/>
    </xf>
    <xf numFmtId="14" fontId="6" fillId="0" borderId="0" xfId="1" applyNumberFormat="1" applyFont="1" applyAlignment="1" applyProtection="1">
      <alignment horizontal="center"/>
      <protection hidden="1"/>
    </xf>
    <xf numFmtId="0" fontId="5" fillId="0" borderId="0" xfId="0" applyFont="1" applyAlignment="1" applyProtection="1">
      <alignment horizontal="left"/>
      <protection hidden="1"/>
    </xf>
    <xf numFmtId="43" fontId="6" fillId="2" borderId="1" xfId="1" applyFont="1" applyFill="1" applyBorder="1" applyProtection="1">
      <protection hidden="1"/>
    </xf>
    <xf numFmtId="0" fontId="16" fillId="0" borderId="0" xfId="0" applyFont="1" applyProtection="1">
      <protection hidden="1"/>
    </xf>
    <xf numFmtId="0" fontId="8" fillId="0" borderId="0" xfId="0" applyFont="1" applyAlignment="1" applyProtection="1">
      <alignment horizontal="left"/>
      <protection hidden="1"/>
    </xf>
    <xf numFmtId="0" fontId="8" fillId="0" borderId="0" xfId="0" applyFont="1" applyProtection="1">
      <protection hidden="1"/>
    </xf>
    <xf numFmtId="43" fontId="8" fillId="0" borderId="6" xfId="1" applyFont="1" applyBorder="1" applyProtection="1">
      <protection hidden="1"/>
    </xf>
    <xf numFmtId="0" fontId="8" fillId="0" borderId="0" xfId="0" applyFont="1" applyAlignment="1" applyProtection="1">
      <alignment horizontal="center"/>
      <protection hidden="1"/>
    </xf>
    <xf numFmtId="43" fontId="6" fillId="0" borderId="0" xfId="1" applyFont="1" applyFill="1" applyBorder="1" applyProtection="1">
      <protection hidden="1"/>
    </xf>
    <xf numFmtId="14" fontId="5" fillId="0" borderId="0" xfId="0" applyNumberFormat="1" applyFont="1" applyAlignment="1" applyProtection="1">
      <alignment horizontal="center"/>
      <protection hidden="1"/>
    </xf>
    <xf numFmtId="14" fontId="6" fillId="0" borderId="0" xfId="0" applyNumberFormat="1" applyFont="1" applyProtection="1">
      <protection hidden="1"/>
    </xf>
    <xf numFmtId="43" fontId="11" fillId="6" borderId="1" xfId="1" applyFont="1" applyFill="1" applyBorder="1" applyAlignment="1" applyProtection="1">
      <alignment horizontal="center"/>
      <protection hidden="1"/>
    </xf>
    <xf numFmtId="43" fontId="10" fillId="0" borderId="0" xfId="1" applyFont="1" applyAlignment="1" applyProtection="1">
      <alignment horizontal="right"/>
      <protection hidden="1"/>
    </xf>
    <xf numFmtId="43" fontId="6" fillId="0" borderId="0" xfId="1" applyFont="1" applyAlignment="1" applyProtection="1">
      <alignment horizontal="center"/>
      <protection hidden="1"/>
    </xf>
    <xf numFmtId="14" fontId="7" fillId="0" borderId="0" xfId="0" applyNumberFormat="1" applyFont="1" applyAlignment="1" applyProtection="1">
      <alignment horizontal="center"/>
      <protection hidden="1"/>
    </xf>
    <xf numFmtId="14" fontId="6" fillId="4" borderId="1" xfId="1" applyNumberFormat="1" applyFont="1" applyFill="1" applyBorder="1" applyAlignment="1" applyProtection="1">
      <alignment horizontal="center"/>
      <protection hidden="1"/>
    </xf>
    <xf numFmtId="43" fontId="17" fillId="0" borderId="0" xfId="1" applyFont="1" applyAlignment="1" applyProtection="1">
      <alignment horizontal="center"/>
      <protection hidden="1"/>
    </xf>
    <xf numFmtId="43" fontId="7" fillId="0" borderId="0" xfId="1" applyFont="1" applyAlignment="1" applyProtection="1">
      <alignment horizontal="center"/>
      <protection hidden="1"/>
    </xf>
    <xf numFmtId="0" fontId="18" fillId="3" borderId="3" xfId="0" applyFont="1" applyFill="1" applyBorder="1" applyAlignment="1" applyProtection="1">
      <alignment horizontal="left" wrapText="1"/>
      <protection hidden="1"/>
    </xf>
    <xf numFmtId="0" fontId="18" fillId="3" borderId="3" xfId="0" applyFont="1" applyFill="1" applyBorder="1" applyAlignment="1" applyProtection="1">
      <alignment horizontal="center" wrapText="1"/>
      <protection hidden="1"/>
    </xf>
    <xf numFmtId="0" fontId="18" fillId="3" borderId="3" xfId="0" applyFont="1" applyFill="1" applyBorder="1" applyAlignment="1" applyProtection="1">
      <alignment wrapText="1"/>
      <protection hidden="1"/>
    </xf>
    <xf numFmtId="0" fontId="18" fillId="3" borderId="3" xfId="1" applyNumberFormat="1" applyFont="1" applyFill="1" applyBorder="1" applyAlignment="1" applyProtection="1">
      <alignment horizontal="center" wrapText="1"/>
      <protection hidden="1"/>
    </xf>
    <xf numFmtId="0" fontId="18" fillId="5" borderId="3" xfId="1" applyNumberFormat="1" applyFont="1" applyFill="1" applyBorder="1" applyAlignment="1" applyProtection="1">
      <alignment horizontal="center" wrapText="1"/>
      <protection hidden="1"/>
    </xf>
    <xf numFmtId="0" fontId="18" fillId="2" borderId="3" xfId="1" applyNumberFormat="1" applyFont="1" applyFill="1" applyBorder="1" applyAlignment="1" applyProtection="1">
      <alignment horizontal="center" wrapText="1"/>
      <protection hidden="1"/>
    </xf>
    <xf numFmtId="0" fontId="18" fillId="0" borderId="0" xfId="0" applyFont="1" applyAlignment="1" applyProtection="1">
      <alignment wrapText="1"/>
      <protection hidden="1"/>
    </xf>
    <xf numFmtId="14" fontId="7" fillId="0" borderId="0" xfId="0" applyNumberFormat="1" applyFont="1" applyAlignment="1" applyProtection="1">
      <alignment horizontal="left"/>
      <protection hidden="1"/>
    </xf>
    <xf numFmtId="43" fontId="5" fillId="0" borderId="0" xfId="1" applyFont="1" applyAlignment="1" applyProtection="1">
      <alignment horizontal="center"/>
      <protection hidden="1"/>
    </xf>
    <xf numFmtId="43" fontId="18" fillId="5" borderId="3" xfId="1" applyFont="1" applyFill="1" applyBorder="1" applyAlignment="1" applyProtection="1">
      <alignment horizontal="center" wrapText="1"/>
      <protection hidden="1"/>
    </xf>
    <xf numFmtId="43" fontId="18" fillId="2" borderId="3" xfId="1" applyFont="1" applyFill="1" applyBorder="1" applyAlignment="1" applyProtection="1">
      <alignment horizontal="center" wrapText="1"/>
      <protection hidden="1"/>
    </xf>
    <xf numFmtId="14" fontId="6" fillId="0" borderId="0" xfId="0" applyNumberFormat="1" applyFont="1" applyAlignment="1" applyProtection="1">
      <alignment horizontal="left"/>
      <protection hidden="1"/>
    </xf>
    <xf numFmtId="14" fontId="19" fillId="0" borderId="0" xfId="0" applyNumberFormat="1" applyFont="1" applyAlignment="1" applyProtection="1">
      <alignment horizontal="center"/>
      <protection hidden="1"/>
    </xf>
    <xf numFmtId="0" fontId="5" fillId="2" borderId="1" xfId="0" applyFont="1" applyFill="1" applyBorder="1" applyAlignment="1" applyProtection="1">
      <alignment vertical="center"/>
      <protection hidden="1"/>
    </xf>
    <xf numFmtId="165" fontId="5" fillId="2" borderId="4" xfId="1" applyNumberFormat="1" applyFont="1" applyFill="1" applyBorder="1" applyAlignment="1" applyProtection="1">
      <alignment horizontal="center" vertical="center" wrapText="1"/>
      <protection hidden="1"/>
    </xf>
    <xf numFmtId="165" fontId="5" fillId="2" borderId="1" xfId="1" applyNumberFormat="1" applyFont="1" applyFill="1" applyBorder="1" applyAlignment="1" applyProtection="1">
      <alignment horizontal="center" vertical="center" wrapText="1"/>
      <protection hidden="1"/>
    </xf>
    <xf numFmtId="0" fontId="19" fillId="6" borderId="1" xfId="1" applyNumberFormat="1" applyFont="1" applyFill="1" applyBorder="1" applyAlignment="1" applyProtection="1">
      <alignment horizontal="center" vertical="center" wrapText="1"/>
      <protection hidden="1"/>
    </xf>
    <xf numFmtId="165" fontId="5" fillId="0" borderId="0" xfId="0" applyNumberFormat="1" applyFont="1" applyAlignment="1" applyProtection="1">
      <alignment vertical="center" wrapText="1"/>
      <protection hidden="1"/>
    </xf>
    <xf numFmtId="43" fontId="5" fillId="0" borderId="0" xfId="1" applyFont="1" applyProtection="1">
      <protection hidden="1"/>
    </xf>
    <xf numFmtId="43" fontId="5" fillId="0" borderId="6" xfId="1" applyFont="1" applyBorder="1" applyProtection="1">
      <protection hidden="1"/>
    </xf>
    <xf numFmtId="43" fontId="5" fillId="0" borderId="0" xfId="1" applyFont="1" applyBorder="1" applyProtection="1">
      <protection hidden="1"/>
    </xf>
    <xf numFmtId="43" fontId="6" fillId="0" borderId="0" xfId="1" applyFont="1" applyBorder="1" applyProtection="1">
      <protection hidden="1"/>
    </xf>
    <xf numFmtId="43" fontId="8" fillId="0" borderId="0" xfId="1" applyFont="1" applyProtection="1">
      <protection hidden="1"/>
    </xf>
    <xf numFmtId="0" fontId="6" fillId="0" borderId="0" xfId="1" applyNumberFormat="1" applyFont="1" applyProtection="1">
      <protection hidden="1"/>
    </xf>
    <xf numFmtId="168" fontId="6" fillId="0" borderId="0" xfId="0" applyNumberFormat="1" applyFont="1" applyProtection="1">
      <protection hidden="1"/>
    </xf>
    <xf numFmtId="167" fontId="6" fillId="0" borderId="0" xfId="0" applyNumberFormat="1" applyFont="1" applyProtection="1">
      <protection hidden="1"/>
    </xf>
    <xf numFmtId="165" fontId="19" fillId="6" borderId="1" xfId="1" applyNumberFormat="1" applyFont="1" applyFill="1" applyBorder="1" applyAlignment="1" applyProtection="1">
      <alignment horizontal="center" vertical="center" wrapText="1"/>
      <protection hidden="1"/>
    </xf>
    <xf numFmtId="43" fontId="7" fillId="0" borderId="0" xfId="1" applyFont="1" applyBorder="1" applyProtection="1">
      <protection hidden="1"/>
    </xf>
    <xf numFmtId="43" fontId="12" fillId="0" borderId="0" xfId="1" applyFont="1" applyBorder="1" applyProtection="1">
      <protection hidden="1"/>
    </xf>
    <xf numFmtId="43" fontId="7" fillId="0" borderId="8" xfId="1" applyFont="1" applyBorder="1" applyProtection="1">
      <protection hidden="1"/>
    </xf>
    <xf numFmtId="43" fontId="12" fillId="0" borderId="8" xfId="1" applyFont="1" applyBorder="1" applyProtection="1">
      <protection hidden="1"/>
    </xf>
    <xf numFmtId="43" fontId="6" fillId="0" borderId="6" xfId="1" applyFont="1" applyBorder="1" applyProtection="1">
      <protection hidden="1"/>
    </xf>
    <xf numFmtId="43" fontId="7" fillId="0" borderId="6" xfId="1" applyFont="1" applyBorder="1" applyProtection="1">
      <protection hidden="1"/>
    </xf>
    <xf numFmtId="43" fontId="12" fillId="0" borderId="6" xfId="1" applyFont="1" applyBorder="1" applyProtection="1">
      <protection hidden="1"/>
    </xf>
    <xf numFmtId="0" fontId="7" fillId="0" borderId="0" xfId="1" applyNumberFormat="1" applyFont="1" applyProtection="1">
      <protection hidden="1"/>
    </xf>
    <xf numFmtId="43" fontId="14" fillId="0" borderId="0" xfId="1" applyFont="1" applyBorder="1" applyProtection="1">
      <protection hidden="1"/>
    </xf>
    <xf numFmtId="43" fontId="8" fillId="0" borderId="0" xfId="1" applyFont="1" applyBorder="1" applyProtection="1">
      <protection hidden="1"/>
    </xf>
    <xf numFmtId="43" fontId="5" fillId="0" borderId="9" xfId="1" applyFont="1" applyBorder="1" applyProtection="1">
      <protection hidden="1"/>
    </xf>
    <xf numFmtId="43" fontId="5" fillId="0" borderId="0" xfId="1" applyFont="1" applyAlignment="1" applyProtection="1">
      <alignment horizontal="left"/>
      <protection hidden="1"/>
    </xf>
    <xf numFmtId="43" fontId="7" fillId="0" borderId="0" xfId="1" applyFont="1" applyAlignment="1" applyProtection="1">
      <alignment horizontal="left"/>
      <protection hidden="1"/>
    </xf>
    <xf numFmtId="0" fontId="11" fillId="0" borderId="0" xfId="0" applyFont="1" applyAlignment="1" applyProtection="1">
      <alignment horizontal="left"/>
      <protection hidden="1"/>
    </xf>
    <xf numFmtId="43" fontId="6" fillId="0" borderId="0" xfId="1" applyFont="1" applyAlignment="1" applyProtection="1">
      <alignment horizontal="left"/>
      <protection hidden="1"/>
    </xf>
    <xf numFmtId="0" fontId="5" fillId="2" borderId="1" xfId="0" applyFont="1" applyFill="1" applyBorder="1" applyAlignment="1" applyProtection="1">
      <alignment horizontal="left" vertical="center"/>
      <protection hidden="1"/>
    </xf>
    <xf numFmtId="43" fontId="5" fillId="0" borderId="0" xfId="1" applyFont="1" applyFill="1" applyProtection="1">
      <protection hidden="1"/>
    </xf>
    <xf numFmtId="0" fontId="5" fillId="0" borderId="0" xfId="1" applyNumberFormat="1" applyFont="1" applyFill="1" applyBorder="1" applyAlignment="1" applyProtection="1">
      <alignment horizontal="center" vertical="center" wrapText="1"/>
      <protection hidden="1"/>
    </xf>
    <xf numFmtId="43" fontId="5" fillId="0" borderId="7" xfId="1" applyFont="1" applyBorder="1" applyProtection="1">
      <protection hidden="1"/>
    </xf>
    <xf numFmtId="43" fontId="6" fillId="0" borderId="6" xfId="1" applyFont="1" applyBorder="1" applyAlignment="1" applyProtection="1">
      <alignment horizontal="left"/>
      <protection hidden="1"/>
    </xf>
    <xf numFmtId="43" fontId="5" fillId="0" borderId="6" xfId="1" applyFont="1" applyBorder="1" applyAlignment="1" applyProtection="1">
      <alignment horizontal="left"/>
      <protection hidden="1"/>
    </xf>
    <xf numFmtId="43" fontId="5" fillId="0" borderId="0" xfId="1" applyFont="1" applyBorder="1" applyAlignment="1" applyProtection="1">
      <alignment horizontal="left"/>
      <protection hidden="1"/>
    </xf>
    <xf numFmtId="0" fontId="20" fillId="0" borderId="0" xfId="1" applyNumberFormat="1" applyFont="1" applyAlignment="1" applyProtection="1">
      <alignment horizontal="left"/>
      <protection hidden="1"/>
    </xf>
    <xf numFmtId="43" fontId="20" fillId="0" borderId="0" xfId="1" applyFont="1" applyProtection="1">
      <protection hidden="1"/>
    </xf>
    <xf numFmtId="43" fontId="21" fillId="0" borderId="0" xfId="1" applyFont="1" applyProtection="1">
      <protection hidden="1"/>
    </xf>
    <xf numFmtId="0" fontId="22" fillId="0" borderId="0" xfId="0" applyFont="1" applyAlignment="1" applyProtection="1">
      <alignment horizontal="left"/>
      <protection hidden="1"/>
    </xf>
    <xf numFmtId="43" fontId="22" fillId="0" borderId="0" xfId="1" applyFont="1" applyAlignment="1" applyProtection="1">
      <alignment horizontal="center"/>
      <protection hidden="1"/>
    </xf>
    <xf numFmtId="43" fontId="23" fillId="0" borderId="0" xfId="1" applyFont="1" applyAlignment="1" applyProtection="1">
      <alignment horizontal="center"/>
      <protection hidden="1"/>
    </xf>
    <xf numFmtId="0" fontId="22" fillId="0" borderId="0" xfId="0" applyFont="1" applyProtection="1">
      <protection hidden="1"/>
    </xf>
    <xf numFmtId="164" fontId="6" fillId="0" borderId="0" xfId="0" applyNumberFormat="1" applyFont="1" applyProtection="1">
      <protection hidden="1"/>
    </xf>
    <xf numFmtId="14" fontId="5" fillId="0" borderId="0" xfId="0" applyNumberFormat="1" applyFont="1" applyAlignment="1" applyProtection="1">
      <alignment horizontal="left"/>
      <protection hidden="1"/>
    </xf>
    <xf numFmtId="171" fontId="6" fillId="0" borderId="0" xfId="1" applyNumberFormat="1" applyFont="1" applyAlignment="1" applyProtection="1">
      <alignment horizontal="left"/>
      <protection hidden="1"/>
    </xf>
    <xf numFmtId="14" fontId="11" fillId="0" borderId="0" xfId="0" applyNumberFormat="1" applyFont="1" applyAlignment="1" applyProtection="1">
      <alignment horizontal="left"/>
      <protection hidden="1"/>
    </xf>
    <xf numFmtId="14" fontId="5" fillId="0" borderId="0" xfId="1" applyNumberFormat="1" applyFont="1" applyAlignment="1" applyProtection="1">
      <alignment horizontal="left"/>
      <protection hidden="1"/>
    </xf>
    <xf numFmtId="43" fontId="6" fillId="4" borderId="1" xfId="1" applyFont="1" applyFill="1" applyBorder="1" applyAlignment="1" applyProtection="1">
      <alignment horizontal="center" vertical="center"/>
      <protection hidden="1"/>
    </xf>
    <xf numFmtId="43" fontId="11" fillId="0" borderId="0" xfId="1" applyFont="1" applyAlignment="1" applyProtection="1">
      <alignment horizontal="center"/>
      <protection hidden="1"/>
    </xf>
    <xf numFmtId="171" fontId="6" fillId="3" borderId="1" xfId="1" applyNumberFormat="1" applyFont="1" applyFill="1" applyBorder="1" applyAlignment="1" applyProtection="1">
      <alignment horizontal="center" vertical="center"/>
      <protection hidden="1"/>
    </xf>
    <xf numFmtId="0" fontId="5" fillId="0" borderId="0" xfId="0" applyFont="1" applyAlignment="1" applyProtection="1">
      <alignment vertical="center"/>
      <protection hidden="1"/>
    </xf>
    <xf numFmtId="0" fontId="5" fillId="5" borderId="1" xfId="0" applyFont="1" applyFill="1" applyBorder="1" applyAlignment="1" applyProtection="1">
      <alignment horizontal="left" vertical="center"/>
      <protection hidden="1"/>
    </xf>
    <xf numFmtId="0" fontId="5" fillId="5" borderId="1" xfId="1" applyNumberFormat="1" applyFont="1" applyFill="1" applyBorder="1" applyAlignment="1" applyProtection="1">
      <alignment horizontal="center" vertical="center"/>
      <protection hidden="1"/>
    </xf>
    <xf numFmtId="0" fontId="5" fillId="5" borderId="1" xfId="0" applyFont="1" applyFill="1" applyBorder="1" applyAlignment="1" applyProtection="1">
      <alignment horizontal="center" vertical="center"/>
      <protection hidden="1"/>
    </xf>
    <xf numFmtId="171" fontId="5" fillId="5" borderId="1" xfId="1" applyNumberFormat="1" applyFont="1" applyFill="1" applyBorder="1" applyAlignment="1" applyProtection="1">
      <alignment horizontal="left" vertical="center"/>
      <protection hidden="1"/>
    </xf>
    <xf numFmtId="43" fontId="6" fillId="0" borderId="0" xfId="0" applyNumberFormat="1" applyFont="1" applyProtection="1">
      <protection hidden="1"/>
    </xf>
    <xf numFmtId="171" fontId="6" fillId="0" borderId="12" xfId="1" applyNumberFormat="1" applyFont="1" applyBorder="1" applyAlignment="1" applyProtection="1">
      <alignment horizontal="left"/>
      <protection hidden="1"/>
    </xf>
    <xf numFmtId="43" fontId="6" fillId="0" borderId="8" xfId="1" applyFont="1" applyBorder="1" applyProtection="1">
      <protection hidden="1"/>
    </xf>
    <xf numFmtId="43" fontId="6" fillId="0" borderId="13" xfId="1" applyFont="1" applyBorder="1" applyProtection="1">
      <protection hidden="1"/>
    </xf>
    <xf numFmtId="171" fontId="6" fillId="0" borderId="11" xfId="1" applyNumberFormat="1" applyFont="1" applyBorder="1" applyAlignment="1" applyProtection="1">
      <alignment horizontal="left"/>
      <protection hidden="1"/>
    </xf>
    <xf numFmtId="43" fontId="6" fillId="0" borderId="14" xfId="1" applyFont="1" applyBorder="1" applyProtection="1">
      <protection hidden="1"/>
    </xf>
    <xf numFmtId="171" fontId="6" fillId="0" borderId="15" xfId="1" applyNumberFormat="1" applyFont="1" applyBorder="1" applyAlignment="1" applyProtection="1">
      <alignment horizontal="left"/>
      <protection hidden="1"/>
    </xf>
    <xf numFmtId="43" fontId="6" fillId="0" borderId="16" xfId="1" applyFont="1" applyBorder="1" applyProtection="1">
      <protection hidden="1"/>
    </xf>
    <xf numFmtId="43" fontId="6" fillId="0" borderId="17" xfId="1" applyFont="1" applyBorder="1" applyProtection="1">
      <protection hidden="1"/>
    </xf>
    <xf numFmtId="0" fontId="11" fillId="6" borderId="1" xfId="0" applyFont="1" applyFill="1" applyBorder="1" applyAlignment="1" applyProtection="1">
      <alignment horizontal="center"/>
      <protection hidden="1"/>
    </xf>
    <xf numFmtId="166" fontId="6" fillId="0" borderId="0" xfId="3" applyNumberFormat="1" applyFont="1" applyProtection="1">
      <protection hidden="1"/>
    </xf>
    <xf numFmtId="0" fontId="6" fillId="4" borderId="1" xfId="0" applyFont="1" applyFill="1" applyBorder="1" applyAlignment="1" applyProtection="1">
      <alignment horizontal="center"/>
      <protection hidden="1"/>
    </xf>
    <xf numFmtId="14" fontId="24" fillId="0" borderId="0" xfId="0" applyNumberFormat="1" applyFont="1" applyAlignment="1" applyProtection="1">
      <alignment horizontal="left"/>
      <protection hidden="1"/>
    </xf>
    <xf numFmtId="43" fontId="7" fillId="0" borderId="0" xfId="1" applyFont="1" applyProtection="1">
      <protection hidden="1"/>
    </xf>
    <xf numFmtId="166" fontId="7" fillId="0" borderId="0" xfId="3" applyNumberFormat="1" applyFont="1" applyProtection="1">
      <protection hidden="1"/>
    </xf>
    <xf numFmtId="14" fontId="11" fillId="0" borderId="0" xfId="0" applyNumberFormat="1" applyFont="1" applyAlignment="1" applyProtection="1">
      <alignment horizontal="left" vertical="center"/>
      <protection hidden="1"/>
    </xf>
    <xf numFmtId="0" fontId="19" fillId="6" borderId="1" xfId="0" applyFont="1" applyFill="1" applyBorder="1" applyAlignment="1" applyProtection="1">
      <alignment horizontal="center" vertical="center"/>
      <protection hidden="1"/>
    </xf>
    <xf numFmtId="14" fontId="5" fillId="5" borderId="1" xfId="0" applyNumberFormat="1" applyFont="1" applyFill="1" applyBorder="1" applyAlignment="1" applyProtection="1">
      <alignment horizontal="left" vertical="center"/>
      <protection hidden="1"/>
    </xf>
    <xf numFmtId="43" fontId="5" fillId="5" borderId="1" xfId="1" applyFont="1" applyFill="1" applyBorder="1" applyAlignment="1" applyProtection="1">
      <alignment horizontal="center" vertical="center"/>
      <protection hidden="1"/>
    </xf>
    <xf numFmtId="0" fontId="5" fillId="5" borderId="4" xfId="0" applyFont="1" applyFill="1" applyBorder="1" applyAlignment="1" applyProtection="1">
      <alignment horizontal="center" vertical="center"/>
      <protection hidden="1"/>
    </xf>
    <xf numFmtId="166" fontId="5" fillId="5" borderId="1" xfId="3" applyNumberFormat="1" applyFont="1" applyFill="1" applyBorder="1" applyAlignment="1" applyProtection="1">
      <alignment horizontal="center" vertical="center"/>
      <protection hidden="1"/>
    </xf>
    <xf numFmtId="14" fontId="6" fillId="0" borderId="2" xfId="0" applyNumberFormat="1" applyFont="1" applyBorder="1" applyAlignment="1" applyProtection="1">
      <alignment horizontal="left"/>
      <protection hidden="1"/>
    </xf>
    <xf numFmtId="43" fontId="6" fillId="0" borderId="2" xfId="1" applyFont="1" applyBorder="1" applyProtection="1">
      <protection hidden="1"/>
    </xf>
    <xf numFmtId="43" fontId="6" fillId="0" borderId="12" xfId="1" applyFont="1" applyBorder="1" applyProtection="1">
      <protection hidden="1"/>
    </xf>
    <xf numFmtId="43" fontId="6" fillId="0" borderId="13" xfId="0" applyNumberFormat="1" applyFont="1" applyBorder="1" applyProtection="1">
      <protection hidden="1"/>
    </xf>
    <xf numFmtId="166" fontId="6" fillId="0" borderId="12" xfId="3" applyNumberFormat="1" applyFont="1" applyBorder="1" applyProtection="1">
      <protection hidden="1"/>
    </xf>
    <xf numFmtId="166" fontId="6" fillId="0" borderId="13" xfId="3" applyNumberFormat="1" applyFont="1" applyBorder="1" applyProtection="1">
      <protection hidden="1"/>
    </xf>
    <xf numFmtId="14" fontId="6" fillId="0" borderId="10" xfId="0" applyNumberFormat="1" applyFont="1" applyBorder="1" applyAlignment="1" applyProtection="1">
      <alignment horizontal="left"/>
      <protection hidden="1"/>
    </xf>
    <xf numFmtId="43" fontId="6" fillId="0" borderId="10" xfId="1" applyFont="1" applyBorder="1" applyProtection="1">
      <protection hidden="1"/>
    </xf>
    <xf numFmtId="43" fontId="6" fillId="0" borderId="11" xfId="1" applyFont="1" applyBorder="1" applyProtection="1">
      <protection hidden="1"/>
    </xf>
    <xf numFmtId="43" fontId="6" fillId="0" borderId="14" xfId="0" applyNumberFormat="1" applyFont="1" applyBorder="1" applyProtection="1">
      <protection hidden="1"/>
    </xf>
    <xf numFmtId="166" fontId="6" fillId="0" borderId="11" xfId="3" applyNumberFormat="1" applyFont="1" applyBorder="1" applyProtection="1">
      <protection hidden="1"/>
    </xf>
    <xf numFmtId="166" fontId="6" fillId="0" borderId="14" xfId="3" applyNumberFormat="1" applyFont="1" applyBorder="1" applyProtection="1">
      <protection hidden="1"/>
    </xf>
    <xf numFmtId="14" fontId="6" fillId="0" borderId="3" xfId="0" applyNumberFormat="1" applyFont="1" applyBorder="1" applyAlignment="1" applyProtection="1">
      <alignment horizontal="left"/>
      <protection hidden="1"/>
    </xf>
    <xf numFmtId="43" fontId="6" fillId="0" borderId="3" xfId="1" applyFont="1" applyBorder="1" applyProtection="1">
      <protection hidden="1"/>
    </xf>
    <xf numFmtId="43" fontId="6" fillId="0" borderId="15" xfId="1" applyFont="1" applyBorder="1" applyProtection="1">
      <protection hidden="1"/>
    </xf>
    <xf numFmtId="43" fontId="6" fillId="0" borderId="17" xfId="0" applyNumberFormat="1" applyFont="1" applyBorder="1" applyProtection="1">
      <protection hidden="1"/>
    </xf>
    <xf numFmtId="166" fontId="6" fillId="0" borderId="15" xfId="3" applyNumberFormat="1" applyFont="1" applyBorder="1" applyProtection="1">
      <protection hidden="1"/>
    </xf>
    <xf numFmtId="166" fontId="6" fillId="0" borderId="17" xfId="3" applyNumberFormat="1" applyFont="1" applyBorder="1" applyProtection="1">
      <protection hidden="1"/>
    </xf>
    <xf numFmtId="14" fontId="9" fillId="0" borderId="0" xfId="0" applyNumberFormat="1" applyFont="1" applyAlignment="1" applyProtection="1">
      <alignment horizontal="left"/>
      <protection hidden="1"/>
    </xf>
    <xf numFmtId="0" fontId="9" fillId="0" borderId="0" xfId="0" applyFont="1" applyAlignment="1" applyProtection="1">
      <alignment horizontal="left"/>
      <protection hidden="1"/>
    </xf>
    <xf numFmtId="0" fontId="25" fillId="0" borderId="0" xfId="0" applyFont="1" applyProtection="1">
      <protection hidden="1"/>
    </xf>
    <xf numFmtId="0" fontId="26" fillId="0" borderId="0" xfId="0" applyFont="1" applyAlignment="1" applyProtection="1">
      <alignment vertical="center" wrapText="1"/>
      <protection hidden="1"/>
    </xf>
    <xf numFmtId="0" fontId="27" fillId="0" borderId="0" xfId="0" applyFont="1" applyProtection="1">
      <protection hidden="1"/>
    </xf>
    <xf numFmtId="0" fontId="26" fillId="0" borderId="0" xfId="0" applyFont="1" applyProtection="1">
      <protection hidden="1"/>
    </xf>
    <xf numFmtId="0" fontId="27" fillId="0" borderId="0" xfId="1" applyNumberFormat="1" applyFont="1" applyProtection="1">
      <protection hidden="1"/>
    </xf>
    <xf numFmtId="0" fontId="25" fillId="0" borderId="0" xfId="0" applyFont="1" applyAlignment="1" applyProtection="1">
      <alignment horizontal="left"/>
      <protection hidden="1"/>
    </xf>
    <xf numFmtId="0" fontId="26" fillId="0" borderId="0" xfId="0" applyFont="1" applyAlignment="1" applyProtection="1">
      <alignment horizontal="left"/>
      <protection hidden="1"/>
    </xf>
    <xf numFmtId="0" fontId="28" fillId="0" borderId="0" xfId="0" applyFont="1" applyAlignment="1" applyProtection="1">
      <alignment horizontal="left"/>
      <protection hidden="1"/>
    </xf>
    <xf numFmtId="0" fontId="27" fillId="0" borderId="0" xfId="0" applyFont="1" applyAlignment="1" applyProtection="1">
      <alignment horizontal="left"/>
      <protection hidden="1"/>
    </xf>
    <xf numFmtId="0" fontId="29" fillId="0" borderId="0" xfId="0" applyFont="1" applyAlignment="1" applyProtection="1">
      <alignment horizontal="left"/>
      <protection hidden="1"/>
    </xf>
    <xf numFmtId="0" fontId="26" fillId="0" borderId="0" xfId="1" applyNumberFormat="1" applyFont="1" applyFill="1" applyBorder="1" applyAlignment="1" applyProtection="1">
      <alignment horizontal="left"/>
      <protection hidden="1"/>
    </xf>
    <xf numFmtId="0" fontId="25" fillId="0" borderId="0" xfId="1" applyNumberFormat="1" applyFont="1" applyFill="1" applyBorder="1" applyAlignment="1" applyProtection="1">
      <alignment horizontal="left"/>
      <protection hidden="1"/>
    </xf>
    <xf numFmtId="0" fontId="1" fillId="0" borderId="0" xfId="0" applyFont="1" applyAlignment="1" applyProtection="1">
      <alignment vertical="center" wrapText="1"/>
      <protection hidden="1"/>
    </xf>
    <xf numFmtId="0" fontId="31" fillId="0" borderId="0" xfId="0" applyFont="1" applyAlignment="1" applyProtection="1">
      <alignment horizontal="left" wrapText="1"/>
      <protection hidden="1"/>
    </xf>
    <xf numFmtId="0" fontId="3" fillId="0" borderId="0" xfId="2" applyAlignment="1" applyProtection="1">
      <alignment horizontal="right" wrapText="1"/>
      <protection hidden="1"/>
    </xf>
    <xf numFmtId="0" fontId="1" fillId="0" borderId="0" xfId="0" applyFont="1" applyAlignment="1" applyProtection="1">
      <alignment horizontal="justify" wrapText="1"/>
      <protection hidden="1"/>
    </xf>
    <xf numFmtId="0" fontId="31" fillId="0" borderId="0" xfId="0" applyFont="1" applyAlignment="1" applyProtection="1">
      <alignment horizontal="justify" wrapText="1"/>
      <protection hidden="1"/>
    </xf>
    <xf numFmtId="0" fontId="30" fillId="0" borderId="0" xfId="0" applyFont="1" applyAlignment="1" applyProtection="1">
      <alignment horizontal="justify" wrapText="1"/>
      <protection hidden="1"/>
    </xf>
    <xf numFmtId="0" fontId="31" fillId="0" borderId="0" xfId="0" applyFont="1" applyAlignment="1" applyProtection="1">
      <alignment vertical="center" wrapText="1"/>
      <protection hidden="1"/>
    </xf>
    <xf numFmtId="0" fontId="30" fillId="0" borderId="0" xfId="0" applyFont="1" applyAlignment="1" applyProtection="1">
      <alignment vertical="center" wrapText="1"/>
      <protection hidden="1"/>
    </xf>
    <xf numFmtId="0" fontId="33" fillId="0" borderId="0" xfId="0" applyFont="1" applyAlignment="1" applyProtection="1">
      <alignment horizontal="justify" wrapText="1"/>
      <protection hidden="1"/>
    </xf>
    <xf numFmtId="0" fontId="1" fillId="0" borderId="0" xfId="0" applyFont="1" applyAlignment="1" applyProtection="1">
      <alignment wrapText="1"/>
      <protection hidden="1"/>
    </xf>
    <xf numFmtId="0" fontId="34" fillId="0" borderId="0" xfId="0" applyFont="1" applyAlignment="1" applyProtection="1">
      <alignment horizontal="left" wrapText="1"/>
      <protection hidden="1"/>
    </xf>
    <xf numFmtId="0" fontId="32" fillId="0" borderId="0" xfId="2" applyFont="1" applyAlignment="1" applyProtection="1">
      <alignment horizontal="left" vertical="center" wrapText="1"/>
    </xf>
    <xf numFmtId="0" fontId="11" fillId="0" borderId="0" xfId="1" applyNumberFormat="1" applyFont="1" applyAlignment="1" applyProtection="1">
      <alignment horizontal="center"/>
      <protection hidden="1"/>
    </xf>
    <xf numFmtId="14" fontId="18" fillId="3" borderId="3" xfId="0" applyNumberFormat="1" applyFont="1" applyFill="1" applyBorder="1" applyAlignment="1" applyProtection="1">
      <alignment horizontal="center" wrapText="1"/>
      <protection hidden="1"/>
    </xf>
    <xf numFmtId="14" fontId="18" fillId="3" borderId="3" xfId="0" applyNumberFormat="1" applyFont="1" applyFill="1" applyBorder="1" applyAlignment="1" applyProtection="1">
      <alignment horizontal="left" wrapText="1"/>
      <protection hidden="1"/>
    </xf>
    <xf numFmtId="0" fontId="6" fillId="3" borderId="5" xfId="0" applyFont="1" applyFill="1" applyBorder="1" applyAlignment="1" applyProtection="1">
      <alignment horizontal="left"/>
      <protection hidden="1"/>
    </xf>
    <xf numFmtId="0" fontId="6" fillId="3" borderId="4" xfId="0" applyFont="1" applyFill="1" applyBorder="1" applyAlignment="1" applyProtection="1">
      <alignment horizontal="left"/>
      <protection hidden="1"/>
    </xf>
    <xf numFmtId="14" fontId="19" fillId="6" borderId="5" xfId="0" applyNumberFormat="1" applyFont="1" applyFill="1" applyBorder="1" applyAlignment="1" applyProtection="1">
      <alignment horizontal="center" vertical="center"/>
      <protection hidden="1"/>
    </xf>
    <xf numFmtId="14" fontId="19" fillId="6" borderId="18" xfId="0" applyNumberFormat="1" applyFont="1" applyFill="1" applyBorder="1" applyAlignment="1" applyProtection="1">
      <alignment horizontal="center" vertical="center"/>
      <protection hidden="1"/>
    </xf>
    <xf numFmtId="14" fontId="19" fillId="6" borderId="4" xfId="0" applyNumberFormat="1" applyFont="1" applyFill="1" applyBorder="1" applyAlignment="1" applyProtection="1">
      <alignment horizontal="center" vertical="center"/>
      <protection hidden="1"/>
    </xf>
    <xf numFmtId="43" fontId="19" fillId="6" borderId="1" xfId="1" applyFont="1" applyFill="1" applyBorder="1" applyAlignment="1" applyProtection="1">
      <alignment horizontal="center" vertical="center"/>
      <protection hidden="1"/>
    </xf>
    <xf numFmtId="0" fontId="19" fillId="6" borderId="1" xfId="0" applyFont="1" applyFill="1" applyBorder="1" applyAlignment="1" applyProtection="1">
      <alignment horizontal="center" vertical="center"/>
      <protection hidden="1"/>
    </xf>
    <xf numFmtId="166" fontId="19" fillId="6" borderId="1" xfId="3" applyNumberFormat="1" applyFont="1" applyFill="1" applyBorder="1" applyAlignment="1" applyProtection="1">
      <alignment horizontal="center" vertical="center"/>
      <protection hidden="1"/>
    </xf>
  </cellXfs>
  <cellStyles count="4">
    <cellStyle name="Comma" xfId="1" builtinId="3"/>
    <cellStyle name="Hyperlink" xfId="2" builtinId="8"/>
    <cellStyle name="Normal" xfId="0" builtinId="0" customBuiltin="1"/>
    <cellStyle name="Percent" xfId="3" builtinId="5"/>
  </cellStyles>
  <dxfs count="52">
    <dxf>
      <font>
        <b/>
        <i val="0"/>
        <condense val="0"/>
        <extend val="0"/>
        <color indexed="9"/>
      </font>
      <fill>
        <patternFill>
          <bgColor indexed="53"/>
        </patternFill>
      </fill>
      <border>
        <left style="thin">
          <color indexed="22"/>
        </left>
        <right style="thin">
          <color indexed="22"/>
        </right>
        <top style="thin">
          <color indexed="22"/>
        </top>
        <bottom style="thin">
          <color indexed="22"/>
        </bottom>
      </border>
    </dxf>
    <dxf>
      <font>
        <b val="0"/>
        <i val="0"/>
        <strike val="0"/>
        <condense val="0"/>
        <extend val="0"/>
        <outline val="0"/>
        <shadow val="0"/>
        <u val="none"/>
        <vertAlign val="baseline"/>
        <sz val="10"/>
        <color auto="1"/>
        <name val="Century Gothic"/>
        <family val="2"/>
        <scheme val="minor"/>
      </font>
      <numFmt numFmtId="35" formatCode="_(* #,##0.00_);_(* \(#,##0.00\);_(* &quot;-&quot;??_);_(@_)"/>
      <alignment horizontal="center" textRotation="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alignment horizontal="center" vertical="bottom" textRotation="0" wrapText="0" indent="0" justifyLastLine="0" shrinkToFit="0" readingOrder="0"/>
      <protection locked="1" hidden="1"/>
    </dxf>
    <dxf>
      <font>
        <strike val="0"/>
        <outline val="0"/>
        <shadow val="0"/>
        <vertAlign val="baseline"/>
        <sz val="10"/>
        <name val="Century Gothic"/>
        <family val="2"/>
        <scheme val="minor"/>
      </font>
      <numFmt numFmtId="172" formatCode="yyyy/mm/dd"/>
      <alignment horizontal="center" vertical="bottom" textRotation="0" wrapText="0" relativeIndent="0" justifyLastLine="0" shrinkToFit="0" readingOrder="0"/>
      <protection locked="1" hidden="1"/>
    </dxf>
    <dxf>
      <font>
        <strike val="0"/>
        <outline val="0"/>
        <shadow val="0"/>
        <vertAlign val="baseline"/>
        <sz val="10"/>
        <name val="Century Gothic"/>
        <family val="2"/>
        <scheme val="minor"/>
      </font>
      <alignment horizontal="center" vertical="bottom" textRotation="0" wrapText="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protection locked="1" hidden="1"/>
    </dxf>
    <dxf>
      <font>
        <strike val="0"/>
        <outline val="0"/>
        <shadow val="0"/>
        <vertAlign val="baseline"/>
        <sz val="10"/>
        <name val="Century Gothic"/>
        <family val="2"/>
        <scheme val="minor"/>
      </font>
      <protection locked="1" hidden="1"/>
    </dxf>
    <dxf>
      <font>
        <strike val="0"/>
        <outline val="0"/>
        <shadow val="0"/>
        <vertAlign val="baseline"/>
        <sz val="10"/>
        <name val="Century Gothic"/>
        <family val="2"/>
        <scheme val="minor"/>
      </font>
      <protection locked="1" hidden="1"/>
    </dxf>
    <dxf>
      <font>
        <strike val="0"/>
        <outline val="0"/>
        <shadow val="0"/>
        <vertAlign val="baseline"/>
        <sz val="10"/>
        <name val="Century Gothic"/>
        <family val="2"/>
        <scheme val="minor"/>
      </font>
      <protection locked="1" hidden="1"/>
    </dxf>
    <dxf>
      <font>
        <strike val="0"/>
        <outline val="0"/>
        <shadow val="0"/>
        <vertAlign val="baseline"/>
        <sz val="10"/>
        <name val="Century Gothic"/>
        <family val="2"/>
        <scheme val="minor"/>
      </font>
      <numFmt numFmtId="172" formatCode="yyyy/mm/dd"/>
      <alignment horizontal="left" vertical="bottom" textRotation="0" wrapText="0" relativeIndent="0" justifyLastLine="0" shrinkToFit="0" readingOrder="0"/>
      <protection locked="1" hidden="1"/>
    </dxf>
    <dxf>
      <border outline="0">
        <top style="thin">
          <color indexed="64"/>
        </top>
      </border>
    </dxf>
    <dxf>
      <font>
        <b val="0"/>
        <i val="0"/>
        <strike val="0"/>
        <condense val="0"/>
        <extend val="0"/>
        <outline val="0"/>
        <shadow val="0"/>
        <u val="none"/>
        <vertAlign val="baseline"/>
        <sz val="10"/>
        <color auto="1"/>
        <name val="Century Gothic"/>
        <family val="2"/>
        <scheme val="minor"/>
      </font>
      <numFmt numFmtId="0" formatCode="General"/>
      <protection locked="1" hidden="1"/>
    </dxf>
    <dxf>
      <border outline="0">
        <bottom style="thin">
          <color indexed="64"/>
        </bottom>
      </border>
    </dxf>
    <dxf>
      <font>
        <b/>
        <i val="0"/>
        <strike val="0"/>
        <condense val="0"/>
        <extend val="0"/>
        <outline val="0"/>
        <shadow val="0"/>
        <u val="none"/>
        <vertAlign val="baseline"/>
        <sz val="10"/>
        <color theme="1"/>
        <name val="Century Gothic"/>
        <family val="2"/>
        <scheme val="minor"/>
      </font>
      <numFmt numFmtId="0" formatCode="General"/>
      <fill>
        <patternFill patternType="solid">
          <fgColor indexed="64"/>
          <bgColor indexed="41"/>
        </patternFill>
      </fill>
      <alignment horizontal="center" vertical="bottom" textRotation="0" wrapText="1" relativeIndent="0" justifyLastLine="0" shrinkToFit="0" readingOrder="0"/>
      <border diagonalUp="0" diagonalDown="0">
        <left style="thin">
          <color indexed="64"/>
        </left>
        <right style="thin">
          <color indexed="64"/>
        </right>
        <top/>
        <bottom/>
      </border>
      <protection locked="1" hidden="1"/>
    </dxf>
    <dxf>
      <font>
        <b/>
        <i val="0"/>
        <color theme="0"/>
      </font>
      <fill>
        <patternFill>
          <bgColor rgb="FFFF6600"/>
        </patternFill>
      </fill>
    </dxf>
    <dxf>
      <font>
        <b/>
        <i val="0"/>
        <color theme="0"/>
      </font>
      <fill>
        <patternFill>
          <bgColor rgb="FFFF6600"/>
        </patternFill>
      </fill>
    </dxf>
    <dxf>
      <font>
        <b/>
        <i val="0"/>
        <color theme="0"/>
      </font>
      <fill>
        <patternFill>
          <bgColor rgb="FFFF6600"/>
        </patternFill>
      </fill>
    </dxf>
    <dxf>
      <font>
        <b val="0"/>
        <i val="0"/>
        <strike val="0"/>
        <condense val="0"/>
        <extend val="0"/>
        <outline val="0"/>
        <shadow val="0"/>
        <u val="none"/>
        <vertAlign val="baseline"/>
        <sz val="10"/>
        <color auto="1"/>
        <name val="Century Gothic"/>
        <family val="2"/>
        <scheme val="minor"/>
      </font>
      <numFmt numFmtId="35" formatCode="_(* #,##0.00_);_(* \(#,##0.00\);_(* &quot;-&quot;??_);_(@_)"/>
      <alignment horizontal="center" textRotation="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alignment horizontal="center" textRotation="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alignment horizontal="center" vertical="bottom" textRotation="0" wrapText="0" indent="0" justifyLastLine="0" shrinkToFit="0" readingOrder="0"/>
      <protection locked="1" hidden="1"/>
    </dxf>
    <dxf>
      <font>
        <strike val="0"/>
        <outline val="0"/>
        <shadow val="0"/>
        <vertAlign val="baseline"/>
        <sz val="10"/>
        <name val="Century Gothic"/>
        <family val="2"/>
        <scheme val="minor"/>
      </font>
      <numFmt numFmtId="172" formatCode="yyyy/mm/dd"/>
      <alignment horizontal="center" vertical="bottom" textRotation="0" wrapText="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indent="0" justifyLastLine="0" shrinkToFit="0" readingOrder="0"/>
      <protection locked="1" hidden="1"/>
    </dxf>
    <dxf>
      <font>
        <strike val="0"/>
        <outline val="0"/>
        <shadow val="0"/>
        <vertAlign val="baseline"/>
        <sz val="10"/>
        <name val="Century Gothic"/>
        <family val="2"/>
        <scheme val="minor"/>
      </font>
      <alignment horizontal="center" vertical="bottom" textRotation="0" wrapText="0" relativeIndent="0" justifyLastLine="0" shrinkToFit="0" readingOrder="0"/>
      <protection locked="1" hidden="1"/>
    </dxf>
    <dxf>
      <font>
        <strike val="0"/>
        <outline val="0"/>
        <shadow val="0"/>
        <vertAlign val="baseline"/>
        <sz val="10"/>
        <name val="Century Gothic"/>
        <family val="2"/>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indent="0" justifyLastLine="0" shrinkToFit="0" readingOrder="0"/>
      <protection locked="1" hidden="1"/>
    </dxf>
    <dxf>
      <font>
        <strike val="0"/>
        <outline val="0"/>
        <shadow val="0"/>
        <vertAlign val="baseline"/>
        <sz val="10"/>
        <name val="Century Gothic"/>
        <family val="2"/>
        <scheme val="minor"/>
      </font>
      <alignment horizontal="center" vertical="bottom" textRotation="0" wrapText="0" relativeIndent="0" justifyLastLine="0" shrinkToFit="0" readingOrder="0"/>
      <protection locked="1" hidden="1"/>
    </dxf>
    <dxf>
      <font>
        <strike val="0"/>
        <outline val="0"/>
        <shadow val="0"/>
        <vertAlign val="baseline"/>
        <sz val="10"/>
        <name val="Century Gothic"/>
        <family val="2"/>
        <scheme val="minor"/>
      </font>
      <protection locked="1" hidden="1"/>
    </dxf>
    <dxf>
      <font>
        <strike val="0"/>
        <outline val="0"/>
        <shadow val="0"/>
        <vertAlign val="baseline"/>
        <sz val="10"/>
        <name val="Century Gothic"/>
        <family val="2"/>
        <scheme val="minor"/>
      </font>
      <protection locked="1" hidden="1"/>
    </dxf>
    <dxf>
      <font>
        <strike val="0"/>
        <outline val="0"/>
        <shadow val="0"/>
        <vertAlign val="baseline"/>
        <sz val="10"/>
        <name val="Century Gothic"/>
        <family val="2"/>
        <scheme val="minor"/>
      </font>
      <alignment horizontal="left" vertical="bottom" textRotation="0" wrapText="0" relativeIndent="0" justifyLastLine="0" shrinkToFit="0" readingOrder="0"/>
      <protection locked="1" hidden="1"/>
    </dxf>
    <dxf>
      <font>
        <strike val="0"/>
        <outline val="0"/>
        <shadow val="0"/>
        <vertAlign val="baseline"/>
        <sz val="10"/>
        <name val="Century Gothic"/>
        <family val="2"/>
        <scheme val="minor"/>
      </font>
      <numFmt numFmtId="172" formatCode="yyyy/mm/dd"/>
      <alignment horizontal="center" vertical="bottom" textRotation="0" wrapText="0" relativeIndent="0" justifyLastLine="0" shrinkToFit="0" readingOrder="0"/>
      <protection locked="1" hidden="1"/>
    </dxf>
    <dxf>
      <font>
        <strike val="0"/>
        <outline val="0"/>
        <shadow val="0"/>
        <vertAlign val="baseline"/>
        <sz val="10"/>
        <name val="Century Gothic"/>
        <family val="2"/>
        <scheme val="minor"/>
      </font>
      <numFmt numFmtId="0" formatCode="General"/>
      <alignment horizontal="left" vertical="bottom" textRotation="0" wrapText="0" relativeIndent="0" justifyLastLine="0" shrinkToFit="0" readingOrder="0"/>
      <protection locked="1" hidden="1"/>
    </dxf>
    <dxf>
      <border outline="0">
        <top style="thin">
          <color indexed="64"/>
        </top>
      </border>
    </dxf>
    <dxf>
      <font>
        <b val="0"/>
        <i val="0"/>
        <strike val="0"/>
        <condense val="0"/>
        <extend val="0"/>
        <outline val="0"/>
        <shadow val="0"/>
        <u val="none"/>
        <vertAlign val="baseline"/>
        <sz val="10"/>
        <color auto="1"/>
        <name val="Century Gothic"/>
        <family val="2"/>
        <scheme val="minor"/>
      </font>
      <numFmt numFmtId="0" formatCode="General"/>
      <protection locked="1" hidden="1"/>
    </dxf>
    <dxf>
      <border outline="0">
        <bottom style="thin">
          <color indexed="64"/>
        </bottom>
      </border>
    </dxf>
    <dxf>
      <font>
        <b/>
        <i val="0"/>
        <strike val="0"/>
        <condense val="0"/>
        <extend val="0"/>
        <outline val="0"/>
        <shadow val="0"/>
        <u val="none"/>
        <vertAlign val="baseline"/>
        <sz val="10"/>
        <color theme="1"/>
        <name val="Century Gothic"/>
        <family val="2"/>
        <scheme val="minor"/>
      </font>
      <numFmt numFmtId="0" formatCode="General"/>
      <fill>
        <patternFill patternType="solid">
          <fgColor indexed="64"/>
          <bgColor indexed="41"/>
        </patternFill>
      </fill>
      <alignment horizontal="center" vertical="bottom" textRotation="0" wrapText="1" relativeIndent="0" justifyLastLine="0" shrinkToFit="0" readingOrder="0"/>
      <border diagonalUp="0" diagonalDown="0">
        <left style="thin">
          <color indexed="64"/>
        </left>
        <right style="thin">
          <color indexed="64"/>
        </right>
        <top/>
        <bottom/>
      </border>
      <protection locked="1" hidden="1"/>
    </dxf>
    <dxf>
      <font>
        <b/>
        <i val="0"/>
        <color theme="0"/>
      </font>
      <fill>
        <patternFill>
          <bgColor rgb="FFFF6600"/>
        </patternFill>
      </fill>
    </dxf>
    <dxf>
      <font>
        <b/>
        <i val="0"/>
        <color theme="0"/>
      </font>
      <fill>
        <patternFill>
          <bgColor rgb="FFFF6600"/>
        </patternFill>
      </fill>
    </dxf>
    <dxf>
      <font>
        <b/>
        <i val="0"/>
        <color theme="0"/>
      </font>
      <fill>
        <patternFill>
          <bgColor rgb="FFFF6600"/>
        </patternFill>
      </fill>
    </dxf>
    <dxf>
      <font>
        <b/>
        <i val="0"/>
        <color theme="0"/>
      </font>
      <fill>
        <patternFill>
          <bgColor rgb="FFFF0000"/>
        </patternFill>
      </fill>
      <border>
        <left style="thin">
          <color theme="0"/>
        </left>
        <right style="thin">
          <color theme="0"/>
        </right>
        <top style="thin">
          <color theme="0"/>
        </top>
        <bottom style="thin">
          <color theme="0"/>
        </bottom>
        <vertical/>
        <horizontal/>
      </border>
    </dxf>
    <dxf>
      <font>
        <b/>
        <i val="0"/>
        <color theme="0"/>
      </font>
      <fill>
        <patternFill>
          <bgColor rgb="FFFF0000"/>
        </patternFill>
      </fill>
      <border>
        <left style="thin">
          <color theme="0"/>
        </left>
        <right style="thin">
          <color theme="0"/>
        </right>
        <top style="thin">
          <color theme="0"/>
        </top>
        <bottom style="thin">
          <color theme="0"/>
        </bottom>
        <vertical/>
        <horizontal/>
      </border>
    </dxf>
    <dxf>
      <font>
        <b/>
        <i val="0"/>
        <color theme="0"/>
      </font>
      <fill>
        <patternFill>
          <bgColor rgb="FFFF0000"/>
        </patternFill>
      </fill>
    </dxf>
  </dxfs>
  <tableStyles count="0" defaultTableStyle="TableStyleMedium9" defaultPivotStyle="PivotStyleLight16"/>
  <colors>
    <mruColors>
      <color rgb="FFFFFF99"/>
      <color rgb="FFCCFFFF"/>
      <color rgb="FFFF6600"/>
      <color rgb="FF008000"/>
      <color rgb="FFC0C0C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hyperlink" Target="https://www.excel-skills.com/macro.php?tempno=29"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s://www.excel-skills.com/accounting-templates-in-excel.php" TargetMode="External"/></Relationships>
</file>

<file path=xl/drawings/drawing1.xml><?xml version="1.0" encoding="utf-8"?>
<xdr:wsDr xmlns:xdr="http://schemas.openxmlformats.org/drawingml/2006/spreadsheetDrawing" xmlns:a="http://schemas.openxmlformats.org/drawingml/2006/main">
  <xdr:twoCellAnchor>
    <xdr:from>
      <xdr:col>0</xdr:col>
      <xdr:colOff>22860</xdr:colOff>
      <xdr:row>0</xdr:row>
      <xdr:rowOff>22860</xdr:rowOff>
    </xdr:from>
    <xdr:to>
      <xdr:col>8</xdr:col>
      <xdr:colOff>679500</xdr:colOff>
      <xdr:row>21</xdr:row>
      <xdr:rowOff>14010</xdr:rowOff>
    </xdr:to>
    <xdr:grpSp>
      <xdr:nvGrpSpPr>
        <xdr:cNvPr id="4" name="Group 3">
          <a:extLst>
            <a:ext uri="{FF2B5EF4-FFF2-40B4-BE49-F238E27FC236}">
              <a16:creationId xmlns:a16="http://schemas.microsoft.com/office/drawing/2014/main" id="{9EB54D4B-2691-4A92-9A61-7F3D2521B3B6}"/>
            </a:ext>
          </a:extLst>
        </xdr:cNvPr>
        <xdr:cNvGrpSpPr/>
      </xdr:nvGrpSpPr>
      <xdr:grpSpPr>
        <a:xfrm>
          <a:off x="22860" y="22860"/>
          <a:ext cx="9394240" cy="3591600"/>
          <a:chOff x="17134" y="17145"/>
          <a:chExt cx="9252000" cy="3671610"/>
        </a:xfrm>
      </xdr:grpSpPr>
      <xdr:sp macro="" textlink="" fLocksText="0">
        <xdr:nvSpPr>
          <xdr:cNvPr id="5" name="Rectangle 1">
            <a:extLst>
              <a:ext uri="{FF2B5EF4-FFF2-40B4-BE49-F238E27FC236}">
                <a16:creationId xmlns:a16="http://schemas.microsoft.com/office/drawing/2014/main" id="{1499FE74-94A8-4BE3-A07B-8610128B21F7}"/>
              </a:ext>
            </a:extLst>
          </xdr:cNvPr>
          <xdr:cNvSpPr>
            <a:spLocks noChangeArrowheads="1"/>
          </xdr:cNvSpPr>
        </xdr:nvSpPr>
        <xdr:spPr bwMode="auto">
          <a:xfrm>
            <a:off x="17134" y="17145"/>
            <a:ext cx="9252000" cy="367161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horzOverflow="clip" wrap="square" lIns="180000" tIns="180000" rIns="180000" bIns="180000" anchor="t" anchorCtr="0" upright="1">
            <a:noAutofit/>
          </a:bodyPr>
          <a:lstStyle/>
          <a:p>
            <a:pPr algn="l" rtl="0">
              <a:lnSpc>
                <a:spcPct val="100000"/>
              </a:lnSpc>
              <a:spcAft>
                <a:spcPts val="0"/>
              </a:spcAft>
              <a:defRPr sz="1000"/>
            </a:pPr>
            <a:r>
              <a:rPr lang="en-US" sz="1200" b="1" i="0" u="none" strike="noStrike" baseline="0">
                <a:solidFill>
                  <a:schemeClr val="bg1"/>
                </a:solidFill>
                <a:latin typeface="+mn-lt"/>
                <a:cs typeface="Arial" panose="020B0604020202020204" pitchFamily="34" charset="0"/>
              </a:rPr>
              <a:t>EXCEL-SKILLS.COM</a:t>
            </a:r>
          </a:p>
          <a:p>
            <a:pPr algn="l" rtl="0">
              <a:lnSpc>
                <a:spcPct val="100000"/>
              </a:lnSpc>
              <a:defRPr sz="1000"/>
            </a:pPr>
            <a:r>
              <a:rPr lang="en-US" sz="2400" b="1" i="0" u="none" strike="noStrike" baseline="0">
                <a:solidFill>
                  <a:srgbClr val="FFFFFF"/>
                </a:solidFill>
                <a:latin typeface="Berlin Sans FB Demi" panose="020E0802020502020306" pitchFamily="34" charset="0"/>
                <a:cs typeface="Arial"/>
              </a:rPr>
              <a:t>How to activate our trial version</a:t>
            </a:r>
          </a:p>
          <a:p>
            <a:pPr algn="just" rtl="0">
              <a:lnSpc>
                <a:spcPts val="1500"/>
              </a:lnSpc>
              <a:spcBef>
                <a:spcPts val="300"/>
              </a:spcBef>
              <a:spcAft>
                <a:spcPts val="300"/>
              </a:spcAft>
              <a:defRPr sz="1000"/>
            </a:pPr>
            <a:r>
              <a:rPr lang="en-US" sz="1100" b="0" i="0" u="none" strike="noStrike" baseline="0">
                <a:solidFill>
                  <a:srgbClr val="FFFFFF"/>
                </a:solidFill>
                <a:latin typeface="+mn-lt"/>
                <a:cs typeface="Arial" panose="020B0604020202020204" pitchFamily="34" charset="0"/>
              </a:rPr>
              <a:t>Enable our 100% secure trial version macro to display the full version of the template. You should see a security warning message indicating that macros have been disabled - the trail version can be activated by enabling the macro content. Once you enable the macro, all the sheets included in the full version will be visible and you will be able to test the template features.</a:t>
            </a:r>
          </a:p>
          <a:p>
            <a:pPr marL="0" algn="just" rtl="0">
              <a:lnSpc>
                <a:spcPct val="100000"/>
              </a:lnSpc>
              <a:spcBef>
                <a:spcPts val="300"/>
              </a:spcBef>
              <a:spcAft>
                <a:spcPts val="300"/>
              </a:spcAft>
              <a:defRPr sz="1000"/>
            </a:pPr>
            <a:r>
              <a:rPr lang="en-US" sz="1200" b="1" i="0" u="none" strike="noStrike" baseline="0">
                <a:solidFill>
                  <a:srgbClr val="FFFFFF"/>
                </a:solidFill>
                <a:latin typeface="+mn-lt"/>
                <a:cs typeface="Arial" panose="020B0604020202020204" pitchFamily="34" charset="0"/>
              </a:rPr>
              <a:t>Trial version restrictions</a:t>
            </a:r>
          </a:p>
          <a:p>
            <a:pPr marL="0" algn="just" rtl="0">
              <a:lnSpc>
                <a:spcPts val="1500"/>
              </a:lnSpc>
              <a:spcBef>
                <a:spcPts val="0"/>
              </a:spcBef>
              <a:spcAft>
                <a:spcPts val="300"/>
              </a:spcAft>
              <a:defRPr sz="1000"/>
            </a:pPr>
            <a:r>
              <a:rPr lang="en-US" sz="1100" b="0" i="0" u="none" strike="noStrike" baseline="0">
                <a:solidFill>
                  <a:srgbClr val="FFFFFF"/>
                </a:solidFill>
                <a:latin typeface="+mn-lt"/>
                <a:cs typeface="Arial" panose="020B0604020202020204" pitchFamily="34" charset="0"/>
              </a:rPr>
              <a:t>The trial version includes all the functionality of the full version but you cannot save the template or print any of the worksheets. You will also not be able to move or copy any of the worksheets. The aim of the trial version is to illustrate the functionality which is included in the full version and the trial can therefore only be used to try out the template functionality for one session at a time. We only use macros for the trial versions of our templates - none of the full versions of our templates contain any macros!</a:t>
            </a:r>
          </a:p>
        </xdr:txBody>
      </xdr:sp>
      <xdr:sp macro="" textlink="" fLocksText="0">
        <xdr:nvSpPr>
          <xdr:cNvPr id="6" name="TextBox 5">
            <a:hlinkClick xmlns:r="http://schemas.openxmlformats.org/officeDocument/2006/relationships" r:id="rId1"/>
            <a:extLst>
              <a:ext uri="{FF2B5EF4-FFF2-40B4-BE49-F238E27FC236}">
                <a16:creationId xmlns:a16="http://schemas.microsoft.com/office/drawing/2014/main" id="{E39AE47D-054D-4C44-95D7-70B8DA0B3A7B}"/>
              </a:ext>
            </a:extLst>
          </xdr:cNvPr>
          <xdr:cNvSpPr txBox="1"/>
        </xdr:nvSpPr>
        <xdr:spPr>
          <a:xfrm>
            <a:off x="2011680" y="2901317"/>
            <a:ext cx="4680000" cy="485145"/>
          </a:xfrm>
          <a:prstGeom prst="rect">
            <a:avLst/>
          </a:prstGeom>
          <a:solidFill>
            <a:srgbClr val="FE4A49"/>
          </a:solidFill>
          <a:ln w="50800" cap="rnd" cmpd="sng">
            <a:solidFill>
              <a:srgbClr val="FE4A49"/>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400" b="1" u="none">
                <a:solidFill>
                  <a:schemeClr val="bg1"/>
                </a:solidFill>
                <a:latin typeface="+mn-lt"/>
              </a:rPr>
              <a:t>Go</a:t>
            </a:r>
            <a:r>
              <a:rPr lang="en-ZA" sz="1400" b="1" u="none" baseline="0">
                <a:solidFill>
                  <a:schemeClr val="bg1"/>
                </a:solidFill>
                <a:latin typeface="+mn-lt"/>
              </a:rPr>
              <a:t> to step-by-step macro instructions</a:t>
            </a:r>
            <a:endParaRPr lang="en-ZA" sz="1400" b="1" u="none">
              <a:solidFill>
                <a:schemeClr val="bg1"/>
              </a:solidFill>
              <a:latin typeface="+mn-lt"/>
            </a:endParaRPr>
          </a:p>
        </xdr:txBody>
      </xdr:sp>
      <xdr:sp macro="" textlink="" fLocksText="0">
        <xdr:nvSpPr>
          <xdr:cNvPr id="7" name="TextBox 6">
            <a:extLst>
              <a:ext uri="{FF2B5EF4-FFF2-40B4-BE49-F238E27FC236}">
                <a16:creationId xmlns:a16="http://schemas.microsoft.com/office/drawing/2014/main" id="{EE3FBFF0-C74A-4990-99F6-8E56DA4945A8}"/>
              </a:ext>
            </a:extLst>
          </xdr:cNvPr>
          <xdr:cNvSpPr txBox="1"/>
        </xdr:nvSpPr>
        <xdr:spPr>
          <a:xfrm>
            <a:off x="2004060" y="3413760"/>
            <a:ext cx="4680000" cy="2514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000" i="1">
                <a:solidFill>
                  <a:schemeClr val="bg1">
                    <a:lumMod val="75000"/>
                  </a:schemeClr>
                </a:solidFill>
              </a:rPr>
              <a:t>enable editing to activate the link</a:t>
            </a:r>
          </a:p>
        </xdr:txBody>
      </xdr:sp>
    </xdr:grpSp>
    <xdr:clientData/>
  </xdr:twoCellAnchor>
</xdr:wsDr>
</file>

<file path=xl/drawings/drawing10.xml><?xml version="1.0" encoding="utf-8"?>
<xdr:wsDr xmlns:xdr="http://schemas.openxmlformats.org/drawingml/2006/spreadsheetDrawing" xmlns:a="http://schemas.openxmlformats.org/drawingml/2006/main">
  <xdr:oneCellAnchor>
    <xdr:from>
      <xdr:col>2</xdr:col>
      <xdr:colOff>40106</xdr:colOff>
      <xdr:row>7</xdr:row>
      <xdr:rowOff>31795</xdr:rowOff>
    </xdr:from>
    <xdr:ext cx="4668251" cy="1115901"/>
    <xdr:sp macro="" textlink="">
      <xdr:nvSpPr>
        <xdr:cNvPr id="4" name="Rectangle 17">
          <a:extLst>
            <a:ext uri="{FF2B5EF4-FFF2-40B4-BE49-F238E27FC236}">
              <a16:creationId xmlns:a16="http://schemas.microsoft.com/office/drawing/2014/main" id="{CAD100E8-F491-46A3-948E-9A8E84F7620D}"/>
            </a:ext>
          </a:extLst>
        </xdr:cNvPr>
        <xdr:cNvSpPr>
          <a:spLocks noChangeArrowheads="1"/>
        </xdr:cNvSpPr>
      </xdr:nvSpPr>
      <xdr:spPr bwMode="auto">
        <a:xfrm>
          <a:off x="3705727" y="1467563"/>
          <a:ext cx="4668251" cy="1115901"/>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This monthly cash flow statement is automatically compiled based on the automated income statement and balance sheet balances. No user input is required on this sheet.</a:t>
          </a:r>
        </a:p>
      </xdr:txBody>
    </xdr:sp>
    <xdr:clientData fLocksWithSheet="0" fPrintsWithSheet="0"/>
  </xdr:oneCellAnchor>
</xdr:wsDr>
</file>

<file path=xl/drawings/drawing11.xml><?xml version="1.0" encoding="utf-8"?>
<xdr:wsDr xmlns:xdr="http://schemas.openxmlformats.org/drawingml/2006/spreadsheetDrawing" xmlns:a="http://schemas.openxmlformats.org/drawingml/2006/main">
  <xdr:oneCellAnchor>
    <xdr:from>
      <xdr:col>2</xdr:col>
      <xdr:colOff>72190</xdr:colOff>
      <xdr:row>12</xdr:row>
      <xdr:rowOff>104129</xdr:rowOff>
    </xdr:from>
    <xdr:ext cx="5285874" cy="1500622"/>
    <xdr:sp macro="" textlink="">
      <xdr:nvSpPr>
        <xdr:cNvPr id="3" name="Rectangle 17">
          <a:extLst>
            <a:ext uri="{FF2B5EF4-FFF2-40B4-BE49-F238E27FC236}">
              <a16:creationId xmlns:a16="http://schemas.microsoft.com/office/drawing/2014/main" id="{3483BDDC-DCCE-49EE-9CEF-D9763F96FA64}"/>
            </a:ext>
          </a:extLst>
        </xdr:cNvPr>
        <xdr:cNvSpPr>
          <a:spLocks noChangeArrowheads="1"/>
        </xdr:cNvSpPr>
      </xdr:nvSpPr>
      <xdr:spPr bwMode="auto">
        <a:xfrm>
          <a:off x="3737811" y="2542529"/>
          <a:ext cx="5285874"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This monthly balance sheet is automatically calculated based on the transactions entered on the Income and Expenses sheets. No user input is required on this sheet. Balance sheet balances are calculated based on account groups by default but can also be included individually by changing the key in column A.</a:t>
          </a:r>
        </a:p>
      </xdr:txBody>
    </xdr:sp>
    <xdr:clientData fLocksWithSheet="0" fPrintsWithSheet="0"/>
  </xdr:oneCellAnchor>
</xdr:wsDr>
</file>

<file path=xl/drawings/drawing12.xml><?xml version="1.0" encoding="utf-8"?>
<xdr:wsDr xmlns:xdr="http://schemas.openxmlformats.org/drawingml/2006/spreadsheetDrawing" xmlns:a="http://schemas.openxmlformats.org/drawingml/2006/main">
  <xdr:oneCellAnchor>
    <xdr:from>
      <xdr:col>2</xdr:col>
      <xdr:colOff>104275</xdr:colOff>
      <xdr:row>11</xdr:row>
      <xdr:rowOff>47907</xdr:rowOff>
    </xdr:from>
    <xdr:ext cx="4844716" cy="1308261"/>
    <xdr:sp macro="" textlink="">
      <xdr:nvSpPr>
        <xdr:cNvPr id="3" name="Rectangle 17">
          <a:extLst>
            <a:ext uri="{FF2B5EF4-FFF2-40B4-BE49-F238E27FC236}">
              <a16:creationId xmlns:a16="http://schemas.microsoft.com/office/drawing/2014/main" id="{5D1CD72E-6E18-4DC9-9143-A12D3C423704}"/>
            </a:ext>
          </a:extLst>
        </xdr:cNvPr>
        <xdr:cNvSpPr>
          <a:spLocks noChangeArrowheads="1"/>
        </xdr:cNvSpPr>
      </xdr:nvSpPr>
      <xdr:spPr bwMode="auto">
        <a:xfrm>
          <a:off x="2117559" y="2261718"/>
          <a:ext cx="4844716" cy="1308261"/>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This sheet contains an analysis of bank account movements on a daily &amp; monthly basis. The appropriate bank account and month can be selected at the top of the sheet and all other calculations are automated.</a:t>
          </a:r>
        </a:p>
      </xdr:txBody>
    </xdr:sp>
    <xdr:clientData fLocksWithSheet="0" fPrintsWithSheet="0"/>
  </xdr:oneCellAnchor>
</xdr:wsDr>
</file>

<file path=xl/drawings/drawing13.xml><?xml version="1.0" encoding="utf-8"?>
<xdr:wsDr xmlns:xdr="http://schemas.openxmlformats.org/drawingml/2006/spreadsheetDrawing" xmlns:a="http://schemas.openxmlformats.org/drawingml/2006/main">
  <xdr:oneCellAnchor>
    <xdr:from>
      <xdr:col>2</xdr:col>
      <xdr:colOff>601581</xdr:colOff>
      <xdr:row>17</xdr:row>
      <xdr:rowOff>72045</xdr:rowOff>
    </xdr:from>
    <xdr:ext cx="5534525" cy="1500622"/>
    <xdr:sp macro="" textlink="">
      <xdr:nvSpPr>
        <xdr:cNvPr id="4" name="Rectangle 17">
          <a:extLst>
            <a:ext uri="{FF2B5EF4-FFF2-40B4-BE49-F238E27FC236}">
              <a16:creationId xmlns:a16="http://schemas.microsoft.com/office/drawing/2014/main" id="{7F6A7ABC-2581-477B-B0FA-A195DD576244}"/>
            </a:ext>
          </a:extLst>
        </xdr:cNvPr>
        <xdr:cNvSpPr>
          <a:spLocks noChangeArrowheads="1"/>
        </xdr:cNvSpPr>
      </xdr:nvSpPr>
      <xdr:spPr bwMode="auto">
        <a:xfrm>
          <a:off x="2895602" y="3545161"/>
          <a:ext cx="5534525"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This sheet contains a monthly sales tax analysis. All the calculations are automated. You can select the tax type and any of the individual sales tax codes at the top of the sheet to view the output and input values for any tax type or tax code. The template provides for two default tax types for national or federal sales tax and state sales tax.</a:t>
          </a:r>
        </a:p>
      </xdr:txBody>
    </xdr:sp>
    <xdr:clientData fLocksWithSheet="0" fPrintsWithSheet="0"/>
  </xdr:oneCellAnchor>
</xdr:wsDr>
</file>

<file path=xl/drawings/drawing2.xml><?xml version="1.0" encoding="utf-8"?>
<xdr:wsDr xmlns:xdr="http://schemas.openxmlformats.org/drawingml/2006/spreadsheetDrawing" xmlns:a="http://schemas.openxmlformats.org/drawingml/2006/main">
  <xdr:twoCellAnchor editAs="absolute">
    <xdr:from>
      <xdr:col>0</xdr:col>
      <xdr:colOff>22860</xdr:colOff>
      <xdr:row>0</xdr:row>
      <xdr:rowOff>22860</xdr:rowOff>
    </xdr:from>
    <xdr:to>
      <xdr:col>8</xdr:col>
      <xdr:colOff>679500</xdr:colOff>
      <xdr:row>21</xdr:row>
      <xdr:rowOff>14010</xdr:rowOff>
    </xdr:to>
    <xdr:grpSp>
      <xdr:nvGrpSpPr>
        <xdr:cNvPr id="4" name="Group 3">
          <a:extLst>
            <a:ext uri="{FF2B5EF4-FFF2-40B4-BE49-F238E27FC236}">
              <a16:creationId xmlns:a16="http://schemas.microsoft.com/office/drawing/2014/main" id="{ABD3BA97-1BBF-4AF1-8A09-50A2E8D41AE6}"/>
            </a:ext>
          </a:extLst>
        </xdr:cNvPr>
        <xdr:cNvGrpSpPr/>
      </xdr:nvGrpSpPr>
      <xdr:grpSpPr>
        <a:xfrm>
          <a:off x="22860" y="22860"/>
          <a:ext cx="9394240" cy="3591600"/>
          <a:chOff x="22860" y="22860"/>
          <a:chExt cx="9252000" cy="3671610"/>
        </a:xfrm>
      </xdr:grpSpPr>
      <xdr:sp macro="" textlink="" fLocksText="0">
        <xdr:nvSpPr>
          <xdr:cNvPr id="5" name="Rectangle 1">
            <a:extLst>
              <a:ext uri="{FF2B5EF4-FFF2-40B4-BE49-F238E27FC236}">
                <a16:creationId xmlns:a16="http://schemas.microsoft.com/office/drawing/2014/main" id="{A0F8B7BB-5284-46E7-80DB-C03B84A442C1}"/>
              </a:ext>
            </a:extLst>
          </xdr:cNvPr>
          <xdr:cNvSpPr>
            <a:spLocks noChangeArrowheads="1"/>
          </xdr:cNvSpPr>
        </xdr:nvSpPr>
        <xdr:spPr bwMode="auto">
          <a:xfrm>
            <a:off x="22860" y="22860"/>
            <a:ext cx="9252000" cy="367161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horzOverflow="clip" wrap="square" lIns="180000" tIns="180000" rIns="180000" bIns="180000" anchor="t" anchorCtr="0" upright="1">
            <a:noAutofit/>
          </a:bodyPr>
          <a:lstStyle/>
          <a:p>
            <a:pPr algn="l" rtl="0">
              <a:lnSpc>
                <a:spcPct val="100000"/>
              </a:lnSpc>
              <a:spcAft>
                <a:spcPts val="0"/>
              </a:spcAft>
              <a:defRPr sz="1000"/>
            </a:pPr>
            <a:r>
              <a:rPr lang="en-US" sz="1200" b="1" i="0" u="none" strike="noStrike" baseline="0">
                <a:solidFill>
                  <a:schemeClr val="bg1"/>
                </a:solidFill>
                <a:latin typeface="+mn-lt"/>
                <a:cs typeface="Arial" panose="020B0604020202020204" pitchFamily="34" charset="0"/>
              </a:rPr>
              <a:t>EXCEL-SKILLS.COM</a:t>
            </a:r>
          </a:p>
          <a:p>
            <a:pPr algn="l" rtl="0">
              <a:lnSpc>
                <a:spcPct val="100000"/>
              </a:lnSpc>
              <a:defRPr sz="1000"/>
            </a:pPr>
            <a:r>
              <a:rPr lang="en-US" sz="2400" b="1" i="0" u="none" strike="noStrike" baseline="0">
                <a:solidFill>
                  <a:srgbClr val="FFFFFF"/>
                </a:solidFill>
                <a:latin typeface="Berlin Sans FB Demi" panose="020E0802020502020306" pitchFamily="34" charset="0"/>
                <a:cs typeface="Arial"/>
              </a:rPr>
              <a:t>BASIC ACCOUNTING TEMPLATE</a:t>
            </a:r>
          </a:p>
          <a:p>
            <a:pPr algn="just" rtl="0">
              <a:lnSpc>
                <a:spcPts val="1500"/>
              </a:lnSpc>
              <a:spcBef>
                <a:spcPts val="300"/>
              </a:spcBef>
              <a:spcAft>
                <a:spcPts val="300"/>
              </a:spcAft>
              <a:defRPr sz="1000"/>
            </a:pPr>
            <a:r>
              <a:rPr lang="en-US" sz="1100" b="0" i="0" u="none" strike="noStrike" baseline="0">
                <a:solidFill>
                  <a:srgbClr val="FFFFFF"/>
                </a:solidFill>
                <a:latin typeface="+mn-lt"/>
                <a:cs typeface="Arial" panose="020B0604020202020204" pitchFamily="34" charset="0"/>
              </a:rPr>
              <a:t>This innovative accounting template enables users to record income &amp; expenses and automatically produces a trial balance, income statement, cash flow statement and balance sheet. The template is easy to use and can be customized by editing the default accounts and adding an unlimited number of additional accounts. It also accommodates sales tax calculations and multiple bank accounts. After completing the initial template setup, the template can be rolled forward or back by simply changing the reporting year in a single input cell.</a:t>
            </a:r>
          </a:p>
          <a:p>
            <a:pPr marL="1800000" algn="just" rtl="0">
              <a:lnSpc>
                <a:spcPct val="100000"/>
              </a:lnSpc>
              <a:spcBef>
                <a:spcPts val="1200"/>
              </a:spcBef>
              <a:spcAft>
                <a:spcPts val="300"/>
              </a:spcAft>
              <a:defRPr sz="1000"/>
            </a:pPr>
            <a:r>
              <a:rPr lang="en-US" sz="1200" b="1" i="0" u="none" strike="noStrike" baseline="0">
                <a:solidFill>
                  <a:srgbClr val="FFFFFF"/>
                </a:solidFill>
                <a:latin typeface="+mn-lt"/>
                <a:cs typeface="Arial" panose="020B0604020202020204" pitchFamily="34" charset="0"/>
              </a:rPr>
              <a:t>Get the full version of the template to unlock all the functionality!</a:t>
            </a:r>
          </a:p>
          <a:p>
            <a:pPr marL="1800000" algn="just" rtl="0">
              <a:lnSpc>
                <a:spcPts val="1500"/>
              </a:lnSpc>
              <a:spcBef>
                <a:spcPts val="0"/>
              </a:spcBef>
              <a:spcAft>
                <a:spcPts val="0"/>
              </a:spcAft>
              <a:defRPr sz="1000"/>
            </a:pPr>
            <a:r>
              <a:rPr lang="en-US" sz="1100" b="0" i="0" u="none" strike="noStrike" baseline="0">
                <a:solidFill>
                  <a:srgbClr val="FFFFFF"/>
                </a:solidFill>
                <a:latin typeface="+mn-lt"/>
                <a:cs typeface="Arial" panose="020B0604020202020204" pitchFamily="34" charset="0"/>
              </a:rPr>
              <a:t>This is a trial version of the template created to enable you to try out the template functionality. You will not be able to save or print any of your changes. Get the full version for a fully unprotected version of the template where you have full access to all the template functionality.</a:t>
            </a:r>
          </a:p>
        </xdr:txBody>
      </xdr:sp>
      <xdr:sp macro="" textlink="" fLocksText="0">
        <xdr:nvSpPr>
          <xdr:cNvPr id="6" name="TextBox 5">
            <a:hlinkClick xmlns:r="http://schemas.openxmlformats.org/officeDocument/2006/relationships" r:id="rId1"/>
            <a:extLst>
              <a:ext uri="{FF2B5EF4-FFF2-40B4-BE49-F238E27FC236}">
                <a16:creationId xmlns:a16="http://schemas.microsoft.com/office/drawing/2014/main" id="{BEBD225B-4E60-42EA-8398-82A942F79FA3}"/>
              </a:ext>
            </a:extLst>
          </xdr:cNvPr>
          <xdr:cNvSpPr txBox="1"/>
        </xdr:nvSpPr>
        <xdr:spPr>
          <a:xfrm>
            <a:off x="2017406" y="2907032"/>
            <a:ext cx="4680000" cy="485145"/>
          </a:xfrm>
          <a:prstGeom prst="rect">
            <a:avLst/>
          </a:prstGeom>
          <a:solidFill>
            <a:srgbClr val="FE4A49"/>
          </a:solidFill>
          <a:ln w="50800" cap="rnd" cmpd="sng">
            <a:solidFill>
              <a:srgbClr val="FE4A49"/>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400" b="1" u="none">
                <a:solidFill>
                  <a:schemeClr val="bg1"/>
                </a:solidFill>
                <a:latin typeface="+mn-lt"/>
              </a:rPr>
              <a:t>Get</a:t>
            </a:r>
            <a:r>
              <a:rPr lang="en-ZA" sz="1400" b="1" u="none" baseline="0">
                <a:solidFill>
                  <a:schemeClr val="bg1"/>
                </a:solidFill>
                <a:latin typeface="+mn-lt"/>
              </a:rPr>
              <a:t> the full version of this template!</a:t>
            </a:r>
            <a:endParaRPr lang="en-ZA" sz="1400" b="1" u="none">
              <a:solidFill>
                <a:schemeClr val="bg1"/>
              </a:solidFill>
              <a:latin typeface="+mn-lt"/>
            </a:endParaRPr>
          </a:p>
        </xdr:txBody>
      </xdr:sp>
      <xdr:sp macro="" textlink="" fLocksText="0">
        <xdr:nvSpPr>
          <xdr:cNvPr id="7" name="TextBox 6">
            <a:extLst>
              <a:ext uri="{FF2B5EF4-FFF2-40B4-BE49-F238E27FC236}">
                <a16:creationId xmlns:a16="http://schemas.microsoft.com/office/drawing/2014/main" id="{43DB7827-9A6C-41A3-BA43-54C6DD684131}"/>
              </a:ext>
            </a:extLst>
          </xdr:cNvPr>
          <xdr:cNvSpPr txBox="1"/>
        </xdr:nvSpPr>
        <xdr:spPr>
          <a:xfrm>
            <a:off x="2009786" y="3419475"/>
            <a:ext cx="4680000" cy="2514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000" i="1">
                <a:solidFill>
                  <a:schemeClr val="bg1">
                    <a:lumMod val="75000"/>
                  </a:schemeClr>
                </a:solidFill>
              </a:rPr>
              <a:t>enable editing to activate the link</a:t>
            </a:r>
          </a:p>
        </xdr:txBody>
      </xdr:sp>
      <xdr:pic>
        <xdr:nvPicPr>
          <xdr:cNvPr id="8" name="Picture 7">
            <a:extLst>
              <a:ext uri="{FF2B5EF4-FFF2-40B4-BE49-F238E27FC236}">
                <a16:creationId xmlns:a16="http://schemas.microsoft.com/office/drawing/2014/main" id="{731B4AF5-30D2-4E99-BFE9-D1400B215E7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41946" y="1918335"/>
            <a:ext cx="1524000" cy="1524000"/>
          </a:xfrm>
          <a:prstGeom prst="rect">
            <a:avLst/>
          </a:prstGeom>
        </xdr:spPr>
      </xdr:pic>
    </xdr:grpSp>
    <xdr:clientData fPrintsWithSheet="0"/>
  </xdr:twoCellAnchor>
</xdr:wsDr>
</file>

<file path=xl/drawings/drawing3.xml><?xml version="1.0" encoding="utf-8"?>
<xdr:wsDr xmlns:xdr="http://schemas.openxmlformats.org/drawingml/2006/spreadsheetDrawing" xmlns:a="http://schemas.openxmlformats.org/drawingml/2006/main">
  <xdr:oneCellAnchor>
    <xdr:from>
      <xdr:col>1</xdr:col>
      <xdr:colOff>152400</xdr:colOff>
      <xdr:row>4</xdr:row>
      <xdr:rowOff>218100</xdr:rowOff>
    </xdr:from>
    <xdr:ext cx="2857500" cy="1114490"/>
    <xdr:sp macro="" textlink="">
      <xdr:nvSpPr>
        <xdr:cNvPr id="10" name="Rectangle 17">
          <a:extLst>
            <a:ext uri="{FF2B5EF4-FFF2-40B4-BE49-F238E27FC236}">
              <a16:creationId xmlns:a16="http://schemas.microsoft.com/office/drawing/2014/main" id="{46050B1E-FEBD-452A-B2F8-A4EE2E3CEDC6}"/>
            </a:ext>
          </a:extLst>
        </xdr:cNvPr>
        <xdr:cNvSpPr>
          <a:spLocks noChangeArrowheads="1"/>
        </xdr:cNvSpPr>
      </xdr:nvSpPr>
      <xdr:spPr bwMode="auto">
        <a:xfrm>
          <a:off x="7680960" y="964860"/>
          <a:ext cx="2857500" cy="111449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800" b="1" i="0" u="none" strike="noStrike" baseline="0">
              <a:solidFill>
                <a:schemeClr val="accent1">
                  <a:lumMod val="20000"/>
                  <a:lumOff val="80000"/>
                </a:schemeClr>
              </a:solidFill>
              <a:latin typeface="+mn-lt"/>
              <a:cs typeface="Arial"/>
            </a:rPr>
            <a:t>On this sheet:</a:t>
          </a:r>
        </a:p>
        <a:p>
          <a:pPr algn="ctr" rtl="0">
            <a:lnSpc>
              <a:spcPts val="1500"/>
            </a:lnSpc>
            <a:defRPr sz="1000"/>
          </a:pPr>
          <a:r>
            <a:rPr lang="en-US" sz="1050" b="1" i="0" u="none" strike="noStrike" baseline="0">
              <a:solidFill>
                <a:schemeClr val="bg1"/>
              </a:solidFill>
              <a:latin typeface="+mn-lt"/>
              <a:cs typeface="Arial"/>
            </a:rPr>
            <a:t>This sheet includes detailed instructions on setting up and using this template.</a:t>
          </a:r>
        </a:p>
      </xdr:txBody>
    </xdr:sp>
    <xdr:clientData fLocksWithSheet="0" fPrintsWithSheet="0"/>
  </xdr:oneCellAnchor>
</xdr:wsDr>
</file>

<file path=xl/drawings/drawing4.xml><?xml version="1.0" encoding="utf-8"?>
<xdr:wsDr xmlns:xdr="http://schemas.openxmlformats.org/drawingml/2006/spreadsheetDrawing" xmlns:a="http://schemas.openxmlformats.org/drawingml/2006/main">
  <xdr:oneCellAnchor>
    <xdr:from>
      <xdr:col>4</xdr:col>
      <xdr:colOff>96253</xdr:colOff>
      <xdr:row>10</xdr:row>
      <xdr:rowOff>144597</xdr:rowOff>
    </xdr:from>
    <xdr:ext cx="6769768" cy="1885342"/>
    <xdr:sp macro="" textlink="">
      <xdr:nvSpPr>
        <xdr:cNvPr id="3" name="Rectangle 17">
          <a:extLst>
            <a:ext uri="{FF2B5EF4-FFF2-40B4-BE49-F238E27FC236}">
              <a16:creationId xmlns:a16="http://schemas.microsoft.com/office/drawing/2014/main" id="{28A52328-CE7C-4FE5-AC52-7ECE0BD08D86}"/>
            </a:ext>
          </a:extLst>
        </xdr:cNvPr>
        <xdr:cNvSpPr>
          <a:spLocks noChangeArrowheads="1"/>
        </xdr:cNvSpPr>
      </xdr:nvSpPr>
      <xdr:spPr bwMode="auto">
        <a:xfrm>
          <a:off x="4604085" y="2069650"/>
          <a:ext cx="6769768" cy="188534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Enter your business name and maintain sales tax percentages &amp; bank codes. You can also add an unlimited number of sales tax codes and bank account codes. Specify the first financial year that you want to include in the template and set your year-end and reporting year. The 12-month reporting period included on the monthly income statement, cash flow statement and balance sheet is determined by the reporting year specified on this sheet which means that the template can be rolled forward or back by simply changing the reporting year. All the template calculations are then automatically updated.</a:t>
          </a:r>
        </a:p>
      </xdr:txBody>
    </xdr:sp>
    <xdr:clientData fLocksWithSheet="0" fPrintsWithSheet="0"/>
  </xdr:oneCellAnchor>
</xdr:wsDr>
</file>

<file path=xl/drawings/drawing5.xml><?xml version="1.0" encoding="utf-8"?>
<xdr:wsDr xmlns:xdr="http://schemas.openxmlformats.org/drawingml/2006/spreadsheetDrawing" xmlns:a="http://schemas.openxmlformats.org/drawingml/2006/main">
  <xdr:oneCellAnchor>
    <xdr:from>
      <xdr:col>2</xdr:col>
      <xdr:colOff>56147</xdr:colOff>
      <xdr:row>5</xdr:row>
      <xdr:rowOff>63951</xdr:rowOff>
    </xdr:from>
    <xdr:ext cx="5446295" cy="1308261"/>
    <xdr:sp macro="" textlink="">
      <xdr:nvSpPr>
        <xdr:cNvPr id="3" name="Rectangle 17">
          <a:extLst>
            <a:ext uri="{FF2B5EF4-FFF2-40B4-BE49-F238E27FC236}">
              <a16:creationId xmlns:a16="http://schemas.microsoft.com/office/drawing/2014/main" id="{4E3ED445-F884-4FE3-827C-5E1B37C06DF9}"/>
            </a:ext>
          </a:extLst>
        </xdr:cNvPr>
        <xdr:cNvSpPr>
          <a:spLocks noChangeArrowheads="1"/>
        </xdr:cNvSpPr>
      </xdr:nvSpPr>
      <xdr:spPr bwMode="auto">
        <a:xfrm>
          <a:off x="3577389" y="1186898"/>
          <a:ext cx="5446295" cy="1308261"/>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This sheet contains the default list of account groups used in this template. You can customize the descriptions of the account groups but we do not recommend changing the account group keys. Additional account groups can be added as detailed in the template instructions.</a:t>
          </a:r>
        </a:p>
      </xdr:txBody>
    </xdr:sp>
    <xdr:clientData fLocksWithSheet="0" fPrintsWithSheet="0"/>
  </xdr:oneCellAnchor>
</xdr:wsDr>
</file>

<file path=xl/drawings/drawing6.xml><?xml version="1.0" encoding="utf-8"?>
<xdr:wsDr xmlns:xdr="http://schemas.openxmlformats.org/drawingml/2006/spreadsheetDrawing" xmlns:a="http://schemas.openxmlformats.org/drawingml/2006/main">
  <xdr:oneCellAnchor>
    <xdr:from>
      <xdr:col>1</xdr:col>
      <xdr:colOff>1989219</xdr:colOff>
      <xdr:row>9</xdr:row>
      <xdr:rowOff>48126</xdr:rowOff>
    </xdr:from>
    <xdr:ext cx="7756359" cy="1885342"/>
    <xdr:sp macro="" textlink="">
      <xdr:nvSpPr>
        <xdr:cNvPr id="3" name="Rectangle 17">
          <a:extLst>
            <a:ext uri="{FF2B5EF4-FFF2-40B4-BE49-F238E27FC236}">
              <a16:creationId xmlns:a16="http://schemas.microsoft.com/office/drawing/2014/main" id="{874FF230-9BB9-499B-8237-DFA88A81EB71}"/>
            </a:ext>
          </a:extLst>
        </xdr:cNvPr>
        <xdr:cNvSpPr>
          <a:spLocks noChangeArrowheads="1"/>
        </xdr:cNvSpPr>
      </xdr:nvSpPr>
      <xdr:spPr bwMode="auto">
        <a:xfrm>
          <a:off x="2719135" y="1973179"/>
          <a:ext cx="7756359" cy="188534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The opening balance sheet balances should be entered in column C on this sheet. A trial balance at the end of the year before the first financial year which is set on the Setup sheet should be used for this purpose. Note that the Bank, Trade Debtors and Trade Creditors opening balances are calculated and therefore need to be included on the Income and Expenses sheets. The default list of accounts can be customized by adding additional accounts to the list, changing the descriptions of existing accounts or deleting accounts. The sheet also contains a detailed trial balance which can be displayed for any of the appropriate monthly periods by simply selecting the appropriate month end at the top of the sheet.</a:t>
          </a:r>
        </a:p>
      </xdr:txBody>
    </xdr:sp>
    <xdr:clientData fLocksWithSheet="0" fPrintsWithSheet="0"/>
  </xdr:oneCellAnchor>
</xdr:wsDr>
</file>

<file path=xl/drawings/drawing7.xml><?xml version="1.0" encoding="utf-8"?>
<xdr:wsDr xmlns:xdr="http://schemas.openxmlformats.org/drawingml/2006/spreadsheetDrawing" xmlns:a="http://schemas.openxmlformats.org/drawingml/2006/main">
  <xdr:oneCellAnchor>
    <xdr:from>
      <xdr:col>0</xdr:col>
      <xdr:colOff>705852</xdr:colOff>
      <xdr:row>9</xdr:row>
      <xdr:rowOff>16114</xdr:rowOff>
    </xdr:from>
    <xdr:ext cx="7700211" cy="2077703"/>
    <xdr:sp macro="" textlink="">
      <xdr:nvSpPr>
        <xdr:cNvPr id="3" name="Rectangle 17">
          <a:extLst>
            <a:ext uri="{FF2B5EF4-FFF2-40B4-BE49-F238E27FC236}">
              <a16:creationId xmlns:a16="http://schemas.microsoft.com/office/drawing/2014/main" id="{ED73EB43-53A1-42C5-9737-2177E544D5D8}"/>
            </a:ext>
          </a:extLst>
        </xdr:cNvPr>
        <xdr:cNvSpPr>
          <a:spLocks noChangeArrowheads="1"/>
        </xdr:cNvSpPr>
      </xdr:nvSpPr>
      <xdr:spPr bwMode="auto">
        <a:xfrm>
          <a:off x="705852" y="1941167"/>
          <a:ext cx="7700211" cy="2077703"/>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Record all sales transactions and cash receipts in the columns with yellow column headings on this sheet. The columns with light blue column headings contain formulas which are automatically copied for all new transactions added to the table. All income transactions are included in trade debtors &amp; income based on the invoice dates entered in column B. When an invoice is paid by the customer, simply enter the payment amount &amp; payment date and the transaction amount  is automatically removed from trade debtors and included in the appropriate bank balance. Sales tax codes, bank codes and account numbers can be selected from the drop-down lists in the appropriate columns. Outstanding balances can be displayed by simply entering the appropriate balance date at the top of the sheet.</a:t>
          </a:r>
        </a:p>
      </xdr:txBody>
    </xdr:sp>
    <xdr:clientData fLocksWithSheet="0" fPrintsWithSheet="0"/>
  </xdr:oneCellAnchor>
</xdr:wsDr>
</file>

<file path=xl/drawings/drawing8.xml><?xml version="1.0" encoding="utf-8"?>
<xdr:wsDr xmlns:xdr="http://schemas.openxmlformats.org/drawingml/2006/spreadsheetDrawing" xmlns:a="http://schemas.openxmlformats.org/drawingml/2006/main">
  <xdr:oneCellAnchor>
    <xdr:from>
      <xdr:col>0</xdr:col>
      <xdr:colOff>761999</xdr:colOff>
      <xdr:row>9</xdr:row>
      <xdr:rowOff>24135</xdr:rowOff>
    </xdr:from>
    <xdr:ext cx="7387389" cy="2077703"/>
    <xdr:sp macro="" textlink="">
      <xdr:nvSpPr>
        <xdr:cNvPr id="3" name="Rectangle 17">
          <a:extLst>
            <a:ext uri="{FF2B5EF4-FFF2-40B4-BE49-F238E27FC236}">
              <a16:creationId xmlns:a16="http://schemas.microsoft.com/office/drawing/2014/main" id="{643B50C6-FB91-4AB6-8717-EC620EE13124}"/>
            </a:ext>
          </a:extLst>
        </xdr:cNvPr>
        <xdr:cNvSpPr>
          <a:spLocks noChangeArrowheads="1"/>
        </xdr:cNvSpPr>
      </xdr:nvSpPr>
      <xdr:spPr bwMode="auto">
        <a:xfrm>
          <a:off x="761999" y="1949188"/>
          <a:ext cx="7387389" cy="2077703"/>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Record all expense transactions and cash payments in the columns with yellow column headings on this sheet. The columns with light blue column headings contain formulas which are automatically copied for all new transactions added to the table. All expense transactions are included in trade creditors &amp; expenses based on the document dates that are entered in column A. When an expense is paid, simply enter the payment date and the transaction amount is automatically removed from trade creditors and deducted from the appropriate bank balance. Sales tax codes, bank codes and account numbers can be selected from the drop-down lists in the appropriate columns. Outstanding balances can be displayed by simply entering the appropriate balance date at the top of the sheet.</a:t>
          </a:r>
        </a:p>
      </xdr:txBody>
    </xdr:sp>
    <xdr:clientData fLocksWithSheet="0" fPrintsWithSheet="0"/>
  </xdr:oneCellAnchor>
</xdr:wsDr>
</file>

<file path=xl/drawings/drawing9.xml><?xml version="1.0" encoding="utf-8"?>
<xdr:wsDr xmlns:xdr="http://schemas.openxmlformats.org/drawingml/2006/spreadsheetDrawing" xmlns:a="http://schemas.openxmlformats.org/drawingml/2006/main">
  <xdr:oneCellAnchor>
    <xdr:from>
      <xdr:col>2</xdr:col>
      <xdr:colOff>48128</xdr:colOff>
      <xdr:row>9</xdr:row>
      <xdr:rowOff>128264</xdr:rowOff>
    </xdr:from>
    <xdr:ext cx="6264440" cy="1692982"/>
    <xdr:sp macro="" textlink="">
      <xdr:nvSpPr>
        <xdr:cNvPr id="3" name="Rectangle 17">
          <a:extLst>
            <a:ext uri="{FF2B5EF4-FFF2-40B4-BE49-F238E27FC236}">
              <a16:creationId xmlns:a16="http://schemas.microsoft.com/office/drawing/2014/main" id="{E6F69953-B01B-4957-AE6A-48E324911EFF}"/>
            </a:ext>
          </a:extLst>
        </xdr:cNvPr>
        <xdr:cNvSpPr>
          <a:spLocks noChangeArrowheads="1"/>
        </xdr:cNvSpPr>
      </xdr:nvSpPr>
      <xdr:spPr bwMode="auto">
        <a:xfrm>
          <a:off x="3713749" y="1965085"/>
          <a:ext cx="6264440" cy="169298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This monthly income statement is automatically compiled based on the transactions entered on the Income and Expenses sheets. No user input is required on this sheet. The monthly reporting periods are determined based on the reporting year specified on the Setup sheet and includes 12 monthly periods. Additional accounts can be added and the key in column A determines whether individual account balances or account group totals are displayed.</a:t>
          </a:r>
        </a:p>
      </xdr:txBody>
    </xdr:sp>
    <xdr:clientData fLocksWithSheet="0" fPrintsWithSheet="0"/>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Income" displayName="Income" ref="A4:R79" totalsRowShown="0" headerRowDxfId="45" dataDxfId="43" headerRowBorderDxfId="44" tableBorderDxfId="42" headerRowCellStyle="Comma" dataCellStyle="Comma">
  <autoFilter ref="A4:R79" xr:uid="{00000000-0009-0000-0100-000001000000}"/>
  <tableColumns count="18">
    <tableColumn id="1" xr3:uid="{00000000-0010-0000-0000-000001000000}" name="Invoice Number" dataDxfId="41"/>
    <tableColumn id="2" xr3:uid="{00000000-0010-0000-0000-000002000000}" name="Invoice Date" dataDxfId="40"/>
    <tableColumn id="3" xr3:uid="{00000000-0010-0000-0000-000003000000}" name="Customer" dataDxfId="39"/>
    <tableColumn id="4" xr3:uid="{00000000-0010-0000-0000-000004000000}" name="Description" dataDxfId="38"/>
    <tableColumn id="5" xr3:uid="{00000000-0010-0000-0000-000005000000}" name="Tax Inclusive Amount" dataDxfId="37" dataCellStyle="Comma"/>
    <tableColumn id="6" xr3:uid="{00000000-0010-0000-0000-000006000000}" name="Tax 1 Code" dataDxfId="36" dataCellStyle="Comma"/>
    <tableColumn id="18" xr3:uid="{E63B672D-FFC9-40C9-98B6-1CB266340712}" name="Tax 2 Code" dataDxfId="35" dataCellStyle="Comma"/>
    <tableColumn id="12" xr3:uid="{00000000-0010-0000-0000-00000C000000}" name="Bank Code" dataDxfId="34" dataCellStyle="Comma"/>
    <tableColumn id="7" xr3:uid="{00000000-0010-0000-0000-000007000000}" name="Account Number" dataDxfId="33"/>
    <tableColumn id="14" xr3:uid="{00000000-0010-0000-0000-00000E000000}" name="Payment Amount" dataDxfId="32" dataCellStyle="Comma"/>
    <tableColumn id="8" xr3:uid="{00000000-0010-0000-0000-000008000000}" name="Payment Date" dataDxfId="31"/>
    <tableColumn id="15" xr3:uid="{00000000-0010-0000-0000-00000F000000}" name="Outstanding Balance" dataDxfId="30" dataCellStyle="Comma">
      <calculatedColumnFormula array="1">IF($Q5="N",0,SUMIFS(IncIncl,IncDocDate,"&lt;="&amp;$M$2,IncInvoice,$A5)-SUMIFS(IncPayAmount,IncDocDate,"&lt;="&amp;$M$2,IncPayDate,"&lt;="&amp;$M$2,IncInvoice,$A5))</calculatedColumnFormula>
    </tableColumn>
    <tableColumn id="9" xr3:uid="{00000000-0010-0000-0000-000009000000}" name="Exclusive Amount" dataDxfId="29" dataCellStyle="Comma">
      <calculatedColumnFormula array="1">P5-IF(IncTaxCount=2,SUM($N5:$O5),$N5:$N5)</calculatedColumnFormula>
    </tableColumn>
    <tableColumn id="10" xr3:uid="{00000000-0010-0000-0000-00000A000000}" name="Sales Tax 1 Amount" dataDxfId="28" dataCellStyle="Comma">
      <calculatedColumnFormula>$P5/(1+IF(ISERROR($F5),0,IF(ISNA(MATCH($F5,TaxCode,0)),0,OFFSET(Setup!$D$15,MATCH($F5,TaxCode,0),0,1,1)))+IF(ISERROR($G5),0,IF(ISNA(MATCH($G5,TaxCode,0)),0,OFFSET(Setup!$D$15,MATCH($G5,TaxCode,0),0,1,1))))*IF(ISERROR($F5),0,IF(ISNA(MATCH($F5,TaxCode,0)),0,OFFSET(Setup!$D$15,MATCH($F5,TaxCode,0),0,1,1)))</calculatedColumnFormula>
    </tableColumn>
    <tableColumn id="17" xr3:uid="{CE1D5536-EEDC-4AFA-8B15-36373F0D3E00}" name="Sales Tax 2 Amount" dataDxfId="27" dataCellStyle="Comma">
      <calculatedColumnFormula>$P5/(1+IF(ISERROR($F5),0,IF(ISNA(MATCH($F5,TaxCode,0)),0,OFFSET(Setup!$D$15,MATCH($F5,TaxCode,0),0,1,1)))+IF(ISERROR($G5),0,IF(ISNA(MATCH($G5,TaxCode,0)),0,OFFSET(Setup!$D$15,MATCH($G5,TaxCode,0),0,1,1))))*IF(ISERROR($G5),0,IF(ISNA(MATCH($G5,TaxCode,0)),0,OFFSET(Setup!$D$15,MATCH($G5,TaxCode,0),0,1,1)))</calculatedColumnFormula>
    </tableColumn>
    <tableColumn id="11" xr3:uid="{00000000-0010-0000-0000-00000B000000}" name="Inclusive Amount" dataDxfId="26" dataCellStyle="Comma">
      <calculatedColumnFormula>E5</calculatedColumnFormula>
    </tableColumn>
    <tableColumn id="16" xr3:uid="{00000000-0010-0000-0000-000010000000}" name="Unique INV" dataDxfId="25" dataCellStyle="Comma">
      <calculatedColumnFormula>IF(ISNA(MATCH($A5,IncInvoice,0)),"N",IF(MATCH($A5,IncInvoice,0)=ROW($A5)-4,"Y","N"))</calculatedColumnFormula>
    </tableColumn>
    <tableColumn id="13" xr3:uid="{00000000-0010-0000-0000-00000D000000}" name="Error Code" dataDxfId="24" dataCellStyle="Comma">
      <calculatedColumnFormula>IF(AND(ISBLANK(K5)=FALSE,K5&lt;B5),"E1",IF(AND(ISBLANK(I5)=FALSE,ISNA(MATCH($I5,AccountNo,0))),"E2",IF(AND(ISBLANK(H5)=FALSE,ISNA(MATCH($H5,BankCode,0))),"E3","-")))</calculatedColumnFormula>
    </tableColumn>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Expense" displayName="Expense" ref="A4:P293" totalsRowShown="0" headerRowDxfId="20" dataDxfId="18" headerRowBorderDxfId="19" tableBorderDxfId="17" headerRowCellStyle="Comma" dataCellStyle="Comma">
  <autoFilter ref="A4:P293" xr:uid="{00000000-0009-0000-0100-000002000000}"/>
  <tableColumns count="16">
    <tableColumn id="1" xr3:uid="{00000000-0010-0000-0100-000001000000}" name="Document Date" dataDxfId="16"/>
    <tableColumn id="2" xr3:uid="{00000000-0010-0000-0100-000002000000}" name="Supplier" dataDxfId="15"/>
    <tableColumn id="3" xr3:uid="{00000000-0010-0000-0100-000003000000}" name="Reference" dataDxfId="14"/>
    <tableColumn id="4" xr3:uid="{00000000-0010-0000-0100-000004000000}" name="Description" dataDxfId="13"/>
    <tableColumn id="5" xr3:uid="{00000000-0010-0000-0100-000005000000}" name="Tax Inclusive Amount" dataDxfId="12" dataCellStyle="Comma"/>
    <tableColumn id="6" xr3:uid="{00000000-0010-0000-0100-000006000000}" name="Tax 1 Code" dataDxfId="11" dataCellStyle="Comma"/>
    <tableColumn id="15" xr3:uid="{D1DE9EB3-0EBC-46FB-BB40-E318B9F76CF5}" name="Tax 2 Code" dataDxfId="10" dataCellStyle="Comma"/>
    <tableColumn id="12" xr3:uid="{00000000-0010-0000-0100-00000C000000}" name="Bank Code" dataDxfId="9" dataCellStyle="Comma"/>
    <tableColumn id="7" xr3:uid="{00000000-0010-0000-0100-000007000000}" name="Account Number" dataDxfId="8"/>
    <tableColumn id="8" xr3:uid="{00000000-0010-0000-0100-000008000000}" name="Payment Date" dataDxfId="7"/>
    <tableColumn id="14" xr3:uid="{00000000-0010-0000-0100-00000E000000}" name="Outstanding Balance" dataDxfId="6" dataCellStyle="Comma">
      <calculatedColumnFormula>IF(AND($A5&lt;=$L$2,OR($J5&gt;$L$2,ISBLANK($J5))),$E5,0)</calculatedColumnFormula>
    </tableColumn>
    <tableColumn id="9" xr3:uid="{00000000-0010-0000-0100-000009000000}" name="Exclusive Amount" dataDxfId="5" dataCellStyle="Comma">
      <calculatedColumnFormula array="1">O5-IF(ExpTaxCount=2,SUM($M5:$N5),$M5:$M5)</calculatedColumnFormula>
    </tableColumn>
    <tableColumn id="10" xr3:uid="{00000000-0010-0000-0100-00000A000000}" name="Sales Tax 1 Amount" dataDxfId="4" dataCellStyle="Comma">
      <calculatedColumnFormula>$O5/(1+IF(ISERROR($F5),0,IF(ISNA(MATCH($F5,TaxCode,0)),0,OFFSET(Setup!$D$15,MATCH($F5,TaxCode,0),0,1,1)))+IF(ISERROR($G5),0,IF(ISNA(MATCH($G5,TaxCode,0)),0,OFFSET(Setup!$D$15,MATCH($G5,TaxCode,0),0,1,1))))*IF(ISERROR($F5),0,IF(ISNA(MATCH($F5,TaxCode,0)),0,OFFSET(Setup!$D$15,MATCH($F5,TaxCode,0),0,1,1)))</calculatedColumnFormula>
    </tableColumn>
    <tableColumn id="16" xr3:uid="{B775013B-24D6-4B99-BDDB-E639A6868DD0}" name="Sales Tax 2 Amount" dataDxfId="3" dataCellStyle="Comma">
      <calculatedColumnFormula>$O5/(1+IF(ISERROR($F5),0,IF(ISNA(MATCH($F5,TaxCode,0)),0,OFFSET(Setup!$D$15,MATCH($F5,TaxCode,0),0,1,1)))+IF(ISERROR($G5),0,IF(ISNA(MATCH($G5,TaxCode,0)),0,OFFSET(Setup!$D$15,MATCH($G5,TaxCode,0),0,1,1))))*IF(ISERROR($G5),0,IF(ISNA(MATCH($G5,TaxCode,0)),0,OFFSET(Setup!$D$15,MATCH($G5,TaxCode,0),0,1,1)))</calculatedColumnFormula>
    </tableColumn>
    <tableColumn id="11" xr3:uid="{00000000-0010-0000-0100-00000B000000}" name="Inclusive Amount" dataDxfId="2" dataCellStyle="Comma">
      <calculatedColumnFormula>E5</calculatedColumnFormula>
    </tableColumn>
    <tableColumn id="13" xr3:uid="{00000000-0010-0000-0100-00000D000000}" name="Error Code" dataDxfId="1" dataCellStyle="Comma">
      <calculatedColumnFormula>IF(AND(ISBLANK(J5)=FALSE,J5&lt;A5),"E1",IF(AND(ISBLANK(I5)=FALSE,ISNA(MATCH($I5,AccountNo,0))),"E2",IF(AND(ISBLANK(H5)=FALSE,ISNA(MATCH($H5,BankCode,0))),"E3","-")))</calculatedColumnFormula>
    </tableColumn>
  </tableColumns>
  <tableStyleInfo name="TableStyleLight9" showFirstColumn="0" showLastColumn="0" showRowStripes="1" showColumnStripes="0"/>
</table>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Quotable">
  <a:themeElements>
    <a:clrScheme name="Quotable">
      <a:dk1>
        <a:sysClr val="windowText" lastClr="000000"/>
      </a:dk1>
      <a:lt1>
        <a:sysClr val="window" lastClr="FFFFFF"/>
      </a:lt1>
      <a:dk2>
        <a:srgbClr val="212121"/>
      </a:dk2>
      <a:lt2>
        <a:srgbClr val="636363"/>
      </a:lt2>
      <a:accent1>
        <a:srgbClr val="00C6BB"/>
      </a:accent1>
      <a:accent2>
        <a:srgbClr val="6FEBA0"/>
      </a:accent2>
      <a:accent3>
        <a:srgbClr val="B6DF5E"/>
      </a:accent3>
      <a:accent4>
        <a:srgbClr val="EFB251"/>
      </a:accent4>
      <a:accent5>
        <a:srgbClr val="EF755F"/>
      </a:accent5>
      <a:accent6>
        <a:srgbClr val="ED515C"/>
      </a:accent6>
      <a:hlink>
        <a:srgbClr val="8F8F8F"/>
      </a:hlink>
      <a:folHlink>
        <a:srgbClr val="A5A5A5"/>
      </a:folHlink>
    </a:clrScheme>
    <a:fontScheme name="Quotable">
      <a:majorFont>
        <a:latin typeface="Century Gothic" panose="020B0502020202020204"/>
        <a:ea typeface=""/>
        <a:cs typeface=""/>
        <a:font script="Jpan" typeface="ＭＳ ゴシック"/>
        <a:font script="Hang" typeface="맑은 고딕"/>
        <a:font script="Hans" typeface="宋体"/>
        <a:font script="Hant" typeface="新細明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entury Gothic" panose="020B0502020202020204"/>
        <a:ea typeface=""/>
        <a:cs typeface=""/>
        <a:font script="Jpan" typeface="ＭＳ ゴシック"/>
        <a:font script="Hang" typeface="맑은 고딕"/>
        <a:font script="Hans" typeface="宋体"/>
        <a:font script="Hant" typeface="新細明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Verdana"/>
        <a:font script="Uigh" typeface="Microsoft Uighur"/>
        <a:font script="Geor" typeface="Sylfaen"/>
      </a:minorFont>
    </a:fontScheme>
    <a:fmtScheme name="Quotable">
      <a:fillStyleLst>
        <a:solidFill>
          <a:schemeClr val="phClr"/>
        </a:solidFill>
        <a:gradFill rotWithShape="1">
          <a:gsLst>
            <a:gs pos="0">
              <a:schemeClr val="phClr">
                <a:tint val="80000"/>
                <a:lumMod val="105000"/>
              </a:schemeClr>
            </a:gs>
            <a:gs pos="100000">
              <a:schemeClr val="phClr">
                <a:tint val="90000"/>
              </a:schemeClr>
            </a:gs>
          </a:gsLst>
          <a:lin ang="5400000" scaled="0"/>
        </a:gradFill>
        <a:blipFill rotWithShape="1">
          <a:blip xmlns:r="http://schemas.openxmlformats.org/officeDocument/2006/relationships" r:embed="rId1">
            <a:duotone>
              <a:schemeClr val="phClr">
                <a:tint val="98000"/>
                <a:lumMod val="102000"/>
              </a:schemeClr>
              <a:schemeClr val="phClr">
                <a:shade val="98000"/>
                <a:lumMod val="98000"/>
              </a:schemeClr>
            </a:duotone>
          </a:blip>
          <a:tile tx="0" ty="0" sx="100000" sy="100000" flip="none" algn="tl"/>
        </a:blipFill>
      </a:fillStyleLst>
      <a:lnStyleLst>
        <a:ln w="9525" cap="rnd" cmpd="sng" algn="ctr">
          <a:solidFill>
            <a:schemeClr val="phClr"/>
          </a:solidFill>
          <a:prstDash val="solid"/>
        </a:ln>
        <a:ln w="15875" cap="rnd" cmpd="sng" algn="ctr">
          <a:solidFill>
            <a:schemeClr val="phClr"/>
          </a:solidFill>
          <a:prstDash val="solid"/>
        </a:ln>
        <a:ln w="25400" cap="rnd" cmpd="sng" algn="ctr">
          <a:solidFill>
            <a:schemeClr val="phClr"/>
          </a:solidFill>
          <a:prstDash val="solid"/>
        </a:ln>
      </a:lnStyleLst>
      <a:effectStyleLst>
        <a:effectStyle>
          <a:effectLst/>
        </a:effectStyle>
        <a:effectStyle>
          <a:effectLst/>
        </a:effectStyle>
        <a:effectStyle>
          <a:effectLst>
            <a:innerShdw blurRad="63500" dist="25400" dir="13500000">
              <a:srgbClr val="000000">
                <a:alpha val="75000"/>
              </a:srgbClr>
            </a:innerShdw>
          </a:effectLst>
        </a:effectStyle>
      </a:effectStyleLst>
      <a:bgFillStyleLst>
        <a:solidFill>
          <a:schemeClr val="phClr"/>
        </a:solidFill>
        <a:gradFill rotWithShape="1">
          <a:gsLst>
            <a:gs pos="0">
              <a:schemeClr val="phClr">
                <a:tint val="100000"/>
              </a:schemeClr>
            </a:gs>
            <a:gs pos="100000">
              <a:schemeClr val="phClr">
                <a:tint val="84000"/>
                <a:shade val="84000"/>
                <a:lumMod val="90000"/>
              </a:schemeClr>
            </a:gs>
          </a:gsLst>
          <a:lin ang="5400000" scaled="0"/>
        </a:gradFill>
        <a:gradFill rotWithShape="1">
          <a:gsLst>
            <a:gs pos="0">
              <a:schemeClr val="phClr">
                <a:tint val="84000"/>
                <a:shade val="90000"/>
                <a:satMod val="120000"/>
                <a:lumMod val="90000"/>
              </a:schemeClr>
            </a:gs>
            <a:gs pos="100000">
              <a:schemeClr val="phClr"/>
            </a:gs>
          </a:gsLst>
          <a:lin ang="5400000" scaled="0"/>
        </a:gradFill>
      </a:bgFillStyleLst>
    </a:fmtScheme>
  </a:themeElements>
  <a:objectDefaults/>
  <a:extraClrSchemeLst/>
  <a:extLst>
    <a:ext uri="{05A4C25C-085E-4340-85A3-A5531E510DB2}">
      <thm15:themeFamily xmlns:thm15="http://schemas.microsoft.com/office/thememl/2012/main" name="Quotable" id="{39EC5628-30ED-4578-ACD8-9820EDB8E15A}" vid="{6F3559E9-1A4C-49D8-94D4-F41003531C49}"/>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2.bin"/><Relationship Id="rId1" Type="http://schemas.openxmlformats.org/officeDocument/2006/relationships/hyperlink" Target="https://www.excel-skills.com/"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
  <sheetViews>
    <sheetView tabSelected="1" workbookViewId="0">
      <selection activeCell="B2" sqref="B2"/>
    </sheetView>
  </sheetViews>
  <sheetFormatPr defaultColWidth="8.90625" defaultRowHeight="13.5" x14ac:dyDescent="0.25"/>
  <cols>
    <col min="1" max="14" width="15.6328125" style="1" customWidth="1"/>
    <col min="15" max="16384" width="8.90625" style="1"/>
  </cols>
  <sheetData/>
  <pageMargins left="0.7" right="0.7" top="0.75" bottom="0.75" header="0.3" footer="0.3"/>
  <pageSetup paperSize="9"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O42"/>
  <sheetViews>
    <sheetView zoomScale="95" zoomScaleNormal="95" workbookViewId="0">
      <pane xSplit="2" ySplit="4" topLeftCell="C5" activePane="bottomRight" state="frozen"/>
      <selection pane="topRight" activeCell="C1" sqref="C1"/>
      <selection pane="bottomLeft" activeCell="A5" sqref="A5"/>
      <selection pane="bottomRight" activeCell="A4" sqref="A4"/>
    </sheetView>
  </sheetViews>
  <sheetFormatPr defaultColWidth="9.08984375" defaultRowHeight="16" customHeight="1" x14ac:dyDescent="0.25"/>
  <cols>
    <col min="1" max="1" width="8.6328125" style="183" customWidth="1"/>
    <col min="2" max="2" width="44.81640625" style="4" customWidth="1"/>
    <col min="3" max="5" width="14.81640625" style="29" customWidth="1"/>
    <col min="6" max="14" width="14.81640625" style="4" customWidth="1"/>
    <col min="15" max="15" width="15.81640625" style="3" customWidth="1"/>
    <col min="16" max="16384" width="9.08984375" style="4"/>
  </cols>
  <sheetData>
    <row r="1" spans="1:15" ht="16" customHeight="1" x14ac:dyDescent="0.3">
      <c r="B1" s="25" t="str">
        <f>IF(ISBLANK(Setup!$C$4),"Example Limited",Setup!$C$4)</f>
        <v>Example (Pty) Limited</v>
      </c>
      <c r="K1" s="5"/>
    </row>
    <row r="2" spans="1:15" ht="16" customHeight="1" x14ac:dyDescent="0.25">
      <c r="B2" s="23" t="s">
        <v>380</v>
      </c>
    </row>
    <row r="3" spans="1:15" ht="16" customHeight="1" x14ac:dyDescent="0.25">
      <c r="B3" s="7" t="s">
        <v>350</v>
      </c>
    </row>
    <row r="4" spans="1:15" s="85" customFormat="1" ht="18" customHeight="1" x14ac:dyDescent="0.25">
      <c r="A4" s="81" t="s">
        <v>357</v>
      </c>
      <c r="B4" s="81" t="s">
        <v>61</v>
      </c>
      <c r="C4" s="83">
        <f ca="1">DATE(YEAR(Setup!$D$10),MONTH(Setup!$D$10)+1,0)</f>
        <v>43921</v>
      </c>
      <c r="D4" s="83">
        <f t="shared" ref="D4:M4" ca="1" si="0">DATE(YEAR(C4),MONTH(C4)+2,0)</f>
        <v>43951</v>
      </c>
      <c r="E4" s="83">
        <f t="shared" ca="1" si="0"/>
        <v>43982</v>
      </c>
      <c r="F4" s="83">
        <f t="shared" ca="1" si="0"/>
        <v>44012</v>
      </c>
      <c r="G4" s="83">
        <f t="shared" ca="1" si="0"/>
        <v>44043</v>
      </c>
      <c r="H4" s="83">
        <f t="shared" ca="1" si="0"/>
        <v>44074</v>
      </c>
      <c r="I4" s="83">
        <f t="shared" ca="1" si="0"/>
        <v>44104</v>
      </c>
      <c r="J4" s="83">
        <f t="shared" ca="1" si="0"/>
        <v>44135</v>
      </c>
      <c r="K4" s="83">
        <f t="shared" ca="1" si="0"/>
        <v>44165</v>
      </c>
      <c r="L4" s="83">
        <f t="shared" ca="1" si="0"/>
        <v>44196</v>
      </c>
      <c r="M4" s="83">
        <f t="shared" ca="1" si="0"/>
        <v>44227</v>
      </c>
      <c r="N4" s="83">
        <f ca="1">DATE(YEAR(M4),MONTH(M4)+2,0)</f>
        <v>44255</v>
      </c>
      <c r="O4" s="94" t="str">
        <f ca="1">"Total "&amp;YEAR($N4)</f>
        <v>Total 2021</v>
      </c>
    </row>
    <row r="5" spans="1:15" s="3" customFormat="1" ht="16" customHeight="1" x14ac:dyDescent="0.25">
      <c r="A5" s="184"/>
      <c r="B5" s="3" t="s">
        <v>381</v>
      </c>
      <c r="C5" s="88"/>
      <c r="D5" s="88"/>
      <c r="E5" s="88"/>
      <c r="F5" s="88"/>
      <c r="G5" s="88"/>
      <c r="H5" s="88"/>
      <c r="I5" s="88"/>
      <c r="J5" s="88"/>
      <c r="K5" s="88"/>
      <c r="L5" s="88"/>
      <c r="M5" s="88"/>
      <c r="N5" s="88"/>
      <c r="O5" s="88"/>
    </row>
    <row r="6" spans="1:15" ht="16" customHeight="1" x14ac:dyDescent="0.25">
      <c r="B6" s="91" t="s">
        <v>374</v>
      </c>
      <c r="C6" s="89">
        <f ca="1">IS!C43</f>
        <v>11938.209565217416</v>
      </c>
      <c r="D6" s="89">
        <f ca="1">IS!D43</f>
        <v>8216.8143478260754</v>
      </c>
      <c r="E6" s="89">
        <f ca="1">IS!E43</f>
        <v>67659.398695652199</v>
      </c>
      <c r="F6" s="89">
        <f ca="1">IS!F43</f>
        <v>32107.780434782599</v>
      </c>
      <c r="G6" s="89">
        <f ca="1">IS!G43</f>
        <v>25269.653043478265</v>
      </c>
      <c r="H6" s="89">
        <f ca="1">IS!H43</f>
        <v>-26242.739130434795</v>
      </c>
      <c r="I6" s="89">
        <f ca="1">IS!I43</f>
        <v>42702.44347826083</v>
      </c>
      <c r="J6" s="89">
        <f ca="1">IS!J43</f>
        <v>68739.786956521741</v>
      </c>
      <c r="K6" s="89">
        <f ca="1">IS!K43</f>
        <v>28690.043913043486</v>
      </c>
      <c r="L6" s="89">
        <f ca="1">IS!L43</f>
        <v>-75754.930000000008</v>
      </c>
      <c r="M6" s="89">
        <f ca="1">IS!M43</f>
        <v>27596.85826086958</v>
      </c>
      <c r="N6" s="89">
        <f ca="1">IS!N43</f>
        <v>-30936.492173913055</v>
      </c>
      <c r="O6" s="88">
        <f ca="1">SUM(C6:N6)</f>
        <v>179986.82739130431</v>
      </c>
    </row>
    <row r="7" spans="1:15" ht="16" customHeight="1" x14ac:dyDescent="0.25">
      <c r="A7" s="183" t="s">
        <v>372</v>
      </c>
      <c r="B7" s="17" t="str">
        <f ca="1">IF(RIGHT($A7,1)="G",IF(ISNA(VLOOKUP(LEFT($A7,LEN($A7)-1),GroupAll,COLUMN(Groups!$B$4),0)),"Group Not Found",VLOOKUP(LEFT($A7,LEN($A7)-1),GroupAll,COLUMN(Groups!$B$4),0)),IF(ISNA(VLOOKUP($A7,AccountAll,COLUMN(TB!$B$4),0)),"Account Not Found",VLOOKUP($A7,AccountAll,COLUMN(TB!$B$4),0)))</f>
        <v>Interest Paid</v>
      </c>
      <c r="C7" s="89">
        <f t="shared" ref="C7:N8" ca="1" si="1">-SUMIFS(IncExcl,IncDocDate,"&gt;="&amp;DATE(YEAR(C$4),MONTH(C$4),1),IncDocDate,"&lt;="&amp;C$4,IncAccount,LEFT($A7,5)&amp;"*")+SUMIFS(ExpExcl,ExpDocDate,"&gt;="&amp;DATE(YEAR(C$4),MONTH(C$4),1),ExpDocDate,"&lt;="&amp;C$4,ExpAccount,LEFT($A7,5)&amp;"*")</f>
        <v>1666.67</v>
      </c>
      <c r="D7" s="89">
        <f t="shared" ca="1" si="1"/>
        <v>1645.14</v>
      </c>
      <c r="E7" s="89">
        <f t="shared" ca="1" si="1"/>
        <v>1623.44</v>
      </c>
      <c r="F7" s="89">
        <f t="shared" ca="1" si="1"/>
        <v>1601.56</v>
      </c>
      <c r="G7" s="89">
        <f t="shared" ca="1" si="1"/>
        <v>1579.49</v>
      </c>
      <c r="H7" s="89">
        <f t="shared" ca="1" si="1"/>
        <v>1557.24</v>
      </c>
      <c r="I7" s="89">
        <f t="shared" ca="1" si="1"/>
        <v>1534.81</v>
      </c>
      <c r="J7" s="89">
        <f t="shared" ca="1" si="1"/>
        <v>1512.19</v>
      </c>
      <c r="K7" s="89">
        <f t="shared" ca="1" si="1"/>
        <v>1489.38</v>
      </c>
      <c r="L7" s="89">
        <f t="shared" ca="1" si="1"/>
        <v>1466.38</v>
      </c>
      <c r="M7" s="89">
        <f t="shared" ca="1" si="1"/>
        <v>1859.85</v>
      </c>
      <c r="N7" s="89">
        <f t="shared" ca="1" si="1"/>
        <v>1831.09</v>
      </c>
      <c r="O7" s="88">
        <f t="shared" ref="O7:O8" ca="1" si="2">SUM(C7:N7)</f>
        <v>19367.239999999998</v>
      </c>
    </row>
    <row r="8" spans="1:15" ht="16" customHeight="1" x14ac:dyDescent="0.25">
      <c r="A8" s="183" t="s">
        <v>375</v>
      </c>
      <c r="B8" s="17" t="str">
        <f ca="1">IF(RIGHT($A8,1)="G",IF(ISNA(VLOOKUP(LEFT($A8,LEN($A8)-1),GroupAll,COLUMN(Groups!$B$4),0)),"Group Not Found",VLOOKUP(LEFT($A8,LEN($A8)-1),GroupAll,COLUMN(Groups!$B$4),0)),IF(ISNA(VLOOKUP($A8,AccountAll,COLUMN(TB!$B$4),0)),"Account Not Found",VLOOKUP($A8,AccountAll,COLUMN(TB!$B$4),0)))</f>
        <v>Taxation Paid</v>
      </c>
      <c r="C8" s="89">
        <f t="shared" ca="1" si="1"/>
        <v>0</v>
      </c>
      <c r="D8" s="89">
        <f t="shared" ca="1" si="1"/>
        <v>0</v>
      </c>
      <c r="E8" s="89">
        <f t="shared" ca="1" si="1"/>
        <v>0</v>
      </c>
      <c r="F8" s="89">
        <f t="shared" ca="1" si="1"/>
        <v>0</v>
      </c>
      <c r="G8" s="89">
        <f t="shared" ca="1" si="1"/>
        <v>0</v>
      </c>
      <c r="H8" s="89">
        <f t="shared" ca="1" si="1"/>
        <v>46580</v>
      </c>
      <c r="I8" s="89">
        <f t="shared" ca="1" si="1"/>
        <v>0</v>
      </c>
      <c r="J8" s="89">
        <f t="shared" ca="1" si="1"/>
        <v>0</v>
      </c>
      <c r="K8" s="89">
        <f t="shared" ca="1" si="1"/>
        <v>0</v>
      </c>
      <c r="L8" s="89">
        <f t="shared" ca="1" si="1"/>
        <v>0</v>
      </c>
      <c r="M8" s="89">
        <f t="shared" ca="1" si="1"/>
        <v>0</v>
      </c>
      <c r="N8" s="89">
        <f t="shared" ca="1" si="1"/>
        <v>24185</v>
      </c>
      <c r="O8" s="88">
        <f t="shared" ca="1" si="2"/>
        <v>70765</v>
      </c>
    </row>
    <row r="9" spans="1:15" s="6" customFormat="1" ht="16" customHeight="1" x14ac:dyDescent="0.25">
      <c r="A9" s="185"/>
      <c r="B9" s="6" t="s">
        <v>382</v>
      </c>
      <c r="C9" s="95"/>
      <c r="D9" s="95"/>
      <c r="E9" s="95"/>
      <c r="F9" s="95"/>
      <c r="G9" s="95"/>
      <c r="H9" s="95"/>
      <c r="I9" s="95"/>
      <c r="J9" s="95"/>
      <c r="K9" s="95"/>
      <c r="L9" s="95"/>
      <c r="M9" s="95"/>
      <c r="N9" s="95"/>
      <c r="O9" s="96"/>
    </row>
    <row r="10" spans="1:15" ht="16" customHeight="1" x14ac:dyDescent="0.25">
      <c r="A10" s="183" t="s">
        <v>255</v>
      </c>
      <c r="B10" s="4" t="s">
        <v>105</v>
      </c>
      <c r="C10" s="89">
        <f t="shared" ref="C10:N12" ca="1" si="3">SUMIFS(IncExcl,IncDocDate,"&gt;="&amp;DATE(YEAR(C$4),MONTH(C$4),1),IncDocDate,"&lt;="&amp;C$4,IncAccount,LEFT($A10,5)&amp;"*")-SUMIFS(ExpExcl,ExpDocDate,"&gt;="&amp;DATE(YEAR(C$4),MONTH(C$4),1),ExpDocDate,"&lt;="&amp;C$4,ExpAccount,LEFT($A10,5)&amp;"*")</f>
        <v>0</v>
      </c>
      <c r="D10" s="89">
        <f t="shared" ca="1" si="3"/>
        <v>0</v>
      </c>
      <c r="E10" s="89">
        <f t="shared" ca="1" si="3"/>
        <v>0</v>
      </c>
      <c r="F10" s="89">
        <f t="shared" ca="1" si="3"/>
        <v>0</v>
      </c>
      <c r="G10" s="89">
        <f t="shared" ca="1" si="3"/>
        <v>0</v>
      </c>
      <c r="H10" s="89">
        <f t="shared" ca="1" si="3"/>
        <v>0</v>
      </c>
      <c r="I10" s="89">
        <f t="shared" ca="1" si="3"/>
        <v>0</v>
      </c>
      <c r="J10" s="89">
        <f t="shared" ca="1" si="3"/>
        <v>0</v>
      </c>
      <c r="K10" s="89">
        <f t="shared" ca="1" si="3"/>
        <v>0</v>
      </c>
      <c r="L10" s="89">
        <f t="shared" ca="1" si="3"/>
        <v>0</v>
      </c>
      <c r="M10" s="89">
        <f t="shared" ca="1" si="3"/>
        <v>0</v>
      </c>
      <c r="N10" s="89">
        <f t="shared" ca="1" si="3"/>
        <v>30422</v>
      </c>
      <c r="O10" s="88">
        <f t="shared" ref="O10:O12" ca="1" si="4">SUM(C10:N10)</f>
        <v>30422</v>
      </c>
    </row>
    <row r="11" spans="1:15" ht="16" customHeight="1" x14ac:dyDescent="0.25">
      <c r="A11" s="183" t="s">
        <v>264</v>
      </c>
      <c r="B11" s="4" t="s">
        <v>237</v>
      </c>
      <c r="C11" s="89">
        <f t="shared" ca="1" si="3"/>
        <v>0</v>
      </c>
      <c r="D11" s="89">
        <f t="shared" ca="1" si="3"/>
        <v>0</v>
      </c>
      <c r="E11" s="89">
        <f t="shared" ca="1" si="3"/>
        <v>0</v>
      </c>
      <c r="F11" s="89">
        <f t="shared" ca="1" si="3"/>
        <v>0</v>
      </c>
      <c r="G11" s="89">
        <f t="shared" ca="1" si="3"/>
        <v>0</v>
      </c>
      <c r="H11" s="89">
        <f t="shared" ca="1" si="3"/>
        <v>0</v>
      </c>
      <c r="I11" s="89">
        <f t="shared" ca="1" si="3"/>
        <v>0</v>
      </c>
      <c r="J11" s="89">
        <f t="shared" ca="1" si="3"/>
        <v>0</v>
      </c>
      <c r="K11" s="89">
        <f t="shared" ca="1" si="3"/>
        <v>0</v>
      </c>
      <c r="L11" s="89">
        <f t="shared" ca="1" si="3"/>
        <v>0</v>
      </c>
      <c r="M11" s="89">
        <f t="shared" ca="1" si="3"/>
        <v>0</v>
      </c>
      <c r="N11" s="89">
        <f t="shared" ca="1" si="3"/>
        <v>14720</v>
      </c>
      <c r="O11" s="88">
        <f t="shared" ca="1" si="4"/>
        <v>14720</v>
      </c>
    </row>
    <row r="12" spans="1:15" ht="16" customHeight="1" x14ac:dyDescent="0.25">
      <c r="A12" s="183" t="s">
        <v>405</v>
      </c>
      <c r="B12" s="17" t="str">
        <f ca="1">IF(RIGHT($A12,1)="G",IF(ISNA(VLOOKUP(LEFT($A12,LEN($A12)-1),GroupAll,COLUMN(Groups!$B$4),0)),"Group Not Found",VLOOKUP(LEFT($A12,LEN($A12)-1),GroupAll,COLUMN(Groups!$B$4),0)),IF(ISNA(VLOOKUP($A12,AccountAll,COLUMN(TB!$B$4),0)),"Account Not Found",VLOOKUP($A12,AccountAll,COLUMN(TB!$B$4),0)))</f>
        <v>Reserves</v>
      </c>
      <c r="C12" s="89">
        <f t="shared" ca="1" si="3"/>
        <v>0</v>
      </c>
      <c r="D12" s="89">
        <f t="shared" ca="1" si="3"/>
        <v>0</v>
      </c>
      <c r="E12" s="89">
        <f t="shared" ca="1" si="3"/>
        <v>0</v>
      </c>
      <c r="F12" s="89">
        <f t="shared" ca="1" si="3"/>
        <v>0</v>
      </c>
      <c r="G12" s="89">
        <f t="shared" ca="1" si="3"/>
        <v>0</v>
      </c>
      <c r="H12" s="89">
        <f t="shared" ca="1" si="3"/>
        <v>0</v>
      </c>
      <c r="I12" s="89">
        <f t="shared" ca="1" si="3"/>
        <v>0</v>
      </c>
      <c r="J12" s="89">
        <f t="shared" ca="1" si="3"/>
        <v>0</v>
      </c>
      <c r="K12" s="89">
        <f t="shared" ca="1" si="3"/>
        <v>0</v>
      </c>
      <c r="L12" s="89">
        <f t="shared" ca="1" si="3"/>
        <v>0</v>
      </c>
      <c r="M12" s="89">
        <f t="shared" ca="1" si="3"/>
        <v>0</v>
      </c>
      <c r="N12" s="89">
        <f t="shared" ca="1" si="3"/>
        <v>0</v>
      </c>
      <c r="O12" s="88">
        <f t="shared" ca="1" si="4"/>
        <v>0</v>
      </c>
    </row>
    <row r="13" spans="1:15" s="6" customFormat="1" ht="16" customHeight="1" x14ac:dyDescent="0.25">
      <c r="A13" s="185"/>
      <c r="B13" s="6" t="s">
        <v>383</v>
      </c>
      <c r="C13" s="95"/>
      <c r="D13" s="95"/>
      <c r="E13" s="95"/>
      <c r="F13" s="95"/>
      <c r="G13" s="95"/>
      <c r="H13" s="95"/>
      <c r="I13" s="95"/>
      <c r="J13" s="95"/>
      <c r="K13" s="95"/>
      <c r="L13" s="95"/>
      <c r="M13" s="95"/>
      <c r="N13" s="95"/>
      <c r="O13" s="96"/>
    </row>
    <row r="14" spans="1:15" ht="16" customHeight="1" x14ac:dyDescent="0.25">
      <c r="A14" s="186" t="s">
        <v>267</v>
      </c>
      <c r="B14" s="17" t="str">
        <f ca="1">IF(RIGHT($A14,1)="G",IF(ISNA(VLOOKUP(LEFT($A14,LEN($A14)-1),GroupAll,COLUMN(Groups!$B$4),0)),"Group Not Found",VLOOKUP(LEFT($A14,LEN($A14)-1),GroupAll,COLUMN(Groups!$B$4),0)),IF(ISNA(VLOOKUP($A14,AccountAll,COLUMN(TB!$B$4),0)),"Account Not Found",VLOOKUP($A14,AccountAll,COLUMN(TB!$B$4),0)))</f>
        <v>Trade Debtors</v>
      </c>
      <c r="C14" s="89">
        <f ca="1">BS!C14-BS!D14</f>
        <v>-4022.0999999999767</v>
      </c>
      <c r="D14" s="89">
        <f ca="1">BS!D14-BS!E14</f>
        <v>-17417.400000000023</v>
      </c>
      <c r="E14" s="89">
        <f ca="1">BS!E14-BS!F14</f>
        <v>49023.5</v>
      </c>
      <c r="F14" s="89">
        <f ca="1">BS!F14-BS!G14</f>
        <v>-59229</v>
      </c>
      <c r="G14" s="89">
        <f ca="1">BS!G14-BS!H14</f>
        <v>138241</v>
      </c>
      <c r="H14" s="89">
        <f ca="1">BS!H14-BS!I14</f>
        <v>-128785.5</v>
      </c>
      <c r="I14" s="89">
        <f ca="1">BS!I14-BS!J14</f>
        <v>23285.5</v>
      </c>
      <c r="J14" s="89">
        <f ca="1">BS!J14-BS!K14</f>
        <v>-17445</v>
      </c>
      <c r="K14" s="89">
        <f ca="1">BS!K14-BS!L14</f>
        <v>-82768</v>
      </c>
      <c r="L14" s="89">
        <f ca="1">BS!L14-BS!M14</f>
        <v>34803</v>
      </c>
      <c r="M14" s="89">
        <f ca="1">BS!M14-BS!N14</f>
        <v>53380</v>
      </c>
      <c r="N14" s="89">
        <f ca="1">BS!N14-BS!O14</f>
        <v>64250</v>
      </c>
      <c r="O14" s="88">
        <f t="shared" ref="O14:O24" ca="1" si="5">SUM(C14:N14)</f>
        <v>53316</v>
      </c>
    </row>
    <row r="15" spans="1:15" ht="16" customHeight="1" x14ac:dyDescent="0.25">
      <c r="A15" s="183" t="s">
        <v>268</v>
      </c>
      <c r="B15" s="17" t="str">
        <f ca="1">IF(RIGHT($A15,1)="G",IF(ISNA(VLOOKUP(LEFT($A15,LEN($A15)-1),GroupAll,COLUMN(Groups!$B$4),0)),"Group Not Found",VLOOKUP(LEFT($A15,LEN($A15)-1),GroupAll,COLUMN(Groups!$B$4),0)),IF(ISNA(VLOOKUP($A15,AccountAll,COLUMN(TB!$B$4),0)),"Account Not Found",VLOOKUP($A15,AccountAll,COLUMN(TB!$B$4),0)))</f>
        <v>Loans &amp; Advances</v>
      </c>
      <c r="C15" s="89">
        <f t="shared" ref="C15:N17" ca="1" si="6">SUMIFS(IncExcl,IncDocDate,"&gt;="&amp;DATE(YEAR(C$4),MONTH(C$4),1),IncDocDate,"&lt;="&amp;C$4,IncAccount,LEFT($A15,5)&amp;"*")-SUMIFS(ExpExcl,ExpDocDate,"&gt;="&amp;DATE(YEAR(C$4),MONTH(C$4),1),ExpDocDate,"&lt;="&amp;C$4,ExpAccount,LEFT($A15,5)&amp;"*")</f>
        <v>12000</v>
      </c>
      <c r="D15" s="89">
        <f t="shared" ca="1" si="6"/>
        <v>0</v>
      </c>
      <c r="E15" s="89">
        <f t="shared" ca="1" si="6"/>
        <v>0</v>
      </c>
      <c r="F15" s="89">
        <f t="shared" ca="1" si="6"/>
        <v>0</v>
      </c>
      <c r="G15" s="89">
        <f t="shared" ca="1" si="6"/>
        <v>0</v>
      </c>
      <c r="H15" s="89">
        <f t="shared" ca="1" si="6"/>
        <v>0</v>
      </c>
      <c r="I15" s="89">
        <f t="shared" ca="1" si="6"/>
        <v>0</v>
      </c>
      <c r="J15" s="89">
        <f t="shared" ca="1" si="6"/>
        <v>0</v>
      </c>
      <c r="K15" s="89">
        <f t="shared" ca="1" si="6"/>
        <v>0</v>
      </c>
      <c r="L15" s="89">
        <f t="shared" ca="1" si="6"/>
        <v>0</v>
      </c>
      <c r="M15" s="89">
        <f t="shared" ca="1" si="6"/>
        <v>0</v>
      </c>
      <c r="N15" s="89">
        <f t="shared" ca="1" si="6"/>
        <v>0</v>
      </c>
      <c r="O15" s="88">
        <f t="shared" ca="1" si="5"/>
        <v>12000</v>
      </c>
    </row>
    <row r="16" spans="1:15" ht="16" customHeight="1" x14ac:dyDescent="0.25">
      <c r="A16" s="183" t="s">
        <v>271</v>
      </c>
      <c r="B16" s="17" t="str">
        <f ca="1">IF(RIGHT($A16,1)="G",IF(ISNA(VLOOKUP(LEFT($A16,LEN($A16)-1),GroupAll,COLUMN(Groups!$B$4),0)),"Group Not Found",VLOOKUP(LEFT($A16,LEN($A16)-1),GroupAll,COLUMN(Groups!$B$4),0)),IF(ISNA(VLOOKUP($A16,AccountAll,COLUMN(TB!$B$4),0)),"Account Not Found",VLOOKUP($A16,AccountAll,COLUMN(TB!$B$4),0)))</f>
        <v>Other Debtors</v>
      </c>
      <c r="C16" s="89">
        <f t="shared" ca="1" si="6"/>
        <v>0</v>
      </c>
      <c r="D16" s="89">
        <f t="shared" ca="1" si="6"/>
        <v>15000</v>
      </c>
      <c r="E16" s="89">
        <f t="shared" ca="1" si="6"/>
        <v>0</v>
      </c>
      <c r="F16" s="89">
        <f t="shared" ca="1" si="6"/>
        <v>0</v>
      </c>
      <c r="G16" s="89">
        <f t="shared" ca="1" si="6"/>
        <v>0</v>
      </c>
      <c r="H16" s="89">
        <f t="shared" ca="1" si="6"/>
        <v>0</v>
      </c>
      <c r="I16" s="89">
        <f t="shared" ca="1" si="6"/>
        <v>0</v>
      </c>
      <c r="J16" s="89">
        <f t="shared" ca="1" si="6"/>
        <v>0</v>
      </c>
      <c r="K16" s="89">
        <f t="shared" ca="1" si="6"/>
        <v>0</v>
      </c>
      <c r="L16" s="89">
        <f t="shared" ca="1" si="6"/>
        <v>0</v>
      </c>
      <c r="M16" s="89">
        <f t="shared" ca="1" si="6"/>
        <v>0</v>
      </c>
      <c r="N16" s="89">
        <f t="shared" ca="1" si="6"/>
        <v>0</v>
      </c>
      <c r="O16" s="88">
        <f t="shared" ca="1" si="5"/>
        <v>15000</v>
      </c>
    </row>
    <row r="17" spans="1:15" ht="16" customHeight="1" x14ac:dyDescent="0.25">
      <c r="A17" s="183" t="s">
        <v>276</v>
      </c>
      <c r="B17" s="17" t="str">
        <f ca="1">IF(RIGHT($A17,1)="G",IF(ISNA(VLOOKUP(LEFT($A17,LEN($A17)-1),GroupAll,COLUMN(Groups!$B$4),0)),"Group Not Found",VLOOKUP(LEFT($A17,LEN($A17)-1),GroupAll,COLUMN(Groups!$B$4),0)),IF(ISNA(VLOOKUP($A17,AccountAll,COLUMN(TB!$B$4),0)),"Account Not Found",VLOOKUP($A17,AccountAll,COLUMN(TB!$B$4),0)))</f>
        <v>Cash On Hand</v>
      </c>
      <c r="C17" s="89">
        <f t="shared" ca="1" si="6"/>
        <v>0</v>
      </c>
      <c r="D17" s="89">
        <f t="shared" ca="1" si="6"/>
        <v>0</v>
      </c>
      <c r="E17" s="89">
        <f t="shared" ca="1" si="6"/>
        <v>0</v>
      </c>
      <c r="F17" s="89">
        <f t="shared" ca="1" si="6"/>
        <v>0</v>
      </c>
      <c r="G17" s="89">
        <f t="shared" ca="1" si="6"/>
        <v>0</v>
      </c>
      <c r="H17" s="89">
        <f t="shared" ca="1" si="6"/>
        <v>0</v>
      </c>
      <c r="I17" s="89">
        <f t="shared" ca="1" si="6"/>
        <v>0</v>
      </c>
      <c r="J17" s="89">
        <f t="shared" ca="1" si="6"/>
        <v>0</v>
      </c>
      <c r="K17" s="89">
        <f t="shared" ca="1" si="6"/>
        <v>0</v>
      </c>
      <c r="L17" s="89">
        <f t="shared" ca="1" si="6"/>
        <v>0</v>
      </c>
      <c r="M17" s="89">
        <f t="shared" ca="1" si="6"/>
        <v>0</v>
      </c>
      <c r="N17" s="89">
        <f t="shared" ca="1" si="6"/>
        <v>0</v>
      </c>
      <c r="O17" s="88">
        <f t="shared" ca="1" si="5"/>
        <v>0</v>
      </c>
    </row>
    <row r="18" spans="1:15" ht="16" customHeight="1" x14ac:dyDescent="0.25">
      <c r="A18" s="186" t="s">
        <v>272</v>
      </c>
      <c r="B18" s="17" t="str">
        <f ca="1">IF(RIGHT($A18,1)="G",IF(ISNA(VLOOKUP(LEFT($A18,LEN($A18)-1),GroupAll,COLUMN(Groups!$B$4),0)),"Group Not Found",VLOOKUP(LEFT($A18,LEN($A18)-1),GroupAll,COLUMN(Groups!$B$4),0)),IF(ISNA(VLOOKUP($A18,AccountAll,COLUMN(TB!$B$4),0)),"Account Not Found",VLOOKUP($A18,AccountAll,COLUMN(TB!$B$4),0)))</f>
        <v>Trade Creditors</v>
      </c>
      <c r="C18" s="89">
        <f ca="1">BS!D36-BS!C36</f>
        <v>-15875</v>
      </c>
      <c r="D18" s="89">
        <f ca="1">BS!E36-BS!D36</f>
        <v>17959.5</v>
      </c>
      <c r="E18" s="89">
        <f ca="1">BS!F36-BS!E36</f>
        <v>-10665.5</v>
      </c>
      <c r="F18" s="89">
        <f ca="1">BS!G36-BS!F36</f>
        <v>-6402</v>
      </c>
      <c r="G18" s="89">
        <f ca="1">BS!H36-BS!G36</f>
        <v>9116</v>
      </c>
      <c r="H18" s="89">
        <f ca="1">BS!I36-BS!H36</f>
        <v>-4232</v>
      </c>
      <c r="I18" s="89">
        <f ca="1">BS!J36-BS!I36</f>
        <v>-3484</v>
      </c>
      <c r="J18" s="89">
        <f ca="1">BS!K36-BS!J36</f>
        <v>-2111</v>
      </c>
      <c r="K18" s="89">
        <f ca="1">BS!L36-BS!K36</f>
        <v>4878.5</v>
      </c>
      <c r="L18" s="89">
        <f ca="1">BS!M36-BS!L36</f>
        <v>6572.5</v>
      </c>
      <c r="M18" s="89">
        <f ca="1">BS!N36-BS!M36</f>
        <v>-10887</v>
      </c>
      <c r="N18" s="89">
        <f ca="1">BS!O36-BS!N36</f>
        <v>31016</v>
      </c>
      <c r="O18" s="88">
        <f t="shared" ca="1" si="5"/>
        <v>15886</v>
      </c>
    </row>
    <row r="19" spans="1:15" ht="16" customHeight="1" x14ac:dyDescent="0.25">
      <c r="A19" s="186" t="s">
        <v>285</v>
      </c>
      <c r="B19" s="17" t="str">
        <f ca="1">IF(RIGHT($A19,1)="G",IF(ISNA(VLOOKUP(LEFT($A19,LEN($A19)-1),GroupAll,COLUMN(Groups!$B$4),0)),"Group Not Found",VLOOKUP(LEFT($A19,LEN($A19)-1),GroupAll,COLUMN(Groups!$B$4),0)),IF(ISNA(VLOOKUP($A19,AccountAll,COLUMN(TB!$B$4),0)),"Account Not Found",VLOOKUP($A19,AccountAll,COLUMN(TB!$B$4),0)))</f>
        <v>Sales Tax</v>
      </c>
      <c r="C19" s="89">
        <f ca="1">BS!D38-BS!C38+BS!D39-BS!C39</f>
        <v>14189.230434782614</v>
      </c>
      <c r="D19" s="89">
        <f ca="1">BS!E38-BS!D38+BS!E39-BS!D39</f>
        <v>-18632.534347826091</v>
      </c>
      <c r="E19" s="89">
        <f ca="1">BS!F38-BS!E38+BS!F39-BS!E39</f>
        <v>24219.391304347824</v>
      </c>
      <c r="F19" s="89">
        <f ca="1">BS!G38-BS!F38+BS!G39-BS!F39</f>
        <v>-20357.220434782605</v>
      </c>
      <c r="G19" s="89">
        <f ca="1">BS!H38-BS!G38+BS!H39-BS!G39</f>
        <v>16763.086956521736</v>
      </c>
      <c r="H19" s="89">
        <f ca="1">BS!I38-BS!H38+BS!I39-BS!H39</f>
        <v>-20184.710869565213</v>
      </c>
      <c r="I19" s="89">
        <f ca="1">BS!J38-BS!I38+BS!J39-BS!I39</f>
        <v>20413.956521739128</v>
      </c>
      <c r="J19" s="89">
        <f ca="1">BS!K38-BS!J38+BS!K39-BS!J39</f>
        <v>-12867.786956521737</v>
      </c>
      <c r="K19" s="89">
        <f ca="1">BS!L38-BS!K38+BS!L39-BS!K39</f>
        <v>17193.326086956517</v>
      </c>
      <c r="L19" s="89">
        <f ca="1">BS!M38-BS!L38+BS!M39-BS!L39</f>
        <v>-28172.739999999998</v>
      </c>
      <c r="M19" s="89">
        <f ca="1">BS!N38-BS!M38+BS!N39-BS!M39</f>
        <v>18414.521739130432</v>
      </c>
      <c r="N19" s="89">
        <f ca="1">BS!O38-BS!N38+BS!O39-BS!N39</f>
        <v>-14099.867826086956</v>
      </c>
      <c r="O19" s="88">
        <f t="shared" ca="1" si="5"/>
        <v>-3121.347391304349</v>
      </c>
    </row>
    <row r="20" spans="1:15" ht="16" customHeight="1" x14ac:dyDescent="0.25">
      <c r="A20" s="183" t="s">
        <v>280</v>
      </c>
      <c r="B20" s="17" t="str">
        <f ca="1">IF(RIGHT($A20,1)="G",IF(ISNA(VLOOKUP(LEFT($A20,LEN($A20)-1),GroupAll,COLUMN(Groups!$B$4),0)),"Group Not Found",VLOOKUP(LEFT($A20,LEN($A20)-1),GroupAll,COLUMN(Groups!$B$4),0)),IF(ISNA(VLOOKUP($A20,AccountAll,COLUMN(TB!$B$4),0)),"Account Not Found",VLOOKUP($A20,AccountAll,COLUMN(TB!$B$4),0)))</f>
        <v>Accruals</v>
      </c>
      <c r="C20" s="89">
        <f t="shared" ref="C20:N21" ca="1" si="7">SUMIFS(IncExcl,IncDocDate,"&gt;="&amp;DATE(YEAR(C$4),MONTH(C$4),1),IncDocDate,"&lt;="&amp;C$4,IncAccount,LEFT($A20,5)&amp;"*")-SUMIFS(ExpExcl,ExpDocDate,"&gt;="&amp;DATE(YEAR(C$4),MONTH(C$4),1),ExpDocDate,"&lt;="&amp;C$4,ExpAccount,LEFT($A20,5)&amp;"*")</f>
        <v>0</v>
      </c>
      <c r="D20" s="89">
        <f t="shared" ca="1" si="7"/>
        <v>0</v>
      </c>
      <c r="E20" s="89">
        <f t="shared" ca="1" si="7"/>
        <v>0</v>
      </c>
      <c r="F20" s="89">
        <f t="shared" ca="1" si="7"/>
        <v>0</v>
      </c>
      <c r="G20" s="89">
        <f t="shared" ca="1" si="7"/>
        <v>0</v>
      </c>
      <c r="H20" s="89">
        <f t="shared" ca="1" si="7"/>
        <v>0</v>
      </c>
      <c r="I20" s="89">
        <f t="shared" ca="1" si="7"/>
        <v>0</v>
      </c>
      <c r="J20" s="89">
        <f t="shared" ca="1" si="7"/>
        <v>0</v>
      </c>
      <c r="K20" s="89">
        <f t="shared" ca="1" si="7"/>
        <v>0</v>
      </c>
      <c r="L20" s="89">
        <f t="shared" ca="1" si="7"/>
        <v>0</v>
      </c>
      <c r="M20" s="89">
        <f t="shared" ca="1" si="7"/>
        <v>0</v>
      </c>
      <c r="N20" s="89">
        <f t="shared" ca="1" si="7"/>
        <v>0</v>
      </c>
      <c r="O20" s="88">
        <f t="shared" ca="1" si="5"/>
        <v>0</v>
      </c>
    </row>
    <row r="21" spans="1:15" ht="16" customHeight="1" x14ac:dyDescent="0.25">
      <c r="A21" s="183" t="s">
        <v>288</v>
      </c>
      <c r="B21" s="17" t="str">
        <f ca="1">IF(RIGHT($A21,1)="G",IF(ISNA(VLOOKUP(LEFT($A21,LEN($A21)-1),GroupAll,COLUMN(Groups!$B$4),0)),"Group Not Found",VLOOKUP(LEFT($A21,LEN($A21)-1),GroupAll,COLUMN(Groups!$B$4),0)),IF(ISNA(VLOOKUP($A21,AccountAll,COLUMN(TB!$B$4),0)),"Account Not Found",VLOOKUP($A21,AccountAll,COLUMN(TB!$B$4),0)))</f>
        <v>Other Provisions</v>
      </c>
      <c r="C21" s="89">
        <f t="shared" ca="1" si="7"/>
        <v>0</v>
      </c>
      <c r="D21" s="89">
        <f t="shared" ca="1" si="7"/>
        <v>0</v>
      </c>
      <c r="E21" s="89">
        <f t="shared" ca="1" si="7"/>
        <v>0</v>
      </c>
      <c r="F21" s="89">
        <f t="shared" ca="1" si="7"/>
        <v>0</v>
      </c>
      <c r="G21" s="89">
        <f t="shared" ca="1" si="7"/>
        <v>0</v>
      </c>
      <c r="H21" s="89">
        <f t="shared" ca="1" si="7"/>
        <v>0</v>
      </c>
      <c r="I21" s="89">
        <f t="shared" ca="1" si="7"/>
        <v>0</v>
      </c>
      <c r="J21" s="89">
        <f t="shared" ca="1" si="7"/>
        <v>0</v>
      </c>
      <c r="K21" s="89">
        <f t="shared" ca="1" si="7"/>
        <v>0</v>
      </c>
      <c r="L21" s="89">
        <f t="shared" ca="1" si="7"/>
        <v>0</v>
      </c>
      <c r="M21" s="89">
        <f t="shared" ca="1" si="7"/>
        <v>0</v>
      </c>
      <c r="N21" s="89">
        <f t="shared" ca="1" si="7"/>
        <v>0</v>
      </c>
      <c r="O21" s="88">
        <f t="shared" ca="1" si="5"/>
        <v>0</v>
      </c>
    </row>
    <row r="22" spans="1:15" s="6" customFormat="1" ht="16" customHeight="1" x14ac:dyDescent="0.25">
      <c r="A22" s="185"/>
      <c r="B22" s="6" t="s">
        <v>385</v>
      </c>
      <c r="C22" s="97">
        <f t="shared" ref="C22:O22" ca="1" si="8">SUM(C6:C21)</f>
        <v>19897.010000000053</v>
      </c>
      <c r="D22" s="97">
        <f t="shared" ca="1" si="8"/>
        <v>6771.5199999999604</v>
      </c>
      <c r="E22" s="97">
        <f t="shared" ca="1" si="8"/>
        <v>131860.23000000004</v>
      </c>
      <c r="F22" s="97">
        <f t="shared" ca="1" si="8"/>
        <v>-52278.880000000005</v>
      </c>
      <c r="G22" s="97">
        <f t="shared" ca="1" si="8"/>
        <v>190969.22999999998</v>
      </c>
      <c r="H22" s="97">
        <f t="shared" ca="1" si="8"/>
        <v>-131307.71000000002</v>
      </c>
      <c r="I22" s="97">
        <f t="shared" ca="1" si="8"/>
        <v>84452.709999999963</v>
      </c>
      <c r="J22" s="97">
        <f t="shared" ca="1" si="8"/>
        <v>37828.19</v>
      </c>
      <c r="K22" s="97">
        <f t="shared" ca="1" si="8"/>
        <v>-30516.749999999996</v>
      </c>
      <c r="L22" s="97">
        <f t="shared" ca="1" si="8"/>
        <v>-61085.79</v>
      </c>
      <c r="M22" s="97">
        <f t="shared" ca="1" si="8"/>
        <v>90364.23000000001</v>
      </c>
      <c r="N22" s="97">
        <f t="shared" ca="1" si="8"/>
        <v>121387.72999999998</v>
      </c>
      <c r="O22" s="98">
        <f t="shared" ca="1" si="8"/>
        <v>408341.72</v>
      </c>
    </row>
    <row r="23" spans="1:15" ht="16" customHeight="1" x14ac:dyDescent="0.25">
      <c r="B23" s="4" t="s">
        <v>85</v>
      </c>
      <c r="C23" s="89">
        <f t="shared" ref="C23:N23" ca="1" si="9">-C7</f>
        <v>-1666.67</v>
      </c>
      <c r="D23" s="89">
        <f t="shared" ca="1" si="9"/>
        <v>-1645.14</v>
      </c>
      <c r="E23" s="89">
        <f t="shared" ca="1" si="9"/>
        <v>-1623.44</v>
      </c>
      <c r="F23" s="89">
        <f t="shared" ca="1" si="9"/>
        <v>-1601.56</v>
      </c>
      <c r="G23" s="89">
        <f t="shared" ca="1" si="9"/>
        <v>-1579.49</v>
      </c>
      <c r="H23" s="89">
        <f t="shared" ca="1" si="9"/>
        <v>-1557.24</v>
      </c>
      <c r="I23" s="89">
        <f t="shared" ca="1" si="9"/>
        <v>-1534.81</v>
      </c>
      <c r="J23" s="89">
        <f t="shared" ca="1" si="9"/>
        <v>-1512.19</v>
      </c>
      <c r="K23" s="89">
        <f t="shared" ca="1" si="9"/>
        <v>-1489.38</v>
      </c>
      <c r="L23" s="89">
        <f t="shared" ca="1" si="9"/>
        <v>-1466.38</v>
      </c>
      <c r="M23" s="89">
        <f t="shared" ca="1" si="9"/>
        <v>-1859.85</v>
      </c>
      <c r="N23" s="89">
        <f t="shared" ca="1" si="9"/>
        <v>-1831.09</v>
      </c>
      <c r="O23" s="88">
        <f t="shared" ca="1" si="5"/>
        <v>-19367.239999999998</v>
      </c>
    </row>
    <row r="24" spans="1:15" ht="16" customHeight="1" x14ac:dyDescent="0.25">
      <c r="A24" s="186" t="s">
        <v>283</v>
      </c>
      <c r="B24" s="4" t="s">
        <v>339</v>
      </c>
      <c r="C24" s="89">
        <f t="shared" ref="C24:N24" ca="1" si="10">SUMIFS(IncExcl,IncDocDate,"&gt;="&amp;DATE(YEAR(C$4),MONTH(C$4),1),IncDocDate,"&lt;="&amp;C$4,IncAccount,LEFT($A24,5)&amp;"*")-SUMIFS(ExpExcl,ExpDocDate,"&gt;="&amp;DATE(YEAR(C$4),MONTH(C$4),1),ExpDocDate,"&lt;="&amp;C$4,ExpAccount,LEFT($A24,5)&amp;"*")-C8</f>
        <v>0</v>
      </c>
      <c r="D24" s="89">
        <f t="shared" ca="1" si="10"/>
        <v>0</v>
      </c>
      <c r="E24" s="89">
        <f t="shared" ca="1" si="10"/>
        <v>0</v>
      </c>
      <c r="F24" s="89">
        <f t="shared" ca="1" si="10"/>
        <v>0</v>
      </c>
      <c r="G24" s="89">
        <f t="shared" ca="1" si="10"/>
        <v>0</v>
      </c>
      <c r="H24" s="89">
        <f t="shared" ca="1" si="10"/>
        <v>-46580</v>
      </c>
      <c r="I24" s="89">
        <f t="shared" ca="1" si="10"/>
        <v>0</v>
      </c>
      <c r="J24" s="89">
        <f t="shared" ca="1" si="10"/>
        <v>0</v>
      </c>
      <c r="K24" s="89">
        <f t="shared" ca="1" si="10"/>
        <v>0</v>
      </c>
      <c r="L24" s="89">
        <f t="shared" ca="1" si="10"/>
        <v>0</v>
      </c>
      <c r="M24" s="89">
        <f t="shared" ca="1" si="10"/>
        <v>0</v>
      </c>
      <c r="N24" s="89">
        <f t="shared" ca="1" si="10"/>
        <v>-24185</v>
      </c>
      <c r="O24" s="88">
        <f t="shared" ca="1" si="5"/>
        <v>-70765</v>
      </c>
    </row>
    <row r="25" spans="1:15" ht="16" customHeight="1" thickBot="1" x14ac:dyDescent="0.3">
      <c r="B25" s="6" t="s">
        <v>386</v>
      </c>
      <c r="C25" s="99">
        <f ca="1">SUM(C22:C24)</f>
        <v>18230.340000000055</v>
      </c>
      <c r="D25" s="99">
        <f t="shared" ref="D25:O25" ca="1" si="11">SUM(D22:D24)</f>
        <v>5126.3799999999601</v>
      </c>
      <c r="E25" s="99">
        <f t="shared" ca="1" si="11"/>
        <v>130236.79000000004</v>
      </c>
      <c r="F25" s="99">
        <f t="shared" ca="1" si="11"/>
        <v>-53880.44</v>
      </c>
      <c r="G25" s="99">
        <f t="shared" ca="1" si="11"/>
        <v>189389.74</v>
      </c>
      <c r="H25" s="99">
        <f t="shared" ca="1" si="11"/>
        <v>-179444.95</v>
      </c>
      <c r="I25" s="99">
        <f t="shared" ca="1" si="11"/>
        <v>82917.899999999965</v>
      </c>
      <c r="J25" s="99">
        <f t="shared" ca="1" si="11"/>
        <v>36316</v>
      </c>
      <c r="K25" s="99">
        <f t="shared" ca="1" si="11"/>
        <v>-32006.129999999997</v>
      </c>
      <c r="L25" s="99">
        <f t="shared" ca="1" si="11"/>
        <v>-62552.17</v>
      </c>
      <c r="M25" s="99">
        <f t="shared" ca="1" si="11"/>
        <v>88504.38</v>
      </c>
      <c r="N25" s="99">
        <f t="shared" ca="1" si="11"/>
        <v>95371.639999999985</v>
      </c>
      <c r="O25" s="87">
        <f t="shared" ca="1" si="11"/>
        <v>318209.48</v>
      </c>
    </row>
    <row r="26" spans="1:15" s="3" customFormat="1" ht="16" customHeight="1" x14ac:dyDescent="0.25">
      <c r="A26" s="184"/>
      <c r="B26" s="3" t="s">
        <v>387</v>
      </c>
      <c r="C26" s="88"/>
      <c r="D26" s="88"/>
      <c r="E26" s="88"/>
      <c r="F26" s="88"/>
      <c r="G26" s="88"/>
      <c r="H26" s="88"/>
      <c r="I26" s="88"/>
      <c r="J26" s="88"/>
      <c r="K26" s="88"/>
      <c r="L26" s="88"/>
      <c r="M26" s="88"/>
      <c r="N26" s="88"/>
      <c r="O26" s="88"/>
    </row>
    <row r="27" spans="1:15" ht="16" customHeight="1" x14ac:dyDescent="0.25">
      <c r="A27" s="183" t="s">
        <v>254</v>
      </c>
      <c r="B27" s="17" t="str">
        <f ca="1">IF(RIGHT($A27,1)="G",IF(ISNA(VLOOKUP(LEFT($A27,LEN($A27)-1),GroupAll,COLUMN(Groups!$B$4),0)),"Group Not Found",VLOOKUP(LEFT($A27,LEN($A27)-1),GroupAll,COLUMN(Groups!$B$4),0)),IF(ISNA(VLOOKUP($A27,AccountAll,COLUMN(TB!$B$4),0)),"Account Not Found",VLOOKUP($A27,AccountAll,COLUMN(TB!$B$4),0)))</f>
        <v>Property, Plant &amp; Equipment - Cost</v>
      </c>
      <c r="C27" s="89">
        <f t="shared" ref="C27:N29" ca="1" si="12">SUMIFS(IncExcl,IncDocDate,"&gt;="&amp;DATE(YEAR(C$4),MONTH(C$4),1),IncDocDate,"&lt;="&amp;C$4,IncAccount,LEFT($A27,5)&amp;"*")-SUMIFS(ExpExcl,ExpDocDate,"&gt;="&amp;DATE(YEAR(C$4),MONTH(C$4),1),ExpDocDate,"&lt;="&amp;C$4,ExpAccount,LEFT($A27,5)&amp;"*")</f>
        <v>0</v>
      </c>
      <c r="D27" s="89">
        <f t="shared" ca="1" si="12"/>
        <v>-15450</v>
      </c>
      <c r="E27" s="89">
        <f t="shared" ca="1" si="12"/>
        <v>0</v>
      </c>
      <c r="F27" s="89">
        <f t="shared" ca="1" si="12"/>
        <v>0</v>
      </c>
      <c r="G27" s="89">
        <f t="shared" ca="1" si="12"/>
        <v>0</v>
      </c>
      <c r="H27" s="89">
        <f t="shared" ca="1" si="12"/>
        <v>0</v>
      </c>
      <c r="I27" s="89">
        <f t="shared" ca="1" si="12"/>
        <v>0</v>
      </c>
      <c r="J27" s="89">
        <f t="shared" ca="1" si="12"/>
        <v>0</v>
      </c>
      <c r="K27" s="89">
        <f t="shared" ca="1" si="12"/>
        <v>0</v>
      </c>
      <c r="L27" s="89">
        <f t="shared" ca="1" si="12"/>
        <v>0</v>
      </c>
      <c r="M27" s="89">
        <f t="shared" ca="1" si="12"/>
        <v>0</v>
      </c>
      <c r="N27" s="89">
        <f t="shared" ca="1" si="12"/>
        <v>-10200</v>
      </c>
      <c r="O27" s="88">
        <f t="shared" ref="O27:O29" ca="1" si="13">SUM(C27:N27)</f>
        <v>-25650</v>
      </c>
    </row>
    <row r="28" spans="1:15" s="3" customFormat="1" ht="16" customHeight="1" x14ac:dyDescent="0.25">
      <c r="A28" s="183" t="s">
        <v>266</v>
      </c>
      <c r="B28" s="17" t="str">
        <f ca="1">IF(RIGHT($A28,1)="G",IF(ISNA(VLOOKUP(LEFT($A28,LEN($A28)-1),GroupAll,COLUMN(Groups!$B$4),0)),"Group Not Found",VLOOKUP(LEFT($A28,LEN($A28)-1),GroupAll,COLUMN(Groups!$B$4),0)),IF(ISNA(VLOOKUP($A28,AccountAll,COLUMN(TB!$B$4),0)),"Account Not Found",VLOOKUP($A28,AccountAll,COLUMN(TB!$B$4),0)))</f>
        <v>Intangible Assets - Cost</v>
      </c>
      <c r="C28" s="89">
        <f t="shared" ca="1" si="12"/>
        <v>0</v>
      </c>
      <c r="D28" s="89">
        <f t="shared" ca="1" si="12"/>
        <v>0</v>
      </c>
      <c r="E28" s="89">
        <f t="shared" ca="1" si="12"/>
        <v>0</v>
      </c>
      <c r="F28" s="89">
        <f t="shared" ca="1" si="12"/>
        <v>0</v>
      </c>
      <c r="G28" s="89">
        <f t="shared" ca="1" si="12"/>
        <v>0</v>
      </c>
      <c r="H28" s="89">
        <f t="shared" ca="1" si="12"/>
        <v>0</v>
      </c>
      <c r="I28" s="89">
        <f t="shared" ca="1" si="12"/>
        <v>0</v>
      </c>
      <c r="J28" s="89">
        <f t="shared" ca="1" si="12"/>
        <v>0</v>
      </c>
      <c r="K28" s="89">
        <f t="shared" ca="1" si="12"/>
        <v>0</v>
      </c>
      <c r="L28" s="89">
        <f t="shared" ca="1" si="12"/>
        <v>0</v>
      </c>
      <c r="M28" s="89">
        <f t="shared" ca="1" si="12"/>
        <v>0</v>
      </c>
      <c r="N28" s="89">
        <f t="shared" ca="1" si="12"/>
        <v>0</v>
      </c>
      <c r="O28" s="88">
        <f t="shared" ca="1" si="13"/>
        <v>0</v>
      </c>
    </row>
    <row r="29" spans="1:15" s="3" customFormat="1" ht="16" customHeight="1" x14ac:dyDescent="0.25">
      <c r="A29" s="183" t="s">
        <v>265</v>
      </c>
      <c r="B29" s="17" t="str">
        <f ca="1">IF(RIGHT($A29,1)="G",IF(ISNA(VLOOKUP(LEFT($A29,LEN($A29)-1),GroupAll,COLUMN(Groups!$B$4),0)),"Group Not Found",VLOOKUP(LEFT($A29,LEN($A29)-1),GroupAll,COLUMN(Groups!$B$4),0)),IF(ISNA(VLOOKUP($A29,AccountAll,COLUMN(TB!$B$4),0)),"Account Not Found",VLOOKUP($A29,AccountAll,COLUMN(TB!$B$4),0)))</f>
        <v>Investments</v>
      </c>
      <c r="C29" s="89">
        <f t="shared" ca="1" si="12"/>
        <v>0</v>
      </c>
      <c r="D29" s="89">
        <f t="shared" ca="1" si="12"/>
        <v>0</v>
      </c>
      <c r="E29" s="89">
        <f t="shared" ca="1" si="12"/>
        <v>0</v>
      </c>
      <c r="F29" s="89">
        <f t="shared" ca="1" si="12"/>
        <v>0</v>
      </c>
      <c r="G29" s="89">
        <f t="shared" ca="1" si="12"/>
        <v>0</v>
      </c>
      <c r="H29" s="89">
        <f t="shared" ca="1" si="12"/>
        <v>-30750</v>
      </c>
      <c r="I29" s="89">
        <f t="shared" ca="1" si="12"/>
        <v>0</v>
      </c>
      <c r="J29" s="89">
        <f t="shared" ca="1" si="12"/>
        <v>0</v>
      </c>
      <c r="K29" s="89">
        <f t="shared" ca="1" si="12"/>
        <v>0</v>
      </c>
      <c r="L29" s="89">
        <f t="shared" ca="1" si="12"/>
        <v>0</v>
      </c>
      <c r="M29" s="89">
        <f t="shared" ca="1" si="12"/>
        <v>0</v>
      </c>
      <c r="N29" s="89">
        <f t="shared" ca="1" si="12"/>
        <v>0</v>
      </c>
      <c r="O29" s="88">
        <f t="shared" ca="1" si="13"/>
        <v>-30750</v>
      </c>
    </row>
    <row r="30" spans="1:15" s="6" customFormat="1" ht="16" customHeight="1" thickBot="1" x14ac:dyDescent="0.3">
      <c r="A30" s="185"/>
      <c r="B30" s="6" t="s">
        <v>388</v>
      </c>
      <c r="C30" s="100">
        <f ca="1">SUM(C27:C29)</f>
        <v>0</v>
      </c>
      <c r="D30" s="100">
        <f t="shared" ref="D30:O30" ca="1" si="14">SUM(D27:D29)</f>
        <v>-15450</v>
      </c>
      <c r="E30" s="100">
        <f t="shared" ca="1" si="14"/>
        <v>0</v>
      </c>
      <c r="F30" s="100">
        <f t="shared" ca="1" si="14"/>
        <v>0</v>
      </c>
      <c r="G30" s="100">
        <f t="shared" ca="1" si="14"/>
        <v>0</v>
      </c>
      <c r="H30" s="100">
        <f t="shared" ca="1" si="14"/>
        <v>-30750</v>
      </c>
      <c r="I30" s="100">
        <f t="shared" ca="1" si="14"/>
        <v>0</v>
      </c>
      <c r="J30" s="100">
        <f t="shared" ca="1" si="14"/>
        <v>0</v>
      </c>
      <c r="K30" s="100">
        <f t="shared" ca="1" si="14"/>
        <v>0</v>
      </c>
      <c r="L30" s="100">
        <f t="shared" ca="1" si="14"/>
        <v>0</v>
      </c>
      <c r="M30" s="100">
        <f t="shared" ca="1" si="14"/>
        <v>0</v>
      </c>
      <c r="N30" s="100">
        <f t="shared" ca="1" si="14"/>
        <v>-10200</v>
      </c>
      <c r="O30" s="101">
        <f t="shared" ca="1" si="14"/>
        <v>-56400</v>
      </c>
    </row>
    <row r="31" spans="1:15" s="3" customFormat="1" ht="16" customHeight="1" x14ac:dyDescent="0.25">
      <c r="A31" s="184"/>
      <c r="B31" s="3" t="s">
        <v>389</v>
      </c>
      <c r="C31" s="88"/>
      <c r="D31" s="88"/>
      <c r="E31" s="88"/>
      <c r="F31" s="88"/>
      <c r="G31" s="88"/>
      <c r="H31" s="88"/>
      <c r="I31" s="88"/>
      <c r="J31" s="88"/>
      <c r="K31" s="88"/>
      <c r="L31" s="88"/>
      <c r="M31" s="88"/>
      <c r="N31" s="88"/>
      <c r="O31" s="88"/>
    </row>
    <row r="32" spans="1:15" s="3" customFormat="1" ht="16" customHeight="1" x14ac:dyDescent="0.25">
      <c r="A32" s="183" t="s">
        <v>404</v>
      </c>
      <c r="B32" s="17" t="str">
        <f ca="1">IF(RIGHT($A32,1)="G",IF(ISNA(VLOOKUP(LEFT($A32,LEN($A32)-1),GroupAll,COLUMN(Groups!$B$4),0)),"Group Not Found",VLOOKUP(LEFT($A32,LEN($A32)-1),GroupAll,COLUMN(Groups!$B$4),0)),IF(ISNA(VLOOKUP($A32,AccountAll,COLUMN(TB!$B$4),0)),"Account Not Found",VLOOKUP($A32,AccountAll,COLUMN(TB!$B$4),0)))</f>
        <v>Shareholders' Contributions</v>
      </c>
      <c r="C32" s="89">
        <f t="shared" ref="C32:N32" ca="1" si="15">SUMIFS(IncExcl,IncDocDate,"&gt;="&amp;DATE(YEAR(C$4),MONTH(C$4),1),IncDocDate,"&lt;="&amp;C$4,IncAccount,LEFT($A32,5)&amp;"*")-SUMIFS(ExpExcl,ExpDocDate,"&gt;="&amp;DATE(YEAR(C$4),MONTH(C$4),1),ExpDocDate,"&lt;="&amp;C$4,ExpAccount,LEFT($A32,5)&amp;"*")</f>
        <v>0</v>
      </c>
      <c r="D32" s="89">
        <f t="shared" ca="1" si="15"/>
        <v>0</v>
      </c>
      <c r="E32" s="89">
        <f t="shared" ca="1" si="15"/>
        <v>0</v>
      </c>
      <c r="F32" s="89">
        <f t="shared" ca="1" si="15"/>
        <v>0</v>
      </c>
      <c r="G32" s="89">
        <f t="shared" ca="1" si="15"/>
        <v>0</v>
      </c>
      <c r="H32" s="89">
        <f t="shared" ca="1" si="15"/>
        <v>0</v>
      </c>
      <c r="I32" s="89">
        <f t="shared" ca="1" si="15"/>
        <v>0</v>
      </c>
      <c r="J32" s="89">
        <f t="shared" ca="1" si="15"/>
        <v>0</v>
      </c>
      <c r="K32" s="89">
        <f t="shared" ca="1" si="15"/>
        <v>0</v>
      </c>
      <c r="L32" s="89">
        <f t="shared" ca="1" si="15"/>
        <v>0</v>
      </c>
      <c r="M32" s="89">
        <f t="shared" ca="1" si="15"/>
        <v>0</v>
      </c>
      <c r="N32" s="89">
        <f t="shared" ca="1" si="15"/>
        <v>0</v>
      </c>
      <c r="O32" s="88">
        <f t="shared" ref="O32:O35" ca="1" si="16">SUM(C32:N32)</f>
        <v>0</v>
      </c>
    </row>
    <row r="33" spans="1:15" ht="16" customHeight="1" x14ac:dyDescent="0.25">
      <c r="A33" s="186" t="s">
        <v>282</v>
      </c>
      <c r="B33" s="17" t="s">
        <v>340</v>
      </c>
      <c r="C33" s="89">
        <f ca="1">SUMIFS(IncExcl,IncDocDate,"&gt;="&amp;DATE(YEAR(C$4),MONTH(C$4),1),IncDocDate,"&lt;="&amp;C$4,IncAccount,LEFT($A33,5)&amp;"*")-SUMIFS(ExpExcl,ExpDocDate,"&gt;="&amp;DATE(YEAR(C$4),MONTH(C$4),1),ExpDocDate,"&lt;="&amp;C$4,ExpAccount,LEFT($A33,5)&amp;"*")-IS!C44</f>
        <v>0</v>
      </c>
      <c r="D33" s="89">
        <f ca="1">SUMIFS(IncExcl,IncDocDate,"&gt;="&amp;DATE(YEAR(D$4),MONTH(D$4),1),IncDocDate,"&lt;="&amp;D$4,IncAccount,LEFT($A33,5)&amp;"*")-SUMIFS(ExpExcl,ExpDocDate,"&gt;="&amp;DATE(YEAR(D$4),MONTH(D$4),1),ExpDocDate,"&lt;="&amp;D$4,ExpAccount,LEFT($A33,5)&amp;"*")-IS!D44</f>
        <v>0</v>
      </c>
      <c r="E33" s="89">
        <f ca="1">SUMIFS(IncExcl,IncDocDate,"&gt;="&amp;DATE(YEAR(E$4),MONTH(E$4),1),IncDocDate,"&lt;="&amp;E$4,IncAccount,LEFT($A33,5)&amp;"*")-SUMIFS(ExpExcl,ExpDocDate,"&gt;="&amp;DATE(YEAR(E$4),MONTH(E$4),1),ExpDocDate,"&lt;="&amp;E$4,ExpAccount,LEFT($A33,5)&amp;"*")-IS!E44</f>
        <v>0</v>
      </c>
      <c r="F33" s="89">
        <f ca="1">SUMIFS(IncExcl,IncDocDate,"&gt;="&amp;DATE(YEAR(F$4),MONTH(F$4),1),IncDocDate,"&lt;="&amp;F$4,IncAccount,LEFT($A33,5)&amp;"*")-SUMIFS(ExpExcl,ExpDocDate,"&gt;="&amp;DATE(YEAR(F$4),MONTH(F$4),1),ExpDocDate,"&lt;="&amp;F$4,ExpAccount,LEFT($A33,5)&amp;"*")-IS!F44</f>
        <v>0</v>
      </c>
      <c r="G33" s="89">
        <f ca="1">SUMIFS(IncExcl,IncDocDate,"&gt;="&amp;DATE(YEAR(G$4),MONTH(G$4),1),IncDocDate,"&lt;="&amp;G$4,IncAccount,LEFT($A33,5)&amp;"*")-SUMIFS(ExpExcl,ExpDocDate,"&gt;="&amp;DATE(YEAR(G$4),MONTH(G$4),1),ExpDocDate,"&lt;="&amp;G$4,ExpAccount,LEFT($A33,5)&amp;"*")-IS!G44</f>
        <v>0</v>
      </c>
      <c r="H33" s="89">
        <f ca="1">SUMIFS(IncExcl,IncDocDate,"&gt;="&amp;DATE(YEAR(H$4),MONTH(H$4),1),IncDocDate,"&lt;="&amp;H$4,IncAccount,LEFT($A33,5)&amp;"*")-SUMIFS(ExpExcl,ExpDocDate,"&gt;="&amp;DATE(YEAR(H$4),MONTH(H$4),1),ExpDocDate,"&lt;="&amp;H$4,ExpAccount,LEFT($A33,5)&amp;"*")-IS!H44</f>
        <v>0</v>
      </c>
      <c r="I33" s="89">
        <f ca="1">SUMIFS(IncExcl,IncDocDate,"&gt;="&amp;DATE(YEAR(I$4),MONTH(I$4),1),IncDocDate,"&lt;="&amp;I$4,IncAccount,LEFT($A33,5)&amp;"*")-SUMIFS(ExpExcl,ExpDocDate,"&gt;="&amp;DATE(YEAR(I$4),MONTH(I$4),1),ExpDocDate,"&lt;="&amp;I$4,ExpAccount,LEFT($A33,5)&amp;"*")-IS!I44</f>
        <v>0</v>
      </c>
      <c r="J33" s="89">
        <f ca="1">SUMIFS(IncExcl,IncDocDate,"&gt;="&amp;DATE(YEAR(J$4),MONTH(J$4),1),IncDocDate,"&lt;="&amp;J$4,IncAccount,LEFT($A33,5)&amp;"*")-SUMIFS(ExpExcl,ExpDocDate,"&gt;="&amp;DATE(YEAR(J$4),MONTH(J$4),1),ExpDocDate,"&lt;="&amp;J$4,ExpAccount,LEFT($A33,5)&amp;"*")-IS!J44</f>
        <v>0</v>
      </c>
      <c r="K33" s="89">
        <f ca="1">SUMIFS(IncExcl,IncDocDate,"&gt;="&amp;DATE(YEAR(K$4),MONTH(K$4),1),IncDocDate,"&lt;="&amp;K$4,IncAccount,LEFT($A33,5)&amp;"*")-SUMIFS(ExpExcl,ExpDocDate,"&gt;="&amp;DATE(YEAR(K$4),MONTH(K$4),1),ExpDocDate,"&lt;="&amp;K$4,ExpAccount,LEFT($A33,5)&amp;"*")-IS!K44</f>
        <v>0</v>
      </c>
      <c r="L33" s="89">
        <f ca="1">SUMIFS(IncExcl,IncDocDate,"&gt;="&amp;DATE(YEAR(L$4),MONTH(L$4),1),IncDocDate,"&lt;="&amp;L$4,IncAccount,LEFT($A33,5)&amp;"*")-SUMIFS(ExpExcl,ExpDocDate,"&gt;="&amp;DATE(YEAR(L$4),MONTH(L$4),1),ExpDocDate,"&lt;="&amp;L$4,ExpAccount,LEFT($A33,5)&amp;"*")-IS!L44</f>
        <v>0</v>
      </c>
      <c r="M33" s="89">
        <f ca="1">SUMIFS(IncExcl,IncDocDate,"&gt;="&amp;DATE(YEAR(M$4),MONTH(M$4),1),IncDocDate,"&lt;="&amp;M$4,IncAccount,LEFT($A33,5)&amp;"*")-SUMIFS(ExpExcl,ExpDocDate,"&gt;="&amp;DATE(YEAR(M$4),MONTH(M$4),1),ExpDocDate,"&lt;="&amp;M$4,ExpAccount,LEFT($A33,5)&amp;"*")-IS!M44</f>
        <v>0</v>
      </c>
      <c r="N33" s="89">
        <f ca="1">SUMIFS(IncExcl,IncDocDate,"&gt;="&amp;DATE(YEAR(N$4),MONTH(N$4),1),IncDocDate,"&lt;="&amp;N$4,IncAccount,LEFT($A33,5)&amp;"*")-SUMIFS(ExpExcl,ExpDocDate,"&gt;="&amp;DATE(YEAR(N$4),MONTH(N$4),1),ExpDocDate,"&lt;="&amp;N$4,ExpAccount,LEFT($A33,5)&amp;"*")-IS!N44</f>
        <v>0</v>
      </c>
      <c r="O33" s="88">
        <f t="shared" ca="1" si="16"/>
        <v>0</v>
      </c>
    </row>
    <row r="34" spans="1:15" s="3" customFormat="1" ht="16" customHeight="1" x14ac:dyDescent="0.25">
      <c r="A34" s="183" t="s">
        <v>286</v>
      </c>
      <c r="B34" s="17" t="str">
        <f ca="1">IF(RIGHT($A34,1)="G",IF(ISNA(VLOOKUP(LEFT($A34,LEN($A34)-1),GroupAll,COLUMN(Groups!$B$4),0)),"Group Not Found",VLOOKUP(LEFT($A34,LEN($A34)-1),GroupAll,COLUMN(Groups!$B$4),0)),IF(ISNA(VLOOKUP($A34,AccountAll,COLUMN(TB!$B$4),0)),"Account Not Found",VLOOKUP($A34,AccountAll,COLUMN(TB!$B$4),0)))&amp;" - Proceeds"</f>
        <v>Long Term Liabilities - Proceeds</v>
      </c>
      <c r="C34" s="89">
        <f t="shared" ref="C34:N34" ca="1" si="17">SUMIFS(IncExcl,IncDocDate,"&gt;="&amp;DATE(YEAR(C$4),MONTH(C$4),1),IncDocDate,"&lt;="&amp;C$4,IncAccount,LEFT($A34,5)&amp;"*")</f>
        <v>0</v>
      </c>
      <c r="D34" s="89">
        <f t="shared" ca="1" si="17"/>
        <v>0</v>
      </c>
      <c r="E34" s="89">
        <f t="shared" ca="1" si="17"/>
        <v>0</v>
      </c>
      <c r="F34" s="89">
        <f t="shared" ca="1" si="17"/>
        <v>0</v>
      </c>
      <c r="G34" s="89">
        <f t="shared" ca="1" si="17"/>
        <v>0</v>
      </c>
      <c r="H34" s="89">
        <f t="shared" ca="1" si="17"/>
        <v>0</v>
      </c>
      <c r="I34" s="89">
        <f t="shared" ca="1" si="17"/>
        <v>0</v>
      </c>
      <c r="J34" s="89">
        <f t="shared" ca="1" si="17"/>
        <v>0</v>
      </c>
      <c r="K34" s="89">
        <f t="shared" ca="1" si="17"/>
        <v>0</v>
      </c>
      <c r="L34" s="89">
        <f t="shared" ca="1" si="17"/>
        <v>0</v>
      </c>
      <c r="M34" s="89">
        <f t="shared" ca="1" si="17"/>
        <v>50000</v>
      </c>
      <c r="N34" s="89">
        <f t="shared" ca="1" si="17"/>
        <v>0</v>
      </c>
      <c r="O34" s="88">
        <f t="shared" ca="1" si="16"/>
        <v>50000</v>
      </c>
    </row>
    <row r="35" spans="1:15" s="3" customFormat="1" ht="16" customHeight="1" x14ac:dyDescent="0.25">
      <c r="A35" s="183" t="s">
        <v>286</v>
      </c>
      <c r="B35" s="17" t="str">
        <f ca="1">IF(RIGHT($A35,1)="G",IF(ISNA(VLOOKUP(LEFT($A35,LEN($A35)-1),GroupAll,COLUMN(Groups!$B$4),0)),"Group Not Found",VLOOKUP(LEFT($A35,LEN($A35)-1),GroupAll,COLUMN(Groups!$B$4),0)),IF(ISNA(VLOOKUP($A35,AccountAll,COLUMN(TB!$B$4),0)),"Account Not Found",VLOOKUP($A35,AccountAll,COLUMN(TB!$B$4),0)))&amp;" - Repayments"</f>
        <v>Long Term Liabilities - Repayments</v>
      </c>
      <c r="C35" s="89">
        <f t="shared" ref="C35:N35" ca="1" si="18">-SUMIFS(ExpExcl,ExpDocDate,"&gt;="&amp;DATE(YEAR(C$4),MONTH(C$4),1),ExpDocDate,"&lt;="&amp;C$4,ExpAccount,LEFT($A35,5)&amp;"*")</f>
        <v>-2582.7399999999998</v>
      </c>
      <c r="D35" s="89">
        <f t="shared" ca="1" si="18"/>
        <v>-2604.27</v>
      </c>
      <c r="E35" s="89">
        <f t="shared" ca="1" si="18"/>
        <v>-2625.97</v>
      </c>
      <c r="F35" s="89">
        <f t="shared" ca="1" si="18"/>
        <v>-2647.85</v>
      </c>
      <c r="G35" s="89">
        <f t="shared" ca="1" si="18"/>
        <v>-2669.92</v>
      </c>
      <c r="H35" s="89">
        <f t="shared" ca="1" si="18"/>
        <v>-2692.17</v>
      </c>
      <c r="I35" s="89">
        <f t="shared" ca="1" si="18"/>
        <v>-2714.6</v>
      </c>
      <c r="J35" s="89">
        <f t="shared" ca="1" si="18"/>
        <v>-2737.22</v>
      </c>
      <c r="K35" s="89">
        <f t="shared" ca="1" si="18"/>
        <v>-2760.03</v>
      </c>
      <c r="L35" s="89">
        <f t="shared" ca="1" si="18"/>
        <v>-2783.03</v>
      </c>
      <c r="M35" s="89">
        <f t="shared" ca="1" si="18"/>
        <v>-3451.91</v>
      </c>
      <c r="N35" s="89">
        <f t="shared" ca="1" si="18"/>
        <v>-3480.68</v>
      </c>
      <c r="O35" s="88">
        <f t="shared" ca="1" si="16"/>
        <v>-33750.39</v>
      </c>
    </row>
    <row r="36" spans="1:15" s="12" customFormat="1" ht="16" customHeight="1" thickBot="1" x14ac:dyDescent="0.3">
      <c r="A36" s="187"/>
      <c r="B36" s="102" t="s">
        <v>390</v>
      </c>
      <c r="C36" s="100">
        <f ca="1">SUM(C32:C35)</f>
        <v>-2582.7399999999998</v>
      </c>
      <c r="D36" s="100">
        <f t="shared" ref="D36:O36" ca="1" si="19">SUM(D32:D35)</f>
        <v>-2604.27</v>
      </c>
      <c r="E36" s="100">
        <f t="shared" ca="1" si="19"/>
        <v>-2625.97</v>
      </c>
      <c r="F36" s="100">
        <f t="shared" ca="1" si="19"/>
        <v>-2647.85</v>
      </c>
      <c r="G36" s="100">
        <f t="shared" ca="1" si="19"/>
        <v>-2669.92</v>
      </c>
      <c r="H36" s="100">
        <f t="shared" ca="1" si="19"/>
        <v>-2692.17</v>
      </c>
      <c r="I36" s="100">
        <f t="shared" ca="1" si="19"/>
        <v>-2714.6</v>
      </c>
      <c r="J36" s="100">
        <f t="shared" ca="1" si="19"/>
        <v>-2737.22</v>
      </c>
      <c r="K36" s="100">
        <f t="shared" ca="1" si="19"/>
        <v>-2760.03</v>
      </c>
      <c r="L36" s="100">
        <f t="shared" ca="1" si="19"/>
        <v>-2783.03</v>
      </c>
      <c r="M36" s="100">
        <f t="shared" ca="1" si="19"/>
        <v>46548.09</v>
      </c>
      <c r="N36" s="100">
        <f t="shared" ca="1" si="19"/>
        <v>-3480.68</v>
      </c>
      <c r="O36" s="101">
        <f t="shared" ca="1" si="19"/>
        <v>16249.61</v>
      </c>
    </row>
    <row r="37" spans="1:15" ht="16" customHeight="1" x14ac:dyDescent="0.25">
      <c r="B37" s="4" t="s">
        <v>391</v>
      </c>
      <c r="C37" s="89">
        <f ca="1">SUM(C25,C30,C36)</f>
        <v>15647.600000000055</v>
      </c>
      <c r="D37" s="89">
        <f t="shared" ref="D37:O37" ca="1" si="20">SUM(D25,D30,D36)</f>
        <v>-12927.890000000039</v>
      </c>
      <c r="E37" s="89">
        <f t="shared" ca="1" si="20"/>
        <v>127610.82000000004</v>
      </c>
      <c r="F37" s="89">
        <f t="shared" ca="1" si="20"/>
        <v>-56528.29</v>
      </c>
      <c r="G37" s="89">
        <f t="shared" ca="1" si="20"/>
        <v>186719.81999999998</v>
      </c>
      <c r="H37" s="89">
        <f t="shared" ca="1" si="20"/>
        <v>-212887.12000000002</v>
      </c>
      <c r="I37" s="89">
        <f t="shared" ca="1" si="20"/>
        <v>80203.299999999959</v>
      </c>
      <c r="J37" s="89">
        <f t="shared" ca="1" si="20"/>
        <v>33578.78</v>
      </c>
      <c r="K37" s="89">
        <f t="shared" ca="1" si="20"/>
        <v>-34766.159999999996</v>
      </c>
      <c r="L37" s="89">
        <f t="shared" ca="1" si="20"/>
        <v>-65335.199999999997</v>
      </c>
      <c r="M37" s="89">
        <f t="shared" ca="1" si="20"/>
        <v>135052.47</v>
      </c>
      <c r="N37" s="89">
        <f t="shared" ca="1" si="20"/>
        <v>81690.959999999992</v>
      </c>
      <c r="O37" s="88">
        <f t="shared" ca="1" si="20"/>
        <v>278059.08999999997</v>
      </c>
    </row>
    <row r="38" spans="1:15" s="55" customFormat="1" ht="16" customHeight="1" x14ac:dyDescent="0.25">
      <c r="A38" s="183" t="s">
        <v>354</v>
      </c>
      <c r="B38" s="4" t="s">
        <v>392</v>
      </c>
      <c r="C38" s="89">
        <f ca="1">SUMIF(AccountAll,LEFT($A38,4)&amp;"*",AccountOpen)</f>
        <v>107750.5</v>
      </c>
      <c r="D38" s="103">
        <f ca="1">C39</f>
        <v>123398.10000000005</v>
      </c>
      <c r="E38" s="103">
        <f t="shared" ref="E38:N38" ca="1" si="21">D39</f>
        <v>110470.21</v>
      </c>
      <c r="F38" s="103">
        <f t="shared" ca="1" si="21"/>
        <v>238081.03000000003</v>
      </c>
      <c r="G38" s="103">
        <f t="shared" ca="1" si="21"/>
        <v>181552.74000000002</v>
      </c>
      <c r="H38" s="103">
        <f t="shared" ca="1" si="21"/>
        <v>368272.56</v>
      </c>
      <c r="I38" s="103">
        <f t="shared" ca="1" si="21"/>
        <v>155385.43999999997</v>
      </c>
      <c r="J38" s="103">
        <f t="shared" ca="1" si="21"/>
        <v>235588.73999999993</v>
      </c>
      <c r="K38" s="103">
        <f t="shared" ca="1" si="21"/>
        <v>269167.5199999999</v>
      </c>
      <c r="L38" s="103">
        <f t="shared" ca="1" si="21"/>
        <v>234401.3599999999</v>
      </c>
      <c r="M38" s="103">
        <f t="shared" ca="1" si="21"/>
        <v>169066.15999999992</v>
      </c>
      <c r="N38" s="103">
        <f t="shared" ca="1" si="21"/>
        <v>304118.62999999989</v>
      </c>
      <c r="O38" s="104">
        <f ca="1">C38</f>
        <v>107750.5</v>
      </c>
    </row>
    <row r="39" spans="1:15" s="86" customFormat="1" ht="16" customHeight="1" thickBot="1" x14ac:dyDescent="0.3">
      <c r="A39" s="188"/>
      <c r="B39" s="3" t="s">
        <v>393</v>
      </c>
      <c r="C39" s="105">
        <f ca="1">SUM(C37:C38)</f>
        <v>123398.10000000005</v>
      </c>
      <c r="D39" s="105">
        <f t="shared" ref="D39:O39" ca="1" si="22">SUM(D37:D38)</f>
        <v>110470.21</v>
      </c>
      <c r="E39" s="105">
        <f t="shared" ca="1" si="22"/>
        <v>238081.03000000003</v>
      </c>
      <c r="F39" s="105">
        <f t="shared" ca="1" si="22"/>
        <v>181552.74000000002</v>
      </c>
      <c r="G39" s="105">
        <f t="shared" ca="1" si="22"/>
        <v>368272.56</v>
      </c>
      <c r="H39" s="105">
        <f t="shared" ca="1" si="22"/>
        <v>155385.43999999997</v>
      </c>
      <c r="I39" s="105">
        <f t="shared" ca="1" si="22"/>
        <v>235588.73999999993</v>
      </c>
      <c r="J39" s="105">
        <f t="shared" ca="1" si="22"/>
        <v>269167.5199999999</v>
      </c>
      <c r="K39" s="105">
        <f t="shared" ca="1" si="22"/>
        <v>234401.3599999999</v>
      </c>
      <c r="L39" s="105">
        <f t="shared" ca="1" si="22"/>
        <v>169066.15999999992</v>
      </c>
      <c r="M39" s="105">
        <f t="shared" ca="1" si="22"/>
        <v>304118.62999999989</v>
      </c>
      <c r="N39" s="105">
        <f t="shared" ca="1" si="22"/>
        <v>385809.58999999985</v>
      </c>
      <c r="O39" s="105">
        <f t="shared" ca="1" si="22"/>
        <v>385809.58999999997</v>
      </c>
    </row>
    <row r="40" spans="1:15" s="29" customFormat="1" ht="16" customHeight="1" thickTop="1" x14ac:dyDescent="0.25">
      <c r="A40" s="189"/>
      <c r="B40" s="91"/>
      <c r="O40" s="86"/>
    </row>
    <row r="41" spans="1:15" s="29" customFormat="1" ht="16" customHeight="1" x14ac:dyDescent="0.25">
      <c r="A41" s="189"/>
      <c r="B41" s="91"/>
      <c r="O41" s="86"/>
    </row>
    <row r="42" spans="1:15" s="29" customFormat="1" ht="16" customHeight="1" x14ac:dyDescent="0.25">
      <c r="A42" s="189"/>
      <c r="B42" s="91"/>
      <c r="O42" s="86"/>
    </row>
  </sheetData>
  <sheetProtection autoFilter="0"/>
  <pageMargins left="0.59055118110236227" right="0.59055118110236227" top="0.59055118110236227" bottom="0.59055118110236227" header="0.39370078740157483" footer="0.39370078740157483"/>
  <pageSetup paperSize="9" scale="59" orientation="landscape" r:id="rId1"/>
  <headerFooter alignWithMargins="0">
    <oddFooter>Page &amp;P of &amp;N</oddFooter>
  </headerFooter>
  <rowBreaks count="1" manualBreakCount="1">
    <brk id="38" max="16383" man="1"/>
  </rowBreaks>
  <ignoredErrors>
    <ignoredError sqref="O22" formula="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P50"/>
  <sheetViews>
    <sheetView zoomScale="95" zoomScaleNormal="95" workbookViewId="0">
      <pane xSplit="2" ySplit="4" topLeftCell="C5" activePane="bottomRight" state="frozen"/>
      <selection pane="topRight" activeCell="B1" sqref="B1"/>
      <selection pane="bottomLeft" activeCell="A5" sqref="A5"/>
      <selection pane="bottomRight" activeCell="A4" sqref="A4"/>
    </sheetView>
  </sheetViews>
  <sheetFormatPr defaultColWidth="9.08984375" defaultRowHeight="16" customHeight="1" x14ac:dyDescent="0.25"/>
  <cols>
    <col min="1" max="1" width="8.6328125" style="178" customWidth="1"/>
    <col min="2" max="2" width="44.81640625" style="17" customWidth="1"/>
    <col min="3" max="3" width="14.81640625" style="109" customWidth="1"/>
    <col min="4" max="4" width="14.81640625" style="4" customWidth="1"/>
    <col min="5" max="7" width="14.81640625" style="29" customWidth="1"/>
    <col min="8" max="15" width="14.81640625" style="4" customWidth="1"/>
    <col min="16" max="16" width="15.81640625" style="3" customWidth="1"/>
    <col min="17" max="16384" width="9.08984375" style="4"/>
  </cols>
  <sheetData>
    <row r="1" spans="1:16" ht="16" customHeight="1" x14ac:dyDescent="0.3">
      <c r="B1" s="177" t="str">
        <f>IF(ISBLANK(Setup!$C$4),"Example Limited",Setup!$C$4)</f>
        <v>Example (Pty) Limited</v>
      </c>
      <c r="C1" s="106"/>
      <c r="G1" s="4"/>
      <c r="L1" s="5"/>
    </row>
    <row r="2" spans="1:16" ht="16" customHeight="1" x14ac:dyDescent="0.25">
      <c r="B2" s="23" t="s">
        <v>100</v>
      </c>
      <c r="C2" s="107"/>
      <c r="G2" s="4"/>
    </row>
    <row r="3" spans="1:16" ht="16" customHeight="1" x14ac:dyDescent="0.25">
      <c r="B3" s="108" t="s">
        <v>350</v>
      </c>
    </row>
    <row r="4" spans="1:16" s="85" customFormat="1" ht="18" customHeight="1" x14ac:dyDescent="0.25">
      <c r="A4" s="81" t="s">
        <v>357</v>
      </c>
      <c r="B4" s="110" t="s">
        <v>61</v>
      </c>
      <c r="C4" s="94">
        <f ca="1">DATE(YEAR(Setup!$D$10),MONTH(Setup!$D$10),0)</f>
        <v>43890</v>
      </c>
      <c r="D4" s="83">
        <f ca="1">DATE(YEAR(Setup!$D$10),MONTH(Setup!$D$10)+1,0)</f>
        <v>43921</v>
      </c>
      <c r="E4" s="83">
        <f t="shared" ref="E4:N4" ca="1" si="0">DATE(YEAR(D4),MONTH(D4)+2,0)</f>
        <v>43951</v>
      </c>
      <c r="F4" s="83">
        <f t="shared" ca="1" si="0"/>
        <v>43982</v>
      </c>
      <c r="G4" s="83">
        <f t="shared" ca="1" si="0"/>
        <v>44012</v>
      </c>
      <c r="H4" s="83">
        <f t="shared" ca="1" si="0"/>
        <v>44043</v>
      </c>
      <c r="I4" s="83">
        <f t="shared" ca="1" si="0"/>
        <v>44074</v>
      </c>
      <c r="J4" s="83">
        <f t="shared" ca="1" si="0"/>
        <v>44104</v>
      </c>
      <c r="K4" s="83">
        <f t="shared" ca="1" si="0"/>
        <v>44135</v>
      </c>
      <c r="L4" s="83">
        <f t="shared" ca="1" si="0"/>
        <v>44165</v>
      </c>
      <c r="M4" s="83">
        <f t="shared" ca="1" si="0"/>
        <v>44196</v>
      </c>
      <c r="N4" s="83">
        <f t="shared" ca="1" si="0"/>
        <v>44227</v>
      </c>
      <c r="O4" s="83">
        <f ca="1">DATE(YEAR(N4),MONTH(N4)+2,0)</f>
        <v>44255</v>
      </c>
      <c r="P4" s="94" t="str">
        <f ca="1">"Total "&amp;YEAR($N4)</f>
        <v>Total 2021</v>
      </c>
    </row>
    <row r="5" spans="1:16" s="2" customFormat="1" ht="16" customHeight="1" x14ac:dyDescent="0.25">
      <c r="A5" s="179"/>
      <c r="B5" s="51" t="s">
        <v>188</v>
      </c>
      <c r="C5" s="111"/>
      <c r="D5" s="112"/>
      <c r="E5" s="112"/>
      <c r="F5" s="112"/>
      <c r="G5" s="112"/>
      <c r="H5" s="112"/>
      <c r="I5" s="112"/>
      <c r="J5" s="112"/>
      <c r="K5" s="112"/>
      <c r="L5" s="112"/>
      <c r="M5" s="112"/>
      <c r="N5" s="112"/>
      <c r="O5" s="112"/>
      <c r="P5" s="112"/>
    </row>
    <row r="6" spans="1:16" s="2" customFormat="1" ht="16" customHeight="1" x14ac:dyDescent="0.25">
      <c r="A6" s="179"/>
      <c r="B6" s="51" t="s">
        <v>189</v>
      </c>
      <c r="C6" s="111"/>
      <c r="D6" s="112"/>
      <c r="E6" s="112"/>
      <c r="F6" s="112"/>
      <c r="G6" s="112"/>
      <c r="H6" s="112"/>
      <c r="I6" s="112"/>
      <c r="J6" s="112"/>
      <c r="K6" s="112"/>
      <c r="L6" s="112"/>
      <c r="M6" s="112"/>
      <c r="N6" s="112"/>
      <c r="O6" s="112"/>
      <c r="P6" s="112"/>
    </row>
    <row r="7" spans="1:16" ht="16" customHeight="1" x14ac:dyDescent="0.25">
      <c r="A7" s="178" t="s">
        <v>254</v>
      </c>
      <c r="B7" s="17" t="str">
        <f ca="1">IF(RIGHT($A7,1)="G",IF(ISNA(VLOOKUP(LEFT($A7,LEN($A7)-1),GroupAll,COLUMN(Groups!$B$4),0)),"Group Not Found",VLOOKUP(LEFT($A7,LEN($A7)-1),GroupAll,COLUMN(Groups!$B$4),0)),IF(ISNA(VLOOKUP($A7,AccountAll,COLUMN(TB!$B$4),0)),"Account Not Found",VLOOKUP($A7,AccountAll,COLUMN(TB!$B$4),0)))</f>
        <v>Property, Plant &amp; Equipment - Cost</v>
      </c>
      <c r="C7" s="29" cm="1">
        <f t="array" aca="1" ref="C7" ca="1">IF(RIGHT($A7,1)="G",SUMIF(AccountAll,LEFT($A7,5)&amp;"*",AccountOpen),SUMIF(AccountAll,$A7,AccountOpen))</f>
        <v>183750</v>
      </c>
      <c r="D7" s="29" cm="1">
        <f t="array" aca="1" ref="D7" ca="1">C7+IF(RIGHT($A7,1)="G",-SUMIFS(IncExcl,IncDocDate,"&gt;="&amp;DATE(YEAR(D$4),MONTH(D$4),1),IncDocDate,"&lt;="&amp;D$4,IncAccount,LEFT($A7,5)&amp;"*")+SUMIFS(ExpExcl,ExpDocDate,"&gt;="&amp;DATE(YEAR(D$4),MONTH(D$4),1),ExpDocDate,"&lt;="&amp;D$4,ExpAccount,LEFT($A7,5)&amp;"*"),-SUMIFS(IncExcl,IncDocDate,"&gt;="&amp;DATE(YEAR(D$4),MONTH(D$4),1),IncDocDate,"&lt;="&amp;D$4,IncAccount,$A7)+SUMIFS(ExpExcl,ExpDocDate,"&gt;="&amp;DATE(YEAR(D$4),MONTH(D$4),1),ExpDocDate,"&lt;="&amp;D$4,ExpAccount,$A7))</f>
        <v>183750</v>
      </c>
      <c r="E7" s="29" cm="1">
        <f t="array" aca="1" ref="E7" ca="1">D7+IF(RIGHT($A7,1)="G",-SUMIFS(IncExcl,IncDocDate,"&gt;="&amp;DATE(YEAR(E$4),MONTH(E$4),1),IncDocDate,"&lt;="&amp;E$4,IncAccount,LEFT($A7,5)&amp;"*")+SUMIFS(ExpExcl,ExpDocDate,"&gt;="&amp;DATE(YEAR(E$4),MONTH(E$4),1),ExpDocDate,"&lt;="&amp;E$4,ExpAccount,LEFT($A7,5)&amp;"*"),-SUMIFS(IncExcl,IncDocDate,"&gt;="&amp;DATE(YEAR(E$4),MONTH(E$4),1),IncDocDate,"&lt;="&amp;E$4,IncAccount,$A7)+SUMIFS(ExpExcl,ExpDocDate,"&gt;="&amp;DATE(YEAR(E$4),MONTH(E$4),1),ExpDocDate,"&lt;="&amp;E$4,ExpAccount,$A7))</f>
        <v>199200</v>
      </c>
      <c r="F7" s="29" cm="1">
        <f t="array" aca="1" ref="F7" ca="1">E7+IF(RIGHT($A7,1)="G",-SUMIFS(IncExcl,IncDocDate,"&gt;="&amp;DATE(YEAR(F$4),MONTH(F$4),1),IncDocDate,"&lt;="&amp;F$4,IncAccount,LEFT($A7,5)&amp;"*")+SUMIFS(ExpExcl,ExpDocDate,"&gt;="&amp;DATE(YEAR(F$4),MONTH(F$4),1),ExpDocDate,"&lt;="&amp;F$4,ExpAccount,LEFT($A7,5)&amp;"*"),-SUMIFS(IncExcl,IncDocDate,"&gt;="&amp;DATE(YEAR(F$4),MONTH(F$4),1),IncDocDate,"&lt;="&amp;F$4,IncAccount,$A7)+SUMIFS(ExpExcl,ExpDocDate,"&gt;="&amp;DATE(YEAR(F$4),MONTH(F$4),1),ExpDocDate,"&lt;="&amp;F$4,ExpAccount,$A7))</f>
        <v>199200</v>
      </c>
      <c r="G7" s="29" cm="1">
        <f t="array" aca="1" ref="G7" ca="1">F7+IF(RIGHT($A7,1)="G",-SUMIFS(IncExcl,IncDocDate,"&gt;="&amp;DATE(YEAR(G$4),MONTH(G$4),1),IncDocDate,"&lt;="&amp;G$4,IncAccount,LEFT($A7,5)&amp;"*")+SUMIFS(ExpExcl,ExpDocDate,"&gt;="&amp;DATE(YEAR(G$4),MONTH(G$4),1),ExpDocDate,"&lt;="&amp;G$4,ExpAccount,LEFT($A7,5)&amp;"*"),-SUMIFS(IncExcl,IncDocDate,"&gt;="&amp;DATE(YEAR(G$4),MONTH(G$4),1),IncDocDate,"&lt;="&amp;G$4,IncAccount,$A7)+SUMIFS(ExpExcl,ExpDocDate,"&gt;="&amp;DATE(YEAR(G$4),MONTH(G$4),1),ExpDocDate,"&lt;="&amp;G$4,ExpAccount,$A7))</f>
        <v>199200</v>
      </c>
      <c r="H7" s="29" cm="1">
        <f t="array" aca="1" ref="H7" ca="1">G7+IF(RIGHT($A7,1)="G",-SUMIFS(IncExcl,IncDocDate,"&gt;="&amp;DATE(YEAR(H$4),MONTH(H$4),1),IncDocDate,"&lt;="&amp;H$4,IncAccount,LEFT($A7,5)&amp;"*")+SUMIFS(ExpExcl,ExpDocDate,"&gt;="&amp;DATE(YEAR(H$4),MONTH(H$4),1),ExpDocDate,"&lt;="&amp;H$4,ExpAccount,LEFT($A7,5)&amp;"*"),-SUMIFS(IncExcl,IncDocDate,"&gt;="&amp;DATE(YEAR(H$4),MONTH(H$4),1),IncDocDate,"&lt;="&amp;H$4,IncAccount,$A7)+SUMIFS(ExpExcl,ExpDocDate,"&gt;="&amp;DATE(YEAR(H$4),MONTH(H$4),1),ExpDocDate,"&lt;="&amp;H$4,ExpAccount,$A7))</f>
        <v>199200</v>
      </c>
      <c r="I7" s="29" cm="1">
        <f t="array" aca="1" ref="I7" ca="1">H7+IF(RIGHT($A7,1)="G",-SUMIFS(IncExcl,IncDocDate,"&gt;="&amp;DATE(YEAR(I$4),MONTH(I$4),1),IncDocDate,"&lt;="&amp;I$4,IncAccount,LEFT($A7,5)&amp;"*")+SUMIFS(ExpExcl,ExpDocDate,"&gt;="&amp;DATE(YEAR(I$4),MONTH(I$4),1),ExpDocDate,"&lt;="&amp;I$4,ExpAccount,LEFT($A7,5)&amp;"*"),-SUMIFS(IncExcl,IncDocDate,"&gt;="&amp;DATE(YEAR(I$4),MONTH(I$4),1),IncDocDate,"&lt;="&amp;I$4,IncAccount,$A7)+SUMIFS(ExpExcl,ExpDocDate,"&gt;="&amp;DATE(YEAR(I$4),MONTH(I$4),1),ExpDocDate,"&lt;="&amp;I$4,ExpAccount,$A7))</f>
        <v>199200</v>
      </c>
      <c r="J7" s="29" cm="1">
        <f t="array" aca="1" ref="J7" ca="1">I7+IF(RIGHT($A7,1)="G",-SUMIFS(IncExcl,IncDocDate,"&gt;="&amp;DATE(YEAR(J$4),MONTH(J$4),1),IncDocDate,"&lt;="&amp;J$4,IncAccount,LEFT($A7,5)&amp;"*")+SUMIFS(ExpExcl,ExpDocDate,"&gt;="&amp;DATE(YEAR(J$4),MONTH(J$4),1),ExpDocDate,"&lt;="&amp;J$4,ExpAccount,LEFT($A7,5)&amp;"*"),-SUMIFS(IncExcl,IncDocDate,"&gt;="&amp;DATE(YEAR(J$4),MONTH(J$4),1),IncDocDate,"&lt;="&amp;J$4,IncAccount,$A7)+SUMIFS(ExpExcl,ExpDocDate,"&gt;="&amp;DATE(YEAR(J$4),MONTH(J$4),1),ExpDocDate,"&lt;="&amp;J$4,ExpAccount,$A7))</f>
        <v>199200</v>
      </c>
      <c r="K7" s="29" cm="1">
        <f t="array" aca="1" ref="K7" ca="1">J7+IF(RIGHT($A7,1)="G",-SUMIFS(IncExcl,IncDocDate,"&gt;="&amp;DATE(YEAR(K$4),MONTH(K$4),1),IncDocDate,"&lt;="&amp;K$4,IncAccount,LEFT($A7,5)&amp;"*")+SUMIFS(ExpExcl,ExpDocDate,"&gt;="&amp;DATE(YEAR(K$4),MONTH(K$4),1),ExpDocDate,"&lt;="&amp;K$4,ExpAccount,LEFT($A7,5)&amp;"*"),-SUMIFS(IncExcl,IncDocDate,"&gt;="&amp;DATE(YEAR(K$4),MONTH(K$4),1),IncDocDate,"&lt;="&amp;K$4,IncAccount,$A7)+SUMIFS(ExpExcl,ExpDocDate,"&gt;="&amp;DATE(YEAR(K$4),MONTH(K$4),1),ExpDocDate,"&lt;="&amp;K$4,ExpAccount,$A7))</f>
        <v>199200</v>
      </c>
      <c r="L7" s="29" cm="1">
        <f t="array" aca="1" ref="L7" ca="1">K7+IF(RIGHT($A7,1)="G",-SUMIFS(IncExcl,IncDocDate,"&gt;="&amp;DATE(YEAR(L$4),MONTH(L$4),1),IncDocDate,"&lt;="&amp;L$4,IncAccount,LEFT($A7,5)&amp;"*")+SUMIFS(ExpExcl,ExpDocDate,"&gt;="&amp;DATE(YEAR(L$4),MONTH(L$4),1),ExpDocDate,"&lt;="&amp;L$4,ExpAccount,LEFT($A7,5)&amp;"*"),-SUMIFS(IncExcl,IncDocDate,"&gt;="&amp;DATE(YEAR(L$4),MONTH(L$4),1),IncDocDate,"&lt;="&amp;L$4,IncAccount,$A7)+SUMIFS(ExpExcl,ExpDocDate,"&gt;="&amp;DATE(YEAR(L$4),MONTH(L$4),1),ExpDocDate,"&lt;="&amp;L$4,ExpAccount,$A7))</f>
        <v>199200</v>
      </c>
      <c r="M7" s="29" cm="1">
        <f t="array" aca="1" ref="M7" ca="1">L7+IF(RIGHT($A7,1)="G",-SUMIFS(IncExcl,IncDocDate,"&gt;="&amp;DATE(YEAR(M$4),MONTH(M$4),1),IncDocDate,"&lt;="&amp;M$4,IncAccount,LEFT($A7,5)&amp;"*")+SUMIFS(ExpExcl,ExpDocDate,"&gt;="&amp;DATE(YEAR(M$4),MONTH(M$4),1),ExpDocDate,"&lt;="&amp;M$4,ExpAccount,LEFT($A7,5)&amp;"*"),-SUMIFS(IncExcl,IncDocDate,"&gt;="&amp;DATE(YEAR(M$4),MONTH(M$4),1),IncDocDate,"&lt;="&amp;M$4,IncAccount,$A7)+SUMIFS(ExpExcl,ExpDocDate,"&gt;="&amp;DATE(YEAR(M$4),MONTH(M$4),1),ExpDocDate,"&lt;="&amp;M$4,ExpAccount,$A7))</f>
        <v>199200</v>
      </c>
      <c r="N7" s="29" cm="1">
        <f t="array" aca="1" ref="N7" ca="1">M7+IF(RIGHT($A7,1)="G",-SUMIFS(IncExcl,IncDocDate,"&gt;="&amp;DATE(YEAR(N$4),MONTH(N$4),1),IncDocDate,"&lt;="&amp;N$4,IncAccount,LEFT($A7,5)&amp;"*")+SUMIFS(ExpExcl,ExpDocDate,"&gt;="&amp;DATE(YEAR(N$4),MONTH(N$4),1),ExpDocDate,"&lt;="&amp;N$4,ExpAccount,LEFT($A7,5)&amp;"*"),-SUMIFS(IncExcl,IncDocDate,"&gt;="&amp;DATE(YEAR(N$4),MONTH(N$4),1),IncDocDate,"&lt;="&amp;N$4,IncAccount,$A7)+SUMIFS(ExpExcl,ExpDocDate,"&gt;="&amp;DATE(YEAR(N$4),MONTH(N$4),1),ExpDocDate,"&lt;="&amp;N$4,ExpAccount,$A7))</f>
        <v>199200</v>
      </c>
      <c r="O7" s="29" cm="1">
        <f t="array" aca="1" ref="O7" ca="1">N7+IF(RIGHT($A7,1)="G",-SUMIFS(IncExcl,IncDocDate,"&gt;="&amp;DATE(YEAR(O$4),MONTH(O$4),1),IncDocDate,"&lt;="&amp;O$4,IncAccount,LEFT($A7,5)&amp;"*")+SUMIFS(ExpExcl,ExpDocDate,"&gt;="&amp;DATE(YEAR(O$4),MONTH(O$4),1),ExpDocDate,"&lt;="&amp;O$4,ExpAccount,LEFT($A7,5)&amp;"*"),-SUMIFS(IncExcl,IncDocDate,"&gt;="&amp;DATE(YEAR(O$4),MONTH(O$4),1),IncDocDate,"&lt;="&amp;O$4,IncAccount,$A7)+SUMIFS(ExpExcl,ExpDocDate,"&gt;="&amp;DATE(YEAR(O$4),MONTH(O$4),1),ExpDocDate,"&lt;="&amp;O$4,ExpAccount,$A7))</f>
        <v>209400</v>
      </c>
      <c r="P7" s="86">
        <f ca="1">O7</f>
        <v>209400</v>
      </c>
    </row>
    <row r="8" spans="1:16" ht="16" customHeight="1" x14ac:dyDescent="0.25">
      <c r="A8" s="178" t="s">
        <v>255</v>
      </c>
      <c r="B8" s="17" t="str">
        <f ca="1">IF(RIGHT($A8,1)="G",IF(ISNA(VLOOKUP(LEFT($A8,LEN($A8)-1),GroupAll,COLUMN(Groups!$B$4),0)),"Group Not Found",VLOOKUP(LEFT($A8,LEN($A8)-1),GroupAll,COLUMN(Groups!$B$4),0)),IF(ISNA(VLOOKUP($A8,AccountAll,COLUMN(TB!$B$4),0)),"Account Not Found",VLOOKUP($A8,AccountAll,COLUMN(TB!$B$4),0)))</f>
        <v>Property, Plant &amp; Equipment - Accum Dep</v>
      </c>
      <c r="C8" s="29" cm="1">
        <f t="array" aca="1" ref="C8" ca="1">IF(RIGHT($A8,1)="G",SUMIF(AccountAll,LEFT($A8,5)&amp;"*",AccountOpen),SUMIF(AccountAll,$A8,AccountOpen))</f>
        <v>-34500</v>
      </c>
      <c r="D8" s="29" cm="1">
        <f t="array" aca="1" ref="D8" ca="1">C8+IF(RIGHT($A8,1)="G",-SUMIFS(IncExcl,IncDocDate,"&gt;="&amp;DATE(YEAR(D$4),MONTH(D$4),1),IncDocDate,"&lt;="&amp;D$4,IncAccount,LEFT($A8,5)&amp;"*")+SUMIFS(ExpExcl,ExpDocDate,"&gt;="&amp;DATE(YEAR(D$4),MONTH(D$4),1),ExpDocDate,"&lt;="&amp;D$4,ExpAccount,LEFT($A8,5)&amp;"*"),-SUMIFS(IncExcl,IncDocDate,"&gt;="&amp;DATE(YEAR(D$4),MONTH(D$4),1),IncDocDate,"&lt;="&amp;D$4,IncAccount,$A8)+SUMIFS(ExpExcl,ExpDocDate,"&gt;="&amp;DATE(YEAR(D$4),MONTH(D$4),1),ExpDocDate,"&lt;="&amp;D$4,ExpAccount,$A8))</f>
        <v>-34500</v>
      </c>
      <c r="E8" s="29" cm="1">
        <f t="array" aca="1" ref="E8" ca="1">D8+IF(RIGHT($A8,1)="G",-SUMIFS(IncExcl,IncDocDate,"&gt;="&amp;DATE(YEAR(E$4),MONTH(E$4),1),IncDocDate,"&lt;="&amp;E$4,IncAccount,LEFT($A8,5)&amp;"*")+SUMIFS(ExpExcl,ExpDocDate,"&gt;="&amp;DATE(YEAR(E$4),MONTH(E$4),1),ExpDocDate,"&lt;="&amp;E$4,ExpAccount,LEFT($A8,5)&amp;"*"),-SUMIFS(IncExcl,IncDocDate,"&gt;="&amp;DATE(YEAR(E$4),MONTH(E$4),1),IncDocDate,"&lt;="&amp;E$4,IncAccount,$A8)+SUMIFS(ExpExcl,ExpDocDate,"&gt;="&amp;DATE(YEAR(E$4),MONTH(E$4),1),ExpDocDate,"&lt;="&amp;E$4,ExpAccount,$A8))</f>
        <v>-34500</v>
      </c>
      <c r="F8" s="29" cm="1">
        <f t="array" aca="1" ref="F8" ca="1">E8+IF(RIGHT($A8,1)="G",-SUMIFS(IncExcl,IncDocDate,"&gt;="&amp;DATE(YEAR(F$4),MONTH(F$4),1),IncDocDate,"&lt;="&amp;F$4,IncAccount,LEFT($A8,5)&amp;"*")+SUMIFS(ExpExcl,ExpDocDate,"&gt;="&amp;DATE(YEAR(F$4),MONTH(F$4),1),ExpDocDate,"&lt;="&amp;F$4,ExpAccount,LEFT($A8,5)&amp;"*"),-SUMIFS(IncExcl,IncDocDate,"&gt;="&amp;DATE(YEAR(F$4),MONTH(F$4),1),IncDocDate,"&lt;="&amp;F$4,IncAccount,$A8)+SUMIFS(ExpExcl,ExpDocDate,"&gt;="&amp;DATE(YEAR(F$4),MONTH(F$4),1),ExpDocDate,"&lt;="&amp;F$4,ExpAccount,$A8))</f>
        <v>-34500</v>
      </c>
      <c r="G8" s="29" cm="1">
        <f t="array" aca="1" ref="G8" ca="1">F8+IF(RIGHT($A8,1)="G",-SUMIFS(IncExcl,IncDocDate,"&gt;="&amp;DATE(YEAR(G$4),MONTH(G$4),1),IncDocDate,"&lt;="&amp;G$4,IncAccount,LEFT($A8,5)&amp;"*")+SUMIFS(ExpExcl,ExpDocDate,"&gt;="&amp;DATE(YEAR(G$4),MONTH(G$4),1),ExpDocDate,"&lt;="&amp;G$4,ExpAccount,LEFT($A8,5)&amp;"*"),-SUMIFS(IncExcl,IncDocDate,"&gt;="&amp;DATE(YEAR(G$4),MONTH(G$4),1),IncDocDate,"&lt;="&amp;G$4,IncAccount,$A8)+SUMIFS(ExpExcl,ExpDocDate,"&gt;="&amp;DATE(YEAR(G$4),MONTH(G$4),1),ExpDocDate,"&lt;="&amp;G$4,ExpAccount,$A8))</f>
        <v>-34500</v>
      </c>
      <c r="H8" s="29" cm="1">
        <f t="array" aca="1" ref="H8" ca="1">G8+IF(RIGHT($A8,1)="G",-SUMIFS(IncExcl,IncDocDate,"&gt;="&amp;DATE(YEAR(H$4),MONTH(H$4),1),IncDocDate,"&lt;="&amp;H$4,IncAccount,LEFT($A8,5)&amp;"*")+SUMIFS(ExpExcl,ExpDocDate,"&gt;="&amp;DATE(YEAR(H$4),MONTH(H$4),1),ExpDocDate,"&lt;="&amp;H$4,ExpAccount,LEFT($A8,5)&amp;"*"),-SUMIFS(IncExcl,IncDocDate,"&gt;="&amp;DATE(YEAR(H$4),MONTH(H$4),1),IncDocDate,"&lt;="&amp;H$4,IncAccount,$A8)+SUMIFS(ExpExcl,ExpDocDate,"&gt;="&amp;DATE(YEAR(H$4),MONTH(H$4),1),ExpDocDate,"&lt;="&amp;H$4,ExpAccount,$A8))</f>
        <v>-34500</v>
      </c>
      <c r="I8" s="29" cm="1">
        <f t="array" aca="1" ref="I8" ca="1">H8+IF(RIGHT($A8,1)="G",-SUMIFS(IncExcl,IncDocDate,"&gt;="&amp;DATE(YEAR(I$4),MONTH(I$4),1),IncDocDate,"&lt;="&amp;I$4,IncAccount,LEFT($A8,5)&amp;"*")+SUMIFS(ExpExcl,ExpDocDate,"&gt;="&amp;DATE(YEAR(I$4),MONTH(I$4),1),ExpDocDate,"&lt;="&amp;I$4,ExpAccount,LEFT($A8,5)&amp;"*"),-SUMIFS(IncExcl,IncDocDate,"&gt;="&amp;DATE(YEAR(I$4),MONTH(I$4),1),IncDocDate,"&lt;="&amp;I$4,IncAccount,$A8)+SUMIFS(ExpExcl,ExpDocDate,"&gt;="&amp;DATE(YEAR(I$4),MONTH(I$4),1),ExpDocDate,"&lt;="&amp;I$4,ExpAccount,$A8))</f>
        <v>-34500</v>
      </c>
      <c r="J8" s="29" cm="1">
        <f t="array" aca="1" ref="J8" ca="1">I8+IF(RIGHT($A8,1)="G",-SUMIFS(IncExcl,IncDocDate,"&gt;="&amp;DATE(YEAR(J$4),MONTH(J$4),1),IncDocDate,"&lt;="&amp;J$4,IncAccount,LEFT($A8,5)&amp;"*")+SUMIFS(ExpExcl,ExpDocDate,"&gt;="&amp;DATE(YEAR(J$4),MONTH(J$4),1),ExpDocDate,"&lt;="&amp;J$4,ExpAccount,LEFT($A8,5)&amp;"*"),-SUMIFS(IncExcl,IncDocDate,"&gt;="&amp;DATE(YEAR(J$4),MONTH(J$4),1),IncDocDate,"&lt;="&amp;J$4,IncAccount,$A8)+SUMIFS(ExpExcl,ExpDocDate,"&gt;="&amp;DATE(YEAR(J$4),MONTH(J$4),1),ExpDocDate,"&lt;="&amp;J$4,ExpAccount,$A8))</f>
        <v>-34500</v>
      </c>
      <c r="K8" s="29" cm="1">
        <f t="array" aca="1" ref="K8" ca="1">J8+IF(RIGHT($A8,1)="G",-SUMIFS(IncExcl,IncDocDate,"&gt;="&amp;DATE(YEAR(K$4),MONTH(K$4),1),IncDocDate,"&lt;="&amp;K$4,IncAccount,LEFT($A8,5)&amp;"*")+SUMIFS(ExpExcl,ExpDocDate,"&gt;="&amp;DATE(YEAR(K$4),MONTH(K$4),1),ExpDocDate,"&lt;="&amp;K$4,ExpAccount,LEFT($A8,5)&amp;"*"),-SUMIFS(IncExcl,IncDocDate,"&gt;="&amp;DATE(YEAR(K$4),MONTH(K$4),1),IncDocDate,"&lt;="&amp;K$4,IncAccount,$A8)+SUMIFS(ExpExcl,ExpDocDate,"&gt;="&amp;DATE(YEAR(K$4),MONTH(K$4),1),ExpDocDate,"&lt;="&amp;K$4,ExpAccount,$A8))</f>
        <v>-34500</v>
      </c>
      <c r="L8" s="29" cm="1">
        <f t="array" aca="1" ref="L8" ca="1">K8+IF(RIGHT($A8,1)="G",-SUMIFS(IncExcl,IncDocDate,"&gt;="&amp;DATE(YEAR(L$4),MONTH(L$4),1),IncDocDate,"&lt;="&amp;L$4,IncAccount,LEFT($A8,5)&amp;"*")+SUMIFS(ExpExcl,ExpDocDate,"&gt;="&amp;DATE(YEAR(L$4),MONTH(L$4),1),ExpDocDate,"&lt;="&amp;L$4,ExpAccount,LEFT($A8,5)&amp;"*"),-SUMIFS(IncExcl,IncDocDate,"&gt;="&amp;DATE(YEAR(L$4),MONTH(L$4),1),IncDocDate,"&lt;="&amp;L$4,IncAccount,$A8)+SUMIFS(ExpExcl,ExpDocDate,"&gt;="&amp;DATE(YEAR(L$4),MONTH(L$4),1),ExpDocDate,"&lt;="&amp;L$4,ExpAccount,$A8))</f>
        <v>-34500</v>
      </c>
      <c r="M8" s="29" cm="1">
        <f t="array" aca="1" ref="M8" ca="1">L8+IF(RIGHT($A8,1)="G",-SUMIFS(IncExcl,IncDocDate,"&gt;="&amp;DATE(YEAR(M$4),MONTH(M$4),1),IncDocDate,"&lt;="&amp;M$4,IncAccount,LEFT($A8,5)&amp;"*")+SUMIFS(ExpExcl,ExpDocDate,"&gt;="&amp;DATE(YEAR(M$4),MONTH(M$4),1),ExpDocDate,"&lt;="&amp;M$4,ExpAccount,LEFT($A8,5)&amp;"*"),-SUMIFS(IncExcl,IncDocDate,"&gt;="&amp;DATE(YEAR(M$4),MONTH(M$4),1),IncDocDate,"&lt;="&amp;M$4,IncAccount,$A8)+SUMIFS(ExpExcl,ExpDocDate,"&gt;="&amp;DATE(YEAR(M$4),MONTH(M$4),1),ExpDocDate,"&lt;="&amp;M$4,ExpAccount,$A8))</f>
        <v>-34500</v>
      </c>
      <c r="N8" s="29" cm="1">
        <f t="array" aca="1" ref="N8" ca="1">M8+IF(RIGHT($A8,1)="G",-SUMIFS(IncExcl,IncDocDate,"&gt;="&amp;DATE(YEAR(N$4),MONTH(N$4),1),IncDocDate,"&lt;="&amp;N$4,IncAccount,LEFT($A8,5)&amp;"*")+SUMIFS(ExpExcl,ExpDocDate,"&gt;="&amp;DATE(YEAR(N$4),MONTH(N$4),1),ExpDocDate,"&lt;="&amp;N$4,ExpAccount,LEFT($A8,5)&amp;"*"),-SUMIFS(IncExcl,IncDocDate,"&gt;="&amp;DATE(YEAR(N$4),MONTH(N$4),1),IncDocDate,"&lt;="&amp;N$4,IncAccount,$A8)+SUMIFS(ExpExcl,ExpDocDate,"&gt;="&amp;DATE(YEAR(N$4),MONTH(N$4),1),ExpDocDate,"&lt;="&amp;N$4,ExpAccount,$A8))</f>
        <v>-34500</v>
      </c>
      <c r="O8" s="29" cm="1">
        <f t="array" aca="1" ref="O8" ca="1">N8+IF(RIGHT($A8,1)="G",-SUMIFS(IncExcl,IncDocDate,"&gt;="&amp;DATE(YEAR(O$4),MONTH(O$4),1),IncDocDate,"&lt;="&amp;O$4,IncAccount,LEFT($A8,5)&amp;"*")+SUMIFS(ExpExcl,ExpDocDate,"&gt;="&amp;DATE(YEAR(O$4),MONTH(O$4),1),ExpDocDate,"&lt;="&amp;O$4,ExpAccount,LEFT($A8,5)&amp;"*"),-SUMIFS(IncExcl,IncDocDate,"&gt;="&amp;DATE(YEAR(O$4),MONTH(O$4),1),IncDocDate,"&lt;="&amp;O$4,IncAccount,$A8)+SUMIFS(ExpExcl,ExpDocDate,"&gt;="&amp;DATE(YEAR(O$4),MONTH(O$4),1),ExpDocDate,"&lt;="&amp;O$4,ExpAccount,$A8))</f>
        <v>-64922</v>
      </c>
      <c r="P8" s="86">
        <f t="shared" ref="P8:P11" ca="1" si="1">O8</f>
        <v>-64922</v>
      </c>
    </row>
    <row r="9" spans="1:16" ht="16" customHeight="1" x14ac:dyDescent="0.25">
      <c r="A9" s="178" t="s">
        <v>266</v>
      </c>
      <c r="B9" s="17" t="str">
        <f ca="1">IF(RIGHT($A9,1)="G",IF(ISNA(VLOOKUP(LEFT($A9,LEN($A9)-1),GroupAll,COLUMN(Groups!$B$4),0)),"Group Not Found",VLOOKUP(LEFT($A9,LEN($A9)-1),GroupAll,COLUMN(Groups!$B$4),0)),IF(ISNA(VLOOKUP($A9,AccountAll,COLUMN(TB!$B$4),0)),"Account Not Found",VLOOKUP($A9,AccountAll,COLUMN(TB!$B$4),0)))</f>
        <v>Intangible Assets - Cost</v>
      </c>
      <c r="C9" s="29" cm="1">
        <f t="array" aca="1" ref="C9" ca="1">IF(RIGHT($A9,1)="G",SUMIF(AccountAll,LEFT($A9,5)&amp;"*",AccountOpen),SUMIF(AccountAll,$A9,AccountOpen))</f>
        <v>147200</v>
      </c>
      <c r="D9" s="29" cm="1">
        <f t="array" aca="1" ref="D9" ca="1">C9+IF(RIGHT($A9,1)="G",-SUMIFS(IncExcl,IncDocDate,"&gt;="&amp;DATE(YEAR(D$4),MONTH(D$4),1),IncDocDate,"&lt;="&amp;D$4,IncAccount,LEFT($A9,5)&amp;"*")+SUMIFS(ExpExcl,ExpDocDate,"&gt;="&amp;DATE(YEAR(D$4),MONTH(D$4),1),ExpDocDate,"&lt;="&amp;D$4,ExpAccount,LEFT($A9,5)&amp;"*"),-SUMIFS(IncExcl,IncDocDate,"&gt;="&amp;DATE(YEAR(D$4),MONTH(D$4),1),IncDocDate,"&lt;="&amp;D$4,IncAccount,$A9)+SUMIFS(ExpExcl,ExpDocDate,"&gt;="&amp;DATE(YEAR(D$4),MONTH(D$4),1),ExpDocDate,"&lt;="&amp;D$4,ExpAccount,$A9))</f>
        <v>147200</v>
      </c>
      <c r="E9" s="29" cm="1">
        <f t="array" aca="1" ref="E9" ca="1">D9+IF(RIGHT($A9,1)="G",-SUMIFS(IncExcl,IncDocDate,"&gt;="&amp;DATE(YEAR(E$4),MONTH(E$4),1),IncDocDate,"&lt;="&amp;E$4,IncAccount,LEFT($A9,5)&amp;"*")+SUMIFS(ExpExcl,ExpDocDate,"&gt;="&amp;DATE(YEAR(E$4),MONTH(E$4),1),ExpDocDate,"&lt;="&amp;E$4,ExpAccount,LEFT($A9,5)&amp;"*"),-SUMIFS(IncExcl,IncDocDate,"&gt;="&amp;DATE(YEAR(E$4),MONTH(E$4),1),IncDocDate,"&lt;="&amp;E$4,IncAccount,$A9)+SUMIFS(ExpExcl,ExpDocDate,"&gt;="&amp;DATE(YEAR(E$4),MONTH(E$4),1),ExpDocDate,"&lt;="&amp;E$4,ExpAccount,$A9))</f>
        <v>147200</v>
      </c>
      <c r="F9" s="29" cm="1">
        <f t="array" aca="1" ref="F9" ca="1">E9+IF(RIGHT($A9,1)="G",-SUMIFS(IncExcl,IncDocDate,"&gt;="&amp;DATE(YEAR(F$4),MONTH(F$4),1),IncDocDate,"&lt;="&amp;F$4,IncAccount,LEFT($A9,5)&amp;"*")+SUMIFS(ExpExcl,ExpDocDate,"&gt;="&amp;DATE(YEAR(F$4),MONTH(F$4),1),ExpDocDate,"&lt;="&amp;F$4,ExpAccount,LEFT($A9,5)&amp;"*"),-SUMIFS(IncExcl,IncDocDate,"&gt;="&amp;DATE(YEAR(F$4),MONTH(F$4),1),IncDocDate,"&lt;="&amp;F$4,IncAccount,$A9)+SUMIFS(ExpExcl,ExpDocDate,"&gt;="&amp;DATE(YEAR(F$4),MONTH(F$4),1),ExpDocDate,"&lt;="&amp;F$4,ExpAccount,$A9))</f>
        <v>147200</v>
      </c>
      <c r="G9" s="29" cm="1">
        <f t="array" aca="1" ref="G9" ca="1">F9+IF(RIGHT($A9,1)="G",-SUMIFS(IncExcl,IncDocDate,"&gt;="&amp;DATE(YEAR(G$4),MONTH(G$4),1),IncDocDate,"&lt;="&amp;G$4,IncAccount,LEFT($A9,5)&amp;"*")+SUMIFS(ExpExcl,ExpDocDate,"&gt;="&amp;DATE(YEAR(G$4),MONTH(G$4),1),ExpDocDate,"&lt;="&amp;G$4,ExpAccount,LEFT($A9,5)&amp;"*"),-SUMIFS(IncExcl,IncDocDate,"&gt;="&amp;DATE(YEAR(G$4),MONTH(G$4),1),IncDocDate,"&lt;="&amp;G$4,IncAccount,$A9)+SUMIFS(ExpExcl,ExpDocDate,"&gt;="&amp;DATE(YEAR(G$4),MONTH(G$4),1),ExpDocDate,"&lt;="&amp;G$4,ExpAccount,$A9))</f>
        <v>147200</v>
      </c>
      <c r="H9" s="29" cm="1">
        <f t="array" aca="1" ref="H9" ca="1">G9+IF(RIGHT($A9,1)="G",-SUMIFS(IncExcl,IncDocDate,"&gt;="&amp;DATE(YEAR(H$4),MONTH(H$4),1),IncDocDate,"&lt;="&amp;H$4,IncAccount,LEFT($A9,5)&amp;"*")+SUMIFS(ExpExcl,ExpDocDate,"&gt;="&amp;DATE(YEAR(H$4),MONTH(H$4),1),ExpDocDate,"&lt;="&amp;H$4,ExpAccount,LEFT($A9,5)&amp;"*"),-SUMIFS(IncExcl,IncDocDate,"&gt;="&amp;DATE(YEAR(H$4),MONTH(H$4),1),IncDocDate,"&lt;="&amp;H$4,IncAccount,$A9)+SUMIFS(ExpExcl,ExpDocDate,"&gt;="&amp;DATE(YEAR(H$4),MONTH(H$4),1),ExpDocDate,"&lt;="&amp;H$4,ExpAccount,$A9))</f>
        <v>147200</v>
      </c>
      <c r="I9" s="29" cm="1">
        <f t="array" aca="1" ref="I9" ca="1">H9+IF(RIGHT($A9,1)="G",-SUMIFS(IncExcl,IncDocDate,"&gt;="&amp;DATE(YEAR(I$4),MONTH(I$4),1),IncDocDate,"&lt;="&amp;I$4,IncAccount,LEFT($A9,5)&amp;"*")+SUMIFS(ExpExcl,ExpDocDate,"&gt;="&amp;DATE(YEAR(I$4),MONTH(I$4),1),ExpDocDate,"&lt;="&amp;I$4,ExpAccount,LEFT($A9,5)&amp;"*"),-SUMIFS(IncExcl,IncDocDate,"&gt;="&amp;DATE(YEAR(I$4),MONTH(I$4),1),IncDocDate,"&lt;="&amp;I$4,IncAccount,$A9)+SUMIFS(ExpExcl,ExpDocDate,"&gt;="&amp;DATE(YEAR(I$4),MONTH(I$4),1),ExpDocDate,"&lt;="&amp;I$4,ExpAccount,$A9))</f>
        <v>147200</v>
      </c>
      <c r="J9" s="29" cm="1">
        <f t="array" aca="1" ref="J9" ca="1">I9+IF(RIGHT($A9,1)="G",-SUMIFS(IncExcl,IncDocDate,"&gt;="&amp;DATE(YEAR(J$4),MONTH(J$4),1),IncDocDate,"&lt;="&amp;J$4,IncAccount,LEFT($A9,5)&amp;"*")+SUMIFS(ExpExcl,ExpDocDate,"&gt;="&amp;DATE(YEAR(J$4),MONTH(J$4),1),ExpDocDate,"&lt;="&amp;J$4,ExpAccount,LEFT($A9,5)&amp;"*"),-SUMIFS(IncExcl,IncDocDate,"&gt;="&amp;DATE(YEAR(J$4),MONTH(J$4),1),IncDocDate,"&lt;="&amp;J$4,IncAccount,$A9)+SUMIFS(ExpExcl,ExpDocDate,"&gt;="&amp;DATE(YEAR(J$4),MONTH(J$4),1),ExpDocDate,"&lt;="&amp;J$4,ExpAccount,$A9))</f>
        <v>147200</v>
      </c>
      <c r="K9" s="29" cm="1">
        <f t="array" aca="1" ref="K9" ca="1">J9+IF(RIGHT($A9,1)="G",-SUMIFS(IncExcl,IncDocDate,"&gt;="&amp;DATE(YEAR(K$4),MONTH(K$4),1),IncDocDate,"&lt;="&amp;K$4,IncAccount,LEFT($A9,5)&amp;"*")+SUMIFS(ExpExcl,ExpDocDate,"&gt;="&amp;DATE(YEAR(K$4),MONTH(K$4),1),ExpDocDate,"&lt;="&amp;K$4,ExpAccount,LEFT($A9,5)&amp;"*"),-SUMIFS(IncExcl,IncDocDate,"&gt;="&amp;DATE(YEAR(K$4),MONTH(K$4),1),IncDocDate,"&lt;="&amp;K$4,IncAccount,$A9)+SUMIFS(ExpExcl,ExpDocDate,"&gt;="&amp;DATE(YEAR(K$4),MONTH(K$4),1),ExpDocDate,"&lt;="&amp;K$4,ExpAccount,$A9))</f>
        <v>147200</v>
      </c>
      <c r="L9" s="29" cm="1">
        <f t="array" aca="1" ref="L9" ca="1">K9+IF(RIGHT($A9,1)="G",-SUMIFS(IncExcl,IncDocDate,"&gt;="&amp;DATE(YEAR(L$4),MONTH(L$4),1),IncDocDate,"&lt;="&amp;L$4,IncAccount,LEFT($A9,5)&amp;"*")+SUMIFS(ExpExcl,ExpDocDate,"&gt;="&amp;DATE(YEAR(L$4),MONTH(L$4),1),ExpDocDate,"&lt;="&amp;L$4,ExpAccount,LEFT($A9,5)&amp;"*"),-SUMIFS(IncExcl,IncDocDate,"&gt;="&amp;DATE(YEAR(L$4),MONTH(L$4),1),IncDocDate,"&lt;="&amp;L$4,IncAccount,$A9)+SUMIFS(ExpExcl,ExpDocDate,"&gt;="&amp;DATE(YEAR(L$4),MONTH(L$4),1),ExpDocDate,"&lt;="&amp;L$4,ExpAccount,$A9))</f>
        <v>147200</v>
      </c>
      <c r="M9" s="29" cm="1">
        <f t="array" aca="1" ref="M9" ca="1">L9+IF(RIGHT($A9,1)="G",-SUMIFS(IncExcl,IncDocDate,"&gt;="&amp;DATE(YEAR(M$4),MONTH(M$4),1),IncDocDate,"&lt;="&amp;M$4,IncAccount,LEFT($A9,5)&amp;"*")+SUMIFS(ExpExcl,ExpDocDate,"&gt;="&amp;DATE(YEAR(M$4),MONTH(M$4),1),ExpDocDate,"&lt;="&amp;M$4,ExpAccount,LEFT($A9,5)&amp;"*"),-SUMIFS(IncExcl,IncDocDate,"&gt;="&amp;DATE(YEAR(M$4),MONTH(M$4),1),IncDocDate,"&lt;="&amp;M$4,IncAccount,$A9)+SUMIFS(ExpExcl,ExpDocDate,"&gt;="&amp;DATE(YEAR(M$4),MONTH(M$4),1),ExpDocDate,"&lt;="&amp;M$4,ExpAccount,$A9))</f>
        <v>147200</v>
      </c>
      <c r="N9" s="29" cm="1">
        <f t="array" aca="1" ref="N9" ca="1">M9+IF(RIGHT($A9,1)="G",-SUMIFS(IncExcl,IncDocDate,"&gt;="&amp;DATE(YEAR(N$4),MONTH(N$4),1),IncDocDate,"&lt;="&amp;N$4,IncAccount,LEFT($A9,5)&amp;"*")+SUMIFS(ExpExcl,ExpDocDate,"&gt;="&amp;DATE(YEAR(N$4),MONTH(N$4),1),ExpDocDate,"&lt;="&amp;N$4,ExpAccount,LEFT($A9,5)&amp;"*"),-SUMIFS(IncExcl,IncDocDate,"&gt;="&amp;DATE(YEAR(N$4),MONTH(N$4),1),IncDocDate,"&lt;="&amp;N$4,IncAccount,$A9)+SUMIFS(ExpExcl,ExpDocDate,"&gt;="&amp;DATE(YEAR(N$4),MONTH(N$4),1),ExpDocDate,"&lt;="&amp;N$4,ExpAccount,$A9))</f>
        <v>147200</v>
      </c>
      <c r="O9" s="29" cm="1">
        <f t="array" aca="1" ref="O9" ca="1">N9+IF(RIGHT($A9,1)="G",-SUMIFS(IncExcl,IncDocDate,"&gt;="&amp;DATE(YEAR(O$4),MONTH(O$4),1),IncDocDate,"&lt;="&amp;O$4,IncAccount,LEFT($A9,5)&amp;"*")+SUMIFS(ExpExcl,ExpDocDate,"&gt;="&amp;DATE(YEAR(O$4),MONTH(O$4),1),ExpDocDate,"&lt;="&amp;O$4,ExpAccount,LEFT($A9,5)&amp;"*"),-SUMIFS(IncExcl,IncDocDate,"&gt;="&amp;DATE(YEAR(O$4),MONTH(O$4),1),IncDocDate,"&lt;="&amp;O$4,IncAccount,$A9)+SUMIFS(ExpExcl,ExpDocDate,"&gt;="&amp;DATE(YEAR(O$4),MONTH(O$4),1),ExpDocDate,"&lt;="&amp;O$4,ExpAccount,$A9))</f>
        <v>147200</v>
      </c>
      <c r="P9" s="86">
        <f t="shared" ca="1" si="1"/>
        <v>147200</v>
      </c>
    </row>
    <row r="10" spans="1:16" ht="16" customHeight="1" x14ac:dyDescent="0.25">
      <c r="A10" s="178" t="s">
        <v>264</v>
      </c>
      <c r="B10" s="17" t="str">
        <f ca="1">IF(RIGHT($A10,1)="G",IF(ISNA(VLOOKUP(LEFT($A10,LEN($A10)-1),GroupAll,COLUMN(Groups!$B$4),0)),"Group Not Found",VLOOKUP(LEFT($A10,LEN($A10)-1),GroupAll,COLUMN(Groups!$B$4),0)),IF(ISNA(VLOOKUP($A10,AccountAll,COLUMN(TB!$B$4),0)),"Account Not Found",VLOOKUP($A10,AccountAll,COLUMN(TB!$B$4),0)))</f>
        <v>Intangible Assets - Amortization</v>
      </c>
      <c r="C10" s="29" cm="1">
        <f t="array" aca="1" ref="C10" ca="1">IF(RIGHT($A10,1)="G",SUMIF(AccountAll,LEFT($A10,5)&amp;"*",AccountOpen),SUMIF(AccountAll,$A10,AccountOpen))</f>
        <v>-29440</v>
      </c>
      <c r="D10" s="29" cm="1">
        <f t="array" aca="1" ref="D10" ca="1">C10+IF(RIGHT($A10,1)="G",-SUMIFS(IncExcl,IncDocDate,"&gt;="&amp;DATE(YEAR(D$4),MONTH(D$4),1),IncDocDate,"&lt;="&amp;D$4,IncAccount,LEFT($A10,5)&amp;"*")+SUMIFS(ExpExcl,ExpDocDate,"&gt;="&amp;DATE(YEAR(D$4),MONTH(D$4),1),ExpDocDate,"&lt;="&amp;D$4,ExpAccount,LEFT($A10,5)&amp;"*"),-SUMIFS(IncExcl,IncDocDate,"&gt;="&amp;DATE(YEAR(D$4),MONTH(D$4),1),IncDocDate,"&lt;="&amp;D$4,IncAccount,$A10)+SUMIFS(ExpExcl,ExpDocDate,"&gt;="&amp;DATE(YEAR(D$4),MONTH(D$4),1),ExpDocDate,"&lt;="&amp;D$4,ExpAccount,$A10))</f>
        <v>-29440</v>
      </c>
      <c r="E10" s="29" cm="1">
        <f t="array" aca="1" ref="E10" ca="1">D10+IF(RIGHT($A10,1)="G",-SUMIFS(IncExcl,IncDocDate,"&gt;="&amp;DATE(YEAR(E$4),MONTH(E$4),1),IncDocDate,"&lt;="&amp;E$4,IncAccount,LEFT($A10,5)&amp;"*")+SUMIFS(ExpExcl,ExpDocDate,"&gt;="&amp;DATE(YEAR(E$4),MONTH(E$4),1),ExpDocDate,"&lt;="&amp;E$4,ExpAccount,LEFT($A10,5)&amp;"*"),-SUMIFS(IncExcl,IncDocDate,"&gt;="&amp;DATE(YEAR(E$4),MONTH(E$4),1),IncDocDate,"&lt;="&amp;E$4,IncAccount,$A10)+SUMIFS(ExpExcl,ExpDocDate,"&gt;="&amp;DATE(YEAR(E$4),MONTH(E$4),1),ExpDocDate,"&lt;="&amp;E$4,ExpAccount,$A10))</f>
        <v>-29440</v>
      </c>
      <c r="F10" s="29" cm="1">
        <f t="array" aca="1" ref="F10" ca="1">E10+IF(RIGHT($A10,1)="G",-SUMIFS(IncExcl,IncDocDate,"&gt;="&amp;DATE(YEAR(F$4),MONTH(F$4),1),IncDocDate,"&lt;="&amp;F$4,IncAccount,LEFT($A10,5)&amp;"*")+SUMIFS(ExpExcl,ExpDocDate,"&gt;="&amp;DATE(YEAR(F$4),MONTH(F$4),1),ExpDocDate,"&lt;="&amp;F$4,ExpAccount,LEFT($A10,5)&amp;"*"),-SUMIFS(IncExcl,IncDocDate,"&gt;="&amp;DATE(YEAR(F$4),MONTH(F$4),1),IncDocDate,"&lt;="&amp;F$4,IncAccount,$A10)+SUMIFS(ExpExcl,ExpDocDate,"&gt;="&amp;DATE(YEAR(F$4),MONTH(F$4),1),ExpDocDate,"&lt;="&amp;F$4,ExpAccount,$A10))</f>
        <v>-29440</v>
      </c>
      <c r="G10" s="29" cm="1">
        <f t="array" aca="1" ref="G10" ca="1">F10+IF(RIGHT($A10,1)="G",-SUMIFS(IncExcl,IncDocDate,"&gt;="&amp;DATE(YEAR(G$4),MONTH(G$4),1),IncDocDate,"&lt;="&amp;G$4,IncAccount,LEFT($A10,5)&amp;"*")+SUMIFS(ExpExcl,ExpDocDate,"&gt;="&amp;DATE(YEAR(G$4),MONTH(G$4),1),ExpDocDate,"&lt;="&amp;G$4,ExpAccount,LEFT($A10,5)&amp;"*"),-SUMIFS(IncExcl,IncDocDate,"&gt;="&amp;DATE(YEAR(G$4),MONTH(G$4),1),IncDocDate,"&lt;="&amp;G$4,IncAccount,$A10)+SUMIFS(ExpExcl,ExpDocDate,"&gt;="&amp;DATE(YEAR(G$4),MONTH(G$4),1),ExpDocDate,"&lt;="&amp;G$4,ExpAccount,$A10))</f>
        <v>-29440</v>
      </c>
      <c r="H10" s="29" cm="1">
        <f t="array" aca="1" ref="H10" ca="1">G10+IF(RIGHT($A10,1)="G",-SUMIFS(IncExcl,IncDocDate,"&gt;="&amp;DATE(YEAR(H$4),MONTH(H$4),1),IncDocDate,"&lt;="&amp;H$4,IncAccount,LEFT($A10,5)&amp;"*")+SUMIFS(ExpExcl,ExpDocDate,"&gt;="&amp;DATE(YEAR(H$4),MONTH(H$4),1),ExpDocDate,"&lt;="&amp;H$4,ExpAccount,LEFT($A10,5)&amp;"*"),-SUMIFS(IncExcl,IncDocDate,"&gt;="&amp;DATE(YEAR(H$4),MONTH(H$4),1),IncDocDate,"&lt;="&amp;H$4,IncAccount,$A10)+SUMIFS(ExpExcl,ExpDocDate,"&gt;="&amp;DATE(YEAR(H$4),MONTH(H$4),1),ExpDocDate,"&lt;="&amp;H$4,ExpAccount,$A10))</f>
        <v>-29440</v>
      </c>
      <c r="I10" s="29" cm="1">
        <f t="array" aca="1" ref="I10" ca="1">H10+IF(RIGHT($A10,1)="G",-SUMIFS(IncExcl,IncDocDate,"&gt;="&amp;DATE(YEAR(I$4),MONTH(I$4),1),IncDocDate,"&lt;="&amp;I$4,IncAccount,LEFT($A10,5)&amp;"*")+SUMIFS(ExpExcl,ExpDocDate,"&gt;="&amp;DATE(YEAR(I$4),MONTH(I$4),1),ExpDocDate,"&lt;="&amp;I$4,ExpAccount,LEFT($A10,5)&amp;"*"),-SUMIFS(IncExcl,IncDocDate,"&gt;="&amp;DATE(YEAR(I$4),MONTH(I$4),1),IncDocDate,"&lt;="&amp;I$4,IncAccount,$A10)+SUMIFS(ExpExcl,ExpDocDate,"&gt;="&amp;DATE(YEAR(I$4),MONTH(I$4),1),ExpDocDate,"&lt;="&amp;I$4,ExpAccount,$A10))</f>
        <v>-29440</v>
      </c>
      <c r="J10" s="29" cm="1">
        <f t="array" aca="1" ref="J10" ca="1">I10+IF(RIGHT($A10,1)="G",-SUMIFS(IncExcl,IncDocDate,"&gt;="&amp;DATE(YEAR(J$4),MONTH(J$4),1),IncDocDate,"&lt;="&amp;J$4,IncAccount,LEFT($A10,5)&amp;"*")+SUMIFS(ExpExcl,ExpDocDate,"&gt;="&amp;DATE(YEAR(J$4),MONTH(J$4),1),ExpDocDate,"&lt;="&amp;J$4,ExpAccount,LEFT($A10,5)&amp;"*"),-SUMIFS(IncExcl,IncDocDate,"&gt;="&amp;DATE(YEAR(J$4),MONTH(J$4),1),IncDocDate,"&lt;="&amp;J$4,IncAccount,$A10)+SUMIFS(ExpExcl,ExpDocDate,"&gt;="&amp;DATE(YEAR(J$4),MONTH(J$4),1),ExpDocDate,"&lt;="&amp;J$4,ExpAccount,$A10))</f>
        <v>-29440</v>
      </c>
      <c r="K10" s="29" cm="1">
        <f t="array" aca="1" ref="K10" ca="1">J10+IF(RIGHT($A10,1)="G",-SUMIFS(IncExcl,IncDocDate,"&gt;="&amp;DATE(YEAR(K$4),MONTH(K$4),1),IncDocDate,"&lt;="&amp;K$4,IncAccount,LEFT($A10,5)&amp;"*")+SUMIFS(ExpExcl,ExpDocDate,"&gt;="&amp;DATE(YEAR(K$4),MONTH(K$4),1),ExpDocDate,"&lt;="&amp;K$4,ExpAccount,LEFT($A10,5)&amp;"*"),-SUMIFS(IncExcl,IncDocDate,"&gt;="&amp;DATE(YEAR(K$4),MONTH(K$4),1),IncDocDate,"&lt;="&amp;K$4,IncAccount,$A10)+SUMIFS(ExpExcl,ExpDocDate,"&gt;="&amp;DATE(YEAR(K$4),MONTH(K$4),1),ExpDocDate,"&lt;="&amp;K$4,ExpAccount,$A10))</f>
        <v>-29440</v>
      </c>
      <c r="L10" s="29" cm="1">
        <f t="array" aca="1" ref="L10" ca="1">K10+IF(RIGHT($A10,1)="G",-SUMIFS(IncExcl,IncDocDate,"&gt;="&amp;DATE(YEAR(L$4),MONTH(L$4),1),IncDocDate,"&lt;="&amp;L$4,IncAccount,LEFT($A10,5)&amp;"*")+SUMIFS(ExpExcl,ExpDocDate,"&gt;="&amp;DATE(YEAR(L$4),MONTH(L$4),1),ExpDocDate,"&lt;="&amp;L$4,ExpAccount,LEFT($A10,5)&amp;"*"),-SUMIFS(IncExcl,IncDocDate,"&gt;="&amp;DATE(YEAR(L$4),MONTH(L$4),1),IncDocDate,"&lt;="&amp;L$4,IncAccount,$A10)+SUMIFS(ExpExcl,ExpDocDate,"&gt;="&amp;DATE(YEAR(L$4),MONTH(L$4),1),ExpDocDate,"&lt;="&amp;L$4,ExpAccount,$A10))</f>
        <v>-29440</v>
      </c>
      <c r="M10" s="29" cm="1">
        <f t="array" aca="1" ref="M10" ca="1">L10+IF(RIGHT($A10,1)="G",-SUMIFS(IncExcl,IncDocDate,"&gt;="&amp;DATE(YEAR(M$4),MONTH(M$4),1),IncDocDate,"&lt;="&amp;M$4,IncAccount,LEFT($A10,5)&amp;"*")+SUMIFS(ExpExcl,ExpDocDate,"&gt;="&amp;DATE(YEAR(M$4),MONTH(M$4),1),ExpDocDate,"&lt;="&amp;M$4,ExpAccount,LEFT($A10,5)&amp;"*"),-SUMIFS(IncExcl,IncDocDate,"&gt;="&amp;DATE(YEAR(M$4),MONTH(M$4),1),IncDocDate,"&lt;="&amp;M$4,IncAccount,$A10)+SUMIFS(ExpExcl,ExpDocDate,"&gt;="&amp;DATE(YEAR(M$4),MONTH(M$4),1),ExpDocDate,"&lt;="&amp;M$4,ExpAccount,$A10))</f>
        <v>-29440</v>
      </c>
      <c r="N10" s="29" cm="1">
        <f t="array" aca="1" ref="N10" ca="1">M10+IF(RIGHT($A10,1)="G",-SUMIFS(IncExcl,IncDocDate,"&gt;="&amp;DATE(YEAR(N$4),MONTH(N$4),1),IncDocDate,"&lt;="&amp;N$4,IncAccount,LEFT($A10,5)&amp;"*")+SUMIFS(ExpExcl,ExpDocDate,"&gt;="&amp;DATE(YEAR(N$4),MONTH(N$4),1),ExpDocDate,"&lt;="&amp;N$4,ExpAccount,LEFT($A10,5)&amp;"*"),-SUMIFS(IncExcl,IncDocDate,"&gt;="&amp;DATE(YEAR(N$4),MONTH(N$4),1),IncDocDate,"&lt;="&amp;N$4,IncAccount,$A10)+SUMIFS(ExpExcl,ExpDocDate,"&gt;="&amp;DATE(YEAR(N$4),MONTH(N$4),1),ExpDocDate,"&lt;="&amp;N$4,ExpAccount,$A10))</f>
        <v>-29440</v>
      </c>
      <c r="O10" s="29" cm="1">
        <f t="array" aca="1" ref="O10" ca="1">N10+IF(RIGHT($A10,1)="G",-SUMIFS(IncExcl,IncDocDate,"&gt;="&amp;DATE(YEAR(O$4),MONTH(O$4),1),IncDocDate,"&lt;="&amp;O$4,IncAccount,LEFT($A10,5)&amp;"*")+SUMIFS(ExpExcl,ExpDocDate,"&gt;="&amp;DATE(YEAR(O$4),MONTH(O$4),1),ExpDocDate,"&lt;="&amp;O$4,ExpAccount,LEFT($A10,5)&amp;"*"),-SUMIFS(IncExcl,IncDocDate,"&gt;="&amp;DATE(YEAR(O$4),MONTH(O$4),1),IncDocDate,"&lt;="&amp;O$4,IncAccount,$A10)+SUMIFS(ExpExcl,ExpDocDate,"&gt;="&amp;DATE(YEAR(O$4),MONTH(O$4),1),ExpDocDate,"&lt;="&amp;O$4,ExpAccount,$A10))</f>
        <v>-44160</v>
      </c>
      <c r="P10" s="86">
        <f t="shared" ca="1" si="1"/>
        <v>-44160</v>
      </c>
    </row>
    <row r="11" spans="1:16" ht="16" customHeight="1" x14ac:dyDescent="0.25">
      <c r="A11" s="178" t="s">
        <v>265</v>
      </c>
      <c r="B11" s="17" t="str">
        <f ca="1">IF(RIGHT($A11,1)="G",IF(ISNA(VLOOKUP(LEFT($A11,LEN($A11)-1),GroupAll,COLUMN(Groups!$B$4),0)),"Group Not Found",VLOOKUP(LEFT($A11,LEN($A11)-1),GroupAll,COLUMN(Groups!$B$4),0)),IF(ISNA(VLOOKUP($A11,AccountAll,COLUMN(TB!$B$4),0)),"Account Not Found",VLOOKUP($A11,AccountAll,COLUMN(TB!$B$4),0)))</f>
        <v>Investments</v>
      </c>
      <c r="C11" s="29" cm="1">
        <f t="array" aca="1" ref="C11" ca="1">IF(RIGHT($A11,1)="G",SUMIF(AccountAll,LEFT($A11,5)&amp;"*",AccountOpen),SUMIF(AccountAll,$A11,AccountOpen))</f>
        <v>150000</v>
      </c>
      <c r="D11" s="29" cm="1">
        <f t="array" aca="1" ref="D11" ca="1">C11+IF(RIGHT($A11,1)="G",-SUMIFS(IncExcl,IncDocDate,"&gt;="&amp;DATE(YEAR(D$4),MONTH(D$4),1),IncDocDate,"&lt;="&amp;D$4,IncAccount,LEFT($A11,5)&amp;"*")+SUMIFS(ExpExcl,ExpDocDate,"&gt;="&amp;DATE(YEAR(D$4),MONTH(D$4),1),ExpDocDate,"&lt;="&amp;D$4,ExpAccount,LEFT($A11,5)&amp;"*"),-SUMIFS(IncExcl,IncDocDate,"&gt;="&amp;DATE(YEAR(D$4),MONTH(D$4),1),IncDocDate,"&lt;="&amp;D$4,IncAccount,$A11)+SUMIFS(ExpExcl,ExpDocDate,"&gt;="&amp;DATE(YEAR(D$4),MONTH(D$4),1),ExpDocDate,"&lt;="&amp;D$4,ExpAccount,$A11))</f>
        <v>150000</v>
      </c>
      <c r="E11" s="29" cm="1">
        <f t="array" aca="1" ref="E11" ca="1">D11+IF(RIGHT($A11,1)="G",-SUMIFS(IncExcl,IncDocDate,"&gt;="&amp;DATE(YEAR(E$4),MONTH(E$4),1),IncDocDate,"&lt;="&amp;E$4,IncAccount,LEFT($A11,5)&amp;"*")+SUMIFS(ExpExcl,ExpDocDate,"&gt;="&amp;DATE(YEAR(E$4),MONTH(E$4),1),ExpDocDate,"&lt;="&amp;E$4,ExpAccount,LEFT($A11,5)&amp;"*"),-SUMIFS(IncExcl,IncDocDate,"&gt;="&amp;DATE(YEAR(E$4),MONTH(E$4),1),IncDocDate,"&lt;="&amp;E$4,IncAccount,$A11)+SUMIFS(ExpExcl,ExpDocDate,"&gt;="&amp;DATE(YEAR(E$4),MONTH(E$4),1),ExpDocDate,"&lt;="&amp;E$4,ExpAccount,$A11))</f>
        <v>150000</v>
      </c>
      <c r="F11" s="29" cm="1">
        <f t="array" aca="1" ref="F11" ca="1">E11+IF(RIGHT($A11,1)="G",-SUMIFS(IncExcl,IncDocDate,"&gt;="&amp;DATE(YEAR(F$4),MONTH(F$4),1),IncDocDate,"&lt;="&amp;F$4,IncAccount,LEFT($A11,5)&amp;"*")+SUMIFS(ExpExcl,ExpDocDate,"&gt;="&amp;DATE(YEAR(F$4),MONTH(F$4),1),ExpDocDate,"&lt;="&amp;F$4,ExpAccount,LEFT($A11,5)&amp;"*"),-SUMIFS(IncExcl,IncDocDate,"&gt;="&amp;DATE(YEAR(F$4),MONTH(F$4),1),IncDocDate,"&lt;="&amp;F$4,IncAccount,$A11)+SUMIFS(ExpExcl,ExpDocDate,"&gt;="&amp;DATE(YEAR(F$4),MONTH(F$4),1),ExpDocDate,"&lt;="&amp;F$4,ExpAccount,$A11))</f>
        <v>150000</v>
      </c>
      <c r="G11" s="29" cm="1">
        <f t="array" aca="1" ref="G11" ca="1">F11+IF(RIGHT($A11,1)="G",-SUMIFS(IncExcl,IncDocDate,"&gt;="&amp;DATE(YEAR(G$4),MONTH(G$4),1),IncDocDate,"&lt;="&amp;G$4,IncAccount,LEFT($A11,5)&amp;"*")+SUMIFS(ExpExcl,ExpDocDate,"&gt;="&amp;DATE(YEAR(G$4),MONTH(G$4),1),ExpDocDate,"&lt;="&amp;G$4,ExpAccount,LEFT($A11,5)&amp;"*"),-SUMIFS(IncExcl,IncDocDate,"&gt;="&amp;DATE(YEAR(G$4),MONTH(G$4),1),IncDocDate,"&lt;="&amp;G$4,IncAccount,$A11)+SUMIFS(ExpExcl,ExpDocDate,"&gt;="&amp;DATE(YEAR(G$4),MONTH(G$4),1),ExpDocDate,"&lt;="&amp;G$4,ExpAccount,$A11))</f>
        <v>150000</v>
      </c>
      <c r="H11" s="29" cm="1">
        <f t="array" aca="1" ref="H11" ca="1">G11+IF(RIGHT($A11,1)="G",-SUMIFS(IncExcl,IncDocDate,"&gt;="&amp;DATE(YEAR(H$4),MONTH(H$4),1),IncDocDate,"&lt;="&amp;H$4,IncAccount,LEFT($A11,5)&amp;"*")+SUMIFS(ExpExcl,ExpDocDate,"&gt;="&amp;DATE(YEAR(H$4),MONTH(H$4),1),ExpDocDate,"&lt;="&amp;H$4,ExpAccount,LEFT($A11,5)&amp;"*"),-SUMIFS(IncExcl,IncDocDate,"&gt;="&amp;DATE(YEAR(H$4),MONTH(H$4),1),IncDocDate,"&lt;="&amp;H$4,IncAccount,$A11)+SUMIFS(ExpExcl,ExpDocDate,"&gt;="&amp;DATE(YEAR(H$4),MONTH(H$4),1),ExpDocDate,"&lt;="&amp;H$4,ExpAccount,$A11))</f>
        <v>150000</v>
      </c>
      <c r="I11" s="29" cm="1">
        <f t="array" aca="1" ref="I11" ca="1">H11+IF(RIGHT($A11,1)="G",-SUMIFS(IncExcl,IncDocDate,"&gt;="&amp;DATE(YEAR(I$4),MONTH(I$4),1),IncDocDate,"&lt;="&amp;I$4,IncAccount,LEFT($A11,5)&amp;"*")+SUMIFS(ExpExcl,ExpDocDate,"&gt;="&amp;DATE(YEAR(I$4),MONTH(I$4),1),ExpDocDate,"&lt;="&amp;I$4,ExpAccount,LEFT($A11,5)&amp;"*"),-SUMIFS(IncExcl,IncDocDate,"&gt;="&amp;DATE(YEAR(I$4),MONTH(I$4),1),IncDocDate,"&lt;="&amp;I$4,IncAccount,$A11)+SUMIFS(ExpExcl,ExpDocDate,"&gt;="&amp;DATE(YEAR(I$4),MONTH(I$4),1),ExpDocDate,"&lt;="&amp;I$4,ExpAccount,$A11))</f>
        <v>180750</v>
      </c>
      <c r="J11" s="29" cm="1">
        <f t="array" aca="1" ref="J11" ca="1">I11+IF(RIGHT($A11,1)="G",-SUMIFS(IncExcl,IncDocDate,"&gt;="&amp;DATE(YEAR(J$4),MONTH(J$4),1),IncDocDate,"&lt;="&amp;J$4,IncAccount,LEFT($A11,5)&amp;"*")+SUMIFS(ExpExcl,ExpDocDate,"&gt;="&amp;DATE(YEAR(J$4),MONTH(J$4),1),ExpDocDate,"&lt;="&amp;J$4,ExpAccount,LEFT($A11,5)&amp;"*"),-SUMIFS(IncExcl,IncDocDate,"&gt;="&amp;DATE(YEAR(J$4),MONTH(J$4),1),IncDocDate,"&lt;="&amp;J$4,IncAccount,$A11)+SUMIFS(ExpExcl,ExpDocDate,"&gt;="&amp;DATE(YEAR(J$4),MONTH(J$4),1),ExpDocDate,"&lt;="&amp;J$4,ExpAccount,$A11))</f>
        <v>180750</v>
      </c>
      <c r="K11" s="29" cm="1">
        <f t="array" aca="1" ref="K11" ca="1">J11+IF(RIGHT($A11,1)="G",-SUMIFS(IncExcl,IncDocDate,"&gt;="&amp;DATE(YEAR(K$4),MONTH(K$4),1),IncDocDate,"&lt;="&amp;K$4,IncAccount,LEFT($A11,5)&amp;"*")+SUMIFS(ExpExcl,ExpDocDate,"&gt;="&amp;DATE(YEAR(K$4),MONTH(K$4),1),ExpDocDate,"&lt;="&amp;K$4,ExpAccount,LEFT($A11,5)&amp;"*"),-SUMIFS(IncExcl,IncDocDate,"&gt;="&amp;DATE(YEAR(K$4),MONTH(K$4),1),IncDocDate,"&lt;="&amp;K$4,IncAccount,$A11)+SUMIFS(ExpExcl,ExpDocDate,"&gt;="&amp;DATE(YEAR(K$4),MONTH(K$4),1),ExpDocDate,"&lt;="&amp;K$4,ExpAccount,$A11))</f>
        <v>180750</v>
      </c>
      <c r="L11" s="29" cm="1">
        <f t="array" aca="1" ref="L11" ca="1">K11+IF(RIGHT($A11,1)="G",-SUMIFS(IncExcl,IncDocDate,"&gt;="&amp;DATE(YEAR(L$4),MONTH(L$4),1),IncDocDate,"&lt;="&amp;L$4,IncAccount,LEFT($A11,5)&amp;"*")+SUMIFS(ExpExcl,ExpDocDate,"&gt;="&amp;DATE(YEAR(L$4),MONTH(L$4),1),ExpDocDate,"&lt;="&amp;L$4,ExpAccount,LEFT($A11,5)&amp;"*"),-SUMIFS(IncExcl,IncDocDate,"&gt;="&amp;DATE(YEAR(L$4),MONTH(L$4),1),IncDocDate,"&lt;="&amp;L$4,IncAccount,$A11)+SUMIFS(ExpExcl,ExpDocDate,"&gt;="&amp;DATE(YEAR(L$4),MONTH(L$4),1),ExpDocDate,"&lt;="&amp;L$4,ExpAccount,$A11))</f>
        <v>180750</v>
      </c>
      <c r="M11" s="29" cm="1">
        <f t="array" aca="1" ref="M11" ca="1">L11+IF(RIGHT($A11,1)="G",-SUMIFS(IncExcl,IncDocDate,"&gt;="&amp;DATE(YEAR(M$4),MONTH(M$4),1),IncDocDate,"&lt;="&amp;M$4,IncAccount,LEFT($A11,5)&amp;"*")+SUMIFS(ExpExcl,ExpDocDate,"&gt;="&amp;DATE(YEAR(M$4),MONTH(M$4),1),ExpDocDate,"&lt;="&amp;M$4,ExpAccount,LEFT($A11,5)&amp;"*"),-SUMIFS(IncExcl,IncDocDate,"&gt;="&amp;DATE(YEAR(M$4),MONTH(M$4),1),IncDocDate,"&lt;="&amp;M$4,IncAccount,$A11)+SUMIFS(ExpExcl,ExpDocDate,"&gt;="&amp;DATE(YEAR(M$4),MONTH(M$4),1),ExpDocDate,"&lt;="&amp;M$4,ExpAccount,$A11))</f>
        <v>180750</v>
      </c>
      <c r="N11" s="29" cm="1">
        <f t="array" aca="1" ref="N11" ca="1">M11+IF(RIGHT($A11,1)="G",-SUMIFS(IncExcl,IncDocDate,"&gt;="&amp;DATE(YEAR(N$4),MONTH(N$4),1),IncDocDate,"&lt;="&amp;N$4,IncAccount,LEFT($A11,5)&amp;"*")+SUMIFS(ExpExcl,ExpDocDate,"&gt;="&amp;DATE(YEAR(N$4),MONTH(N$4),1),ExpDocDate,"&lt;="&amp;N$4,ExpAccount,LEFT($A11,5)&amp;"*"),-SUMIFS(IncExcl,IncDocDate,"&gt;="&amp;DATE(YEAR(N$4),MONTH(N$4),1),IncDocDate,"&lt;="&amp;N$4,IncAccount,$A11)+SUMIFS(ExpExcl,ExpDocDate,"&gt;="&amp;DATE(YEAR(N$4),MONTH(N$4),1),ExpDocDate,"&lt;="&amp;N$4,ExpAccount,$A11))</f>
        <v>180750</v>
      </c>
      <c r="O11" s="29" cm="1">
        <f t="array" aca="1" ref="O11" ca="1">N11+IF(RIGHT($A11,1)="G",-SUMIFS(IncExcl,IncDocDate,"&gt;="&amp;DATE(YEAR(O$4),MONTH(O$4),1),IncDocDate,"&lt;="&amp;O$4,IncAccount,LEFT($A11,5)&amp;"*")+SUMIFS(ExpExcl,ExpDocDate,"&gt;="&amp;DATE(YEAR(O$4),MONTH(O$4),1),ExpDocDate,"&lt;="&amp;O$4,ExpAccount,LEFT($A11,5)&amp;"*"),-SUMIFS(IncExcl,IncDocDate,"&gt;="&amp;DATE(YEAR(O$4),MONTH(O$4),1),IncDocDate,"&lt;="&amp;O$4,IncAccount,$A11)+SUMIFS(ExpExcl,ExpDocDate,"&gt;="&amp;DATE(YEAR(O$4),MONTH(O$4),1),ExpDocDate,"&lt;="&amp;O$4,ExpAccount,$A11))</f>
        <v>180750</v>
      </c>
      <c r="P11" s="86">
        <f t="shared" ca="1" si="1"/>
        <v>180750</v>
      </c>
    </row>
    <row r="12" spans="1:16" ht="16" customHeight="1" thickBot="1" x14ac:dyDescent="0.3">
      <c r="C12" s="99">
        <f t="shared" ref="C12:P12" ca="1" si="2">SUM(C7:C11)</f>
        <v>417010</v>
      </c>
      <c r="D12" s="99">
        <f t="shared" ca="1" si="2"/>
        <v>417010</v>
      </c>
      <c r="E12" s="99">
        <f t="shared" ca="1" si="2"/>
        <v>432460</v>
      </c>
      <c r="F12" s="99">
        <f t="shared" ca="1" si="2"/>
        <v>432460</v>
      </c>
      <c r="G12" s="99">
        <f t="shared" ca="1" si="2"/>
        <v>432460</v>
      </c>
      <c r="H12" s="99">
        <f t="shared" ca="1" si="2"/>
        <v>432460</v>
      </c>
      <c r="I12" s="99">
        <f t="shared" ca="1" si="2"/>
        <v>463210</v>
      </c>
      <c r="J12" s="99">
        <f t="shared" ca="1" si="2"/>
        <v>463210</v>
      </c>
      <c r="K12" s="99">
        <f t="shared" ca="1" si="2"/>
        <v>463210</v>
      </c>
      <c r="L12" s="99">
        <f t="shared" ca="1" si="2"/>
        <v>463210</v>
      </c>
      <c r="M12" s="99">
        <f t="shared" ca="1" si="2"/>
        <v>463210</v>
      </c>
      <c r="N12" s="99">
        <f t="shared" ca="1" si="2"/>
        <v>463210</v>
      </c>
      <c r="O12" s="99">
        <f t="shared" ca="1" si="2"/>
        <v>428268</v>
      </c>
      <c r="P12" s="87">
        <f t="shared" ca="1" si="2"/>
        <v>428268</v>
      </c>
    </row>
    <row r="13" spans="1:16" ht="16" customHeight="1" x14ac:dyDescent="0.25">
      <c r="B13" s="51" t="s">
        <v>212</v>
      </c>
      <c r="C13" s="29"/>
      <c r="D13" s="29"/>
      <c r="H13" s="29"/>
      <c r="I13" s="29"/>
      <c r="J13" s="29"/>
      <c r="K13" s="29"/>
      <c r="L13" s="29"/>
      <c r="M13" s="29"/>
      <c r="N13" s="29"/>
      <c r="O13" s="29"/>
      <c r="P13" s="86"/>
    </row>
    <row r="14" spans="1:16" ht="16" customHeight="1" x14ac:dyDescent="0.25">
      <c r="A14" s="180" t="s">
        <v>267</v>
      </c>
      <c r="B14" s="17" t="str">
        <f ca="1">IF(RIGHT($A14,1)="G",IF(ISNA(VLOOKUP(LEFT($A14,LEN($A14)-1),GroupAll,COLUMN(Groups!$B$4),0)),"Group Not Found",VLOOKUP(LEFT($A14,LEN($A14)-1),GroupAll,COLUMN(Groups!$B$4),0)),IF(ISNA(VLOOKUP($A14,AccountAll,COLUMN(TB!$B$4),0)),"Account Not Found",VLOOKUP($A14,AccountAll,COLUMN(TB!$B$4),0)))</f>
        <v>Trade Debtors</v>
      </c>
      <c r="C14" s="29" cm="1">
        <f t="array" aca="1" ref="C14" ca="1">IF(RIGHT($A14,1)="G",SUMIF(AccountAll,LEFT($A14,5)&amp;"*",AccountOpen),SUMIF(AccountAll,$A14,AccountOpen))</f>
        <v>146376</v>
      </c>
      <c r="D14" s="29">
        <f t="shared" ref="D14:O14" ca="1" si="3">SUMIFS(IncIncl,IncDocDate,"&lt;="&amp;D$4)-SUMIFS(IncPayAmount,IncDocDate,"&lt;="&amp;D$4,IncPayDate,"&lt;="&amp;D$4)</f>
        <v>150398.09999999998</v>
      </c>
      <c r="E14" s="29">
        <f t="shared" ca="1" si="3"/>
        <v>167815.5</v>
      </c>
      <c r="F14" s="29">
        <f t="shared" ca="1" si="3"/>
        <v>118792</v>
      </c>
      <c r="G14" s="29">
        <f t="shared" ca="1" si="3"/>
        <v>178021</v>
      </c>
      <c r="H14" s="29">
        <f t="shared" ca="1" si="3"/>
        <v>39780</v>
      </c>
      <c r="I14" s="29">
        <f t="shared" ca="1" si="3"/>
        <v>168565.5</v>
      </c>
      <c r="J14" s="29">
        <f t="shared" ca="1" si="3"/>
        <v>145280</v>
      </c>
      <c r="K14" s="29">
        <f t="shared" ca="1" si="3"/>
        <v>162725</v>
      </c>
      <c r="L14" s="29">
        <f t="shared" ca="1" si="3"/>
        <v>245493</v>
      </c>
      <c r="M14" s="29">
        <f t="shared" ca="1" si="3"/>
        <v>210690</v>
      </c>
      <c r="N14" s="29">
        <f t="shared" ca="1" si="3"/>
        <v>157310</v>
      </c>
      <c r="O14" s="29">
        <f t="shared" ca="1" si="3"/>
        <v>93060</v>
      </c>
      <c r="P14" s="86">
        <f t="shared" ref="P14:P22" ca="1" si="4">O14</f>
        <v>93060</v>
      </c>
    </row>
    <row r="15" spans="1:16" ht="16" customHeight="1" x14ac:dyDescent="0.25">
      <c r="A15" s="178" t="s">
        <v>268</v>
      </c>
      <c r="B15" s="17" t="str">
        <f ca="1">IF(RIGHT($A15,1)="G",IF(ISNA(VLOOKUP(LEFT($A15,LEN($A15)-1),GroupAll,COLUMN(Groups!$B$4),0)),"Group Not Found",VLOOKUP(LEFT($A15,LEN($A15)-1),GroupAll,COLUMN(Groups!$B$4),0)),IF(ISNA(VLOOKUP($A15,AccountAll,COLUMN(TB!$B$4),0)),"Account Not Found",VLOOKUP($A15,AccountAll,COLUMN(TB!$B$4),0)))</f>
        <v>Loans &amp; Advances</v>
      </c>
      <c r="C15" s="29" cm="1">
        <f t="array" aca="1" ref="C15" ca="1">IF(RIGHT($A15,1)="G",SUMIF(AccountAll,LEFT($A15,5)&amp;"*",AccountOpen),SUMIF(AccountAll,$A15,AccountOpen))</f>
        <v>12000</v>
      </c>
      <c r="D15" s="29" cm="1">
        <f t="array" aca="1" ref="D15" ca="1">C15+IF(RIGHT($A15,1)="G",-SUMIFS(IncExcl,IncDocDate,"&gt;="&amp;DATE(YEAR(D$4),MONTH(D$4),1),IncDocDate,"&lt;="&amp;D$4,IncAccount,LEFT($A15,5)&amp;"*")+SUMIFS(ExpExcl,ExpDocDate,"&gt;="&amp;DATE(YEAR(D$4),MONTH(D$4),1),ExpDocDate,"&lt;="&amp;D$4,ExpAccount,LEFT($A15,5)&amp;"*"),-SUMIFS(IncExcl,IncDocDate,"&gt;="&amp;DATE(YEAR(D$4),MONTH(D$4),1),IncDocDate,"&lt;="&amp;D$4,IncAccount,$A15)+SUMIFS(ExpExcl,ExpDocDate,"&gt;="&amp;DATE(YEAR(D$4),MONTH(D$4),1),ExpDocDate,"&lt;="&amp;D$4,ExpAccount,$A15))</f>
        <v>0</v>
      </c>
      <c r="E15" s="29" cm="1">
        <f t="array" aca="1" ref="E15" ca="1">D15+IF(RIGHT($A15,1)="G",-SUMIFS(IncExcl,IncDocDate,"&gt;="&amp;DATE(YEAR(E$4),MONTH(E$4),1),IncDocDate,"&lt;="&amp;E$4,IncAccount,LEFT($A15,5)&amp;"*")+SUMIFS(ExpExcl,ExpDocDate,"&gt;="&amp;DATE(YEAR(E$4),MONTH(E$4),1),ExpDocDate,"&lt;="&amp;E$4,ExpAccount,LEFT($A15,5)&amp;"*"),-SUMIFS(IncExcl,IncDocDate,"&gt;="&amp;DATE(YEAR(E$4),MONTH(E$4),1),IncDocDate,"&lt;="&amp;E$4,IncAccount,$A15)+SUMIFS(ExpExcl,ExpDocDate,"&gt;="&amp;DATE(YEAR(E$4),MONTH(E$4),1),ExpDocDate,"&lt;="&amp;E$4,ExpAccount,$A15))</f>
        <v>0</v>
      </c>
      <c r="F15" s="29" cm="1">
        <f t="array" aca="1" ref="F15" ca="1">E15+IF(RIGHT($A15,1)="G",-SUMIFS(IncExcl,IncDocDate,"&gt;="&amp;DATE(YEAR(F$4),MONTH(F$4),1),IncDocDate,"&lt;="&amp;F$4,IncAccount,LEFT($A15,5)&amp;"*")+SUMIFS(ExpExcl,ExpDocDate,"&gt;="&amp;DATE(YEAR(F$4),MONTH(F$4),1),ExpDocDate,"&lt;="&amp;F$4,ExpAccount,LEFT($A15,5)&amp;"*"),-SUMIFS(IncExcl,IncDocDate,"&gt;="&amp;DATE(YEAR(F$4),MONTH(F$4),1),IncDocDate,"&lt;="&amp;F$4,IncAccount,$A15)+SUMIFS(ExpExcl,ExpDocDate,"&gt;="&amp;DATE(YEAR(F$4),MONTH(F$4),1),ExpDocDate,"&lt;="&amp;F$4,ExpAccount,$A15))</f>
        <v>0</v>
      </c>
      <c r="G15" s="29" cm="1">
        <f t="array" aca="1" ref="G15" ca="1">F15+IF(RIGHT($A15,1)="G",-SUMIFS(IncExcl,IncDocDate,"&gt;="&amp;DATE(YEAR(G$4),MONTH(G$4),1),IncDocDate,"&lt;="&amp;G$4,IncAccount,LEFT($A15,5)&amp;"*")+SUMIFS(ExpExcl,ExpDocDate,"&gt;="&amp;DATE(YEAR(G$4),MONTH(G$4),1),ExpDocDate,"&lt;="&amp;G$4,ExpAccount,LEFT($A15,5)&amp;"*"),-SUMIFS(IncExcl,IncDocDate,"&gt;="&amp;DATE(YEAR(G$4),MONTH(G$4),1),IncDocDate,"&lt;="&amp;G$4,IncAccount,$A15)+SUMIFS(ExpExcl,ExpDocDate,"&gt;="&amp;DATE(YEAR(G$4),MONTH(G$4),1),ExpDocDate,"&lt;="&amp;G$4,ExpAccount,$A15))</f>
        <v>0</v>
      </c>
      <c r="H15" s="29" cm="1">
        <f t="array" aca="1" ref="H15" ca="1">G15+IF(RIGHT($A15,1)="G",-SUMIFS(IncExcl,IncDocDate,"&gt;="&amp;DATE(YEAR(H$4),MONTH(H$4),1),IncDocDate,"&lt;="&amp;H$4,IncAccount,LEFT($A15,5)&amp;"*")+SUMIFS(ExpExcl,ExpDocDate,"&gt;="&amp;DATE(YEAR(H$4),MONTH(H$4),1),ExpDocDate,"&lt;="&amp;H$4,ExpAccount,LEFT($A15,5)&amp;"*"),-SUMIFS(IncExcl,IncDocDate,"&gt;="&amp;DATE(YEAR(H$4),MONTH(H$4),1),IncDocDate,"&lt;="&amp;H$4,IncAccount,$A15)+SUMIFS(ExpExcl,ExpDocDate,"&gt;="&amp;DATE(YEAR(H$4),MONTH(H$4),1),ExpDocDate,"&lt;="&amp;H$4,ExpAccount,$A15))</f>
        <v>0</v>
      </c>
      <c r="I15" s="29" cm="1">
        <f t="array" aca="1" ref="I15" ca="1">H15+IF(RIGHT($A15,1)="G",-SUMIFS(IncExcl,IncDocDate,"&gt;="&amp;DATE(YEAR(I$4),MONTH(I$4),1),IncDocDate,"&lt;="&amp;I$4,IncAccount,LEFT($A15,5)&amp;"*")+SUMIFS(ExpExcl,ExpDocDate,"&gt;="&amp;DATE(YEAR(I$4),MONTH(I$4),1),ExpDocDate,"&lt;="&amp;I$4,ExpAccount,LEFT($A15,5)&amp;"*"),-SUMIFS(IncExcl,IncDocDate,"&gt;="&amp;DATE(YEAR(I$4),MONTH(I$4),1),IncDocDate,"&lt;="&amp;I$4,IncAccount,$A15)+SUMIFS(ExpExcl,ExpDocDate,"&gt;="&amp;DATE(YEAR(I$4),MONTH(I$4),1),ExpDocDate,"&lt;="&amp;I$4,ExpAccount,$A15))</f>
        <v>0</v>
      </c>
      <c r="J15" s="29" cm="1">
        <f t="array" aca="1" ref="J15" ca="1">I15+IF(RIGHT($A15,1)="G",-SUMIFS(IncExcl,IncDocDate,"&gt;="&amp;DATE(YEAR(J$4),MONTH(J$4),1),IncDocDate,"&lt;="&amp;J$4,IncAccount,LEFT($A15,5)&amp;"*")+SUMIFS(ExpExcl,ExpDocDate,"&gt;="&amp;DATE(YEAR(J$4),MONTH(J$4),1),ExpDocDate,"&lt;="&amp;J$4,ExpAccount,LEFT($A15,5)&amp;"*"),-SUMIFS(IncExcl,IncDocDate,"&gt;="&amp;DATE(YEAR(J$4),MONTH(J$4),1),IncDocDate,"&lt;="&amp;J$4,IncAccount,$A15)+SUMIFS(ExpExcl,ExpDocDate,"&gt;="&amp;DATE(YEAR(J$4),MONTH(J$4),1),ExpDocDate,"&lt;="&amp;J$4,ExpAccount,$A15))</f>
        <v>0</v>
      </c>
      <c r="K15" s="29" cm="1">
        <f t="array" aca="1" ref="K15" ca="1">J15+IF(RIGHT($A15,1)="G",-SUMIFS(IncExcl,IncDocDate,"&gt;="&amp;DATE(YEAR(K$4),MONTH(K$4),1),IncDocDate,"&lt;="&amp;K$4,IncAccount,LEFT($A15,5)&amp;"*")+SUMIFS(ExpExcl,ExpDocDate,"&gt;="&amp;DATE(YEAR(K$4),MONTH(K$4),1),ExpDocDate,"&lt;="&amp;K$4,ExpAccount,LEFT($A15,5)&amp;"*"),-SUMIFS(IncExcl,IncDocDate,"&gt;="&amp;DATE(YEAR(K$4),MONTH(K$4),1),IncDocDate,"&lt;="&amp;K$4,IncAccount,$A15)+SUMIFS(ExpExcl,ExpDocDate,"&gt;="&amp;DATE(YEAR(K$4),MONTH(K$4),1),ExpDocDate,"&lt;="&amp;K$4,ExpAccount,$A15))</f>
        <v>0</v>
      </c>
      <c r="L15" s="29" cm="1">
        <f t="array" aca="1" ref="L15" ca="1">K15+IF(RIGHT($A15,1)="G",-SUMIFS(IncExcl,IncDocDate,"&gt;="&amp;DATE(YEAR(L$4),MONTH(L$4),1),IncDocDate,"&lt;="&amp;L$4,IncAccount,LEFT($A15,5)&amp;"*")+SUMIFS(ExpExcl,ExpDocDate,"&gt;="&amp;DATE(YEAR(L$4),MONTH(L$4),1),ExpDocDate,"&lt;="&amp;L$4,ExpAccount,LEFT($A15,5)&amp;"*"),-SUMIFS(IncExcl,IncDocDate,"&gt;="&amp;DATE(YEAR(L$4),MONTH(L$4),1),IncDocDate,"&lt;="&amp;L$4,IncAccount,$A15)+SUMIFS(ExpExcl,ExpDocDate,"&gt;="&amp;DATE(YEAR(L$4),MONTH(L$4),1),ExpDocDate,"&lt;="&amp;L$4,ExpAccount,$A15))</f>
        <v>0</v>
      </c>
      <c r="M15" s="29" cm="1">
        <f t="array" aca="1" ref="M15" ca="1">L15+IF(RIGHT($A15,1)="G",-SUMIFS(IncExcl,IncDocDate,"&gt;="&amp;DATE(YEAR(M$4),MONTH(M$4),1),IncDocDate,"&lt;="&amp;M$4,IncAccount,LEFT($A15,5)&amp;"*")+SUMIFS(ExpExcl,ExpDocDate,"&gt;="&amp;DATE(YEAR(M$4),MONTH(M$4),1),ExpDocDate,"&lt;="&amp;M$4,ExpAccount,LEFT($A15,5)&amp;"*"),-SUMIFS(IncExcl,IncDocDate,"&gt;="&amp;DATE(YEAR(M$4),MONTH(M$4),1),IncDocDate,"&lt;="&amp;M$4,IncAccount,$A15)+SUMIFS(ExpExcl,ExpDocDate,"&gt;="&amp;DATE(YEAR(M$4),MONTH(M$4),1),ExpDocDate,"&lt;="&amp;M$4,ExpAccount,$A15))</f>
        <v>0</v>
      </c>
      <c r="N15" s="29" cm="1">
        <f t="array" aca="1" ref="N15" ca="1">M15+IF(RIGHT($A15,1)="G",-SUMIFS(IncExcl,IncDocDate,"&gt;="&amp;DATE(YEAR(N$4),MONTH(N$4),1),IncDocDate,"&lt;="&amp;N$4,IncAccount,LEFT($A15,5)&amp;"*")+SUMIFS(ExpExcl,ExpDocDate,"&gt;="&amp;DATE(YEAR(N$4),MONTH(N$4),1),ExpDocDate,"&lt;="&amp;N$4,ExpAccount,LEFT($A15,5)&amp;"*"),-SUMIFS(IncExcl,IncDocDate,"&gt;="&amp;DATE(YEAR(N$4),MONTH(N$4),1),IncDocDate,"&lt;="&amp;N$4,IncAccount,$A15)+SUMIFS(ExpExcl,ExpDocDate,"&gt;="&amp;DATE(YEAR(N$4),MONTH(N$4),1),ExpDocDate,"&lt;="&amp;N$4,ExpAccount,$A15))</f>
        <v>0</v>
      </c>
      <c r="O15" s="29" cm="1">
        <f t="array" aca="1" ref="O15" ca="1">N15+IF(RIGHT($A15,1)="G",-SUMIFS(IncExcl,IncDocDate,"&gt;="&amp;DATE(YEAR(O$4),MONTH(O$4),1),IncDocDate,"&lt;="&amp;O$4,IncAccount,LEFT($A15,5)&amp;"*")+SUMIFS(ExpExcl,ExpDocDate,"&gt;="&amp;DATE(YEAR(O$4),MONTH(O$4),1),ExpDocDate,"&lt;="&amp;O$4,ExpAccount,LEFT($A15,5)&amp;"*"),-SUMIFS(IncExcl,IncDocDate,"&gt;="&amp;DATE(YEAR(O$4),MONTH(O$4),1),IncDocDate,"&lt;="&amp;O$4,IncAccount,$A15)+SUMIFS(ExpExcl,ExpDocDate,"&gt;="&amp;DATE(YEAR(O$4),MONTH(O$4),1),ExpDocDate,"&lt;="&amp;O$4,ExpAccount,$A15))</f>
        <v>0</v>
      </c>
      <c r="P15" s="86">
        <f t="shared" ca="1" si="4"/>
        <v>0</v>
      </c>
    </row>
    <row r="16" spans="1:16" ht="16" customHeight="1" x14ac:dyDescent="0.25">
      <c r="A16" s="178" t="s">
        <v>271</v>
      </c>
      <c r="B16" s="17" t="str">
        <f ca="1">IF(RIGHT($A16,1)="G",IF(ISNA(VLOOKUP(LEFT($A16,LEN($A16)-1),GroupAll,COLUMN(Groups!$B$4),0)),"Group Not Found",VLOOKUP(LEFT($A16,LEN($A16)-1),GroupAll,COLUMN(Groups!$B$4),0)),IF(ISNA(VLOOKUP($A16,AccountAll,COLUMN(TB!$B$4),0)),"Account Not Found",VLOOKUP($A16,AccountAll,COLUMN(TB!$B$4),0)))</f>
        <v>Other Debtors</v>
      </c>
      <c r="C16" s="29" cm="1">
        <f t="array" aca="1" ref="C16" ca="1">IF(RIGHT($A16,1)="G",SUMIF(AccountAll,LEFT($A16,5)&amp;"*",AccountOpen),SUMIF(AccountAll,$A16,AccountOpen))</f>
        <v>15000</v>
      </c>
      <c r="D16" s="29" cm="1">
        <f t="array" aca="1" ref="D16" ca="1">C16+IF(RIGHT($A16,1)="G",-SUMIFS(IncExcl,IncDocDate,"&gt;="&amp;DATE(YEAR(D$4),MONTH(D$4),1),IncDocDate,"&lt;="&amp;D$4,IncAccount,LEFT($A16,5)&amp;"*")+SUMIFS(ExpExcl,ExpDocDate,"&gt;="&amp;DATE(YEAR(D$4),MONTH(D$4),1),ExpDocDate,"&lt;="&amp;D$4,ExpAccount,LEFT($A16,5)&amp;"*"),-SUMIFS(IncExcl,IncDocDate,"&gt;="&amp;DATE(YEAR(D$4),MONTH(D$4),1),IncDocDate,"&lt;="&amp;D$4,IncAccount,$A16)+SUMIFS(ExpExcl,ExpDocDate,"&gt;="&amp;DATE(YEAR(D$4),MONTH(D$4),1),ExpDocDate,"&lt;="&amp;D$4,ExpAccount,$A16))</f>
        <v>15000</v>
      </c>
      <c r="E16" s="29" cm="1">
        <f t="array" aca="1" ref="E16" ca="1">D16+IF(RIGHT($A16,1)="G",-SUMIFS(IncExcl,IncDocDate,"&gt;="&amp;DATE(YEAR(E$4),MONTH(E$4),1),IncDocDate,"&lt;="&amp;E$4,IncAccount,LEFT($A16,5)&amp;"*")+SUMIFS(ExpExcl,ExpDocDate,"&gt;="&amp;DATE(YEAR(E$4),MONTH(E$4),1),ExpDocDate,"&lt;="&amp;E$4,ExpAccount,LEFT($A16,5)&amp;"*"),-SUMIFS(IncExcl,IncDocDate,"&gt;="&amp;DATE(YEAR(E$4),MONTH(E$4),1),IncDocDate,"&lt;="&amp;E$4,IncAccount,$A16)+SUMIFS(ExpExcl,ExpDocDate,"&gt;="&amp;DATE(YEAR(E$4),MONTH(E$4),1),ExpDocDate,"&lt;="&amp;E$4,ExpAccount,$A16))</f>
        <v>0</v>
      </c>
      <c r="F16" s="29" cm="1">
        <f t="array" aca="1" ref="F16" ca="1">E16+IF(RIGHT($A16,1)="G",-SUMIFS(IncExcl,IncDocDate,"&gt;="&amp;DATE(YEAR(F$4),MONTH(F$4),1),IncDocDate,"&lt;="&amp;F$4,IncAccount,LEFT($A16,5)&amp;"*")+SUMIFS(ExpExcl,ExpDocDate,"&gt;="&amp;DATE(YEAR(F$4),MONTH(F$4),1),ExpDocDate,"&lt;="&amp;F$4,ExpAccount,LEFT($A16,5)&amp;"*"),-SUMIFS(IncExcl,IncDocDate,"&gt;="&amp;DATE(YEAR(F$4),MONTH(F$4),1),IncDocDate,"&lt;="&amp;F$4,IncAccount,$A16)+SUMIFS(ExpExcl,ExpDocDate,"&gt;="&amp;DATE(YEAR(F$4),MONTH(F$4),1),ExpDocDate,"&lt;="&amp;F$4,ExpAccount,$A16))</f>
        <v>0</v>
      </c>
      <c r="G16" s="29" cm="1">
        <f t="array" aca="1" ref="G16" ca="1">F16+IF(RIGHT($A16,1)="G",-SUMIFS(IncExcl,IncDocDate,"&gt;="&amp;DATE(YEAR(G$4),MONTH(G$4),1),IncDocDate,"&lt;="&amp;G$4,IncAccount,LEFT($A16,5)&amp;"*")+SUMIFS(ExpExcl,ExpDocDate,"&gt;="&amp;DATE(YEAR(G$4),MONTH(G$4),1),ExpDocDate,"&lt;="&amp;G$4,ExpAccount,LEFT($A16,5)&amp;"*"),-SUMIFS(IncExcl,IncDocDate,"&gt;="&amp;DATE(YEAR(G$4),MONTH(G$4),1),IncDocDate,"&lt;="&amp;G$4,IncAccount,$A16)+SUMIFS(ExpExcl,ExpDocDate,"&gt;="&amp;DATE(YEAR(G$4),MONTH(G$4),1),ExpDocDate,"&lt;="&amp;G$4,ExpAccount,$A16))</f>
        <v>0</v>
      </c>
      <c r="H16" s="29" cm="1">
        <f t="array" aca="1" ref="H16" ca="1">G16+IF(RIGHT($A16,1)="G",-SUMIFS(IncExcl,IncDocDate,"&gt;="&amp;DATE(YEAR(H$4),MONTH(H$4),1),IncDocDate,"&lt;="&amp;H$4,IncAccount,LEFT($A16,5)&amp;"*")+SUMIFS(ExpExcl,ExpDocDate,"&gt;="&amp;DATE(YEAR(H$4),MONTH(H$4),1),ExpDocDate,"&lt;="&amp;H$4,ExpAccount,LEFT($A16,5)&amp;"*"),-SUMIFS(IncExcl,IncDocDate,"&gt;="&amp;DATE(YEAR(H$4),MONTH(H$4),1),IncDocDate,"&lt;="&amp;H$4,IncAccount,$A16)+SUMIFS(ExpExcl,ExpDocDate,"&gt;="&amp;DATE(YEAR(H$4),MONTH(H$4),1),ExpDocDate,"&lt;="&amp;H$4,ExpAccount,$A16))</f>
        <v>0</v>
      </c>
      <c r="I16" s="29" cm="1">
        <f t="array" aca="1" ref="I16" ca="1">H16+IF(RIGHT($A16,1)="G",-SUMIFS(IncExcl,IncDocDate,"&gt;="&amp;DATE(YEAR(I$4),MONTH(I$4),1),IncDocDate,"&lt;="&amp;I$4,IncAccount,LEFT($A16,5)&amp;"*")+SUMIFS(ExpExcl,ExpDocDate,"&gt;="&amp;DATE(YEAR(I$4),MONTH(I$4),1),ExpDocDate,"&lt;="&amp;I$4,ExpAccount,LEFT($A16,5)&amp;"*"),-SUMIFS(IncExcl,IncDocDate,"&gt;="&amp;DATE(YEAR(I$4),MONTH(I$4),1),IncDocDate,"&lt;="&amp;I$4,IncAccount,$A16)+SUMIFS(ExpExcl,ExpDocDate,"&gt;="&amp;DATE(YEAR(I$4),MONTH(I$4),1),ExpDocDate,"&lt;="&amp;I$4,ExpAccount,$A16))</f>
        <v>0</v>
      </c>
      <c r="J16" s="29" cm="1">
        <f t="array" aca="1" ref="J16" ca="1">I16+IF(RIGHT($A16,1)="G",-SUMIFS(IncExcl,IncDocDate,"&gt;="&amp;DATE(YEAR(J$4),MONTH(J$4),1),IncDocDate,"&lt;="&amp;J$4,IncAccount,LEFT($A16,5)&amp;"*")+SUMIFS(ExpExcl,ExpDocDate,"&gt;="&amp;DATE(YEAR(J$4),MONTH(J$4),1),ExpDocDate,"&lt;="&amp;J$4,ExpAccount,LEFT($A16,5)&amp;"*"),-SUMIFS(IncExcl,IncDocDate,"&gt;="&amp;DATE(YEAR(J$4),MONTH(J$4),1),IncDocDate,"&lt;="&amp;J$4,IncAccount,$A16)+SUMIFS(ExpExcl,ExpDocDate,"&gt;="&amp;DATE(YEAR(J$4),MONTH(J$4),1),ExpDocDate,"&lt;="&amp;J$4,ExpAccount,$A16))</f>
        <v>0</v>
      </c>
      <c r="K16" s="29" cm="1">
        <f t="array" aca="1" ref="K16" ca="1">J16+IF(RIGHT($A16,1)="G",-SUMIFS(IncExcl,IncDocDate,"&gt;="&amp;DATE(YEAR(K$4),MONTH(K$4),1),IncDocDate,"&lt;="&amp;K$4,IncAccount,LEFT($A16,5)&amp;"*")+SUMIFS(ExpExcl,ExpDocDate,"&gt;="&amp;DATE(YEAR(K$4),MONTH(K$4),1),ExpDocDate,"&lt;="&amp;K$4,ExpAccount,LEFT($A16,5)&amp;"*"),-SUMIFS(IncExcl,IncDocDate,"&gt;="&amp;DATE(YEAR(K$4),MONTH(K$4),1),IncDocDate,"&lt;="&amp;K$4,IncAccount,$A16)+SUMIFS(ExpExcl,ExpDocDate,"&gt;="&amp;DATE(YEAR(K$4),MONTH(K$4),1),ExpDocDate,"&lt;="&amp;K$4,ExpAccount,$A16))</f>
        <v>0</v>
      </c>
      <c r="L16" s="29" cm="1">
        <f t="array" aca="1" ref="L16" ca="1">K16+IF(RIGHT($A16,1)="G",-SUMIFS(IncExcl,IncDocDate,"&gt;="&amp;DATE(YEAR(L$4),MONTH(L$4),1),IncDocDate,"&lt;="&amp;L$4,IncAccount,LEFT($A16,5)&amp;"*")+SUMIFS(ExpExcl,ExpDocDate,"&gt;="&amp;DATE(YEAR(L$4),MONTH(L$4),1),ExpDocDate,"&lt;="&amp;L$4,ExpAccount,LEFT($A16,5)&amp;"*"),-SUMIFS(IncExcl,IncDocDate,"&gt;="&amp;DATE(YEAR(L$4),MONTH(L$4),1),IncDocDate,"&lt;="&amp;L$4,IncAccount,$A16)+SUMIFS(ExpExcl,ExpDocDate,"&gt;="&amp;DATE(YEAR(L$4),MONTH(L$4),1),ExpDocDate,"&lt;="&amp;L$4,ExpAccount,$A16))</f>
        <v>0</v>
      </c>
      <c r="M16" s="29" cm="1">
        <f t="array" aca="1" ref="M16" ca="1">L16+IF(RIGHT($A16,1)="G",-SUMIFS(IncExcl,IncDocDate,"&gt;="&amp;DATE(YEAR(M$4),MONTH(M$4),1),IncDocDate,"&lt;="&amp;M$4,IncAccount,LEFT($A16,5)&amp;"*")+SUMIFS(ExpExcl,ExpDocDate,"&gt;="&amp;DATE(YEAR(M$4),MONTH(M$4),1),ExpDocDate,"&lt;="&amp;M$4,ExpAccount,LEFT($A16,5)&amp;"*"),-SUMIFS(IncExcl,IncDocDate,"&gt;="&amp;DATE(YEAR(M$4),MONTH(M$4),1),IncDocDate,"&lt;="&amp;M$4,IncAccount,$A16)+SUMIFS(ExpExcl,ExpDocDate,"&gt;="&amp;DATE(YEAR(M$4),MONTH(M$4),1),ExpDocDate,"&lt;="&amp;M$4,ExpAccount,$A16))</f>
        <v>0</v>
      </c>
      <c r="N16" s="29" cm="1">
        <f t="array" aca="1" ref="N16" ca="1">M16+IF(RIGHT($A16,1)="G",-SUMIFS(IncExcl,IncDocDate,"&gt;="&amp;DATE(YEAR(N$4),MONTH(N$4),1),IncDocDate,"&lt;="&amp;N$4,IncAccount,LEFT($A16,5)&amp;"*")+SUMIFS(ExpExcl,ExpDocDate,"&gt;="&amp;DATE(YEAR(N$4),MONTH(N$4),1),ExpDocDate,"&lt;="&amp;N$4,ExpAccount,LEFT($A16,5)&amp;"*"),-SUMIFS(IncExcl,IncDocDate,"&gt;="&amp;DATE(YEAR(N$4),MONTH(N$4),1),IncDocDate,"&lt;="&amp;N$4,IncAccount,$A16)+SUMIFS(ExpExcl,ExpDocDate,"&gt;="&amp;DATE(YEAR(N$4),MONTH(N$4),1),ExpDocDate,"&lt;="&amp;N$4,ExpAccount,$A16))</f>
        <v>0</v>
      </c>
      <c r="O16" s="29" cm="1">
        <f t="array" aca="1" ref="O16" ca="1">N16+IF(RIGHT($A16,1)="G",-SUMIFS(IncExcl,IncDocDate,"&gt;="&amp;DATE(YEAR(O$4),MONTH(O$4),1),IncDocDate,"&lt;="&amp;O$4,IncAccount,LEFT($A16,5)&amp;"*")+SUMIFS(ExpExcl,ExpDocDate,"&gt;="&amp;DATE(YEAR(O$4),MONTH(O$4),1),ExpDocDate,"&lt;="&amp;O$4,ExpAccount,LEFT($A16,5)&amp;"*"),-SUMIFS(IncExcl,IncDocDate,"&gt;="&amp;DATE(YEAR(O$4),MONTH(O$4),1),IncDocDate,"&lt;="&amp;O$4,IncAccount,$A16)+SUMIFS(ExpExcl,ExpDocDate,"&gt;="&amp;DATE(YEAR(O$4),MONTH(O$4),1),ExpDocDate,"&lt;="&amp;O$4,ExpAccount,$A16))</f>
        <v>0</v>
      </c>
      <c r="P16" s="86">
        <f t="shared" ca="1" si="4"/>
        <v>0</v>
      </c>
    </row>
    <row r="17" spans="1:16" ht="16" customHeight="1" x14ac:dyDescent="0.25">
      <c r="A17" s="180" t="str">
        <f ca="1">"BS-B"&amp;IF(ROW($B17)-ROW($B$17)+1&gt;COUNTA(BankCode),"X",OFFSET(Setup!$A$24,1+ROW($B17)-ROW($B$17),0,1,1))</f>
        <v>BS-BB1</v>
      </c>
      <c r="B17" s="17" t="str">
        <f ca="1">IF(RIGHT($A17,1)="G",IF(ISNA(VLOOKUP(LEFT($A17,LEN($A17)-1),GroupAll,COLUMN(Groups!$B$4),0)),"Group Not Found",VLOOKUP(LEFT($A17,LEN($A17)-1),GroupAll,COLUMN(Groups!$B$4),0)),IF(ISNA(VLOOKUP($A17,AccountAll,COLUMN(TB!$B$4),0)),"Account Not Found",VLOOKUP($A17,AccountAll,COLUMN(TB!$B$4),0)))</f>
        <v>B1 Bank Account</v>
      </c>
      <c r="C17" s="29" cm="1">
        <f t="array" aca="1" ref="C17" ca="1">IF(RIGHT($A17,1)="G",SUMIF(AccountAll,LEFT($A17,5)&amp;"*",AccountOpen),SUMIF(AccountAll,$A17,AccountOpen))</f>
        <v>45250.5</v>
      </c>
      <c r="D17" s="29">
        <f t="shared" ref="D17:O21" ca="1" si="5">SUMIFS(IncPayAmount,IncPayDate,"&lt;="&amp;D$4,IncPayDate,"&lt;&gt;",IncBank,MID($A17,5,LEN($A17)-4))-SUMIFS(ExpIncl,ExpPayDate,"&lt;="&amp;D$4,ExpPayDate,"&lt;&gt;",ExpBank,MID($A17,5,LEN($A17)-4))</f>
        <v>113782.29</v>
      </c>
      <c r="E17" s="29">
        <f t="shared" ca="1" si="5"/>
        <v>104788.74999999994</v>
      </c>
      <c r="F17" s="29">
        <f t="shared" ca="1" si="5"/>
        <v>213294.33999999997</v>
      </c>
      <c r="G17" s="29">
        <f t="shared" ca="1" si="5"/>
        <v>158980.83999999997</v>
      </c>
      <c r="H17" s="29">
        <f t="shared" ca="1" si="5"/>
        <v>333090.42999999993</v>
      </c>
      <c r="I17" s="29">
        <f t="shared" ca="1" si="5"/>
        <v>105142.06999999995</v>
      </c>
      <c r="J17" s="29">
        <f t="shared" ca="1" si="5"/>
        <v>211726.16000000003</v>
      </c>
      <c r="K17" s="29">
        <f t="shared" ca="1" si="5"/>
        <v>251194.05000000028</v>
      </c>
      <c r="L17" s="29">
        <f t="shared" ca="1" si="5"/>
        <v>144765.64000000036</v>
      </c>
      <c r="M17" s="29">
        <f t="shared" ca="1" si="5"/>
        <v>128908.99000000046</v>
      </c>
      <c r="N17" s="29">
        <f t="shared" ca="1" si="5"/>
        <v>261695.23000000045</v>
      </c>
      <c r="O17" s="29">
        <f t="shared" ca="1" si="5"/>
        <v>340576.94000000041</v>
      </c>
      <c r="P17" s="86">
        <f t="shared" ca="1" si="4"/>
        <v>340576.94000000041</v>
      </c>
    </row>
    <row r="18" spans="1:16" ht="16" customHeight="1" x14ac:dyDescent="0.25">
      <c r="A18" s="180" t="str">
        <f ca="1">"BS-B"&amp;IF(ROW($B18)-ROW($B$17)+1&gt;COUNTA(BankCode),"X",OFFSET(Setup!$A$24,1+ROW($B18)-ROW($B$17),0,1,1))</f>
        <v>BS-BB2</v>
      </c>
      <c r="B18" s="17" t="str">
        <f ca="1">IF(RIGHT($A18,1)="G",IF(ISNA(VLOOKUP(LEFT($A18,LEN($A18)-1),GroupAll,COLUMN(Groups!$B$4),0)),"Group Not Found",VLOOKUP(LEFT($A18,LEN($A18)-1),GroupAll,COLUMN(Groups!$B$4),0)),IF(ISNA(VLOOKUP($A18,AccountAll,COLUMN(TB!$B$4),0)),"Account Not Found",VLOOKUP($A18,AccountAll,COLUMN(TB!$B$4),0)))</f>
        <v>B2 Bank Account</v>
      </c>
      <c r="C18" s="29" cm="1">
        <f t="array" aca="1" ref="C18" ca="1">IF(RIGHT($A18,1)="G",SUMIF(AccountAll,LEFT($A18,5)&amp;"*",AccountOpen),SUMIF(AccountAll,$A18,AccountOpen))</f>
        <v>61500</v>
      </c>
      <c r="D18" s="29">
        <f t="shared" ca="1" si="5"/>
        <v>8615.8100000000049</v>
      </c>
      <c r="E18" s="29">
        <f t="shared" ca="1" si="5"/>
        <v>4681.4600000000064</v>
      </c>
      <c r="F18" s="29">
        <f t="shared" ca="1" si="5"/>
        <v>18586.690000000002</v>
      </c>
      <c r="G18" s="29">
        <f t="shared" ca="1" si="5"/>
        <v>17401.900000000009</v>
      </c>
      <c r="H18" s="29">
        <f t="shared" ca="1" si="5"/>
        <v>30512.130000000005</v>
      </c>
      <c r="I18" s="29">
        <f t="shared" ca="1" si="5"/>
        <v>46423.37000000001</v>
      </c>
      <c r="J18" s="29">
        <f t="shared" ca="1" si="5"/>
        <v>21432.579999999987</v>
      </c>
      <c r="K18" s="29">
        <f t="shared" ca="1" si="5"/>
        <v>10143.470000000001</v>
      </c>
      <c r="L18" s="29">
        <f t="shared" ca="1" si="5"/>
        <v>82155.72</v>
      </c>
      <c r="M18" s="29">
        <f t="shared" ca="1" si="5"/>
        <v>32917.170000000013</v>
      </c>
      <c r="N18" s="29">
        <f t="shared" ca="1" si="5"/>
        <v>35768.400000000023</v>
      </c>
      <c r="O18" s="29">
        <f t="shared" ca="1" si="5"/>
        <v>34780.650000000023</v>
      </c>
      <c r="P18" s="86">
        <f t="shared" ca="1" si="4"/>
        <v>34780.650000000023</v>
      </c>
    </row>
    <row r="19" spans="1:16" ht="16" customHeight="1" x14ac:dyDescent="0.25">
      <c r="A19" s="180" t="str">
        <f ca="1">"BS-B"&amp;IF(ROW($B19)-ROW($B$17)+1&gt;COUNTA(BankCode),"X",OFFSET(Setup!$A$24,1+ROW($B19)-ROW($B$17),0,1,1))</f>
        <v>BS-BB3</v>
      </c>
      <c r="B19" s="17" t="str">
        <f ca="1">IF(RIGHT($A19,1)="G",IF(ISNA(VLOOKUP(LEFT($A19,LEN($A19)-1),GroupAll,COLUMN(Groups!$B$4),0)),"Group Not Found",VLOOKUP(LEFT($A19,LEN($A19)-1),GroupAll,COLUMN(Groups!$B$4),0)),IF(ISNA(VLOOKUP($A19,AccountAll,COLUMN(TB!$B$4),0)),"Account Not Found",VLOOKUP($A19,AccountAll,COLUMN(TB!$B$4),0)))</f>
        <v>B3 Bank Account</v>
      </c>
      <c r="C19" s="29" cm="1">
        <f t="array" aca="1" ref="C19" ca="1">IF(RIGHT($A19,1)="G",SUMIF(AccountAll,LEFT($A19,5)&amp;"*",AccountOpen),SUMIF(AccountAll,$A19,AccountOpen))</f>
        <v>0</v>
      </c>
      <c r="D19" s="29">
        <f t="shared" ca="1" si="5"/>
        <v>0</v>
      </c>
      <c r="E19" s="29">
        <f t="shared" ca="1" si="5"/>
        <v>0</v>
      </c>
      <c r="F19" s="29">
        <f t="shared" ca="1" si="5"/>
        <v>5200</v>
      </c>
      <c r="G19" s="29">
        <f t="shared" ca="1" si="5"/>
        <v>4180</v>
      </c>
      <c r="H19" s="29">
        <f t="shared" ca="1" si="5"/>
        <v>3680</v>
      </c>
      <c r="I19" s="29">
        <f t="shared" ca="1" si="5"/>
        <v>2830</v>
      </c>
      <c r="J19" s="29">
        <f t="shared" ca="1" si="5"/>
        <v>1430</v>
      </c>
      <c r="K19" s="29">
        <f t="shared" ca="1" si="5"/>
        <v>6830</v>
      </c>
      <c r="L19" s="29">
        <f t="shared" ca="1" si="5"/>
        <v>6480</v>
      </c>
      <c r="M19" s="29">
        <f t="shared" ca="1" si="5"/>
        <v>6240</v>
      </c>
      <c r="N19" s="29">
        <f t="shared" ca="1" si="5"/>
        <v>5660</v>
      </c>
      <c r="O19" s="29">
        <f t="shared" ca="1" si="5"/>
        <v>9457</v>
      </c>
      <c r="P19" s="86">
        <f t="shared" ref="P19" ca="1" si="6">O19</f>
        <v>9457</v>
      </c>
    </row>
    <row r="20" spans="1:16" ht="16" customHeight="1" x14ac:dyDescent="0.25">
      <c r="A20" s="180" t="str">
        <f ca="1">"BS-B"&amp;IF(ROW($B20)-ROW($B$17)+1&gt;COUNTA(BankCode),"X",OFFSET(Setup!$A$24,1+ROW($B20)-ROW($B$17),0,1,1))</f>
        <v>BS-BPC</v>
      </c>
      <c r="B20" s="17" t="str">
        <f ca="1">IF(RIGHT($A20,1)="G",IF(ISNA(VLOOKUP(LEFT($A20,LEN($A20)-1),GroupAll,COLUMN(Groups!$B$4),0)),"Group Not Found",VLOOKUP(LEFT($A20,LEN($A20)-1),GroupAll,COLUMN(Groups!$B$4),0)),IF(ISNA(VLOOKUP($A20,AccountAll,COLUMN(TB!$B$4),0)),"Account Not Found",VLOOKUP($A20,AccountAll,COLUMN(TB!$B$4),0)))</f>
        <v>PC Petty Cash</v>
      </c>
      <c r="C20" s="29" cm="1">
        <f t="array" aca="1" ref="C20" ca="1">IF(RIGHT($A20,1)="G",SUMIF(AccountAll,LEFT($A20,5)&amp;"*",AccountOpen),SUMIF(AccountAll,$A20,AccountOpen))</f>
        <v>1000</v>
      </c>
      <c r="D20" s="29">
        <f t="shared" ca="1" si="5"/>
        <v>1000</v>
      </c>
      <c r="E20" s="29">
        <f t="shared" ca="1" si="5"/>
        <v>1000</v>
      </c>
      <c r="F20" s="29">
        <f t="shared" ca="1" si="5"/>
        <v>1000</v>
      </c>
      <c r="G20" s="29">
        <f t="shared" ca="1" si="5"/>
        <v>990</v>
      </c>
      <c r="H20" s="29">
        <f t="shared" ca="1" si="5"/>
        <v>990</v>
      </c>
      <c r="I20" s="29">
        <f t="shared" ca="1" si="5"/>
        <v>990</v>
      </c>
      <c r="J20" s="29">
        <f t="shared" ca="1" si="5"/>
        <v>1000</v>
      </c>
      <c r="K20" s="29">
        <f t="shared" ca="1" si="5"/>
        <v>1000</v>
      </c>
      <c r="L20" s="29">
        <f t="shared" ca="1" si="5"/>
        <v>1000</v>
      </c>
      <c r="M20" s="29">
        <f t="shared" ca="1" si="5"/>
        <v>1000</v>
      </c>
      <c r="N20" s="29">
        <f t="shared" ca="1" si="5"/>
        <v>995</v>
      </c>
      <c r="O20" s="29">
        <f t="shared" ca="1" si="5"/>
        <v>995</v>
      </c>
      <c r="P20" s="86">
        <f t="shared" ref="P20" ca="1" si="7">O20</f>
        <v>995</v>
      </c>
    </row>
    <row r="21" spans="1:16" ht="16" customHeight="1" x14ac:dyDescent="0.25">
      <c r="A21" s="180" t="str">
        <f ca="1">"BS-B"&amp;IF(ROW($B21)-ROW($B$17)+1&gt;COUNTA(BankCode),"X",OFFSET(Setup!$A$24,1+ROW($B21)-ROW($B$17),0,1,1))</f>
        <v>BS-BJC</v>
      </c>
      <c r="B21" s="17" t="str">
        <f ca="1">IF(RIGHT($A21,1)="G",IF(ISNA(VLOOKUP(LEFT($A21,LEN($A21)-1),GroupAll,COLUMN(Groups!$B$4),0)),"Group Not Found",VLOOKUP(LEFT($A21,LEN($A21)-1),GroupAll,COLUMN(Groups!$B$4),0)),IF(ISNA(VLOOKUP($A21,AccountAll,COLUMN(TB!$B$4),0)),"Account Not Found",VLOOKUP($A21,AccountAll,COLUMN(TB!$B$4),0)))</f>
        <v>GL Journal Control</v>
      </c>
      <c r="C21" s="29" cm="1">
        <f t="array" aca="1" ref="C21" ca="1">IF(RIGHT($A21,1)="G",SUMIF(AccountAll,LEFT($A21,5)&amp;"*",AccountOpen),SUMIF(AccountAll,$A21,AccountOpen))</f>
        <v>0</v>
      </c>
      <c r="D21" s="29">
        <f t="shared" ca="1" si="5"/>
        <v>0</v>
      </c>
      <c r="E21" s="29">
        <f t="shared" ca="1" si="5"/>
        <v>0</v>
      </c>
      <c r="F21" s="29">
        <f t="shared" ca="1" si="5"/>
        <v>0</v>
      </c>
      <c r="G21" s="29">
        <f t="shared" ca="1" si="5"/>
        <v>0</v>
      </c>
      <c r="H21" s="29">
        <f t="shared" ca="1" si="5"/>
        <v>0</v>
      </c>
      <c r="I21" s="29">
        <f t="shared" ca="1" si="5"/>
        <v>0</v>
      </c>
      <c r="J21" s="29">
        <f t="shared" ca="1" si="5"/>
        <v>0</v>
      </c>
      <c r="K21" s="29">
        <f t="shared" ca="1" si="5"/>
        <v>0</v>
      </c>
      <c r="L21" s="29">
        <f t="shared" ca="1" si="5"/>
        <v>0</v>
      </c>
      <c r="M21" s="29">
        <f t="shared" ca="1" si="5"/>
        <v>0</v>
      </c>
      <c r="N21" s="29">
        <f t="shared" ca="1" si="5"/>
        <v>0</v>
      </c>
      <c r="O21" s="29">
        <f t="shared" ca="1" si="5"/>
        <v>0</v>
      </c>
      <c r="P21" s="86">
        <f t="shared" ca="1" si="4"/>
        <v>0</v>
      </c>
    </row>
    <row r="22" spans="1:16" ht="16" customHeight="1" x14ac:dyDescent="0.25">
      <c r="A22" s="178" t="s">
        <v>276</v>
      </c>
      <c r="B22" s="17" t="str">
        <f ca="1">IF(RIGHT($A22,1)="G",IF(ISNA(VLOOKUP(LEFT($A22,LEN($A22)-1),GroupAll,COLUMN(Groups!$B$4),0)),"Group Not Found",VLOOKUP(LEFT($A22,LEN($A22)-1),GroupAll,COLUMN(Groups!$B$4),0)),IF(ISNA(VLOOKUP($A22,AccountAll,COLUMN(TB!$B$4),0)),"Account Not Found",VLOOKUP($A22,AccountAll,COLUMN(TB!$B$4),0)))</f>
        <v>Cash On Hand</v>
      </c>
      <c r="C22" s="29" cm="1">
        <f t="array" aca="1" ref="C22" ca="1">IF(RIGHT($A22,1)="G",SUMIF(AccountAll,LEFT($A22,5)&amp;"*",AccountOpen),SUMIF(AccountAll,$A22,AccountOpen))</f>
        <v>0</v>
      </c>
      <c r="D22" s="29" cm="1">
        <f t="array" aca="1" ref="D22" ca="1">C22+IF(RIGHT($A22,1)="G",-SUMIFS(IncExcl,IncDocDate,"&gt;="&amp;DATE(YEAR(D$4),MONTH(D$4),1),IncDocDate,"&lt;="&amp;D$4,IncAccount,LEFT($A22,5)&amp;"*")+SUMIFS(ExpExcl,ExpDocDate,"&gt;="&amp;DATE(YEAR(D$4),MONTH(D$4),1),ExpDocDate,"&lt;="&amp;D$4,ExpAccount,LEFT($A22,5)&amp;"*"),-SUMIFS(IncExcl,IncDocDate,"&gt;="&amp;DATE(YEAR(D$4),MONTH(D$4),1),IncDocDate,"&lt;="&amp;D$4,IncAccount,$A22)+SUMIFS(ExpExcl,ExpDocDate,"&gt;="&amp;DATE(YEAR(D$4),MONTH(D$4),1),ExpDocDate,"&lt;="&amp;D$4,ExpAccount,$A22))</f>
        <v>0</v>
      </c>
      <c r="E22" s="29" cm="1">
        <f t="array" aca="1" ref="E22" ca="1">D22+IF(RIGHT($A22,1)="G",-SUMIFS(IncExcl,IncDocDate,"&gt;="&amp;DATE(YEAR(E$4),MONTH(E$4),1),IncDocDate,"&lt;="&amp;E$4,IncAccount,LEFT($A22,5)&amp;"*")+SUMIFS(ExpExcl,ExpDocDate,"&gt;="&amp;DATE(YEAR(E$4),MONTH(E$4),1),ExpDocDate,"&lt;="&amp;E$4,ExpAccount,LEFT($A22,5)&amp;"*"),-SUMIFS(IncExcl,IncDocDate,"&gt;="&amp;DATE(YEAR(E$4),MONTH(E$4),1),IncDocDate,"&lt;="&amp;E$4,IncAccount,$A22)+SUMIFS(ExpExcl,ExpDocDate,"&gt;="&amp;DATE(YEAR(E$4),MONTH(E$4),1),ExpDocDate,"&lt;="&amp;E$4,ExpAccount,$A22))</f>
        <v>0</v>
      </c>
      <c r="F22" s="29" cm="1">
        <f t="array" aca="1" ref="F22" ca="1">E22+IF(RIGHT($A22,1)="G",-SUMIFS(IncExcl,IncDocDate,"&gt;="&amp;DATE(YEAR(F$4),MONTH(F$4),1),IncDocDate,"&lt;="&amp;F$4,IncAccount,LEFT($A22,5)&amp;"*")+SUMIFS(ExpExcl,ExpDocDate,"&gt;="&amp;DATE(YEAR(F$4),MONTH(F$4),1),ExpDocDate,"&lt;="&amp;F$4,ExpAccount,LEFT($A22,5)&amp;"*"),-SUMIFS(IncExcl,IncDocDate,"&gt;="&amp;DATE(YEAR(F$4),MONTH(F$4),1),IncDocDate,"&lt;="&amp;F$4,IncAccount,$A22)+SUMIFS(ExpExcl,ExpDocDate,"&gt;="&amp;DATE(YEAR(F$4),MONTH(F$4),1),ExpDocDate,"&lt;="&amp;F$4,ExpAccount,$A22))</f>
        <v>0</v>
      </c>
      <c r="G22" s="29" cm="1">
        <f t="array" aca="1" ref="G22" ca="1">F22+IF(RIGHT($A22,1)="G",-SUMIFS(IncExcl,IncDocDate,"&gt;="&amp;DATE(YEAR(G$4),MONTH(G$4),1),IncDocDate,"&lt;="&amp;G$4,IncAccount,LEFT($A22,5)&amp;"*")+SUMIFS(ExpExcl,ExpDocDate,"&gt;="&amp;DATE(YEAR(G$4),MONTH(G$4),1),ExpDocDate,"&lt;="&amp;G$4,ExpAccount,LEFT($A22,5)&amp;"*"),-SUMIFS(IncExcl,IncDocDate,"&gt;="&amp;DATE(YEAR(G$4),MONTH(G$4),1),IncDocDate,"&lt;="&amp;G$4,IncAccount,$A22)+SUMIFS(ExpExcl,ExpDocDate,"&gt;="&amp;DATE(YEAR(G$4),MONTH(G$4),1),ExpDocDate,"&lt;="&amp;G$4,ExpAccount,$A22))</f>
        <v>0</v>
      </c>
      <c r="H22" s="29" cm="1">
        <f t="array" aca="1" ref="H22" ca="1">G22+IF(RIGHT($A22,1)="G",-SUMIFS(IncExcl,IncDocDate,"&gt;="&amp;DATE(YEAR(H$4),MONTH(H$4),1),IncDocDate,"&lt;="&amp;H$4,IncAccount,LEFT($A22,5)&amp;"*")+SUMIFS(ExpExcl,ExpDocDate,"&gt;="&amp;DATE(YEAR(H$4),MONTH(H$4),1),ExpDocDate,"&lt;="&amp;H$4,ExpAccount,LEFT($A22,5)&amp;"*"),-SUMIFS(IncExcl,IncDocDate,"&gt;="&amp;DATE(YEAR(H$4),MONTH(H$4),1),IncDocDate,"&lt;="&amp;H$4,IncAccount,$A22)+SUMIFS(ExpExcl,ExpDocDate,"&gt;="&amp;DATE(YEAR(H$4),MONTH(H$4),1),ExpDocDate,"&lt;="&amp;H$4,ExpAccount,$A22))</f>
        <v>0</v>
      </c>
      <c r="I22" s="29" cm="1">
        <f t="array" aca="1" ref="I22" ca="1">H22+IF(RIGHT($A22,1)="G",-SUMIFS(IncExcl,IncDocDate,"&gt;="&amp;DATE(YEAR(I$4),MONTH(I$4),1),IncDocDate,"&lt;="&amp;I$4,IncAccount,LEFT($A22,5)&amp;"*")+SUMIFS(ExpExcl,ExpDocDate,"&gt;="&amp;DATE(YEAR(I$4),MONTH(I$4),1),ExpDocDate,"&lt;="&amp;I$4,ExpAccount,LEFT($A22,5)&amp;"*"),-SUMIFS(IncExcl,IncDocDate,"&gt;="&amp;DATE(YEAR(I$4),MONTH(I$4),1),IncDocDate,"&lt;="&amp;I$4,IncAccount,$A22)+SUMIFS(ExpExcl,ExpDocDate,"&gt;="&amp;DATE(YEAR(I$4),MONTH(I$4),1),ExpDocDate,"&lt;="&amp;I$4,ExpAccount,$A22))</f>
        <v>0</v>
      </c>
      <c r="J22" s="29" cm="1">
        <f t="array" aca="1" ref="J22" ca="1">I22+IF(RIGHT($A22,1)="G",-SUMIFS(IncExcl,IncDocDate,"&gt;="&amp;DATE(YEAR(J$4),MONTH(J$4),1),IncDocDate,"&lt;="&amp;J$4,IncAccount,LEFT($A22,5)&amp;"*")+SUMIFS(ExpExcl,ExpDocDate,"&gt;="&amp;DATE(YEAR(J$4),MONTH(J$4),1),ExpDocDate,"&lt;="&amp;J$4,ExpAccount,LEFT($A22,5)&amp;"*"),-SUMIFS(IncExcl,IncDocDate,"&gt;="&amp;DATE(YEAR(J$4),MONTH(J$4),1),IncDocDate,"&lt;="&amp;J$4,IncAccount,$A22)+SUMIFS(ExpExcl,ExpDocDate,"&gt;="&amp;DATE(YEAR(J$4),MONTH(J$4),1),ExpDocDate,"&lt;="&amp;J$4,ExpAccount,$A22))</f>
        <v>0</v>
      </c>
      <c r="K22" s="29" cm="1">
        <f t="array" aca="1" ref="K22" ca="1">J22+IF(RIGHT($A22,1)="G",-SUMIFS(IncExcl,IncDocDate,"&gt;="&amp;DATE(YEAR(K$4),MONTH(K$4),1),IncDocDate,"&lt;="&amp;K$4,IncAccount,LEFT($A22,5)&amp;"*")+SUMIFS(ExpExcl,ExpDocDate,"&gt;="&amp;DATE(YEAR(K$4),MONTH(K$4),1),ExpDocDate,"&lt;="&amp;K$4,ExpAccount,LEFT($A22,5)&amp;"*"),-SUMIFS(IncExcl,IncDocDate,"&gt;="&amp;DATE(YEAR(K$4),MONTH(K$4),1),IncDocDate,"&lt;="&amp;K$4,IncAccount,$A22)+SUMIFS(ExpExcl,ExpDocDate,"&gt;="&amp;DATE(YEAR(K$4),MONTH(K$4),1),ExpDocDate,"&lt;="&amp;K$4,ExpAccount,$A22))</f>
        <v>0</v>
      </c>
      <c r="L22" s="29" cm="1">
        <f t="array" aca="1" ref="L22" ca="1">K22+IF(RIGHT($A22,1)="G",-SUMIFS(IncExcl,IncDocDate,"&gt;="&amp;DATE(YEAR(L$4),MONTH(L$4),1),IncDocDate,"&lt;="&amp;L$4,IncAccount,LEFT($A22,5)&amp;"*")+SUMIFS(ExpExcl,ExpDocDate,"&gt;="&amp;DATE(YEAR(L$4),MONTH(L$4),1),ExpDocDate,"&lt;="&amp;L$4,ExpAccount,LEFT($A22,5)&amp;"*"),-SUMIFS(IncExcl,IncDocDate,"&gt;="&amp;DATE(YEAR(L$4),MONTH(L$4),1),IncDocDate,"&lt;="&amp;L$4,IncAccount,$A22)+SUMIFS(ExpExcl,ExpDocDate,"&gt;="&amp;DATE(YEAR(L$4),MONTH(L$4),1),ExpDocDate,"&lt;="&amp;L$4,ExpAccount,$A22))</f>
        <v>0</v>
      </c>
      <c r="M22" s="29" cm="1">
        <f t="array" aca="1" ref="M22" ca="1">L22+IF(RIGHT($A22,1)="G",-SUMIFS(IncExcl,IncDocDate,"&gt;="&amp;DATE(YEAR(M$4),MONTH(M$4),1),IncDocDate,"&lt;="&amp;M$4,IncAccount,LEFT($A22,5)&amp;"*")+SUMIFS(ExpExcl,ExpDocDate,"&gt;="&amp;DATE(YEAR(M$4),MONTH(M$4),1),ExpDocDate,"&lt;="&amp;M$4,ExpAccount,LEFT($A22,5)&amp;"*"),-SUMIFS(IncExcl,IncDocDate,"&gt;="&amp;DATE(YEAR(M$4),MONTH(M$4),1),IncDocDate,"&lt;="&amp;M$4,IncAccount,$A22)+SUMIFS(ExpExcl,ExpDocDate,"&gt;="&amp;DATE(YEAR(M$4),MONTH(M$4),1),ExpDocDate,"&lt;="&amp;M$4,ExpAccount,$A22))</f>
        <v>0</v>
      </c>
      <c r="N22" s="29" cm="1">
        <f t="array" aca="1" ref="N22" ca="1">M22+IF(RIGHT($A22,1)="G",-SUMIFS(IncExcl,IncDocDate,"&gt;="&amp;DATE(YEAR(N$4),MONTH(N$4),1),IncDocDate,"&lt;="&amp;N$4,IncAccount,LEFT($A22,5)&amp;"*")+SUMIFS(ExpExcl,ExpDocDate,"&gt;="&amp;DATE(YEAR(N$4),MONTH(N$4),1),ExpDocDate,"&lt;="&amp;N$4,ExpAccount,LEFT($A22,5)&amp;"*"),-SUMIFS(IncExcl,IncDocDate,"&gt;="&amp;DATE(YEAR(N$4),MONTH(N$4),1),IncDocDate,"&lt;="&amp;N$4,IncAccount,$A22)+SUMIFS(ExpExcl,ExpDocDate,"&gt;="&amp;DATE(YEAR(N$4),MONTH(N$4),1),ExpDocDate,"&lt;="&amp;N$4,ExpAccount,$A22))</f>
        <v>0</v>
      </c>
      <c r="O22" s="29" cm="1">
        <f t="array" aca="1" ref="O22" ca="1">N22+IF(RIGHT($A22,1)="G",-SUMIFS(IncExcl,IncDocDate,"&gt;="&amp;DATE(YEAR(O$4),MONTH(O$4),1),IncDocDate,"&lt;="&amp;O$4,IncAccount,LEFT($A22,5)&amp;"*")+SUMIFS(ExpExcl,ExpDocDate,"&gt;="&amp;DATE(YEAR(O$4),MONTH(O$4),1),ExpDocDate,"&lt;="&amp;O$4,ExpAccount,LEFT($A22,5)&amp;"*"),-SUMIFS(IncExcl,IncDocDate,"&gt;="&amp;DATE(YEAR(O$4),MONTH(O$4),1),IncDocDate,"&lt;="&amp;O$4,IncAccount,$A22)+SUMIFS(ExpExcl,ExpDocDate,"&gt;="&amp;DATE(YEAR(O$4),MONTH(O$4),1),ExpDocDate,"&lt;="&amp;O$4,ExpAccount,$A22))</f>
        <v>0</v>
      </c>
      <c r="P22" s="86">
        <f t="shared" ca="1" si="4"/>
        <v>0</v>
      </c>
    </row>
    <row r="23" spans="1:16" ht="16" customHeight="1" thickBot="1" x14ac:dyDescent="0.3">
      <c r="C23" s="99">
        <f t="shared" ref="C23:P23" ca="1" si="8">SUM(C14:C22)</f>
        <v>281126.5</v>
      </c>
      <c r="D23" s="99">
        <f t="shared" ca="1" si="8"/>
        <v>288796.19999999995</v>
      </c>
      <c r="E23" s="99">
        <f t="shared" ca="1" si="8"/>
        <v>278285.70999999996</v>
      </c>
      <c r="F23" s="99">
        <f t="shared" ca="1" si="8"/>
        <v>356873.02999999997</v>
      </c>
      <c r="G23" s="99">
        <f t="shared" ca="1" si="8"/>
        <v>359573.74</v>
      </c>
      <c r="H23" s="99">
        <f t="shared" ca="1" si="8"/>
        <v>408052.55999999994</v>
      </c>
      <c r="I23" s="99">
        <f t="shared" ca="1" si="8"/>
        <v>323950.93999999994</v>
      </c>
      <c r="J23" s="99">
        <f t="shared" ca="1" si="8"/>
        <v>380868.74</v>
      </c>
      <c r="K23" s="99">
        <f t="shared" ca="1" si="8"/>
        <v>431892.52000000025</v>
      </c>
      <c r="L23" s="99">
        <f t="shared" ca="1" si="8"/>
        <v>479894.36000000034</v>
      </c>
      <c r="M23" s="99">
        <f t="shared" ca="1" si="8"/>
        <v>379756.1600000005</v>
      </c>
      <c r="N23" s="99">
        <f t="shared" ca="1" si="8"/>
        <v>461428.63000000047</v>
      </c>
      <c r="O23" s="99">
        <f t="shared" ca="1" si="8"/>
        <v>478869.59000000043</v>
      </c>
      <c r="P23" s="87">
        <f t="shared" ca="1" si="8"/>
        <v>478869.59000000043</v>
      </c>
    </row>
    <row r="24" spans="1:16" s="3" customFormat="1" ht="16" customHeight="1" thickBot="1" x14ac:dyDescent="0.3">
      <c r="A24" s="181"/>
      <c r="B24" s="51" t="s">
        <v>98</v>
      </c>
      <c r="C24" s="113">
        <f t="shared" ref="C24:P24" ca="1" si="9">SUM(C12,C23)</f>
        <v>698136.5</v>
      </c>
      <c r="D24" s="113">
        <f t="shared" ca="1" si="9"/>
        <v>705806.2</v>
      </c>
      <c r="E24" s="113">
        <f t="shared" ca="1" si="9"/>
        <v>710745.71</v>
      </c>
      <c r="F24" s="113">
        <f t="shared" ca="1" si="9"/>
        <v>789333.03</v>
      </c>
      <c r="G24" s="113">
        <f t="shared" ca="1" si="9"/>
        <v>792033.74</v>
      </c>
      <c r="H24" s="113">
        <f t="shared" ca="1" si="9"/>
        <v>840512.55999999994</v>
      </c>
      <c r="I24" s="113">
        <f t="shared" ca="1" si="9"/>
        <v>787160.94</v>
      </c>
      <c r="J24" s="113">
        <f t="shared" ca="1" si="9"/>
        <v>844078.74</v>
      </c>
      <c r="K24" s="113">
        <f t="shared" ca="1" si="9"/>
        <v>895102.52000000025</v>
      </c>
      <c r="L24" s="113">
        <f t="shared" ca="1" si="9"/>
        <v>943104.36000000034</v>
      </c>
      <c r="M24" s="113">
        <f t="shared" ca="1" si="9"/>
        <v>842966.1600000005</v>
      </c>
      <c r="N24" s="113">
        <f t="shared" ca="1" si="9"/>
        <v>924638.63000000047</v>
      </c>
      <c r="O24" s="113">
        <f t="shared" ca="1" si="9"/>
        <v>907137.59000000043</v>
      </c>
      <c r="P24" s="113">
        <f t="shared" ca="1" si="9"/>
        <v>907137.59000000043</v>
      </c>
    </row>
    <row r="25" spans="1:16" s="3" customFormat="1" ht="16" customHeight="1" thickTop="1" x14ac:dyDescent="0.25">
      <c r="A25" s="181"/>
      <c r="B25" s="51" t="s">
        <v>219</v>
      </c>
      <c r="C25" s="86"/>
      <c r="D25" s="86"/>
      <c r="E25" s="86"/>
      <c r="F25" s="86"/>
      <c r="G25" s="86"/>
      <c r="H25" s="86"/>
      <c r="I25" s="86"/>
      <c r="J25" s="86"/>
      <c r="K25" s="86"/>
      <c r="L25" s="86"/>
      <c r="M25" s="86"/>
      <c r="N25" s="86"/>
      <c r="O25" s="86"/>
    </row>
    <row r="26" spans="1:16" s="3" customFormat="1" ht="16" customHeight="1" x14ac:dyDescent="0.25">
      <c r="A26" s="181"/>
      <c r="B26" s="51" t="s">
        <v>220</v>
      </c>
      <c r="C26" s="86"/>
      <c r="D26" s="86"/>
      <c r="E26" s="86"/>
      <c r="F26" s="86"/>
      <c r="G26" s="86"/>
      <c r="H26" s="86"/>
      <c r="I26" s="86"/>
    </row>
    <row r="27" spans="1:16" ht="16" customHeight="1" x14ac:dyDescent="0.25">
      <c r="A27" s="178" t="s">
        <v>404</v>
      </c>
      <c r="B27" s="17" t="str">
        <f ca="1">IF(RIGHT($A27,1)="G",IF(ISNA(VLOOKUP(LEFT($A27,LEN($A27)-1),GroupAll,COLUMN(Groups!$B$4),0)),"Group Not Found",VLOOKUP(LEFT($A27,LEN($A27)-1),GroupAll,COLUMN(Groups!$B$4),0)),IF(ISNA(VLOOKUP($A27,AccountAll,COLUMN(TB!$B$4),0)),"Account Not Found",VLOOKUP($A27,AccountAll,COLUMN(TB!$B$4),0)))</f>
        <v>Shareholders' Contributions</v>
      </c>
      <c r="C27" s="29" cm="1">
        <f t="array" aca="1" ref="C27" ca="1">IF(RIGHT($A27,1)="G",-SUMIF(AccountAll,LEFT($A27,5)&amp;"*",AccountOpen),-SUMIF(AccountAll,$A27,AccountOpen))</f>
        <v>100</v>
      </c>
      <c r="D27" s="29" cm="1">
        <f t="array" aca="1" ref="D27" ca="1">C27+IF(RIGHT($A27,1)="G",SUMIFS(IncExcl,IncDocDate,"&gt;="&amp;DATE(YEAR(D$4),MONTH(D$4),1),IncDocDate,"&lt;="&amp;D$4,IncAccount,LEFT($A27,5)&amp;"*")-SUMIFS(ExpExcl,ExpDocDate,"&gt;="&amp;DATE(YEAR(D$4),MONTH(D$4),1),ExpDocDate,"&lt;="&amp;D$4,ExpAccount,LEFT($A27,5)&amp;"*"),SUMIFS(IncExcl,IncDocDate,"&gt;="&amp;DATE(YEAR(D$4),MONTH(D$4),1),IncDocDate,"&lt;="&amp;D$4,IncAccount,$A27)-SUMIFS(ExpExcl,ExpDocDate,"&gt;="&amp;DATE(YEAR(D$4),MONTH(D$4),1),ExpDocDate,"&lt;="&amp;D$4,ExpAccount,$A27))</f>
        <v>100</v>
      </c>
      <c r="E27" s="29" cm="1">
        <f t="array" aca="1" ref="E27" ca="1">D27+IF(RIGHT($A27,1)="G",SUMIFS(IncExcl,IncDocDate,"&gt;="&amp;DATE(YEAR(E$4),MONTH(E$4),1),IncDocDate,"&lt;="&amp;E$4,IncAccount,LEFT($A27,5)&amp;"*")-SUMIFS(ExpExcl,ExpDocDate,"&gt;="&amp;DATE(YEAR(E$4),MONTH(E$4),1),ExpDocDate,"&lt;="&amp;E$4,ExpAccount,LEFT($A27,5)&amp;"*"),SUMIFS(IncExcl,IncDocDate,"&gt;="&amp;DATE(YEAR(E$4),MONTH(E$4),1),IncDocDate,"&lt;="&amp;E$4,IncAccount,$A27)-SUMIFS(ExpExcl,ExpDocDate,"&gt;="&amp;DATE(YEAR(E$4),MONTH(E$4),1),ExpDocDate,"&lt;="&amp;E$4,ExpAccount,$A27))</f>
        <v>100</v>
      </c>
      <c r="F27" s="29" cm="1">
        <f t="array" aca="1" ref="F27" ca="1">E27+IF(RIGHT($A27,1)="G",SUMIFS(IncExcl,IncDocDate,"&gt;="&amp;DATE(YEAR(F$4),MONTH(F$4),1),IncDocDate,"&lt;="&amp;F$4,IncAccount,LEFT($A27,5)&amp;"*")-SUMIFS(ExpExcl,ExpDocDate,"&gt;="&amp;DATE(YEAR(F$4),MONTH(F$4),1),ExpDocDate,"&lt;="&amp;F$4,ExpAccount,LEFT($A27,5)&amp;"*"),SUMIFS(IncExcl,IncDocDate,"&gt;="&amp;DATE(YEAR(F$4),MONTH(F$4),1),IncDocDate,"&lt;="&amp;F$4,IncAccount,$A27)-SUMIFS(ExpExcl,ExpDocDate,"&gt;="&amp;DATE(YEAR(F$4),MONTH(F$4),1),ExpDocDate,"&lt;="&amp;F$4,ExpAccount,$A27))</f>
        <v>100</v>
      </c>
      <c r="G27" s="29" cm="1">
        <f t="array" aca="1" ref="G27" ca="1">F27+IF(RIGHT($A27,1)="G",SUMIFS(IncExcl,IncDocDate,"&gt;="&amp;DATE(YEAR(G$4),MONTH(G$4),1),IncDocDate,"&lt;="&amp;G$4,IncAccount,LEFT($A27,5)&amp;"*")-SUMIFS(ExpExcl,ExpDocDate,"&gt;="&amp;DATE(YEAR(G$4),MONTH(G$4),1),ExpDocDate,"&lt;="&amp;G$4,ExpAccount,LEFT($A27,5)&amp;"*"),SUMIFS(IncExcl,IncDocDate,"&gt;="&amp;DATE(YEAR(G$4),MONTH(G$4),1),IncDocDate,"&lt;="&amp;G$4,IncAccount,$A27)-SUMIFS(ExpExcl,ExpDocDate,"&gt;="&amp;DATE(YEAR(G$4),MONTH(G$4),1),ExpDocDate,"&lt;="&amp;G$4,ExpAccount,$A27))</f>
        <v>100</v>
      </c>
      <c r="H27" s="29" cm="1">
        <f t="array" aca="1" ref="H27" ca="1">G27+IF(RIGHT($A27,1)="G",SUMIFS(IncExcl,IncDocDate,"&gt;="&amp;DATE(YEAR(H$4),MONTH(H$4),1),IncDocDate,"&lt;="&amp;H$4,IncAccount,LEFT($A27,5)&amp;"*")-SUMIFS(ExpExcl,ExpDocDate,"&gt;="&amp;DATE(YEAR(H$4),MONTH(H$4),1),ExpDocDate,"&lt;="&amp;H$4,ExpAccount,LEFT($A27,5)&amp;"*"),SUMIFS(IncExcl,IncDocDate,"&gt;="&amp;DATE(YEAR(H$4),MONTH(H$4),1),IncDocDate,"&lt;="&amp;H$4,IncAccount,$A27)-SUMIFS(ExpExcl,ExpDocDate,"&gt;="&amp;DATE(YEAR(H$4),MONTH(H$4),1),ExpDocDate,"&lt;="&amp;H$4,ExpAccount,$A27))</f>
        <v>100</v>
      </c>
      <c r="I27" s="29" cm="1">
        <f t="array" aca="1" ref="I27" ca="1">H27+IF(RIGHT($A27,1)="G",SUMIFS(IncExcl,IncDocDate,"&gt;="&amp;DATE(YEAR(I$4),MONTH(I$4),1),IncDocDate,"&lt;="&amp;I$4,IncAccount,LEFT($A27,5)&amp;"*")-SUMIFS(ExpExcl,ExpDocDate,"&gt;="&amp;DATE(YEAR(I$4),MONTH(I$4),1),ExpDocDate,"&lt;="&amp;I$4,ExpAccount,LEFT($A27,5)&amp;"*"),SUMIFS(IncExcl,IncDocDate,"&gt;="&amp;DATE(YEAR(I$4),MONTH(I$4),1),IncDocDate,"&lt;="&amp;I$4,IncAccount,$A27)-SUMIFS(ExpExcl,ExpDocDate,"&gt;="&amp;DATE(YEAR(I$4),MONTH(I$4),1),ExpDocDate,"&lt;="&amp;I$4,ExpAccount,$A27))</f>
        <v>100</v>
      </c>
      <c r="J27" s="29" cm="1">
        <f t="array" aca="1" ref="J27" ca="1">I27+IF(RIGHT($A27,1)="G",SUMIFS(IncExcl,IncDocDate,"&gt;="&amp;DATE(YEAR(J$4),MONTH(J$4),1),IncDocDate,"&lt;="&amp;J$4,IncAccount,LEFT($A27,5)&amp;"*")-SUMIFS(ExpExcl,ExpDocDate,"&gt;="&amp;DATE(YEAR(J$4),MONTH(J$4),1),ExpDocDate,"&lt;="&amp;J$4,ExpAccount,LEFT($A27,5)&amp;"*"),SUMIFS(IncExcl,IncDocDate,"&gt;="&amp;DATE(YEAR(J$4),MONTH(J$4),1),IncDocDate,"&lt;="&amp;J$4,IncAccount,$A27)-SUMIFS(ExpExcl,ExpDocDate,"&gt;="&amp;DATE(YEAR(J$4),MONTH(J$4),1),ExpDocDate,"&lt;="&amp;J$4,ExpAccount,$A27))</f>
        <v>100</v>
      </c>
      <c r="K27" s="29" cm="1">
        <f t="array" aca="1" ref="K27" ca="1">J27+IF(RIGHT($A27,1)="G",SUMIFS(IncExcl,IncDocDate,"&gt;="&amp;DATE(YEAR(K$4),MONTH(K$4),1),IncDocDate,"&lt;="&amp;K$4,IncAccount,LEFT($A27,5)&amp;"*")-SUMIFS(ExpExcl,ExpDocDate,"&gt;="&amp;DATE(YEAR(K$4),MONTH(K$4),1),ExpDocDate,"&lt;="&amp;K$4,ExpAccount,LEFT($A27,5)&amp;"*"),SUMIFS(IncExcl,IncDocDate,"&gt;="&amp;DATE(YEAR(K$4),MONTH(K$4),1),IncDocDate,"&lt;="&amp;K$4,IncAccount,$A27)-SUMIFS(ExpExcl,ExpDocDate,"&gt;="&amp;DATE(YEAR(K$4),MONTH(K$4),1),ExpDocDate,"&lt;="&amp;K$4,ExpAccount,$A27))</f>
        <v>100</v>
      </c>
      <c r="L27" s="29" cm="1">
        <f t="array" aca="1" ref="L27" ca="1">K27+IF(RIGHT($A27,1)="G",SUMIFS(IncExcl,IncDocDate,"&gt;="&amp;DATE(YEAR(L$4),MONTH(L$4),1),IncDocDate,"&lt;="&amp;L$4,IncAccount,LEFT($A27,5)&amp;"*")-SUMIFS(ExpExcl,ExpDocDate,"&gt;="&amp;DATE(YEAR(L$4),MONTH(L$4),1),ExpDocDate,"&lt;="&amp;L$4,ExpAccount,LEFT($A27,5)&amp;"*"),SUMIFS(IncExcl,IncDocDate,"&gt;="&amp;DATE(YEAR(L$4),MONTH(L$4),1),IncDocDate,"&lt;="&amp;L$4,IncAccount,$A27)-SUMIFS(ExpExcl,ExpDocDate,"&gt;="&amp;DATE(YEAR(L$4),MONTH(L$4),1),ExpDocDate,"&lt;="&amp;L$4,ExpAccount,$A27))</f>
        <v>100</v>
      </c>
      <c r="M27" s="29" cm="1">
        <f t="array" aca="1" ref="M27" ca="1">L27+IF(RIGHT($A27,1)="G",SUMIFS(IncExcl,IncDocDate,"&gt;="&amp;DATE(YEAR(M$4),MONTH(M$4),1),IncDocDate,"&lt;="&amp;M$4,IncAccount,LEFT($A27,5)&amp;"*")-SUMIFS(ExpExcl,ExpDocDate,"&gt;="&amp;DATE(YEAR(M$4),MONTH(M$4),1),ExpDocDate,"&lt;="&amp;M$4,ExpAccount,LEFT($A27,5)&amp;"*"),SUMIFS(IncExcl,IncDocDate,"&gt;="&amp;DATE(YEAR(M$4),MONTH(M$4),1),IncDocDate,"&lt;="&amp;M$4,IncAccount,$A27)-SUMIFS(ExpExcl,ExpDocDate,"&gt;="&amp;DATE(YEAR(M$4),MONTH(M$4),1),ExpDocDate,"&lt;="&amp;M$4,ExpAccount,$A27))</f>
        <v>100</v>
      </c>
      <c r="N27" s="29" cm="1">
        <f t="array" aca="1" ref="N27" ca="1">M27+IF(RIGHT($A27,1)="G",SUMIFS(IncExcl,IncDocDate,"&gt;="&amp;DATE(YEAR(N$4),MONTH(N$4),1),IncDocDate,"&lt;="&amp;N$4,IncAccount,LEFT($A27,5)&amp;"*")-SUMIFS(ExpExcl,ExpDocDate,"&gt;="&amp;DATE(YEAR(N$4),MONTH(N$4),1),ExpDocDate,"&lt;="&amp;N$4,ExpAccount,LEFT($A27,5)&amp;"*"),SUMIFS(IncExcl,IncDocDate,"&gt;="&amp;DATE(YEAR(N$4),MONTH(N$4),1),IncDocDate,"&lt;="&amp;N$4,IncAccount,$A27)-SUMIFS(ExpExcl,ExpDocDate,"&gt;="&amp;DATE(YEAR(N$4),MONTH(N$4),1),ExpDocDate,"&lt;="&amp;N$4,ExpAccount,$A27))</f>
        <v>100</v>
      </c>
      <c r="O27" s="29" cm="1">
        <f t="array" aca="1" ref="O27" ca="1">N27+IF(RIGHT($A27,1)="G",SUMIFS(IncExcl,IncDocDate,"&gt;="&amp;DATE(YEAR(O$4),MONTH(O$4),1),IncDocDate,"&lt;="&amp;O$4,IncAccount,LEFT($A27,5)&amp;"*")-SUMIFS(ExpExcl,ExpDocDate,"&gt;="&amp;DATE(YEAR(O$4),MONTH(O$4),1),ExpDocDate,"&lt;="&amp;O$4,ExpAccount,LEFT($A27,5)&amp;"*"),SUMIFS(IncExcl,IncDocDate,"&gt;="&amp;DATE(YEAR(O$4),MONTH(O$4),1),IncDocDate,"&lt;="&amp;O$4,IncAccount,$A27)-SUMIFS(ExpExcl,ExpDocDate,"&gt;="&amp;DATE(YEAR(O$4),MONTH(O$4),1),ExpDocDate,"&lt;="&amp;O$4,ExpAccount,$A27))</f>
        <v>100</v>
      </c>
      <c r="P27" s="86">
        <f t="shared" ref="P27:P30" ca="1" si="10">O27</f>
        <v>100</v>
      </c>
    </row>
    <row r="28" spans="1:16" ht="16" customHeight="1" x14ac:dyDescent="0.25">
      <c r="A28" s="178" t="s">
        <v>405</v>
      </c>
      <c r="B28" s="17" t="str">
        <f ca="1">IF(RIGHT($A28,1)="G",IF(ISNA(VLOOKUP(LEFT($A28,LEN($A28)-1),GroupAll,COLUMN(Groups!$B$4),0)),"Group Not Found",VLOOKUP(LEFT($A28,LEN($A28)-1),GroupAll,COLUMN(Groups!$B$4),0)),IF(ISNA(VLOOKUP($A28,AccountAll,COLUMN(TB!$B$4),0)),"Account Not Found",VLOOKUP($A28,AccountAll,COLUMN(TB!$B$4),0)))</f>
        <v>Reserves</v>
      </c>
      <c r="C28" s="29" cm="1">
        <f t="array" aca="1" ref="C28" ca="1">IF(RIGHT($A28,1)="G",-SUMIF(AccountAll,LEFT($A28,5)&amp;"*",AccountOpen),-SUMIF(AccountAll,$A28,AccountOpen))</f>
        <v>0</v>
      </c>
      <c r="D28" s="29" cm="1">
        <f t="array" aca="1" ref="D28" ca="1">C28+IF(RIGHT($A28,1)="G",SUMIFS(IncExcl,IncDocDate,"&gt;="&amp;DATE(YEAR(D$4),MONTH(D$4),1),IncDocDate,"&lt;="&amp;D$4,IncAccount,LEFT($A28,5)&amp;"*")-SUMIFS(ExpExcl,ExpDocDate,"&gt;="&amp;DATE(YEAR(D$4),MONTH(D$4),1),ExpDocDate,"&lt;="&amp;D$4,ExpAccount,LEFT($A28,5)&amp;"*"),SUMIFS(IncExcl,IncDocDate,"&gt;="&amp;DATE(YEAR(D$4),MONTH(D$4),1),IncDocDate,"&lt;="&amp;D$4,IncAccount,$A28)-SUMIFS(ExpExcl,ExpDocDate,"&gt;="&amp;DATE(YEAR(D$4),MONTH(D$4),1),ExpDocDate,"&lt;="&amp;D$4,ExpAccount,$A28))</f>
        <v>0</v>
      </c>
      <c r="E28" s="29" cm="1">
        <f t="array" aca="1" ref="E28" ca="1">D28+IF(RIGHT($A28,1)="G",SUMIFS(IncExcl,IncDocDate,"&gt;="&amp;DATE(YEAR(E$4),MONTH(E$4),1),IncDocDate,"&lt;="&amp;E$4,IncAccount,LEFT($A28,5)&amp;"*")-SUMIFS(ExpExcl,ExpDocDate,"&gt;="&amp;DATE(YEAR(E$4),MONTH(E$4),1),ExpDocDate,"&lt;="&amp;E$4,ExpAccount,LEFT($A28,5)&amp;"*"),SUMIFS(IncExcl,IncDocDate,"&gt;="&amp;DATE(YEAR(E$4),MONTH(E$4),1),IncDocDate,"&lt;="&amp;E$4,IncAccount,$A28)-SUMIFS(ExpExcl,ExpDocDate,"&gt;="&amp;DATE(YEAR(E$4),MONTH(E$4),1),ExpDocDate,"&lt;="&amp;E$4,ExpAccount,$A28))</f>
        <v>0</v>
      </c>
      <c r="F28" s="29" cm="1">
        <f t="array" aca="1" ref="F28" ca="1">E28+IF(RIGHT($A28,1)="G",SUMIFS(IncExcl,IncDocDate,"&gt;="&amp;DATE(YEAR(F$4),MONTH(F$4),1),IncDocDate,"&lt;="&amp;F$4,IncAccount,LEFT($A28,5)&amp;"*")-SUMIFS(ExpExcl,ExpDocDate,"&gt;="&amp;DATE(YEAR(F$4),MONTH(F$4),1),ExpDocDate,"&lt;="&amp;F$4,ExpAccount,LEFT($A28,5)&amp;"*"),SUMIFS(IncExcl,IncDocDate,"&gt;="&amp;DATE(YEAR(F$4),MONTH(F$4),1),IncDocDate,"&lt;="&amp;F$4,IncAccount,$A28)-SUMIFS(ExpExcl,ExpDocDate,"&gt;="&amp;DATE(YEAR(F$4),MONTH(F$4),1),ExpDocDate,"&lt;="&amp;F$4,ExpAccount,$A28))</f>
        <v>0</v>
      </c>
      <c r="G28" s="29" cm="1">
        <f t="array" aca="1" ref="G28" ca="1">F28+IF(RIGHT($A28,1)="G",SUMIFS(IncExcl,IncDocDate,"&gt;="&amp;DATE(YEAR(G$4),MONTH(G$4),1),IncDocDate,"&lt;="&amp;G$4,IncAccount,LEFT($A28,5)&amp;"*")-SUMIFS(ExpExcl,ExpDocDate,"&gt;="&amp;DATE(YEAR(G$4),MONTH(G$4),1),ExpDocDate,"&lt;="&amp;G$4,ExpAccount,LEFT($A28,5)&amp;"*"),SUMIFS(IncExcl,IncDocDate,"&gt;="&amp;DATE(YEAR(G$4),MONTH(G$4),1),IncDocDate,"&lt;="&amp;G$4,IncAccount,$A28)-SUMIFS(ExpExcl,ExpDocDate,"&gt;="&amp;DATE(YEAR(G$4),MONTH(G$4),1),ExpDocDate,"&lt;="&amp;G$4,ExpAccount,$A28))</f>
        <v>0</v>
      </c>
      <c r="H28" s="29" cm="1">
        <f t="array" aca="1" ref="H28" ca="1">G28+IF(RIGHT($A28,1)="G",SUMIFS(IncExcl,IncDocDate,"&gt;="&amp;DATE(YEAR(H$4),MONTH(H$4),1),IncDocDate,"&lt;="&amp;H$4,IncAccount,LEFT($A28,5)&amp;"*")-SUMIFS(ExpExcl,ExpDocDate,"&gt;="&amp;DATE(YEAR(H$4),MONTH(H$4),1),ExpDocDate,"&lt;="&amp;H$4,ExpAccount,LEFT($A28,5)&amp;"*"),SUMIFS(IncExcl,IncDocDate,"&gt;="&amp;DATE(YEAR(H$4),MONTH(H$4),1),IncDocDate,"&lt;="&amp;H$4,IncAccount,$A28)-SUMIFS(ExpExcl,ExpDocDate,"&gt;="&amp;DATE(YEAR(H$4),MONTH(H$4),1),ExpDocDate,"&lt;="&amp;H$4,ExpAccount,$A28))</f>
        <v>0</v>
      </c>
      <c r="I28" s="29" cm="1">
        <f t="array" aca="1" ref="I28" ca="1">H28+IF(RIGHT($A28,1)="G",SUMIFS(IncExcl,IncDocDate,"&gt;="&amp;DATE(YEAR(I$4),MONTH(I$4),1),IncDocDate,"&lt;="&amp;I$4,IncAccount,LEFT($A28,5)&amp;"*")-SUMIFS(ExpExcl,ExpDocDate,"&gt;="&amp;DATE(YEAR(I$4),MONTH(I$4),1),ExpDocDate,"&lt;="&amp;I$4,ExpAccount,LEFT($A28,5)&amp;"*"),SUMIFS(IncExcl,IncDocDate,"&gt;="&amp;DATE(YEAR(I$4),MONTH(I$4),1),IncDocDate,"&lt;="&amp;I$4,IncAccount,$A28)-SUMIFS(ExpExcl,ExpDocDate,"&gt;="&amp;DATE(YEAR(I$4),MONTH(I$4),1),ExpDocDate,"&lt;="&amp;I$4,ExpAccount,$A28))</f>
        <v>0</v>
      </c>
      <c r="J28" s="29" cm="1">
        <f t="array" aca="1" ref="J28" ca="1">I28+IF(RIGHT($A28,1)="G",SUMIFS(IncExcl,IncDocDate,"&gt;="&amp;DATE(YEAR(J$4),MONTH(J$4),1),IncDocDate,"&lt;="&amp;J$4,IncAccount,LEFT($A28,5)&amp;"*")-SUMIFS(ExpExcl,ExpDocDate,"&gt;="&amp;DATE(YEAR(J$4),MONTH(J$4),1),ExpDocDate,"&lt;="&amp;J$4,ExpAccount,LEFT($A28,5)&amp;"*"),SUMIFS(IncExcl,IncDocDate,"&gt;="&amp;DATE(YEAR(J$4),MONTH(J$4),1),IncDocDate,"&lt;="&amp;J$4,IncAccount,$A28)-SUMIFS(ExpExcl,ExpDocDate,"&gt;="&amp;DATE(YEAR(J$4),MONTH(J$4),1),ExpDocDate,"&lt;="&amp;J$4,ExpAccount,$A28))</f>
        <v>0</v>
      </c>
      <c r="K28" s="29" cm="1">
        <f t="array" aca="1" ref="K28" ca="1">J28+IF(RIGHT($A28,1)="G",SUMIFS(IncExcl,IncDocDate,"&gt;="&amp;DATE(YEAR(K$4),MONTH(K$4),1),IncDocDate,"&lt;="&amp;K$4,IncAccount,LEFT($A28,5)&amp;"*")-SUMIFS(ExpExcl,ExpDocDate,"&gt;="&amp;DATE(YEAR(K$4),MONTH(K$4),1),ExpDocDate,"&lt;="&amp;K$4,ExpAccount,LEFT($A28,5)&amp;"*"),SUMIFS(IncExcl,IncDocDate,"&gt;="&amp;DATE(YEAR(K$4),MONTH(K$4),1),IncDocDate,"&lt;="&amp;K$4,IncAccount,$A28)-SUMIFS(ExpExcl,ExpDocDate,"&gt;="&amp;DATE(YEAR(K$4),MONTH(K$4),1),ExpDocDate,"&lt;="&amp;K$4,ExpAccount,$A28))</f>
        <v>0</v>
      </c>
      <c r="L28" s="29" cm="1">
        <f t="array" aca="1" ref="L28" ca="1">K28+IF(RIGHT($A28,1)="G",SUMIFS(IncExcl,IncDocDate,"&gt;="&amp;DATE(YEAR(L$4),MONTH(L$4),1),IncDocDate,"&lt;="&amp;L$4,IncAccount,LEFT($A28,5)&amp;"*")-SUMIFS(ExpExcl,ExpDocDate,"&gt;="&amp;DATE(YEAR(L$4),MONTH(L$4),1),ExpDocDate,"&lt;="&amp;L$4,ExpAccount,LEFT($A28,5)&amp;"*"),SUMIFS(IncExcl,IncDocDate,"&gt;="&amp;DATE(YEAR(L$4),MONTH(L$4),1),IncDocDate,"&lt;="&amp;L$4,IncAccount,$A28)-SUMIFS(ExpExcl,ExpDocDate,"&gt;="&amp;DATE(YEAR(L$4),MONTH(L$4),1),ExpDocDate,"&lt;="&amp;L$4,ExpAccount,$A28))</f>
        <v>0</v>
      </c>
      <c r="M28" s="29" cm="1">
        <f t="array" aca="1" ref="M28" ca="1">L28+IF(RIGHT($A28,1)="G",SUMIFS(IncExcl,IncDocDate,"&gt;="&amp;DATE(YEAR(M$4),MONTH(M$4),1),IncDocDate,"&lt;="&amp;M$4,IncAccount,LEFT($A28,5)&amp;"*")-SUMIFS(ExpExcl,ExpDocDate,"&gt;="&amp;DATE(YEAR(M$4),MONTH(M$4),1),ExpDocDate,"&lt;="&amp;M$4,ExpAccount,LEFT($A28,5)&amp;"*"),SUMIFS(IncExcl,IncDocDate,"&gt;="&amp;DATE(YEAR(M$4),MONTH(M$4),1),IncDocDate,"&lt;="&amp;M$4,IncAccount,$A28)-SUMIFS(ExpExcl,ExpDocDate,"&gt;="&amp;DATE(YEAR(M$4),MONTH(M$4),1),ExpDocDate,"&lt;="&amp;M$4,ExpAccount,$A28))</f>
        <v>0</v>
      </c>
      <c r="N28" s="29" cm="1">
        <f t="array" aca="1" ref="N28" ca="1">M28+IF(RIGHT($A28,1)="G",SUMIFS(IncExcl,IncDocDate,"&gt;="&amp;DATE(YEAR(N$4),MONTH(N$4),1),IncDocDate,"&lt;="&amp;N$4,IncAccount,LEFT($A28,5)&amp;"*")-SUMIFS(ExpExcl,ExpDocDate,"&gt;="&amp;DATE(YEAR(N$4),MONTH(N$4),1),ExpDocDate,"&lt;="&amp;N$4,ExpAccount,LEFT($A28,5)&amp;"*"),SUMIFS(IncExcl,IncDocDate,"&gt;="&amp;DATE(YEAR(N$4),MONTH(N$4),1),IncDocDate,"&lt;="&amp;N$4,IncAccount,$A28)-SUMIFS(ExpExcl,ExpDocDate,"&gt;="&amp;DATE(YEAR(N$4),MONTH(N$4),1),ExpDocDate,"&lt;="&amp;N$4,ExpAccount,$A28))</f>
        <v>0</v>
      </c>
      <c r="O28" s="29" cm="1">
        <f t="array" aca="1" ref="O28" ca="1">N28+IF(RIGHT($A28,1)="G",SUMIFS(IncExcl,IncDocDate,"&gt;="&amp;DATE(YEAR(O$4),MONTH(O$4),1),IncDocDate,"&lt;="&amp;O$4,IncAccount,LEFT($A28,5)&amp;"*")-SUMIFS(ExpExcl,ExpDocDate,"&gt;="&amp;DATE(YEAR(O$4),MONTH(O$4),1),ExpDocDate,"&lt;="&amp;O$4,ExpAccount,LEFT($A28,5)&amp;"*"),SUMIFS(IncExcl,IncDocDate,"&gt;="&amp;DATE(YEAR(O$4),MONTH(O$4),1),IncDocDate,"&lt;="&amp;O$4,IncAccount,$A28)-SUMIFS(ExpExcl,ExpDocDate,"&gt;="&amp;DATE(YEAR(O$4),MONTH(O$4),1),ExpDocDate,"&lt;="&amp;O$4,ExpAccount,$A28))</f>
        <v>0</v>
      </c>
      <c r="P28" s="86">
        <f t="shared" ca="1" si="10"/>
        <v>0</v>
      </c>
    </row>
    <row r="29" spans="1:16" ht="16" customHeight="1" x14ac:dyDescent="0.25">
      <c r="A29" s="180" t="s">
        <v>273</v>
      </c>
      <c r="B29" s="17" t="str">
        <f ca="1">IF(RIGHT($A29,1)="G",IF(ISNA(VLOOKUP(LEFT($A29,LEN($A29)-1),GroupAll,COLUMN(Groups!$B$4),0)),"Group Not Found",VLOOKUP(LEFT($A29,LEN($A29)-1),GroupAll,COLUMN(Groups!$B$4),0)),IF(ISNA(VLOOKUP($A29,AccountAll,COLUMN(TB!$B$4),0)),"Account Not Found",VLOOKUP($A29,AccountAll,COLUMN(TB!$B$4),0)))</f>
        <v>Retained Earnings - Opening</v>
      </c>
      <c r="C29" s="29" cm="1">
        <f t="array" aca="1" ref="C29" ca="1">IF(RIGHT($A29,1)="G",-SUMIF(AccountAll,LEFT($A29,5)&amp;"*",AccountOpen),-SUMIF(AccountAll,$A29,AccountOpen))</f>
        <v>432643.5</v>
      </c>
      <c r="D29" s="29">
        <f ca="1">IF(MONTH(C$4)=MONTH(Setup!$C$12),SUM(C$29:C$30),C$29)</f>
        <v>432643.5</v>
      </c>
      <c r="E29" s="29">
        <f ca="1">IF(MONTH(D$4)=MONTH(Setup!$C$12),SUM(D$29:D$30),D$29)</f>
        <v>432643.5</v>
      </c>
      <c r="F29" s="29">
        <f ca="1">IF(MONTH(E$4)=MONTH(Setup!$C$12),SUM(E$29:E$30),E$29)</f>
        <v>432643.5</v>
      </c>
      <c r="G29" s="29">
        <f ca="1">IF(MONTH(F$4)=MONTH(Setup!$C$12),SUM(F$29:F$30),F$29)</f>
        <v>432643.5</v>
      </c>
      <c r="H29" s="29">
        <f ca="1">IF(MONTH(G$4)=MONTH(Setup!$C$12),SUM(G$29:G$30),G$29)</f>
        <v>432643.5</v>
      </c>
      <c r="I29" s="29">
        <f ca="1">IF(MONTH(H$4)=MONTH(Setup!$C$12),SUM(H$29:H$30),H$29)</f>
        <v>432643.5</v>
      </c>
      <c r="J29" s="29">
        <f ca="1">IF(MONTH(I$4)=MONTH(Setup!$C$12),SUM(I$29:I$30),I$29)</f>
        <v>432643.5</v>
      </c>
      <c r="K29" s="29">
        <f ca="1">IF(MONTH(J$4)=MONTH(Setup!$C$12),SUM(J$29:J$30),J$29)</f>
        <v>432643.5</v>
      </c>
      <c r="L29" s="29">
        <f ca="1">IF(MONTH(K$4)=MONTH(Setup!$C$12),SUM(K$29:K$30),K$29)</f>
        <v>432643.5</v>
      </c>
      <c r="M29" s="29">
        <f ca="1">IF(MONTH(L$4)=MONTH(Setup!$C$12),SUM(L$29:L$30),L$29)</f>
        <v>432643.5</v>
      </c>
      <c r="N29" s="29">
        <f ca="1">IF(MONTH(M$4)=MONTH(Setup!$C$12),SUM(M$29:M$30),M$29)</f>
        <v>432643.5</v>
      </c>
      <c r="O29" s="29">
        <f ca="1">IF(MONTH(N$4)=MONTH(Setup!$C$12),SUM(N$29:N$30),N$29)</f>
        <v>432643.5</v>
      </c>
      <c r="P29" s="86">
        <f t="shared" ca="1" si="10"/>
        <v>432643.5</v>
      </c>
    </row>
    <row r="30" spans="1:16" ht="16" customHeight="1" x14ac:dyDescent="0.25">
      <c r="A30" s="180" t="s">
        <v>287</v>
      </c>
      <c r="B30" s="17" t="str">
        <f ca="1">IF(RIGHT($A30,1)="G",IF(ISNA(VLOOKUP(LEFT($A30,LEN($A30)-1),GroupAll,COLUMN(Groups!$B$4),0)),"Group Not Found",VLOOKUP(LEFT($A30,LEN($A30)-1),GroupAll,COLUMN(Groups!$B$4),0)),IF(ISNA(VLOOKUP($A30,AccountAll,COLUMN(TB!$B$4),0)),"Account Not Found",VLOOKUP($A30,AccountAll,COLUMN(TB!$B$4),0)))</f>
        <v>Retained Earnings - Current</v>
      </c>
      <c r="C30" s="29" cm="1">
        <f t="array" aca="1" ref="C30" ca="1">IF(RIGHT($A30,1)="G",-SUMIF(AccountAll,LEFT($A30,5)&amp;"*",AccountOpen),-SUMIF(AccountAll,$A30,AccountOpen))</f>
        <v>0</v>
      </c>
      <c r="D30" s="29">
        <f ca="1">IF(MONTH(C$4)=MONTH(Setup!$C$12),IS!C45,C30+IS!C45)</f>
        <v>11938.209565217416</v>
      </c>
      <c r="E30" s="29">
        <f ca="1">IF(MONTH(D$4)=MONTH(Setup!$C$12),IS!D45,D30+IS!D45)</f>
        <v>20155.023913043493</v>
      </c>
      <c r="F30" s="29">
        <f ca="1">IF(MONTH(E$4)=MONTH(Setup!$C$12),IS!E45,E30+IS!E45)</f>
        <v>87814.422608695691</v>
      </c>
      <c r="G30" s="29">
        <f ca="1">IF(MONTH(F$4)=MONTH(Setup!$C$12),IS!F45,F30+IS!F45)</f>
        <v>119922.20304347829</v>
      </c>
      <c r="H30" s="29">
        <f ca="1">IF(MONTH(G$4)=MONTH(Setup!$C$12),IS!G45,G30+IS!G45)</f>
        <v>145191.85608695657</v>
      </c>
      <c r="I30" s="29">
        <f ca="1">IF(MONTH(H$4)=MONTH(Setup!$C$12),IS!H45,H30+IS!H45)</f>
        <v>118949.11695652177</v>
      </c>
      <c r="J30" s="29">
        <f ca="1">IF(MONTH(I$4)=MONTH(Setup!$C$12),IS!I45,I30+IS!I45)</f>
        <v>161651.56043478259</v>
      </c>
      <c r="K30" s="29">
        <f ca="1">IF(MONTH(J$4)=MONTH(Setup!$C$12),IS!J45,J30+IS!J45)</f>
        <v>230391.34739130433</v>
      </c>
      <c r="L30" s="29">
        <f ca="1">IF(MONTH(K$4)=MONTH(Setup!$C$12),IS!K45,K30+IS!K45)</f>
        <v>259081.39130434781</v>
      </c>
      <c r="M30" s="29">
        <f ca="1">IF(MONTH(L$4)=MONTH(Setup!$C$12),IS!L45,L30+IS!L45)</f>
        <v>183326.46130434779</v>
      </c>
      <c r="N30" s="29">
        <f ca="1">IF(MONTH(M$4)=MONTH(Setup!$C$12),IS!M45,M30+IS!M45)</f>
        <v>210923.31956521736</v>
      </c>
      <c r="O30" s="29">
        <f ca="1">IF(MONTH(N$4)=MONTH(Setup!$C$12),IS!N45,N30+IS!N45)</f>
        <v>129986.82739130431</v>
      </c>
      <c r="P30" s="86">
        <f t="shared" ca="1" si="10"/>
        <v>129986.82739130431</v>
      </c>
    </row>
    <row r="31" spans="1:16" ht="16" customHeight="1" thickBot="1" x14ac:dyDescent="0.3">
      <c r="C31" s="114">
        <f ca="1">SUM(C27:C30)</f>
        <v>432743.5</v>
      </c>
      <c r="D31" s="114">
        <f t="shared" ref="D31:P31" ca="1" si="11">SUM(D27:D30)</f>
        <v>444681.70956521743</v>
      </c>
      <c r="E31" s="114">
        <f t="shared" ca="1" si="11"/>
        <v>452898.52391304349</v>
      </c>
      <c r="F31" s="114">
        <f t="shared" ca="1" si="11"/>
        <v>520557.92260869569</v>
      </c>
      <c r="G31" s="114">
        <f t="shared" ca="1" si="11"/>
        <v>552665.70304347831</v>
      </c>
      <c r="H31" s="114">
        <f t="shared" ca="1" si="11"/>
        <v>577935.35608695657</v>
      </c>
      <c r="I31" s="114">
        <f t="shared" ca="1" si="11"/>
        <v>551692.61695652176</v>
      </c>
      <c r="J31" s="114">
        <f t="shared" ca="1" si="11"/>
        <v>594395.06043478264</v>
      </c>
      <c r="K31" s="114">
        <f t="shared" ca="1" si="11"/>
        <v>663134.84739130433</v>
      </c>
      <c r="L31" s="114">
        <f t="shared" ca="1" si="11"/>
        <v>691824.89130434778</v>
      </c>
      <c r="M31" s="114">
        <f t="shared" ca="1" si="11"/>
        <v>616069.96130434773</v>
      </c>
      <c r="N31" s="114">
        <f t="shared" ca="1" si="11"/>
        <v>643666.81956521736</v>
      </c>
      <c r="O31" s="114">
        <f t="shared" ca="1" si="11"/>
        <v>562730.32739130431</v>
      </c>
      <c r="P31" s="115">
        <f t="shared" ca="1" si="11"/>
        <v>562730.32739130431</v>
      </c>
    </row>
    <row r="32" spans="1:16" s="3" customFormat="1" ht="16" customHeight="1" x14ac:dyDescent="0.25">
      <c r="A32" s="181"/>
      <c r="B32" s="51" t="s">
        <v>222</v>
      </c>
      <c r="C32" s="116"/>
      <c r="D32" s="116"/>
      <c r="E32" s="116"/>
      <c r="F32" s="116"/>
      <c r="G32" s="116"/>
      <c r="H32" s="116"/>
      <c r="I32" s="116"/>
      <c r="J32" s="116"/>
      <c r="K32" s="116"/>
      <c r="L32" s="116"/>
      <c r="M32" s="116"/>
      <c r="N32" s="116"/>
      <c r="O32" s="116"/>
      <c r="P32" s="116"/>
    </row>
    <row r="33" spans="1:16" ht="16" customHeight="1" x14ac:dyDescent="0.25">
      <c r="A33" s="178" t="s">
        <v>286</v>
      </c>
      <c r="B33" s="17" t="str">
        <f ca="1">IF(RIGHT($A33,1)="G",IF(ISNA(VLOOKUP(LEFT($A33,LEN($A33)-1),GroupAll,COLUMN(Groups!$B$4),0)),"Group Not Found",VLOOKUP(LEFT($A33,LEN($A33)-1),GroupAll,COLUMN(Groups!$B$4),0)),IF(ISNA(VLOOKUP($A33,AccountAll,COLUMN(TB!$B$4),0)),"Account Not Found",VLOOKUP($A33,AccountAll,COLUMN(TB!$B$4),0)))</f>
        <v>Long Term Liabilities</v>
      </c>
      <c r="C33" s="29" cm="1">
        <f t="array" aca="1" ref="C33" ca="1">IF(RIGHT($A33,1)="G",-SUMIF(AccountAll,LEFT($A33,5)&amp;"*",AccountOpen),-SUMIF(AccountAll,$A33,AccountOpen))</f>
        <v>200000</v>
      </c>
      <c r="D33" s="29" cm="1">
        <f t="array" aca="1" ref="D33" ca="1">C33+IF(RIGHT($A33,1)="G",SUMIFS(IncExcl,IncDocDate,"&gt;="&amp;DATE(YEAR(D$4),MONTH(D$4),1),IncDocDate,"&lt;="&amp;D$4,IncAccount,LEFT($A33,5)&amp;"*")-SUMIFS(ExpExcl,ExpDocDate,"&gt;="&amp;DATE(YEAR(D$4),MONTH(D$4),1),ExpDocDate,"&lt;="&amp;D$4,ExpAccount,LEFT($A33,5)&amp;"*"),SUMIFS(IncExcl,IncDocDate,"&gt;="&amp;DATE(YEAR(D$4),MONTH(D$4),1),IncDocDate,"&lt;="&amp;D$4,IncAccount,$A33)-SUMIFS(ExpExcl,ExpDocDate,"&gt;="&amp;DATE(YEAR(D$4),MONTH(D$4),1),ExpDocDate,"&lt;="&amp;D$4,ExpAccount,$A33))</f>
        <v>197417.26</v>
      </c>
      <c r="E33" s="29" cm="1">
        <f t="array" aca="1" ref="E33" ca="1">D33+IF(RIGHT($A33,1)="G",SUMIFS(IncExcl,IncDocDate,"&gt;="&amp;DATE(YEAR(E$4),MONTH(E$4),1),IncDocDate,"&lt;="&amp;E$4,IncAccount,LEFT($A33,5)&amp;"*")-SUMIFS(ExpExcl,ExpDocDate,"&gt;="&amp;DATE(YEAR(E$4),MONTH(E$4),1),ExpDocDate,"&lt;="&amp;E$4,ExpAccount,LEFT($A33,5)&amp;"*"),SUMIFS(IncExcl,IncDocDate,"&gt;="&amp;DATE(YEAR(E$4),MONTH(E$4),1),IncDocDate,"&lt;="&amp;E$4,IncAccount,$A33)-SUMIFS(ExpExcl,ExpDocDate,"&gt;="&amp;DATE(YEAR(E$4),MONTH(E$4),1),ExpDocDate,"&lt;="&amp;E$4,ExpAccount,$A33))</f>
        <v>194812.99000000002</v>
      </c>
      <c r="F33" s="29" cm="1">
        <f t="array" aca="1" ref="F33" ca="1">E33+IF(RIGHT($A33,1)="G",SUMIFS(IncExcl,IncDocDate,"&gt;="&amp;DATE(YEAR(F$4),MONTH(F$4),1),IncDocDate,"&lt;="&amp;F$4,IncAccount,LEFT($A33,5)&amp;"*")-SUMIFS(ExpExcl,ExpDocDate,"&gt;="&amp;DATE(YEAR(F$4),MONTH(F$4),1),ExpDocDate,"&lt;="&amp;F$4,ExpAccount,LEFT($A33,5)&amp;"*"),SUMIFS(IncExcl,IncDocDate,"&gt;="&amp;DATE(YEAR(F$4),MONTH(F$4),1),IncDocDate,"&lt;="&amp;F$4,IncAccount,$A33)-SUMIFS(ExpExcl,ExpDocDate,"&gt;="&amp;DATE(YEAR(F$4),MONTH(F$4),1),ExpDocDate,"&lt;="&amp;F$4,ExpAccount,$A33))</f>
        <v>192187.02000000002</v>
      </c>
      <c r="G33" s="29" cm="1">
        <f t="array" aca="1" ref="G33" ca="1">F33+IF(RIGHT($A33,1)="G",SUMIFS(IncExcl,IncDocDate,"&gt;="&amp;DATE(YEAR(G$4),MONTH(G$4),1),IncDocDate,"&lt;="&amp;G$4,IncAccount,LEFT($A33,5)&amp;"*")-SUMIFS(ExpExcl,ExpDocDate,"&gt;="&amp;DATE(YEAR(G$4),MONTH(G$4),1),ExpDocDate,"&lt;="&amp;G$4,ExpAccount,LEFT($A33,5)&amp;"*"),SUMIFS(IncExcl,IncDocDate,"&gt;="&amp;DATE(YEAR(G$4),MONTH(G$4),1),IncDocDate,"&lt;="&amp;G$4,IncAccount,$A33)-SUMIFS(ExpExcl,ExpDocDate,"&gt;="&amp;DATE(YEAR(G$4),MONTH(G$4),1),ExpDocDate,"&lt;="&amp;G$4,ExpAccount,$A33))</f>
        <v>189539.17</v>
      </c>
      <c r="H33" s="29" cm="1">
        <f t="array" aca="1" ref="H33" ca="1">G33+IF(RIGHT($A33,1)="G",SUMIFS(IncExcl,IncDocDate,"&gt;="&amp;DATE(YEAR(H$4),MONTH(H$4),1),IncDocDate,"&lt;="&amp;H$4,IncAccount,LEFT($A33,5)&amp;"*")-SUMIFS(ExpExcl,ExpDocDate,"&gt;="&amp;DATE(YEAR(H$4),MONTH(H$4),1),ExpDocDate,"&lt;="&amp;H$4,ExpAccount,LEFT($A33,5)&amp;"*"),SUMIFS(IncExcl,IncDocDate,"&gt;="&amp;DATE(YEAR(H$4),MONTH(H$4),1),IncDocDate,"&lt;="&amp;H$4,IncAccount,$A33)-SUMIFS(ExpExcl,ExpDocDate,"&gt;="&amp;DATE(YEAR(H$4),MONTH(H$4),1),ExpDocDate,"&lt;="&amp;H$4,ExpAccount,$A33))</f>
        <v>186869.25</v>
      </c>
      <c r="I33" s="29" cm="1">
        <f t="array" aca="1" ref="I33" ca="1">H33+IF(RIGHT($A33,1)="G",SUMIFS(IncExcl,IncDocDate,"&gt;="&amp;DATE(YEAR(I$4),MONTH(I$4),1),IncDocDate,"&lt;="&amp;I$4,IncAccount,LEFT($A33,5)&amp;"*")-SUMIFS(ExpExcl,ExpDocDate,"&gt;="&amp;DATE(YEAR(I$4),MONTH(I$4),1),ExpDocDate,"&lt;="&amp;I$4,ExpAccount,LEFT($A33,5)&amp;"*"),SUMIFS(IncExcl,IncDocDate,"&gt;="&amp;DATE(YEAR(I$4),MONTH(I$4),1),IncDocDate,"&lt;="&amp;I$4,IncAccount,$A33)-SUMIFS(ExpExcl,ExpDocDate,"&gt;="&amp;DATE(YEAR(I$4),MONTH(I$4),1),ExpDocDate,"&lt;="&amp;I$4,ExpAccount,$A33))</f>
        <v>184177.08</v>
      </c>
      <c r="J33" s="29" cm="1">
        <f t="array" aca="1" ref="J33" ca="1">I33+IF(RIGHT($A33,1)="G",SUMIFS(IncExcl,IncDocDate,"&gt;="&amp;DATE(YEAR(J$4),MONTH(J$4),1),IncDocDate,"&lt;="&amp;J$4,IncAccount,LEFT($A33,5)&amp;"*")-SUMIFS(ExpExcl,ExpDocDate,"&gt;="&amp;DATE(YEAR(J$4),MONTH(J$4),1),ExpDocDate,"&lt;="&amp;J$4,ExpAccount,LEFT($A33,5)&amp;"*"),SUMIFS(IncExcl,IncDocDate,"&gt;="&amp;DATE(YEAR(J$4),MONTH(J$4),1),IncDocDate,"&lt;="&amp;J$4,IncAccount,$A33)-SUMIFS(ExpExcl,ExpDocDate,"&gt;="&amp;DATE(YEAR(J$4),MONTH(J$4),1),ExpDocDate,"&lt;="&amp;J$4,ExpAccount,$A33))</f>
        <v>181462.47999999998</v>
      </c>
      <c r="K33" s="29" cm="1">
        <f t="array" aca="1" ref="K33" ca="1">J33+IF(RIGHT($A33,1)="G",SUMIFS(IncExcl,IncDocDate,"&gt;="&amp;DATE(YEAR(K$4),MONTH(K$4),1),IncDocDate,"&lt;="&amp;K$4,IncAccount,LEFT($A33,5)&amp;"*")-SUMIFS(ExpExcl,ExpDocDate,"&gt;="&amp;DATE(YEAR(K$4),MONTH(K$4),1),ExpDocDate,"&lt;="&amp;K$4,ExpAccount,LEFT($A33,5)&amp;"*"),SUMIFS(IncExcl,IncDocDate,"&gt;="&amp;DATE(YEAR(K$4),MONTH(K$4),1),IncDocDate,"&lt;="&amp;K$4,IncAccount,$A33)-SUMIFS(ExpExcl,ExpDocDate,"&gt;="&amp;DATE(YEAR(K$4),MONTH(K$4),1),ExpDocDate,"&lt;="&amp;K$4,ExpAccount,$A33))</f>
        <v>178725.25999999998</v>
      </c>
      <c r="L33" s="29" cm="1">
        <f t="array" aca="1" ref="L33" ca="1">K33+IF(RIGHT($A33,1)="G",SUMIFS(IncExcl,IncDocDate,"&gt;="&amp;DATE(YEAR(L$4),MONTH(L$4),1),IncDocDate,"&lt;="&amp;L$4,IncAccount,LEFT($A33,5)&amp;"*")-SUMIFS(ExpExcl,ExpDocDate,"&gt;="&amp;DATE(YEAR(L$4),MONTH(L$4),1),ExpDocDate,"&lt;="&amp;L$4,ExpAccount,LEFT($A33,5)&amp;"*"),SUMIFS(IncExcl,IncDocDate,"&gt;="&amp;DATE(YEAR(L$4),MONTH(L$4),1),IncDocDate,"&lt;="&amp;L$4,IncAccount,$A33)-SUMIFS(ExpExcl,ExpDocDate,"&gt;="&amp;DATE(YEAR(L$4),MONTH(L$4),1),ExpDocDate,"&lt;="&amp;L$4,ExpAccount,$A33))</f>
        <v>175965.22999999998</v>
      </c>
      <c r="M33" s="29" cm="1">
        <f t="array" aca="1" ref="M33" ca="1">L33+IF(RIGHT($A33,1)="G",SUMIFS(IncExcl,IncDocDate,"&gt;="&amp;DATE(YEAR(M$4),MONTH(M$4),1),IncDocDate,"&lt;="&amp;M$4,IncAccount,LEFT($A33,5)&amp;"*")-SUMIFS(ExpExcl,ExpDocDate,"&gt;="&amp;DATE(YEAR(M$4),MONTH(M$4),1),ExpDocDate,"&lt;="&amp;M$4,ExpAccount,LEFT($A33,5)&amp;"*"),SUMIFS(IncExcl,IncDocDate,"&gt;="&amp;DATE(YEAR(M$4),MONTH(M$4),1),IncDocDate,"&lt;="&amp;M$4,IncAccount,$A33)-SUMIFS(ExpExcl,ExpDocDate,"&gt;="&amp;DATE(YEAR(M$4),MONTH(M$4),1),ExpDocDate,"&lt;="&amp;M$4,ExpAccount,$A33))</f>
        <v>173182.19999999998</v>
      </c>
      <c r="N33" s="29" cm="1">
        <f t="array" aca="1" ref="N33" ca="1">M33+IF(RIGHT($A33,1)="G",SUMIFS(IncExcl,IncDocDate,"&gt;="&amp;DATE(YEAR(N$4),MONTH(N$4),1),IncDocDate,"&lt;="&amp;N$4,IncAccount,LEFT($A33,5)&amp;"*")-SUMIFS(ExpExcl,ExpDocDate,"&gt;="&amp;DATE(YEAR(N$4),MONTH(N$4),1),ExpDocDate,"&lt;="&amp;N$4,ExpAccount,LEFT($A33,5)&amp;"*"),SUMIFS(IncExcl,IncDocDate,"&gt;="&amp;DATE(YEAR(N$4),MONTH(N$4),1),IncDocDate,"&lt;="&amp;N$4,IncAccount,$A33)-SUMIFS(ExpExcl,ExpDocDate,"&gt;="&amp;DATE(YEAR(N$4),MONTH(N$4),1),ExpDocDate,"&lt;="&amp;N$4,ExpAccount,$A33))</f>
        <v>219730.28999999998</v>
      </c>
      <c r="O33" s="29" cm="1">
        <f t="array" aca="1" ref="O33" ca="1">N33+IF(RIGHT($A33,1)="G",SUMIFS(IncExcl,IncDocDate,"&gt;="&amp;DATE(YEAR(O$4),MONTH(O$4),1),IncDocDate,"&lt;="&amp;O$4,IncAccount,LEFT($A33,5)&amp;"*")-SUMIFS(ExpExcl,ExpDocDate,"&gt;="&amp;DATE(YEAR(O$4),MONTH(O$4),1),ExpDocDate,"&lt;="&amp;O$4,ExpAccount,LEFT($A33,5)&amp;"*"),SUMIFS(IncExcl,IncDocDate,"&gt;="&amp;DATE(YEAR(O$4),MONTH(O$4),1),IncDocDate,"&lt;="&amp;O$4,IncAccount,$A33)-SUMIFS(ExpExcl,ExpDocDate,"&gt;="&amp;DATE(YEAR(O$4),MONTH(O$4),1),ExpDocDate,"&lt;="&amp;O$4,ExpAccount,$A33))</f>
        <v>216249.61</v>
      </c>
      <c r="P33" s="86">
        <f ca="1">O33</f>
        <v>216249.61</v>
      </c>
    </row>
    <row r="34" spans="1:16" ht="16" customHeight="1" thickBot="1" x14ac:dyDescent="0.3">
      <c r="C34" s="99">
        <f ca="1">SUM(C33:C33)</f>
        <v>200000</v>
      </c>
      <c r="D34" s="99">
        <f t="shared" ref="D34:P34" ca="1" si="12">SUM(D33:D33)</f>
        <v>197417.26</v>
      </c>
      <c r="E34" s="99">
        <f t="shared" ca="1" si="12"/>
        <v>194812.99000000002</v>
      </c>
      <c r="F34" s="99">
        <f t="shared" ca="1" si="12"/>
        <v>192187.02000000002</v>
      </c>
      <c r="G34" s="99">
        <f t="shared" ca="1" si="12"/>
        <v>189539.17</v>
      </c>
      <c r="H34" s="99">
        <f t="shared" ca="1" si="12"/>
        <v>186869.25</v>
      </c>
      <c r="I34" s="99">
        <f t="shared" ca="1" si="12"/>
        <v>184177.08</v>
      </c>
      <c r="J34" s="99">
        <f t="shared" ca="1" si="12"/>
        <v>181462.47999999998</v>
      </c>
      <c r="K34" s="99">
        <f t="shared" ca="1" si="12"/>
        <v>178725.25999999998</v>
      </c>
      <c r="L34" s="99">
        <f t="shared" ca="1" si="12"/>
        <v>175965.22999999998</v>
      </c>
      <c r="M34" s="99">
        <f t="shared" ca="1" si="12"/>
        <v>173182.19999999998</v>
      </c>
      <c r="N34" s="99">
        <f t="shared" ca="1" si="12"/>
        <v>219730.28999999998</v>
      </c>
      <c r="O34" s="99">
        <f t="shared" ca="1" si="12"/>
        <v>216249.61</v>
      </c>
      <c r="P34" s="87">
        <f t="shared" ca="1" si="12"/>
        <v>216249.61</v>
      </c>
    </row>
    <row r="35" spans="1:16" s="3" customFormat="1" ht="16" customHeight="1" x14ac:dyDescent="0.25">
      <c r="A35" s="181"/>
      <c r="B35" s="51" t="s">
        <v>224</v>
      </c>
      <c r="C35" s="86"/>
      <c r="D35" s="86"/>
      <c r="E35" s="86"/>
      <c r="F35" s="86"/>
      <c r="G35" s="86"/>
      <c r="H35" s="86"/>
      <c r="I35" s="86"/>
      <c r="J35" s="86"/>
      <c r="K35" s="86"/>
      <c r="L35" s="86"/>
      <c r="M35" s="86"/>
      <c r="N35" s="86"/>
      <c r="O35" s="86"/>
      <c r="P35" s="86"/>
    </row>
    <row r="36" spans="1:16" ht="16" customHeight="1" x14ac:dyDescent="0.25">
      <c r="A36" s="180" t="s">
        <v>272</v>
      </c>
      <c r="B36" s="17" t="str">
        <f ca="1">IF(RIGHT($A36,1)="G",IF(ISNA(VLOOKUP(LEFT($A36,LEN($A36)-1),GroupAll,COLUMN(Groups!$B$4),0)),"Group Not Found",VLOOKUP(LEFT($A36,LEN($A36)-1),GroupAll,COLUMN(Groups!$B$4),0)),IF(ISNA(VLOOKUP($A36,AccountAll,COLUMN(TB!$B$4),0)),"Account Not Found",VLOOKUP($A36,AccountAll,COLUMN(TB!$B$4),0)))</f>
        <v>Trade Creditors</v>
      </c>
      <c r="C36" s="29" cm="1">
        <f t="array" aca="1" ref="C36" ca="1">IF(RIGHT($A36,1)="G",-SUMIF(AccountAll,LEFT($A36,5)&amp;"*",AccountOpen),-SUMIF(AccountAll,$A36,AccountOpen))</f>
        <v>45153</v>
      </c>
      <c r="D36" s="29">
        <f t="shared" ref="D36:O36" ca="1" si="13">SUMIFS(ExpIncl,ExpDocDate,"&lt;="&amp;D$4,ExpPayDate,"&gt;"&amp;D$4)+SUMIFS(ExpIncl,ExpDocDate,"&lt;="&amp;D$4,ExpPayDate,"")</f>
        <v>29278</v>
      </c>
      <c r="E36" s="29">
        <f t="shared" ca="1" si="13"/>
        <v>47237.5</v>
      </c>
      <c r="F36" s="29">
        <f t="shared" ca="1" si="13"/>
        <v>36572</v>
      </c>
      <c r="G36" s="29">
        <f t="shared" ca="1" si="13"/>
        <v>30170</v>
      </c>
      <c r="H36" s="29">
        <f t="shared" ca="1" si="13"/>
        <v>39286</v>
      </c>
      <c r="I36" s="29">
        <f t="shared" ca="1" si="13"/>
        <v>35054</v>
      </c>
      <c r="J36" s="29">
        <f t="shared" ca="1" si="13"/>
        <v>31570</v>
      </c>
      <c r="K36" s="29">
        <f t="shared" ca="1" si="13"/>
        <v>29459</v>
      </c>
      <c r="L36" s="29">
        <f t="shared" ca="1" si="13"/>
        <v>34337.5</v>
      </c>
      <c r="M36" s="29">
        <f t="shared" ca="1" si="13"/>
        <v>40910</v>
      </c>
      <c r="N36" s="29">
        <f t="shared" ca="1" si="13"/>
        <v>30023</v>
      </c>
      <c r="O36" s="29">
        <f t="shared" ca="1" si="13"/>
        <v>61039</v>
      </c>
      <c r="P36" s="86">
        <f t="shared" ref="P36:P42" ca="1" si="14">O36</f>
        <v>61039</v>
      </c>
    </row>
    <row r="37" spans="1:16" ht="16" customHeight="1" x14ac:dyDescent="0.25">
      <c r="A37" s="178" t="s">
        <v>280</v>
      </c>
      <c r="B37" s="17" t="str">
        <f ca="1">IF(RIGHT($A37,1)="G",IF(ISNA(VLOOKUP(LEFT($A37,LEN($A37)-1),GroupAll,COLUMN(Groups!$B$4),0)),"Group Not Found",VLOOKUP(LEFT($A37,LEN($A37)-1),GroupAll,COLUMN(Groups!$B$4),0)),IF(ISNA(VLOOKUP($A37,AccountAll,COLUMN(TB!$B$4),0)),"Account Not Found",VLOOKUP($A37,AccountAll,COLUMN(TB!$B$4),0)))</f>
        <v>Accruals</v>
      </c>
      <c r="C37" s="29" cm="1">
        <f t="array" aca="1" ref="C37" ca="1">IF(RIGHT($A37,1)="G",-SUMIF(AccountAll,LEFT($A37,5)&amp;"*",AccountOpen),-SUMIF(AccountAll,$A37,AccountOpen))</f>
        <v>0</v>
      </c>
      <c r="D37" s="29" cm="1">
        <f t="array" aca="1" ref="D37" ca="1">C37+IF(RIGHT($A37,1)="G",SUMIFS(IncExcl,IncDocDate,"&gt;="&amp;DATE(YEAR(D$4),MONTH(D$4),1),IncDocDate,"&lt;="&amp;D$4,IncAccount,LEFT($A37,5)&amp;"*")-SUMIFS(ExpExcl,ExpDocDate,"&gt;="&amp;DATE(YEAR(D$4),MONTH(D$4),1),ExpDocDate,"&lt;="&amp;D$4,ExpAccount,LEFT($A37,5)&amp;"*"),SUMIFS(IncExcl,IncDocDate,"&gt;="&amp;DATE(YEAR(D$4),MONTH(D$4),1),IncDocDate,"&lt;="&amp;D$4,IncAccount,$A37)-SUMIFS(ExpExcl,ExpDocDate,"&gt;="&amp;DATE(YEAR(D$4),MONTH(D$4),1),ExpDocDate,"&lt;="&amp;D$4,ExpAccount,$A37))</f>
        <v>0</v>
      </c>
      <c r="E37" s="29" cm="1">
        <f t="array" aca="1" ref="E37" ca="1">D37+IF(RIGHT($A37,1)="G",SUMIFS(IncExcl,IncDocDate,"&gt;="&amp;DATE(YEAR(E$4),MONTH(E$4),1),IncDocDate,"&lt;="&amp;E$4,IncAccount,LEFT($A37,5)&amp;"*")-SUMIFS(ExpExcl,ExpDocDate,"&gt;="&amp;DATE(YEAR(E$4),MONTH(E$4),1),ExpDocDate,"&lt;="&amp;E$4,ExpAccount,LEFT($A37,5)&amp;"*"),SUMIFS(IncExcl,IncDocDate,"&gt;="&amp;DATE(YEAR(E$4),MONTH(E$4),1),IncDocDate,"&lt;="&amp;E$4,IncAccount,$A37)-SUMIFS(ExpExcl,ExpDocDate,"&gt;="&amp;DATE(YEAR(E$4),MONTH(E$4),1),ExpDocDate,"&lt;="&amp;E$4,ExpAccount,$A37))</f>
        <v>0</v>
      </c>
      <c r="F37" s="29" cm="1">
        <f t="array" aca="1" ref="F37" ca="1">E37+IF(RIGHT($A37,1)="G",SUMIFS(IncExcl,IncDocDate,"&gt;="&amp;DATE(YEAR(F$4),MONTH(F$4),1),IncDocDate,"&lt;="&amp;F$4,IncAccount,LEFT($A37,5)&amp;"*")-SUMIFS(ExpExcl,ExpDocDate,"&gt;="&amp;DATE(YEAR(F$4),MONTH(F$4),1),ExpDocDate,"&lt;="&amp;F$4,ExpAccount,LEFT($A37,5)&amp;"*"),SUMIFS(IncExcl,IncDocDate,"&gt;="&amp;DATE(YEAR(F$4),MONTH(F$4),1),IncDocDate,"&lt;="&amp;F$4,IncAccount,$A37)-SUMIFS(ExpExcl,ExpDocDate,"&gt;="&amp;DATE(YEAR(F$4),MONTH(F$4),1),ExpDocDate,"&lt;="&amp;F$4,ExpAccount,$A37))</f>
        <v>0</v>
      </c>
      <c r="G37" s="29" cm="1">
        <f t="array" aca="1" ref="G37" ca="1">F37+IF(RIGHT($A37,1)="G",SUMIFS(IncExcl,IncDocDate,"&gt;="&amp;DATE(YEAR(G$4),MONTH(G$4),1),IncDocDate,"&lt;="&amp;G$4,IncAccount,LEFT($A37,5)&amp;"*")-SUMIFS(ExpExcl,ExpDocDate,"&gt;="&amp;DATE(YEAR(G$4),MONTH(G$4),1),ExpDocDate,"&lt;="&amp;G$4,ExpAccount,LEFT($A37,5)&amp;"*"),SUMIFS(IncExcl,IncDocDate,"&gt;="&amp;DATE(YEAR(G$4),MONTH(G$4),1),IncDocDate,"&lt;="&amp;G$4,IncAccount,$A37)-SUMIFS(ExpExcl,ExpDocDate,"&gt;="&amp;DATE(YEAR(G$4),MONTH(G$4),1),ExpDocDate,"&lt;="&amp;G$4,ExpAccount,$A37))</f>
        <v>0</v>
      </c>
      <c r="H37" s="29" cm="1">
        <f t="array" aca="1" ref="H37" ca="1">G37+IF(RIGHT($A37,1)="G",SUMIFS(IncExcl,IncDocDate,"&gt;="&amp;DATE(YEAR(H$4),MONTH(H$4),1),IncDocDate,"&lt;="&amp;H$4,IncAccount,LEFT($A37,5)&amp;"*")-SUMIFS(ExpExcl,ExpDocDate,"&gt;="&amp;DATE(YEAR(H$4),MONTH(H$4),1),ExpDocDate,"&lt;="&amp;H$4,ExpAccount,LEFT($A37,5)&amp;"*"),SUMIFS(IncExcl,IncDocDate,"&gt;="&amp;DATE(YEAR(H$4),MONTH(H$4),1),IncDocDate,"&lt;="&amp;H$4,IncAccount,$A37)-SUMIFS(ExpExcl,ExpDocDate,"&gt;="&amp;DATE(YEAR(H$4),MONTH(H$4),1),ExpDocDate,"&lt;="&amp;H$4,ExpAccount,$A37))</f>
        <v>0</v>
      </c>
      <c r="I37" s="29" cm="1">
        <f t="array" aca="1" ref="I37" ca="1">H37+IF(RIGHT($A37,1)="G",SUMIFS(IncExcl,IncDocDate,"&gt;="&amp;DATE(YEAR(I$4),MONTH(I$4),1),IncDocDate,"&lt;="&amp;I$4,IncAccount,LEFT($A37,5)&amp;"*")-SUMIFS(ExpExcl,ExpDocDate,"&gt;="&amp;DATE(YEAR(I$4),MONTH(I$4),1),ExpDocDate,"&lt;="&amp;I$4,ExpAccount,LEFT($A37,5)&amp;"*"),SUMIFS(IncExcl,IncDocDate,"&gt;="&amp;DATE(YEAR(I$4),MONTH(I$4),1),IncDocDate,"&lt;="&amp;I$4,IncAccount,$A37)-SUMIFS(ExpExcl,ExpDocDate,"&gt;="&amp;DATE(YEAR(I$4),MONTH(I$4),1),ExpDocDate,"&lt;="&amp;I$4,ExpAccount,$A37))</f>
        <v>0</v>
      </c>
      <c r="J37" s="29" cm="1">
        <f t="array" aca="1" ref="J37" ca="1">I37+IF(RIGHT($A37,1)="G",SUMIFS(IncExcl,IncDocDate,"&gt;="&amp;DATE(YEAR(J$4),MONTH(J$4),1),IncDocDate,"&lt;="&amp;J$4,IncAccount,LEFT($A37,5)&amp;"*")-SUMIFS(ExpExcl,ExpDocDate,"&gt;="&amp;DATE(YEAR(J$4),MONTH(J$4),1),ExpDocDate,"&lt;="&amp;J$4,ExpAccount,LEFT($A37,5)&amp;"*"),SUMIFS(IncExcl,IncDocDate,"&gt;="&amp;DATE(YEAR(J$4),MONTH(J$4),1),IncDocDate,"&lt;="&amp;J$4,IncAccount,$A37)-SUMIFS(ExpExcl,ExpDocDate,"&gt;="&amp;DATE(YEAR(J$4),MONTH(J$4),1),ExpDocDate,"&lt;="&amp;J$4,ExpAccount,$A37))</f>
        <v>0</v>
      </c>
      <c r="K37" s="29" cm="1">
        <f t="array" aca="1" ref="K37" ca="1">J37+IF(RIGHT($A37,1)="G",SUMIFS(IncExcl,IncDocDate,"&gt;="&amp;DATE(YEAR(K$4),MONTH(K$4),1),IncDocDate,"&lt;="&amp;K$4,IncAccount,LEFT($A37,5)&amp;"*")-SUMIFS(ExpExcl,ExpDocDate,"&gt;="&amp;DATE(YEAR(K$4),MONTH(K$4),1),ExpDocDate,"&lt;="&amp;K$4,ExpAccount,LEFT($A37,5)&amp;"*"),SUMIFS(IncExcl,IncDocDate,"&gt;="&amp;DATE(YEAR(K$4),MONTH(K$4),1),IncDocDate,"&lt;="&amp;K$4,IncAccount,$A37)-SUMIFS(ExpExcl,ExpDocDate,"&gt;="&amp;DATE(YEAR(K$4),MONTH(K$4),1),ExpDocDate,"&lt;="&amp;K$4,ExpAccount,$A37))</f>
        <v>0</v>
      </c>
      <c r="L37" s="29" cm="1">
        <f t="array" aca="1" ref="L37" ca="1">K37+IF(RIGHT($A37,1)="G",SUMIFS(IncExcl,IncDocDate,"&gt;="&amp;DATE(YEAR(L$4),MONTH(L$4),1),IncDocDate,"&lt;="&amp;L$4,IncAccount,LEFT($A37,5)&amp;"*")-SUMIFS(ExpExcl,ExpDocDate,"&gt;="&amp;DATE(YEAR(L$4),MONTH(L$4),1),ExpDocDate,"&lt;="&amp;L$4,ExpAccount,LEFT($A37,5)&amp;"*"),SUMIFS(IncExcl,IncDocDate,"&gt;="&amp;DATE(YEAR(L$4),MONTH(L$4),1),IncDocDate,"&lt;="&amp;L$4,IncAccount,$A37)-SUMIFS(ExpExcl,ExpDocDate,"&gt;="&amp;DATE(YEAR(L$4),MONTH(L$4),1),ExpDocDate,"&lt;="&amp;L$4,ExpAccount,$A37))</f>
        <v>0</v>
      </c>
      <c r="M37" s="29" cm="1">
        <f t="array" aca="1" ref="M37" ca="1">L37+IF(RIGHT($A37,1)="G",SUMIFS(IncExcl,IncDocDate,"&gt;="&amp;DATE(YEAR(M$4),MONTH(M$4),1),IncDocDate,"&lt;="&amp;M$4,IncAccount,LEFT($A37,5)&amp;"*")-SUMIFS(ExpExcl,ExpDocDate,"&gt;="&amp;DATE(YEAR(M$4),MONTH(M$4),1),ExpDocDate,"&lt;="&amp;M$4,ExpAccount,LEFT($A37,5)&amp;"*"),SUMIFS(IncExcl,IncDocDate,"&gt;="&amp;DATE(YEAR(M$4),MONTH(M$4),1),IncDocDate,"&lt;="&amp;M$4,IncAccount,$A37)-SUMIFS(ExpExcl,ExpDocDate,"&gt;="&amp;DATE(YEAR(M$4),MONTH(M$4),1),ExpDocDate,"&lt;="&amp;M$4,ExpAccount,$A37))</f>
        <v>0</v>
      </c>
      <c r="N37" s="29" cm="1">
        <f t="array" aca="1" ref="N37" ca="1">M37+IF(RIGHT($A37,1)="G",SUMIFS(IncExcl,IncDocDate,"&gt;="&amp;DATE(YEAR(N$4),MONTH(N$4),1),IncDocDate,"&lt;="&amp;N$4,IncAccount,LEFT($A37,5)&amp;"*")-SUMIFS(ExpExcl,ExpDocDate,"&gt;="&amp;DATE(YEAR(N$4),MONTH(N$4),1),ExpDocDate,"&lt;="&amp;N$4,ExpAccount,LEFT($A37,5)&amp;"*"),SUMIFS(IncExcl,IncDocDate,"&gt;="&amp;DATE(YEAR(N$4),MONTH(N$4),1),IncDocDate,"&lt;="&amp;N$4,IncAccount,$A37)-SUMIFS(ExpExcl,ExpDocDate,"&gt;="&amp;DATE(YEAR(N$4),MONTH(N$4),1),ExpDocDate,"&lt;="&amp;N$4,ExpAccount,$A37))</f>
        <v>0</v>
      </c>
      <c r="O37" s="29" cm="1">
        <f t="array" aca="1" ref="O37" ca="1">N37+IF(RIGHT($A37,1)="G",SUMIFS(IncExcl,IncDocDate,"&gt;="&amp;DATE(YEAR(O$4),MONTH(O$4),1),IncDocDate,"&lt;="&amp;O$4,IncAccount,LEFT($A37,5)&amp;"*")-SUMIFS(ExpExcl,ExpDocDate,"&gt;="&amp;DATE(YEAR(O$4),MONTH(O$4),1),ExpDocDate,"&lt;="&amp;O$4,ExpAccount,LEFT($A37,5)&amp;"*"),SUMIFS(IncExcl,IncDocDate,"&gt;="&amp;DATE(YEAR(O$4),MONTH(O$4),1),IncDocDate,"&lt;="&amp;O$4,IncAccount,$A37)-SUMIFS(ExpExcl,ExpDocDate,"&gt;="&amp;DATE(YEAR(O$4),MONTH(O$4),1),ExpDocDate,"&lt;="&amp;O$4,ExpAccount,$A37))</f>
        <v>0</v>
      </c>
      <c r="P37" s="86">
        <f t="shared" ca="1" si="14"/>
        <v>0</v>
      </c>
    </row>
    <row r="38" spans="1:16" ht="16" customHeight="1" x14ac:dyDescent="0.25">
      <c r="A38" s="180" t="s">
        <v>284</v>
      </c>
      <c r="B38" s="17" t="str">
        <f ca="1">IF(RIGHT($A38,1)="G",IF(ISNA(VLOOKUP(LEFT($A38,LEN($A38)-1),GroupAll,COLUMN(Groups!$B$4),0)),"Group Not Found",VLOOKUP(LEFT($A38,LEN($A38)-1),GroupAll,COLUMN(Groups!$B$4),0)),IF(ISNA(VLOOKUP($A38,AccountAll,COLUMN(TB!$B$4),0)),"Account Not Found",VLOOKUP($A38,AccountAll,COLUMN(TB!$B$4),0)))</f>
        <v>Sales Tax 1 - National / Federal</v>
      </c>
      <c r="C38" s="29" cm="1">
        <f t="array" aca="1" ref="C38" ca="1">IF(RIGHT($A38,1)="G",-SUMIF(AccountAll,LEFT($A38,5)&amp;"*",AccountOpen),-SUMIF(AccountAll,$A38,AccountOpen))</f>
        <v>20240</v>
      </c>
      <c r="D38" s="29" cm="1">
        <f t="array" aca="1" ref="D38" ca="1">C38+SUMIFS(IncExcl,IncDocDate,"&gt;="&amp;DATE(YEAR(D$4),MONTH(D$4),1),IncDocDate,"&lt;="&amp;D$4,IncAccount,$A38)-SUMIFS(ExpExcl,ExpDocDate,"&gt;="&amp;DATE(YEAR(D$4),MONTH(D$4),1),ExpDocDate,"&lt;="&amp;D$4,ExpAccount,$A38)+SUMIFS(IncTax1,IncDocDate,"&gt;="&amp;DATE(YEAR(D$4),MONTH(D$4),1),IncDocDate,"&lt;="&amp;D$4)-SUMIFS(ExpTax1,ExpDocDate,"&gt;="&amp;DATE(YEAR(D$4),MONTH(D$4),1),ExpDocDate,"&lt;="&amp;D$4)</f>
        <v>34429.230434782614</v>
      </c>
      <c r="E38" s="29" cm="1">
        <f t="array" aca="1" ref="E38" ca="1">D38+SUMIFS(IncExcl,IncDocDate,"&gt;="&amp;DATE(YEAR(E$4),MONTH(E$4),1),IncDocDate,"&lt;="&amp;E$4,IncAccount,$A38)-SUMIFS(ExpExcl,ExpDocDate,"&gt;="&amp;DATE(YEAR(E$4),MONTH(E$4),1),ExpDocDate,"&lt;="&amp;E$4,ExpAccount,$A38)+SUMIFS(IncTax1,IncDocDate,"&gt;="&amp;DATE(YEAR(E$4),MONTH(E$4),1),IncDocDate,"&lt;="&amp;E$4)-SUMIFS(ExpTax1,ExpDocDate,"&gt;="&amp;DATE(YEAR(E$4),MONTH(E$4),1),ExpDocDate,"&lt;="&amp;E$4)</f>
        <v>15796.696086956523</v>
      </c>
      <c r="F38" s="29" cm="1">
        <f t="array" aca="1" ref="F38" ca="1">E38+SUMIFS(IncExcl,IncDocDate,"&gt;="&amp;DATE(YEAR(F$4),MONTH(F$4),1),IncDocDate,"&lt;="&amp;F$4,IncAccount,$A38)-SUMIFS(ExpExcl,ExpDocDate,"&gt;="&amp;DATE(YEAR(F$4),MONTH(F$4),1),ExpDocDate,"&lt;="&amp;F$4,ExpAccount,$A38)+SUMIFS(IncTax1,IncDocDate,"&gt;="&amp;DATE(YEAR(F$4),MONTH(F$4),1),IncDocDate,"&lt;="&amp;F$4)-SUMIFS(ExpTax1,ExpDocDate,"&gt;="&amp;DATE(YEAR(F$4),MONTH(F$4),1),ExpDocDate,"&lt;="&amp;F$4)</f>
        <v>40016.087391304347</v>
      </c>
      <c r="G38" s="29" cm="1">
        <f t="array" aca="1" ref="G38" ca="1">F38+SUMIFS(IncExcl,IncDocDate,"&gt;="&amp;DATE(YEAR(G$4),MONTH(G$4),1),IncDocDate,"&lt;="&amp;G$4,IncAccount,$A38)-SUMIFS(ExpExcl,ExpDocDate,"&gt;="&amp;DATE(YEAR(G$4),MONTH(G$4),1),ExpDocDate,"&lt;="&amp;G$4,ExpAccount,$A38)+SUMIFS(IncTax1,IncDocDate,"&gt;="&amp;DATE(YEAR(G$4),MONTH(G$4),1),IncDocDate,"&lt;="&amp;G$4)-SUMIFS(ExpTax1,ExpDocDate,"&gt;="&amp;DATE(YEAR(G$4),MONTH(G$4),1),ExpDocDate,"&lt;="&amp;G$4)</f>
        <v>19658.866956521742</v>
      </c>
      <c r="H38" s="29" cm="1">
        <f t="array" aca="1" ref="H38" ca="1">G38+SUMIFS(IncExcl,IncDocDate,"&gt;="&amp;DATE(YEAR(H$4),MONTH(H$4),1),IncDocDate,"&lt;="&amp;H$4,IncAccount,$A38)-SUMIFS(ExpExcl,ExpDocDate,"&gt;="&amp;DATE(YEAR(H$4),MONTH(H$4),1),ExpDocDate,"&lt;="&amp;H$4,ExpAccount,$A38)+SUMIFS(IncTax1,IncDocDate,"&gt;="&amp;DATE(YEAR(H$4),MONTH(H$4),1),IncDocDate,"&lt;="&amp;H$4)-SUMIFS(ExpTax1,ExpDocDate,"&gt;="&amp;DATE(YEAR(H$4),MONTH(H$4),1),ExpDocDate,"&lt;="&amp;H$4)</f>
        <v>36421.953913043479</v>
      </c>
      <c r="I38" s="29" cm="1">
        <f t="array" aca="1" ref="I38" ca="1">H38+SUMIFS(IncExcl,IncDocDate,"&gt;="&amp;DATE(YEAR(I$4),MONTH(I$4),1),IncDocDate,"&lt;="&amp;I$4,IncAccount,$A38)-SUMIFS(ExpExcl,ExpDocDate,"&gt;="&amp;DATE(YEAR(I$4),MONTH(I$4),1),ExpDocDate,"&lt;="&amp;I$4,ExpAccount,$A38)+SUMIFS(IncTax1,IncDocDate,"&gt;="&amp;DATE(YEAR(I$4),MONTH(I$4),1),IncDocDate,"&lt;="&amp;I$4)-SUMIFS(ExpTax1,ExpDocDate,"&gt;="&amp;DATE(YEAR(I$4),MONTH(I$4),1),ExpDocDate,"&lt;="&amp;I$4)</f>
        <v>16237.243043478264</v>
      </c>
      <c r="J38" s="29" cm="1">
        <f t="array" aca="1" ref="J38" ca="1">I38+SUMIFS(IncExcl,IncDocDate,"&gt;="&amp;DATE(YEAR(J$4),MONTH(J$4),1),IncDocDate,"&lt;="&amp;J$4,IncAccount,$A38)-SUMIFS(ExpExcl,ExpDocDate,"&gt;="&amp;DATE(YEAR(J$4),MONTH(J$4),1),ExpDocDate,"&lt;="&amp;J$4,ExpAccount,$A38)+SUMIFS(IncTax1,IncDocDate,"&gt;="&amp;DATE(YEAR(J$4),MONTH(J$4),1),IncDocDate,"&lt;="&amp;J$4)-SUMIFS(ExpTax1,ExpDocDate,"&gt;="&amp;DATE(YEAR(J$4),MONTH(J$4),1),ExpDocDate,"&lt;="&amp;J$4)</f>
        <v>36651.199565217394</v>
      </c>
      <c r="K38" s="29" cm="1">
        <f t="array" aca="1" ref="K38" ca="1">J38+SUMIFS(IncExcl,IncDocDate,"&gt;="&amp;DATE(YEAR(K$4),MONTH(K$4),1),IncDocDate,"&lt;="&amp;K$4,IncAccount,$A38)-SUMIFS(ExpExcl,ExpDocDate,"&gt;="&amp;DATE(YEAR(K$4),MONTH(K$4),1),ExpDocDate,"&lt;="&amp;K$4,ExpAccount,$A38)+SUMIFS(IncTax1,IncDocDate,"&gt;="&amp;DATE(YEAR(K$4),MONTH(K$4),1),IncDocDate,"&lt;="&amp;K$4)-SUMIFS(ExpTax1,ExpDocDate,"&gt;="&amp;DATE(YEAR(K$4),MONTH(K$4),1),ExpDocDate,"&lt;="&amp;K$4)</f>
        <v>23783.412608695657</v>
      </c>
      <c r="L38" s="29" cm="1">
        <f t="array" aca="1" ref="L38" ca="1">K38+SUMIFS(IncExcl,IncDocDate,"&gt;="&amp;DATE(YEAR(L$4),MONTH(L$4),1),IncDocDate,"&lt;="&amp;L$4,IncAccount,$A38)-SUMIFS(ExpExcl,ExpDocDate,"&gt;="&amp;DATE(YEAR(L$4),MONTH(L$4),1),ExpDocDate,"&lt;="&amp;L$4,ExpAccount,$A38)+SUMIFS(IncTax1,IncDocDate,"&gt;="&amp;DATE(YEAR(L$4),MONTH(L$4),1),IncDocDate,"&lt;="&amp;L$4)-SUMIFS(ExpTax1,ExpDocDate,"&gt;="&amp;DATE(YEAR(L$4),MONTH(L$4),1),ExpDocDate,"&lt;="&amp;L$4)</f>
        <v>40976.738695652173</v>
      </c>
      <c r="M38" s="29" cm="1">
        <f t="array" aca="1" ref="M38" ca="1">L38+SUMIFS(IncExcl,IncDocDate,"&gt;="&amp;DATE(YEAR(M$4),MONTH(M$4),1),IncDocDate,"&lt;="&amp;M$4,IncAccount,$A38)-SUMIFS(ExpExcl,ExpDocDate,"&gt;="&amp;DATE(YEAR(M$4),MONTH(M$4),1),ExpDocDate,"&lt;="&amp;M$4,ExpAccount,$A38)+SUMIFS(IncTax1,IncDocDate,"&gt;="&amp;DATE(YEAR(M$4),MONTH(M$4),1),IncDocDate,"&lt;="&amp;M$4)-SUMIFS(ExpTax1,ExpDocDate,"&gt;="&amp;DATE(YEAR(M$4),MONTH(M$4),1),ExpDocDate,"&lt;="&amp;M$4)</f>
        <v>12803.998695652177</v>
      </c>
      <c r="N38" s="29" cm="1">
        <f t="array" aca="1" ref="N38" ca="1">M38+SUMIFS(IncExcl,IncDocDate,"&gt;="&amp;DATE(YEAR(N$4),MONTH(N$4),1),IncDocDate,"&lt;="&amp;N$4,IncAccount,$A38)-SUMIFS(ExpExcl,ExpDocDate,"&gt;="&amp;DATE(YEAR(N$4),MONTH(N$4),1),ExpDocDate,"&lt;="&amp;N$4,ExpAccount,$A38)+SUMIFS(IncTax1,IncDocDate,"&gt;="&amp;DATE(YEAR(N$4),MONTH(N$4),1),IncDocDate,"&lt;="&amp;N$4)-SUMIFS(ExpTax1,ExpDocDate,"&gt;="&amp;DATE(YEAR(N$4),MONTH(N$4),1),ExpDocDate,"&lt;="&amp;N$4)</f>
        <v>31218.520434782611</v>
      </c>
      <c r="O38" s="29" cm="1">
        <f t="array" aca="1" ref="O38" ca="1">N38+SUMIFS(IncExcl,IncDocDate,"&gt;="&amp;DATE(YEAR(O$4),MONTH(O$4),1),IncDocDate,"&lt;="&amp;O$4,IncAccount,$A38)-SUMIFS(ExpExcl,ExpDocDate,"&gt;="&amp;DATE(YEAR(O$4),MONTH(O$4),1),ExpDocDate,"&lt;="&amp;O$4,ExpAccount,$A38)+SUMIFS(IncTax1,IncDocDate,"&gt;="&amp;DATE(YEAR(O$4),MONTH(O$4),1),IncDocDate,"&lt;="&amp;O$4)-SUMIFS(ExpTax1,ExpDocDate,"&gt;="&amp;DATE(YEAR(O$4),MONTH(O$4),1),ExpDocDate,"&lt;="&amp;O$4)</f>
        <v>17118.652608695655</v>
      </c>
      <c r="P38" s="86">
        <f t="shared" ca="1" si="14"/>
        <v>17118.652608695655</v>
      </c>
    </row>
    <row r="39" spans="1:16" ht="16" customHeight="1" x14ac:dyDescent="0.25">
      <c r="A39" s="180" t="s">
        <v>713</v>
      </c>
      <c r="B39" s="17" t="str">
        <f ca="1">IF(RIGHT($A39,1)="G",IF(ISNA(VLOOKUP(LEFT($A39,LEN($A39)-1),GroupAll,COLUMN(Groups!$B$4),0)),"Group Not Found",VLOOKUP(LEFT($A39,LEN($A39)-1),GroupAll,COLUMN(Groups!$B$4),0)),IF(ISNA(VLOOKUP($A39,AccountAll,COLUMN(TB!$B$4),0)),"Account Not Found",VLOOKUP($A39,AccountAll,COLUMN(TB!$B$4),0)))</f>
        <v>Sales Tax 2 - State</v>
      </c>
      <c r="C39" s="29" cm="1">
        <f t="array" aca="1" ref="C39" ca="1">IF(RIGHT($A39,1)="G",-SUMIF(AccountAll,LEFT($A39,5)&amp;"*",AccountOpen),-SUMIF(AccountAll,$A39,AccountOpen))</f>
        <v>0</v>
      </c>
      <c r="D39" s="29" cm="1">
        <f t="array" aca="1" ref="D39" ca="1">C39+SUMIFS(IncExcl,IncDocDate,"&gt;="&amp;DATE(YEAR(D$4),MONTH(D$4),1),IncDocDate,"&lt;="&amp;D$4,IncAccount,$A39)-SUMIFS(ExpExcl,ExpDocDate,"&gt;="&amp;DATE(YEAR(D$4),MONTH(D$4),1),ExpDocDate,"&lt;="&amp;D$4,ExpAccount,$A39)+IF(IncTaxCount=2,SUMIFS(IncTax2,IncDocDate,"&gt;="&amp;DATE(YEAR(D$4),MONTH(D$4),1),IncDocDate,"&lt;="&amp;D$4),0)-IF(ExpTaxCount=2,SUMIFS(ExpTax2,ExpDocDate,"&gt;="&amp;DATE(YEAR(D$4),MONTH(D$4),1),ExpDocDate,"&lt;="&amp;D$4),0)</f>
        <v>0</v>
      </c>
      <c r="E39" s="29" cm="1">
        <f t="array" aca="1" ref="E39" ca="1">D39+SUMIFS(IncExcl,IncDocDate,"&gt;="&amp;DATE(YEAR(E$4),MONTH(E$4),1),IncDocDate,"&lt;="&amp;E$4,IncAccount,$A39)-SUMIFS(ExpExcl,ExpDocDate,"&gt;="&amp;DATE(YEAR(E$4),MONTH(E$4),1),ExpDocDate,"&lt;="&amp;E$4,ExpAccount,$A39)+IF(IncTaxCount=2,SUMIFS(IncTax2,IncDocDate,"&gt;="&amp;DATE(YEAR(E$4),MONTH(E$4),1),IncDocDate,"&lt;="&amp;E$4),0)-IF(ExpTaxCount=2,SUMIFS(ExpTax2,ExpDocDate,"&gt;="&amp;DATE(YEAR(E$4),MONTH(E$4),1),ExpDocDate,"&lt;="&amp;E$4),0)</f>
        <v>0</v>
      </c>
      <c r="F39" s="29" cm="1">
        <f t="array" aca="1" ref="F39" ca="1">E39+SUMIFS(IncExcl,IncDocDate,"&gt;="&amp;DATE(YEAR(F$4),MONTH(F$4),1),IncDocDate,"&lt;="&amp;F$4,IncAccount,$A39)-SUMIFS(ExpExcl,ExpDocDate,"&gt;="&amp;DATE(YEAR(F$4),MONTH(F$4),1),ExpDocDate,"&lt;="&amp;F$4,ExpAccount,$A39)+IF(IncTaxCount=2,SUMIFS(IncTax2,IncDocDate,"&gt;="&amp;DATE(YEAR(F$4),MONTH(F$4),1),IncDocDate,"&lt;="&amp;F$4),0)-IF(ExpTaxCount=2,SUMIFS(ExpTax2,ExpDocDate,"&gt;="&amp;DATE(YEAR(F$4),MONTH(F$4),1),ExpDocDate,"&lt;="&amp;F$4),0)</f>
        <v>0</v>
      </c>
      <c r="G39" s="29" cm="1">
        <f t="array" aca="1" ref="G39" ca="1">F39+SUMIFS(IncExcl,IncDocDate,"&gt;="&amp;DATE(YEAR(G$4),MONTH(G$4),1),IncDocDate,"&lt;="&amp;G$4,IncAccount,$A39)-SUMIFS(ExpExcl,ExpDocDate,"&gt;="&amp;DATE(YEAR(G$4),MONTH(G$4),1),ExpDocDate,"&lt;="&amp;G$4,ExpAccount,$A39)+IF(IncTaxCount=2,SUMIFS(IncTax2,IncDocDate,"&gt;="&amp;DATE(YEAR(G$4),MONTH(G$4),1),IncDocDate,"&lt;="&amp;G$4),0)-IF(ExpTaxCount=2,SUMIFS(ExpTax2,ExpDocDate,"&gt;="&amp;DATE(YEAR(G$4),MONTH(G$4),1),ExpDocDate,"&lt;="&amp;G$4),0)</f>
        <v>0</v>
      </c>
      <c r="H39" s="29" cm="1">
        <f t="array" aca="1" ref="H39" ca="1">G39+SUMIFS(IncExcl,IncDocDate,"&gt;="&amp;DATE(YEAR(H$4),MONTH(H$4),1),IncDocDate,"&lt;="&amp;H$4,IncAccount,$A39)-SUMIFS(ExpExcl,ExpDocDate,"&gt;="&amp;DATE(YEAR(H$4),MONTH(H$4),1),ExpDocDate,"&lt;="&amp;H$4,ExpAccount,$A39)+IF(IncTaxCount=2,SUMIFS(IncTax2,IncDocDate,"&gt;="&amp;DATE(YEAR(H$4),MONTH(H$4),1),IncDocDate,"&lt;="&amp;H$4),0)-IF(ExpTaxCount=2,SUMIFS(ExpTax2,ExpDocDate,"&gt;="&amp;DATE(YEAR(H$4),MONTH(H$4),1),ExpDocDate,"&lt;="&amp;H$4),0)</f>
        <v>0</v>
      </c>
      <c r="I39" s="29" cm="1">
        <f t="array" aca="1" ref="I39" ca="1">H39+SUMIFS(IncExcl,IncDocDate,"&gt;="&amp;DATE(YEAR(I$4),MONTH(I$4),1),IncDocDate,"&lt;="&amp;I$4,IncAccount,$A39)-SUMIFS(ExpExcl,ExpDocDate,"&gt;="&amp;DATE(YEAR(I$4),MONTH(I$4),1),ExpDocDate,"&lt;="&amp;I$4,ExpAccount,$A39)+IF(IncTaxCount=2,SUMIFS(IncTax2,IncDocDate,"&gt;="&amp;DATE(YEAR(I$4),MONTH(I$4),1),IncDocDate,"&lt;="&amp;I$4),0)-IF(ExpTaxCount=2,SUMIFS(ExpTax2,ExpDocDate,"&gt;="&amp;DATE(YEAR(I$4),MONTH(I$4),1),ExpDocDate,"&lt;="&amp;I$4),0)</f>
        <v>0</v>
      </c>
      <c r="J39" s="29" cm="1">
        <f t="array" aca="1" ref="J39" ca="1">I39+SUMIFS(IncExcl,IncDocDate,"&gt;="&amp;DATE(YEAR(J$4),MONTH(J$4),1),IncDocDate,"&lt;="&amp;J$4,IncAccount,$A39)-SUMIFS(ExpExcl,ExpDocDate,"&gt;="&amp;DATE(YEAR(J$4),MONTH(J$4),1),ExpDocDate,"&lt;="&amp;J$4,ExpAccount,$A39)+IF(IncTaxCount=2,SUMIFS(IncTax2,IncDocDate,"&gt;="&amp;DATE(YEAR(J$4),MONTH(J$4),1),IncDocDate,"&lt;="&amp;J$4),0)-IF(ExpTaxCount=2,SUMIFS(ExpTax2,ExpDocDate,"&gt;="&amp;DATE(YEAR(J$4),MONTH(J$4),1),ExpDocDate,"&lt;="&amp;J$4),0)</f>
        <v>0</v>
      </c>
      <c r="K39" s="29" cm="1">
        <f t="array" aca="1" ref="K39" ca="1">J39+SUMIFS(IncExcl,IncDocDate,"&gt;="&amp;DATE(YEAR(K$4),MONTH(K$4),1),IncDocDate,"&lt;="&amp;K$4,IncAccount,$A39)-SUMIFS(ExpExcl,ExpDocDate,"&gt;="&amp;DATE(YEAR(K$4),MONTH(K$4),1),ExpDocDate,"&lt;="&amp;K$4,ExpAccount,$A39)+IF(IncTaxCount=2,SUMIFS(IncTax2,IncDocDate,"&gt;="&amp;DATE(YEAR(K$4),MONTH(K$4),1),IncDocDate,"&lt;="&amp;K$4),0)-IF(ExpTaxCount=2,SUMIFS(ExpTax2,ExpDocDate,"&gt;="&amp;DATE(YEAR(K$4),MONTH(K$4),1),ExpDocDate,"&lt;="&amp;K$4),0)</f>
        <v>0</v>
      </c>
      <c r="L39" s="29" cm="1">
        <f t="array" aca="1" ref="L39" ca="1">K39+SUMIFS(IncExcl,IncDocDate,"&gt;="&amp;DATE(YEAR(L$4),MONTH(L$4),1),IncDocDate,"&lt;="&amp;L$4,IncAccount,$A39)-SUMIFS(ExpExcl,ExpDocDate,"&gt;="&amp;DATE(YEAR(L$4),MONTH(L$4),1),ExpDocDate,"&lt;="&amp;L$4,ExpAccount,$A39)+IF(IncTaxCount=2,SUMIFS(IncTax2,IncDocDate,"&gt;="&amp;DATE(YEAR(L$4),MONTH(L$4),1),IncDocDate,"&lt;="&amp;L$4),0)-IF(ExpTaxCount=2,SUMIFS(ExpTax2,ExpDocDate,"&gt;="&amp;DATE(YEAR(L$4),MONTH(L$4),1),ExpDocDate,"&lt;="&amp;L$4),0)</f>
        <v>0</v>
      </c>
      <c r="M39" s="29" cm="1">
        <f t="array" aca="1" ref="M39" ca="1">L39+SUMIFS(IncExcl,IncDocDate,"&gt;="&amp;DATE(YEAR(M$4),MONTH(M$4),1),IncDocDate,"&lt;="&amp;M$4,IncAccount,$A39)-SUMIFS(ExpExcl,ExpDocDate,"&gt;="&amp;DATE(YEAR(M$4),MONTH(M$4),1),ExpDocDate,"&lt;="&amp;M$4,ExpAccount,$A39)+IF(IncTaxCount=2,SUMIFS(IncTax2,IncDocDate,"&gt;="&amp;DATE(YEAR(M$4),MONTH(M$4),1),IncDocDate,"&lt;="&amp;M$4),0)-IF(ExpTaxCount=2,SUMIFS(ExpTax2,ExpDocDate,"&gt;="&amp;DATE(YEAR(M$4),MONTH(M$4),1),ExpDocDate,"&lt;="&amp;M$4),0)</f>
        <v>0</v>
      </c>
      <c r="N39" s="29" cm="1">
        <f t="array" aca="1" ref="N39" ca="1">M39+SUMIFS(IncExcl,IncDocDate,"&gt;="&amp;DATE(YEAR(N$4),MONTH(N$4),1),IncDocDate,"&lt;="&amp;N$4,IncAccount,$A39)-SUMIFS(ExpExcl,ExpDocDate,"&gt;="&amp;DATE(YEAR(N$4),MONTH(N$4),1),ExpDocDate,"&lt;="&amp;N$4,ExpAccount,$A39)+IF(IncTaxCount=2,SUMIFS(IncTax2,IncDocDate,"&gt;="&amp;DATE(YEAR(N$4),MONTH(N$4),1),IncDocDate,"&lt;="&amp;N$4),0)-IF(ExpTaxCount=2,SUMIFS(ExpTax2,ExpDocDate,"&gt;="&amp;DATE(YEAR(N$4),MONTH(N$4),1),ExpDocDate,"&lt;="&amp;N$4),0)</f>
        <v>0</v>
      </c>
      <c r="O39" s="29" cm="1">
        <f t="array" aca="1" ref="O39" ca="1">N39+SUMIFS(IncExcl,IncDocDate,"&gt;="&amp;DATE(YEAR(O$4),MONTH(O$4),1),IncDocDate,"&lt;="&amp;O$4,IncAccount,$A39)-SUMIFS(ExpExcl,ExpDocDate,"&gt;="&amp;DATE(YEAR(O$4),MONTH(O$4),1),ExpDocDate,"&lt;="&amp;O$4,ExpAccount,$A39)+IF(IncTaxCount=2,SUMIFS(IncTax2,IncDocDate,"&gt;="&amp;DATE(YEAR(O$4),MONTH(O$4),1),IncDocDate,"&lt;="&amp;O$4),0)-IF(ExpTaxCount=2,SUMIFS(ExpTax2,ExpDocDate,"&gt;="&amp;DATE(YEAR(O$4),MONTH(O$4),1),ExpDocDate,"&lt;="&amp;O$4),0)</f>
        <v>0</v>
      </c>
      <c r="P39" s="86">
        <f t="shared" ref="P39" ca="1" si="15">O39</f>
        <v>0</v>
      </c>
    </row>
    <row r="40" spans="1:16" ht="16" customHeight="1" x14ac:dyDescent="0.25">
      <c r="A40" s="178" t="s">
        <v>283</v>
      </c>
      <c r="B40" s="17" t="str">
        <f ca="1">IF(RIGHT($A40,1)="G",IF(ISNA(VLOOKUP(LEFT($A40,LEN($A40)-1),GroupAll,COLUMN(Groups!$B$4),0)),"Group Not Found",VLOOKUP(LEFT($A40,LEN($A40)-1),GroupAll,COLUMN(Groups!$B$4),0)),IF(ISNA(VLOOKUP($A40,AccountAll,COLUMN(TB!$B$4),0)),"Account Not Found",VLOOKUP($A40,AccountAll,COLUMN(TB!$B$4),0)))</f>
        <v>Provision for Taxation</v>
      </c>
      <c r="C40" s="29" cm="1">
        <f t="array" aca="1" ref="C40" ca="1">IF(RIGHT($A40,1)="G",-SUMIF(AccountAll,LEFT($A40,5)&amp;"*",AccountOpen),-SUMIF(AccountAll,$A40,AccountOpen))</f>
        <v>0</v>
      </c>
      <c r="D40" s="29" cm="1">
        <f t="array" aca="1" ref="D40" ca="1">C40+IF(RIGHT($A40,1)="G",SUMIFS(IncExcl,IncDocDate,"&gt;="&amp;DATE(YEAR(D$4),MONTH(D$4),1),IncDocDate,"&lt;="&amp;D$4,IncAccount,LEFT($A40,5)&amp;"*")-SUMIFS(ExpExcl,ExpDocDate,"&gt;="&amp;DATE(YEAR(D$4),MONTH(D$4),1),ExpDocDate,"&lt;="&amp;D$4,ExpAccount,LEFT($A40,5)&amp;"*"),SUMIFS(IncExcl,IncDocDate,"&gt;="&amp;DATE(YEAR(D$4),MONTH(D$4),1),IncDocDate,"&lt;="&amp;D$4,IncAccount,$A40)-SUMIFS(ExpExcl,ExpDocDate,"&gt;="&amp;DATE(YEAR(D$4),MONTH(D$4),1),ExpDocDate,"&lt;="&amp;D$4,ExpAccount,$A40))</f>
        <v>0</v>
      </c>
      <c r="E40" s="29" cm="1">
        <f t="array" aca="1" ref="E40" ca="1">D40+IF(RIGHT($A40,1)="G",SUMIFS(IncExcl,IncDocDate,"&gt;="&amp;DATE(YEAR(E$4),MONTH(E$4),1),IncDocDate,"&lt;="&amp;E$4,IncAccount,LEFT($A40,5)&amp;"*")-SUMIFS(ExpExcl,ExpDocDate,"&gt;="&amp;DATE(YEAR(E$4),MONTH(E$4),1),ExpDocDate,"&lt;="&amp;E$4,ExpAccount,LEFT($A40,5)&amp;"*"),SUMIFS(IncExcl,IncDocDate,"&gt;="&amp;DATE(YEAR(E$4),MONTH(E$4),1),IncDocDate,"&lt;="&amp;E$4,IncAccount,$A40)-SUMIFS(ExpExcl,ExpDocDate,"&gt;="&amp;DATE(YEAR(E$4),MONTH(E$4),1),ExpDocDate,"&lt;="&amp;E$4,ExpAccount,$A40))</f>
        <v>0</v>
      </c>
      <c r="F40" s="29" cm="1">
        <f t="array" aca="1" ref="F40" ca="1">E40+IF(RIGHT($A40,1)="G",SUMIFS(IncExcl,IncDocDate,"&gt;="&amp;DATE(YEAR(F$4),MONTH(F$4),1),IncDocDate,"&lt;="&amp;F$4,IncAccount,LEFT($A40,5)&amp;"*")-SUMIFS(ExpExcl,ExpDocDate,"&gt;="&amp;DATE(YEAR(F$4),MONTH(F$4),1),ExpDocDate,"&lt;="&amp;F$4,ExpAccount,LEFT($A40,5)&amp;"*"),SUMIFS(IncExcl,IncDocDate,"&gt;="&amp;DATE(YEAR(F$4),MONTH(F$4),1),IncDocDate,"&lt;="&amp;F$4,IncAccount,$A40)-SUMIFS(ExpExcl,ExpDocDate,"&gt;="&amp;DATE(YEAR(F$4),MONTH(F$4),1),ExpDocDate,"&lt;="&amp;F$4,ExpAccount,$A40))</f>
        <v>0</v>
      </c>
      <c r="G40" s="29" cm="1">
        <f t="array" aca="1" ref="G40" ca="1">F40+IF(RIGHT($A40,1)="G",SUMIFS(IncExcl,IncDocDate,"&gt;="&amp;DATE(YEAR(G$4),MONTH(G$4),1),IncDocDate,"&lt;="&amp;G$4,IncAccount,LEFT($A40,5)&amp;"*")-SUMIFS(ExpExcl,ExpDocDate,"&gt;="&amp;DATE(YEAR(G$4),MONTH(G$4),1),ExpDocDate,"&lt;="&amp;G$4,ExpAccount,LEFT($A40,5)&amp;"*"),SUMIFS(IncExcl,IncDocDate,"&gt;="&amp;DATE(YEAR(G$4),MONTH(G$4),1),IncDocDate,"&lt;="&amp;G$4,IncAccount,$A40)-SUMIFS(ExpExcl,ExpDocDate,"&gt;="&amp;DATE(YEAR(G$4),MONTH(G$4),1),ExpDocDate,"&lt;="&amp;G$4,ExpAccount,$A40))</f>
        <v>0</v>
      </c>
      <c r="H40" s="29" cm="1">
        <f t="array" aca="1" ref="H40" ca="1">G40+IF(RIGHT($A40,1)="G",SUMIFS(IncExcl,IncDocDate,"&gt;="&amp;DATE(YEAR(H$4),MONTH(H$4),1),IncDocDate,"&lt;="&amp;H$4,IncAccount,LEFT($A40,5)&amp;"*")-SUMIFS(ExpExcl,ExpDocDate,"&gt;="&amp;DATE(YEAR(H$4),MONTH(H$4),1),ExpDocDate,"&lt;="&amp;H$4,ExpAccount,LEFT($A40,5)&amp;"*"),SUMIFS(IncExcl,IncDocDate,"&gt;="&amp;DATE(YEAR(H$4),MONTH(H$4),1),IncDocDate,"&lt;="&amp;H$4,IncAccount,$A40)-SUMIFS(ExpExcl,ExpDocDate,"&gt;="&amp;DATE(YEAR(H$4),MONTH(H$4),1),ExpDocDate,"&lt;="&amp;H$4,ExpAccount,$A40))</f>
        <v>0</v>
      </c>
      <c r="I40" s="29" cm="1">
        <f t="array" aca="1" ref="I40" ca="1">H40+IF(RIGHT($A40,1)="G",SUMIFS(IncExcl,IncDocDate,"&gt;="&amp;DATE(YEAR(I$4),MONTH(I$4),1),IncDocDate,"&lt;="&amp;I$4,IncAccount,LEFT($A40,5)&amp;"*")-SUMIFS(ExpExcl,ExpDocDate,"&gt;="&amp;DATE(YEAR(I$4),MONTH(I$4),1),ExpDocDate,"&lt;="&amp;I$4,ExpAccount,LEFT($A40,5)&amp;"*"),SUMIFS(IncExcl,IncDocDate,"&gt;="&amp;DATE(YEAR(I$4),MONTH(I$4),1),IncDocDate,"&lt;="&amp;I$4,IncAccount,$A40)-SUMIFS(ExpExcl,ExpDocDate,"&gt;="&amp;DATE(YEAR(I$4),MONTH(I$4),1),ExpDocDate,"&lt;="&amp;I$4,ExpAccount,$A40))</f>
        <v>0</v>
      </c>
      <c r="J40" s="29" cm="1">
        <f t="array" aca="1" ref="J40" ca="1">I40+IF(RIGHT($A40,1)="G",SUMIFS(IncExcl,IncDocDate,"&gt;="&amp;DATE(YEAR(J$4),MONTH(J$4),1),IncDocDate,"&lt;="&amp;J$4,IncAccount,LEFT($A40,5)&amp;"*")-SUMIFS(ExpExcl,ExpDocDate,"&gt;="&amp;DATE(YEAR(J$4),MONTH(J$4),1),ExpDocDate,"&lt;="&amp;J$4,ExpAccount,LEFT($A40,5)&amp;"*"),SUMIFS(IncExcl,IncDocDate,"&gt;="&amp;DATE(YEAR(J$4),MONTH(J$4),1),IncDocDate,"&lt;="&amp;J$4,IncAccount,$A40)-SUMIFS(ExpExcl,ExpDocDate,"&gt;="&amp;DATE(YEAR(J$4),MONTH(J$4),1),ExpDocDate,"&lt;="&amp;J$4,ExpAccount,$A40))</f>
        <v>0</v>
      </c>
      <c r="K40" s="29" cm="1">
        <f t="array" aca="1" ref="K40" ca="1">J40+IF(RIGHT($A40,1)="G",SUMIFS(IncExcl,IncDocDate,"&gt;="&amp;DATE(YEAR(K$4),MONTH(K$4),1),IncDocDate,"&lt;="&amp;K$4,IncAccount,LEFT($A40,5)&amp;"*")-SUMIFS(ExpExcl,ExpDocDate,"&gt;="&amp;DATE(YEAR(K$4),MONTH(K$4),1),ExpDocDate,"&lt;="&amp;K$4,ExpAccount,LEFT($A40,5)&amp;"*"),SUMIFS(IncExcl,IncDocDate,"&gt;="&amp;DATE(YEAR(K$4),MONTH(K$4),1),IncDocDate,"&lt;="&amp;K$4,IncAccount,$A40)-SUMIFS(ExpExcl,ExpDocDate,"&gt;="&amp;DATE(YEAR(K$4),MONTH(K$4),1),ExpDocDate,"&lt;="&amp;K$4,ExpAccount,$A40))</f>
        <v>0</v>
      </c>
      <c r="L40" s="29" cm="1">
        <f t="array" aca="1" ref="L40" ca="1">K40+IF(RIGHT($A40,1)="G",SUMIFS(IncExcl,IncDocDate,"&gt;="&amp;DATE(YEAR(L$4),MONTH(L$4),1),IncDocDate,"&lt;="&amp;L$4,IncAccount,LEFT($A40,5)&amp;"*")-SUMIFS(ExpExcl,ExpDocDate,"&gt;="&amp;DATE(YEAR(L$4),MONTH(L$4),1),ExpDocDate,"&lt;="&amp;L$4,ExpAccount,LEFT($A40,5)&amp;"*"),SUMIFS(IncExcl,IncDocDate,"&gt;="&amp;DATE(YEAR(L$4),MONTH(L$4),1),IncDocDate,"&lt;="&amp;L$4,IncAccount,$A40)-SUMIFS(ExpExcl,ExpDocDate,"&gt;="&amp;DATE(YEAR(L$4),MONTH(L$4),1),ExpDocDate,"&lt;="&amp;L$4,ExpAccount,$A40))</f>
        <v>0</v>
      </c>
      <c r="M40" s="29" cm="1">
        <f t="array" aca="1" ref="M40" ca="1">L40+IF(RIGHT($A40,1)="G",SUMIFS(IncExcl,IncDocDate,"&gt;="&amp;DATE(YEAR(M$4),MONTH(M$4),1),IncDocDate,"&lt;="&amp;M$4,IncAccount,LEFT($A40,5)&amp;"*")-SUMIFS(ExpExcl,ExpDocDate,"&gt;="&amp;DATE(YEAR(M$4),MONTH(M$4),1),ExpDocDate,"&lt;="&amp;M$4,ExpAccount,LEFT($A40,5)&amp;"*"),SUMIFS(IncExcl,IncDocDate,"&gt;="&amp;DATE(YEAR(M$4),MONTH(M$4),1),IncDocDate,"&lt;="&amp;M$4,IncAccount,$A40)-SUMIFS(ExpExcl,ExpDocDate,"&gt;="&amp;DATE(YEAR(M$4),MONTH(M$4),1),ExpDocDate,"&lt;="&amp;M$4,ExpAccount,$A40))</f>
        <v>0</v>
      </c>
      <c r="N40" s="29" cm="1">
        <f t="array" aca="1" ref="N40" ca="1">M40+IF(RIGHT($A40,1)="G",SUMIFS(IncExcl,IncDocDate,"&gt;="&amp;DATE(YEAR(N$4),MONTH(N$4),1),IncDocDate,"&lt;="&amp;N$4,IncAccount,LEFT($A40,5)&amp;"*")-SUMIFS(ExpExcl,ExpDocDate,"&gt;="&amp;DATE(YEAR(N$4),MONTH(N$4),1),ExpDocDate,"&lt;="&amp;N$4,ExpAccount,LEFT($A40,5)&amp;"*"),SUMIFS(IncExcl,IncDocDate,"&gt;="&amp;DATE(YEAR(N$4),MONTH(N$4),1),IncDocDate,"&lt;="&amp;N$4,IncAccount,$A40)-SUMIFS(ExpExcl,ExpDocDate,"&gt;="&amp;DATE(YEAR(N$4),MONTH(N$4),1),ExpDocDate,"&lt;="&amp;N$4,ExpAccount,$A40))</f>
        <v>0</v>
      </c>
      <c r="O40" s="29" cm="1">
        <f t="array" aca="1" ref="O40" ca="1">N40+IF(RIGHT($A40,1)="G",SUMIFS(IncExcl,IncDocDate,"&gt;="&amp;DATE(YEAR(O$4),MONTH(O$4),1),IncDocDate,"&lt;="&amp;O$4,IncAccount,LEFT($A40,5)&amp;"*")-SUMIFS(ExpExcl,ExpDocDate,"&gt;="&amp;DATE(YEAR(O$4),MONTH(O$4),1),ExpDocDate,"&lt;="&amp;O$4,ExpAccount,LEFT($A40,5)&amp;"*"),SUMIFS(IncExcl,IncDocDate,"&gt;="&amp;DATE(YEAR(O$4),MONTH(O$4),1),IncDocDate,"&lt;="&amp;O$4,IncAccount,$A40)-SUMIFS(ExpExcl,ExpDocDate,"&gt;="&amp;DATE(YEAR(O$4),MONTH(O$4),1),ExpDocDate,"&lt;="&amp;O$4,ExpAccount,$A40))</f>
        <v>0</v>
      </c>
      <c r="P40" s="86">
        <f t="shared" ca="1" si="14"/>
        <v>0</v>
      </c>
    </row>
    <row r="41" spans="1:16" ht="16" customHeight="1" x14ac:dyDescent="0.25">
      <c r="A41" s="178" t="s">
        <v>282</v>
      </c>
      <c r="B41" s="17" t="str">
        <f ca="1">IF(RIGHT($A41,1)="G",IF(ISNA(VLOOKUP(LEFT($A41,LEN($A41)-1),GroupAll,COLUMN(Groups!$B$4),0)),"Group Not Found",VLOOKUP(LEFT($A41,LEN($A41)-1),GroupAll,COLUMN(Groups!$B$4),0)),IF(ISNA(VLOOKUP($A41,AccountAll,COLUMN(TB!$B$4),0)),"Account Not Found",VLOOKUP($A41,AccountAll,COLUMN(TB!$B$4),0)))</f>
        <v>Dividends Payable</v>
      </c>
      <c r="C41" s="29" cm="1">
        <f t="array" aca="1" ref="C41" ca="1">IF(RIGHT($A41,1)="G",-SUMIF(AccountAll,LEFT($A41,5)&amp;"*",AccountOpen),-SUMIF(AccountAll,$A41,AccountOpen))</f>
        <v>0</v>
      </c>
      <c r="D41" s="29" cm="1">
        <f t="array" aca="1" ref="D41" ca="1">C41+IF(RIGHT($A41,1)="G",SUMIFS(IncExcl,IncDocDate,"&gt;="&amp;DATE(YEAR(D$4),MONTH(D$4),1),IncDocDate,"&lt;="&amp;D$4,IncAccount,LEFT($A41,5)&amp;"*")-SUMIFS(ExpExcl,ExpDocDate,"&gt;="&amp;DATE(YEAR(D$4),MONTH(D$4),1),ExpDocDate,"&lt;="&amp;D$4,ExpAccount,LEFT($A41,5)&amp;"*"),SUMIFS(IncExcl,IncDocDate,"&gt;="&amp;DATE(YEAR(D$4),MONTH(D$4),1),IncDocDate,"&lt;="&amp;D$4,IncAccount,$A41)-SUMIFS(ExpExcl,ExpDocDate,"&gt;="&amp;DATE(YEAR(D$4),MONTH(D$4),1),ExpDocDate,"&lt;="&amp;D$4,ExpAccount,$A41))</f>
        <v>0</v>
      </c>
      <c r="E41" s="29" cm="1">
        <f t="array" aca="1" ref="E41" ca="1">D41+IF(RIGHT($A41,1)="G",SUMIFS(IncExcl,IncDocDate,"&gt;="&amp;DATE(YEAR(E$4),MONTH(E$4),1),IncDocDate,"&lt;="&amp;E$4,IncAccount,LEFT($A41,5)&amp;"*")-SUMIFS(ExpExcl,ExpDocDate,"&gt;="&amp;DATE(YEAR(E$4),MONTH(E$4),1),ExpDocDate,"&lt;="&amp;E$4,ExpAccount,LEFT($A41,5)&amp;"*"),SUMIFS(IncExcl,IncDocDate,"&gt;="&amp;DATE(YEAR(E$4),MONTH(E$4),1),IncDocDate,"&lt;="&amp;E$4,IncAccount,$A41)-SUMIFS(ExpExcl,ExpDocDate,"&gt;="&amp;DATE(YEAR(E$4),MONTH(E$4),1),ExpDocDate,"&lt;="&amp;E$4,ExpAccount,$A41))</f>
        <v>0</v>
      </c>
      <c r="F41" s="29" cm="1">
        <f t="array" aca="1" ref="F41" ca="1">E41+IF(RIGHT($A41,1)="G",SUMIFS(IncExcl,IncDocDate,"&gt;="&amp;DATE(YEAR(F$4),MONTH(F$4),1),IncDocDate,"&lt;="&amp;F$4,IncAccount,LEFT($A41,5)&amp;"*")-SUMIFS(ExpExcl,ExpDocDate,"&gt;="&amp;DATE(YEAR(F$4),MONTH(F$4),1),ExpDocDate,"&lt;="&amp;F$4,ExpAccount,LEFT($A41,5)&amp;"*"),SUMIFS(IncExcl,IncDocDate,"&gt;="&amp;DATE(YEAR(F$4),MONTH(F$4),1),IncDocDate,"&lt;="&amp;F$4,IncAccount,$A41)-SUMIFS(ExpExcl,ExpDocDate,"&gt;="&amp;DATE(YEAR(F$4),MONTH(F$4),1),ExpDocDate,"&lt;="&amp;F$4,ExpAccount,$A41))</f>
        <v>0</v>
      </c>
      <c r="G41" s="29" cm="1">
        <f t="array" aca="1" ref="G41" ca="1">F41+IF(RIGHT($A41,1)="G",SUMIFS(IncExcl,IncDocDate,"&gt;="&amp;DATE(YEAR(G$4),MONTH(G$4),1),IncDocDate,"&lt;="&amp;G$4,IncAccount,LEFT($A41,5)&amp;"*")-SUMIFS(ExpExcl,ExpDocDate,"&gt;="&amp;DATE(YEAR(G$4),MONTH(G$4),1),ExpDocDate,"&lt;="&amp;G$4,ExpAccount,LEFT($A41,5)&amp;"*"),SUMIFS(IncExcl,IncDocDate,"&gt;="&amp;DATE(YEAR(G$4),MONTH(G$4),1),IncDocDate,"&lt;="&amp;G$4,IncAccount,$A41)-SUMIFS(ExpExcl,ExpDocDate,"&gt;="&amp;DATE(YEAR(G$4),MONTH(G$4),1),ExpDocDate,"&lt;="&amp;G$4,ExpAccount,$A41))</f>
        <v>0</v>
      </c>
      <c r="H41" s="29" cm="1">
        <f t="array" aca="1" ref="H41" ca="1">G41+IF(RIGHT($A41,1)="G",SUMIFS(IncExcl,IncDocDate,"&gt;="&amp;DATE(YEAR(H$4),MONTH(H$4),1),IncDocDate,"&lt;="&amp;H$4,IncAccount,LEFT($A41,5)&amp;"*")-SUMIFS(ExpExcl,ExpDocDate,"&gt;="&amp;DATE(YEAR(H$4),MONTH(H$4),1),ExpDocDate,"&lt;="&amp;H$4,ExpAccount,LEFT($A41,5)&amp;"*"),SUMIFS(IncExcl,IncDocDate,"&gt;="&amp;DATE(YEAR(H$4),MONTH(H$4),1),IncDocDate,"&lt;="&amp;H$4,IncAccount,$A41)-SUMIFS(ExpExcl,ExpDocDate,"&gt;="&amp;DATE(YEAR(H$4),MONTH(H$4),1),ExpDocDate,"&lt;="&amp;H$4,ExpAccount,$A41))</f>
        <v>0</v>
      </c>
      <c r="I41" s="29" cm="1">
        <f t="array" aca="1" ref="I41" ca="1">H41+IF(RIGHT($A41,1)="G",SUMIFS(IncExcl,IncDocDate,"&gt;="&amp;DATE(YEAR(I$4),MONTH(I$4),1),IncDocDate,"&lt;="&amp;I$4,IncAccount,LEFT($A41,5)&amp;"*")-SUMIFS(ExpExcl,ExpDocDate,"&gt;="&amp;DATE(YEAR(I$4),MONTH(I$4),1),ExpDocDate,"&lt;="&amp;I$4,ExpAccount,LEFT($A41,5)&amp;"*"),SUMIFS(IncExcl,IncDocDate,"&gt;="&amp;DATE(YEAR(I$4),MONTH(I$4),1),IncDocDate,"&lt;="&amp;I$4,IncAccount,$A41)-SUMIFS(ExpExcl,ExpDocDate,"&gt;="&amp;DATE(YEAR(I$4),MONTH(I$4),1),ExpDocDate,"&lt;="&amp;I$4,ExpAccount,$A41))</f>
        <v>0</v>
      </c>
      <c r="J41" s="29" cm="1">
        <f t="array" aca="1" ref="J41" ca="1">I41+IF(RIGHT($A41,1)="G",SUMIFS(IncExcl,IncDocDate,"&gt;="&amp;DATE(YEAR(J$4),MONTH(J$4),1),IncDocDate,"&lt;="&amp;J$4,IncAccount,LEFT($A41,5)&amp;"*")-SUMIFS(ExpExcl,ExpDocDate,"&gt;="&amp;DATE(YEAR(J$4),MONTH(J$4),1),ExpDocDate,"&lt;="&amp;J$4,ExpAccount,LEFT($A41,5)&amp;"*"),SUMIFS(IncExcl,IncDocDate,"&gt;="&amp;DATE(YEAR(J$4),MONTH(J$4),1),IncDocDate,"&lt;="&amp;J$4,IncAccount,$A41)-SUMIFS(ExpExcl,ExpDocDate,"&gt;="&amp;DATE(YEAR(J$4),MONTH(J$4),1),ExpDocDate,"&lt;="&amp;J$4,ExpAccount,$A41))</f>
        <v>0</v>
      </c>
      <c r="K41" s="29" cm="1">
        <f t="array" aca="1" ref="K41" ca="1">J41+IF(RIGHT($A41,1)="G",SUMIFS(IncExcl,IncDocDate,"&gt;="&amp;DATE(YEAR(K$4),MONTH(K$4),1),IncDocDate,"&lt;="&amp;K$4,IncAccount,LEFT($A41,5)&amp;"*")-SUMIFS(ExpExcl,ExpDocDate,"&gt;="&amp;DATE(YEAR(K$4),MONTH(K$4),1),ExpDocDate,"&lt;="&amp;K$4,ExpAccount,LEFT($A41,5)&amp;"*"),SUMIFS(IncExcl,IncDocDate,"&gt;="&amp;DATE(YEAR(K$4),MONTH(K$4),1),IncDocDate,"&lt;="&amp;K$4,IncAccount,$A41)-SUMIFS(ExpExcl,ExpDocDate,"&gt;="&amp;DATE(YEAR(K$4),MONTH(K$4),1),ExpDocDate,"&lt;="&amp;K$4,ExpAccount,$A41))</f>
        <v>0</v>
      </c>
      <c r="L41" s="29" cm="1">
        <f t="array" aca="1" ref="L41" ca="1">K41+IF(RIGHT($A41,1)="G",SUMIFS(IncExcl,IncDocDate,"&gt;="&amp;DATE(YEAR(L$4),MONTH(L$4),1),IncDocDate,"&lt;="&amp;L$4,IncAccount,LEFT($A41,5)&amp;"*")-SUMIFS(ExpExcl,ExpDocDate,"&gt;="&amp;DATE(YEAR(L$4),MONTH(L$4),1),ExpDocDate,"&lt;="&amp;L$4,ExpAccount,LEFT($A41,5)&amp;"*"),SUMIFS(IncExcl,IncDocDate,"&gt;="&amp;DATE(YEAR(L$4),MONTH(L$4),1),IncDocDate,"&lt;="&amp;L$4,IncAccount,$A41)-SUMIFS(ExpExcl,ExpDocDate,"&gt;="&amp;DATE(YEAR(L$4),MONTH(L$4),1),ExpDocDate,"&lt;="&amp;L$4,ExpAccount,$A41))</f>
        <v>0</v>
      </c>
      <c r="M41" s="29" cm="1">
        <f t="array" aca="1" ref="M41" ca="1">L41+IF(RIGHT($A41,1)="G",SUMIFS(IncExcl,IncDocDate,"&gt;="&amp;DATE(YEAR(M$4),MONTH(M$4),1),IncDocDate,"&lt;="&amp;M$4,IncAccount,LEFT($A41,5)&amp;"*")-SUMIFS(ExpExcl,ExpDocDate,"&gt;="&amp;DATE(YEAR(M$4),MONTH(M$4),1),ExpDocDate,"&lt;="&amp;M$4,ExpAccount,LEFT($A41,5)&amp;"*"),SUMIFS(IncExcl,IncDocDate,"&gt;="&amp;DATE(YEAR(M$4),MONTH(M$4),1),IncDocDate,"&lt;="&amp;M$4,IncAccount,$A41)-SUMIFS(ExpExcl,ExpDocDate,"&gt;="&amp;DATE(YEAR(M$4),MONTH(M$4),1),ExpDocDate,"&lt;="&amp;M$4,ExpAccount,$A41))</f>
        <v>0</v>
      </c>
      <c r="N41" s="29" cm="1">
        <f t="array" aca="1" ref="N41" ca="1">M41+IF(RIGHT($A41,1)="G",SUMIFS(IncExcl,IncDocDate,"&gt;="&amp;DATE(YEAR(N$4),MONTH(N$4),1),IncDocDate,"&lt;="&amp;N$4,IncAccount,LEFT($A41,5)&amp;"*")-SUMIFS(ExpExcl,ExpDocDate,"&gt;="&amp;DATE(YEAR(N$4),MONTH(N$4),1),ExpDocDate,"&lt;="&amp;N$4,ExpAccount,LEFT($A41,5)&amp;"*"),SUMIFS(IncExcl,IncDocDate,"&gt;="&amp;DATE(YEAR(N$4),MONTH(N$4),1),IncDocDate,"&lt;="&amp;N$4,IncAccount,$A41)-SUMIFS(ExpExcl,ExpDocDate,"&gt;="&amp;DATE(YEAR(N$4),MONTH(N$4),1),ExpDocDate,"&lt;="&amp;N$4,ExpAccount,$A41))</f>
        <v>0</v>
      </c>
      <c r="O41" s="29" cm="1">
        <f t="array" aca="1" ref="O41" ca="1">N41+IF(RIGHT($A41,1)="G",SUMIFS(IncExcl,IncDocDate,"&gt;="&amp;DATE(YEAR(O$4),MONTH(O$4),1),IncDocDate,"&lt;="&amp;O$4,IncAccount,LEFT($A41,5)&amp;"*")-SUMIFS(ExpExcl,ExpDocDate,"&gt;="&amp;DATE(YEAR(O$4),MONTH(O$4),1),ExpDocDate,"&lt;="&amp;O$4,ExpAccount,LEFT($A41,5)&amp;"*"),SUMIFS(IncExcl,IncDocDate,"&gt;="&amp;DATE(YEAR(O$4),MONTH(O$4),1),IncDocDate,"&lt;="&amp;O$4,IncAccount,$A41)-SUMIFS(ExpExcl,ExpDocDate,"&gt;="&amp;DATE(YEAR(O$4),MONTH(O$4),1),ExpDocDate,"&lt;="&amp;O$4,ExpAccount,$A41))</f>
        <v>50000</v>
      </c>
      <c r="P41" s="86">
        <f t="shared" ca="1" si="14"/>
        <v>50000</v>
      </c>
    </row>
    <row r="42" spans="1:16" ht="16" customHeight="1" x14ac:dyDescent="0.25">
      <c r="A42" s="178" t="s">
        <v>288</v>
      </c>
      <c r="B42" s="17" t="str">
        <f ca="1">IF(RIGHT($A42,1)="G",IF(ISNA(VLOOKUP(LEFT($A42,LEN($A42)-1),GroupAll,COLUMN(Groups!$B$4),0)),"Group Not Found",VLOOKUP(LEFT($A42,LEN($A42)-1),GroupAll,COLUMN(Groups!$B$4),0)),IF(ISNA(VLOOKUP($A42,AccountAll,COLUMN(TB!$B$4),0)),"Account Not Found",VLOOKUP($A42,AccountAll,COLUMN(TB!$B$4),0)))</f>
        <v>Other Provisions</v>
      </c>
      <c r="C42" s="29" cm="1">
        <f t="array" aca="1" ref="C42" ca="1">IF(RIGHT($A42,1)="G",-SUMIF(AccountAll,LEFT($A42,5)&amp;"*",AccountOpen),-SUMIF(AccountAll,$A42,AccountOpen))</f>
        <v>0</v>
      </c>
      <c r="D42" s="29" cm="1">
        <f t="array" aca="1" ref="D42" ca="1">C42+IF(RIGHT($A42,1)="G",SUMIFS(IncExcl,IncDocDate,"&gt;="&amp;DATE(YEAR(D$4),MONTH(D$4),1),IncDocDate,"&lt;="&amp;D$4,IncAccount,LEFT($A42,5)&amp;"*")-SUMIFS(ExpExcl,ExpDocDate,"&gt;="&amp;DATE(YEAR(D$4),MONTH(D$4),1),ExpDocDate,"&lt;="&amp;D$4,ExpAccount,LEFT($A42,5)&amp;"*"),SUMIFS(IncExcl,IncDocDate,"&gt;="&amp;DATE(YEAR(D$4),MONTH(D$4),1),IncDocDate,"&lt;="&amp;D$4,IncAccount,$A42)-SUMIFS(ExpExcl,ExpDocDate,"&gt;="&amp;DATE(YEAR(D$4),MONTH(D$4),1),ExpDocDate,"&lt;="&amp;D$4,ExpAccount,$A42))</f>
        <v>0</v>
      </c>
      <c r="E42" s="29" cm="1">
        <f t="array" aca="1" ref="E42" ca="1">D42+IF(RIGHT($A42,1)="G",SUMIFS(IncExcl,IncDocDate,"&gt;="&amp;DATE(YEAR(E$4),MONTH(E$4),1),IncDocDate,"&lt;="&amp;E$4,IncAccount,LEFT($A42,5)&amp;"*")-SUMIFS(ExpExcl,ExpDocDate,"&gt;="&amp;DATE(YEAR(E$4),MONTH(E$4),1),ExpDocDate,"&lt;="&amp;E$4,ExpAccount,LEFT($A42,5)&amp;"*"),SUMIFS(IncExcl,IncDocDate,"&gt;="&amp;DATE(YEAR(E$4),MONTH(E$4),1),IncDocDate,"&lt;="&amp;E$4,IncAccount,$A42)-SUMIFS(ExpExcl,ExpDocDate,"&gt;="&amp;DATE(YEAR(E$4),MONTH(E$4),1),ExpDocDate,"&lt;="&amp;E$4,ExpAccount,$A42))</f>
        <v>0</v>
      </c>
      <c r="F42" s="29" cm="1">
        <f t="array" aca="1" ref="F42" ca="1">E42+IF(RIGHT($A42,1)="G",SUMIFS(IncExcl,IncDocDate,"&gt;="&amp;DATE(YEAR(F$4),MONTH(F$4),1),IncDocDate,"&lt;="&amp;F$4,IncAccount,LEFT($A42,5)&amp;"*")-SUMIFS(ExpExcl,ExpDocDate,"&gt;="&amp;DATE(YEAR(F$4),MONTH(F$4),1),ExpDocDate,"&lt;="&amp;F$4,ExpAccount,LEFT($A42,5)&amp;"*"),SUMIFS(IncExcl,IncDocDate,"&gt;="&amp;DATE(YEAR(F$4),MONTH(F$4),1),IncDocDate,"&lt;="&amp;F$4,IncAccount,$A42)-SUMIFS(ExpExcl,ExpDocDate,"&gt;="&amp;DATE(YEAR(F$4),MONTH(F$4),1),ExpDocDate,"&lt;="&amp;F$4,ExpAccount,$A42))</f>
        <v>0</v>
      </c>
      <c r="G42" s="29" cm="1">
        <f t="array" aca="1" ref="G42" ca="1">F42+IF(RIGHT($A42,1)="G",SUMIFS(IncExcl,IncDocDate,"&gt;="&amp;DATE(YEAR(G$4),MONTH(G$4),1),IncDocDate,"&lt;="&amp;G$4,IncAccount,LEFT($A42,5)&amp;"*")-SUMIFS(ExpExcl,ExpDocDate,"&gt;="&amp;DATE(YEAR(G$4),MONTH(G$4),1),ExpDocDate,"&lt;="&amp;G$4,ExpAccount,LEFT($A42,5)&amp;"*"),SUMIFS(IncExcl,IncDocDate,"&gt;="&amp;DATE(YEAR(G$4),MONTH(G$4),1),IncDocDate,"&lt;="&amp;G$4,IncAccount,$A42)-SUMIFS(ExpExcl,ExpDocDate,"&gt;="&amp;DATE(YEAR(G$4),MONTH(G$4),1),ExpDocDate,"&lt;="&amp;G$4,ExpAccount,$A42))</f>
        <v>0</v>
      </c>
      <c r="H42" s="29" cm="1">
        <f t="array" aca="1" ref="H42" ca="1">G42+IF(RIGHT($A42,1)="G",SUMIFS(IncExcl,IncDocDate,"&gt;="&amp;DATE(YEAR(H$4),MONTH(H$4),1),IncDocDate,"&lt;="&amp;H$4,IncAccount,LEFT($A42,5)&amp;"*")-SUMIFS(ExpExcl,ExpDocDate,"&gt;="&amp;DATE(YEAR(H$4),MONTH(H$4),1),ExpDocDate,"&lt;="&amp;H$4,ExpAccount,LEFT($A42,5)&amp;"*"),SUMIFS(IncExcl,IncDocDate,"&gt;="&amp;DATE(YEAR(H$4),MONTH(H$4),1),IncDocDate,"&lt;="&amp;H$4,IncAccount,$A42)-SUMIFS(ExpExcl,ExpDocDate,"&gt;="&amp;DATE(YEAR(H$4),MONTH(H$4),1),ExpDocDate,"&lt;="&amp;H$4,ExpAccount,$A42))</f>
        <v>0</v>
      </c>
      <c r="I42" s="29" cm="1">
        <f t="array" aca="1" ref="I42" ca="1">H42+IF(RIGHT($A42,1)="G",SUMIFS(IncExcl,IncDocDate,"&gt;="&amp;DATE(YEAR(I$4),MONTH(I$4),1),IncDocDate,"&lt;="&amp;I$4,IncAccount,LEFT($A42,5)&amp;"*")-SUMIFS(ExpExcl,ExpDocDate,"&gt;="&amp;DATE(YEAR(I$4),MONTH(I$4),1),ExpDocDate,"&lt;="&amp;I$4,ExpAccount,LEFT($A42,5)&amp;"*"),SUMIFS(IncExcl,IncDocDate,"&gt;="&amp;DATE(YEAR(I$4),MONTH(I$4),1),IncDocDate,"&lt;="&amp;I$4,IncAccount,$A42)-SUMIFS(ExpExcl,ExpDocDate,"&gt;="&amp;DATE(YEAR(I$4),MONTH(I$4),1),ExpDocDate,"&lt;="&amp;I$4,ExpAccount,$A42))</f>
        <v>0</v>
      </c>
      <c r="J42" s="29" cm="1">
        <f t="array" aca="1" ref="J42" ca="1">I42+IF(RIGHT($A42,1)="G",SUMIFS(IncExcl,IncDocDate,"&gt;="&amp;DATE(YEAR(J$4),MONTH(J$4),1),IncDocDate,"&lt;="&amp;J$4,IncAccount,LEFT($A42,5)&amp;"*")-SUMIFS(ExpExcl,ExpDocDate,"&gt;="&amp;DATE(YEAR(J$4),MONTH(J$4),1),ExpDocDate,"&lt;="&amp;J$4,ExpAccount,LEFT($A42,5)&amp;"*"),SUMIFS(IncExcl,IncDocDate,"&gt;="&amp;DATE(YEAR(J$4),MONTH(J$4),1),IncDocDate,"&lt;="&amp;J$4,IncAccount,$A42)-SUMIFS(ExpExcl,ExpDocDate,"&gt;="&amp;DATE(YEAR(J$4),MONTH(J$4),1),ExpDocDate,"&lt;="&amp;J$4,ExpAccount,$A42))</f>
        <v>0</v>
      </c>
      <c r="K42" s="29" cm="1">
        <f t="array" aca="1" ref="K42" ca="1">J42+IF(RIGHT($A42,1)="G",SUMIFS(IncExcl,IncDocDate,"&gt;="&amp;DATE(YEAR(K$4),MONTH(K$4),1),IncDocDate,"&lt;="&amp;K$4,IncAccount,LEFT($A42,5)&amp;"*")-SUMIFS(ExpExcl,ExpDocDate,"&gt;="&amp;DATE(YEAR(K$4),MONTH(K$4),1),ExpDocDate,"&lt;="&amp;K$4,ExpAccount,LEFT($A42,5)&amp;"*"),SUMIFS(IncExcl,IncDocDate,"&gt;="&amp;DATE(YEAR(K$4),MONTH(K$4),1),IncDocDate,"&lt;="&amp;K$4,IncAccount,$A42)-SUMIFS(ExpExcl,ExpDocDate,"&gt;="&amp;DATE(YEAR(K$4),MONTH(K$4),1),ExpDocDate,"&lt;="&amp;K$4,ExpAccount,$A42))</f>
        <v>0</v>
      </c>
      <c r="L42" s="29" cm="1">
        <f t="array" aca="1" ref="L42" ca="1">K42+IF(RIGHT($A42,1)="G",SUMIFS(IncExcl,IncDocDate,"&gt;="&amp;DATE(YEAR(L$4),MONTH(L$4),1),IncDocDate,"&lt;="&amp;L$4,IncAccount,LEFT($A42,5)&amp;"*")-SUMIFS(ExpExcl,ExpDocDate,"&gt;="&amp;DATE(YEAR(L$4),MONTH(L$4),1),ExpDocDate,"&lt;="&amp;L$4,ExpAccount,LEFT($A42,5)&amp;"*"),SUMIFS(IncExcl,IncDocDate,"&gt;="&amp;DATE(YEAR(L$4),MONTH(L$4),1),IncDocDate,"&lt;="&amp;L$4,IncAccount,$A42)-SUMIFS(ExpExcl,ExpDocDate,"&gt;="&amp;DATE(YEAR(L$4),MONTH(L$4),1),ExpDocDate,"&lt;="&amp;L$4,ExpAccount,$A42))</f>
        <v>0</v>
      </c>
      <c r="M42" s="29" cm="1">
        <f t="array" aca="1" ref="M42" ca="1">L42+IF(RIGHT($A42,1)="G",SUMIFS(IncExcl,IncDocDate,"&gt;="&amp;DATE(YEAR(M$4),MONTH(M$4),1),IncDocDate,"&lt;="&amp;M$4,IncAccount,LEFT($A42,5)&amp;"*")-SUMIFS(ExpExcl,ExpDocDate,"&gt;="&amp;DATE(YEAR(M$4),MONTH(M$4),1),ExpDocDate,"&lt;="&amp;M$4,ExpAccount,LEFT($A42,5)&amp;"*"),SUMIFS(IncExcl,IncDocDate,"&gt;="&amp;DATE(YEAR(M$4),MONTH(M$4),1),IncDocDate,"&lt;="&amp;M$4,IncAccount,$A42)-SUMIFS(ExpExcl,ExpDocDate,"&gt;="&amp;DATE(YEAR(M$4),MONTH(M$4),1),ExpDocDate,"&lt;="&amp;M$4,ExpAccount,$A42))</f>
        <v>0</v>
      </c>
      <c r="N42" s="29" cm="1">
        <f t="array" aca="1" ref="N42" ca="1">M42+IF(RIGHT($A42,1)="G",SUMIFS(IncExcl,IncDocDate,"&gt;="&amp;DATE(YEAR(N$4),MONTH(N$4),1),IncDocDate,"&lt;="&amp;N$4,IncAccount,LEFT($A42,5)&amp;"*")-SUMIFS(ExpExcl,ExpDocDate,"&gt;="&amp;DATE(YEAR(N$4),MONTH(N$4),1),ExpDocDate,"&lt;="&amp;N$4,ExpAccount,LEFT($A42,5)&amp;"*"),SUMIFS(IncExcl,IncDocDate,"&gt;="&amp;DATE(YEAR(N$4),MONTH(N$4),1),IncDocDate,"&lt;="&amp;N$4,IncAccount,$A42)-SUMIFS(ExpExcl,ExpDocDate,"&gt;="&amp;DATE(YEAR(N$4),MONTH(N$4),1),ExpDocDate,"&lt;="&amp;N$4,ExpAccount,$A42))</f>
        <v>0</v>
      </c>
      <c r="O42" s="29" cm="1">
        <f t="array" aca="1" ref="O42" ca="1">N42+IF(RIGHT($A42,1)="G",SUMIFS(IncExcl,IncDocDate,"&gt;="&amp;DATE(YEAR(O$4),MONTH(O$4),1),IncDocDate,"&lt;="&amp;O$4,IncAccount,LEFT($A42,5)&amp;"*")-SUMIFS(ExpExcl,ExpDocDate,"&gt;="&amp;DATE(YEAR(O$4),MONTH(O$4),1),ExpDocDate,"&lt;="&amp;O$4,ExpAccount,LEFT($A42,5)&amp;"*"),SUMIFS(IncExcl,IncDocDate,"&gt;="&amp;DATE(YEAR(O$4),MONTH(O$4),1),IncDocDate,"&lt;="&amp;O$4,IncAccount,$A42)-SUMIFS(ExpExcl,ExpDocDate,"&gt;="&amp;DATE(YEAR(O$4),MONTH(O$4),1),ExpDocDate,"&lt;="&amp;O$4,ExpAccount,$A42))</f>
        <v>0</v>
      </c>
      <c r="P42" s="86">
        <f t="shared" ca="1" si="14"/>
        <v>0</v>
      </c>
    </row>
    <row r="43" spans="1:16" ht="16" customHeight="1" thickBot="1" x14ac:dyDescent="0.3">
      <c r="C43" s="114">
        <f ca="1">SUM(C36:C42)</f>
        <v>65393</v>
      </c>
      <c r="D43" s="114">
        <f t="shared" ref="D43:P43" ca="1" si="16">SUM(D36:D42)</f>
        <v>63707.230434782614</v>
      </c>
      <c r="E43" s="114">
        <f t="shared" ca="1" si="16"/>
        <v>63034.196086956523</v>
      </c>
      <c r="F43" s="114">
        <f t="shared" ca="1" si="16"/>
        <v>76588.087391304347</v>
      </c>
      <c r="G43" s="114">
        <f t="shared" ca="1" si="16"/>
        <v>49828.866956521742</v>
      </c>
      <c r="H43" s="114">
        <f t="shared" ca="1" si="16"/>
        <v>75707.953913043486</v>
      </c>
      <c r="I43" s="114">
        <f t="shared" ca="1" si="16"/>
        <v>51291.243043478265</v>
      </c>
      <c r="J43" s="114">
        <f t="shared" ca="1" si="16"/>
        <v>68221.199565217394</v>
      </c>
      <c r="K43" s="114">
        <f t="shared" ca="1" si="16"/>
        <v>53242.412608695653</v>
      </c>
      <c r="L43" s="114">
        <f t="shared" ca="1" si="16"/>
        <v>75314.238695652166</v>
      </c>
      <c r="M43" s="114">
        <f t="shared" ca="1" si="16"/>
        <v>53713.998695652175</v>
      </c>
      <c r="N43" s="114">
        <f t="shared" ca="1" si="16"/>
        <v>61241.520434782607</v>
      </c>
      <c r="O43" s="114">
        <f t="shared" ca="1" si="16"/>
        <v>128157.65260869566</v>
      </c>
      <c r="P43" s="115">
        <f t="shared" ca="1" si="16"/>
        <v>128157.65260869566</v>
      </c>
    </row>
    <row r="44" spans="1:16" s="3" customFormat="1" ht="16" customHeight="1" thickBot="1" x14ac:dyDescent="0.3">
      <c r="A44" s="181"/>
      <c r="B44" s="51" t="s">
        <v>99</v>
      </c>
      <c r="C44" s="113">
        <f t="shared" ref="C44:P44" ca="1" si="17">SUM(C31,C34,C43)</f>
        <v>698136.5</v>
      </c>
      <c r="D44" s="113">
        <f t="shared" ca="1" si="17"/>
        <v>705806.2</v>
      </c>
      <c r="E44" s="113">
        <f t="shared" ca="1" si="17"/>
        <v>710745.71000000008</v>
      </c>
      <c r="F44" s="113">
        <f t="shared" ca="1" si="17"/>
        <v>789333.03</v>
      </c>
      <c r="G44" s="113">
        <f t="shared" ca="1" si="17"/>
        <v>792033.74000000011</v>
      </c>
      <c r="H44" s="113">
        <f t="shared" ca="1" si="17"/>
        <v>840512.56</v>
      </c>
      <c r="I44" s="113">
        <f t="shared" ca="1" si="17"/>
        <v>787160.94</v>
      </c>
      <c r="J44" s="113">
        <f t="shared" ca="1" si="17"/>
        <v>844078.74</v>
      </c>
      <c r="K44" s="113">
        <f t="shared" ca="1" si="17"/>
        <v>895102.52</v>
      </c>
      <c r="L44" s="113">
        <f t="shared" ca="1" si="17"/>
        <v>943104.35999999987</v>
      </c>
      <c r="M44" s="113">
        <f t="shared" ca="1" si="17"/>
        <v>842966.15999999992</v>
      </c>
      <c r="N44" s="113">
        <f t="shared" ca="1" si="17"/>
        <v>924638.62999999989</v>
      </c>
      <c r="O44" s="113">
        <f t="shared" ca="1" si="17"/>
        <v>907137.59</v>
      </c>
      <c r="P44" s="113">
        <f t="shared" ca="1" si="17"/>
        <v>907137.59</v>
      </c>
    </row>
    <row r="45" spans="1:16" s="118" customFormat="1" ht="16" customHeight="1" thickTop="1" x14ac:dyDescent="0.25">
      <c r="A45" s="182"/>
      <c r="B45" s="117"/>
      <c r="C45" s="118" t="str">
        <f t="shared" ref="C45:O45" ca="1" si="18">IF(ROUND(C24-C44,2)&lt;&gt;0=TRUE,ROUND(C24-C44,2),"")</f>
        <v/>
      </c>
      <c r="D45" s="118" t="str">
        <f t="shared" ca="1" si="18"/>
        <v/>
      </c>
      <c r="E45" s="118" t="str">
        <f t="shared" ca="1" si="18"/>
        <v/>
      </c>
      <c r="F45" s="118" t="str">
        <f t="shared" ca="1" si="18"/>
        <v/>
      </c>
      <c r="G45" s="118" t="str">
        <f t="shared" ca="1" si="18"/>
        <v/>
      </c>
      <c r="H45" s="118" t="str">
        <f t="shared" ca="1" si="18"/>
        <v/>
      </c>
      <c r="I45" s="118" t="str">
        <f t="shared" ca="1" si="18"/>
        <v/>
      </c>
      <c r="J45" s="118" t="str">
        <f t="shared" ca="1" si="18"/>
        <v/>
      </c>
      <c r="K45" s="118" t="str">
        <f t="shared" ca="1" si="18"/>
        <v/>
      </c>
      <c r="L45" s="118" t="str">
        <f t="shared" ca="1" si="18"/>
        <v/>
      </c>
      <c r="M45" s="118" t="str">
        <f t="shared" ca="1" si="18"/>
        <v/>
      </c>
      <c r="N45" s="118" t="str">
        <f t="shared" ca="1" si="18"/>
        <v/>
      </c>
      <c r="O45" s="118" t="str">
        <f t="shared" ca="1" si="18"/>
        <v/>
      </c>
      <c r="P45" s="119"/>
    </row>
    <row r="46" spans="1:16" s="123" customFormat="1" ht="16" customHeight="1" x14ac:dyDescent="0.25">
      <c r="A46" s="178"/>
      <c r="B46" s="120" t="s">
        <v>397</v>
      </c>
      <c r="C46" s="121" t="str">
        <f t="shared" ref="C46:O46" ca="1" si="19">IF(ROUND(C24-C44,2)&lt;&gt;0=TRUE,"error","ok")</f>
        <v>ok</v>
      </c>
      <c r="D46" s="121" t="str">
        <f t="shared" ca="1" si="19"/>
        <v>ok</v>
      </c>
      <c r="E46" s="121" t="str">
        <f t="shared" ca="1" si="19"/>
        <v>ok</v>
      </c>
      <c r="F46" s="121" t="str">
        <f t="shared" ca="1" si="19"/>
        <v>ok</v>
      </c>
      <c r="G46" s="121" t="str">
        <f t="shared" ca="1" si="19"/>
        <v>ok</v>
      </c>
      <c r="H46" s="121" t="str">
        <f t="shared" ca="1" si="19"/>
        <v>ok</v>
      </c>
      <c r="I46" s="121" t="str">
        <f t="shared" ca="1" si="19"/>
        <v>ok</v>
      </c>
      <c r="J46" s="121" t="str">
        <f t="shared" ca="1" si="19"/>
        <v>ok</v>
      </c>
      <c r="K46" s="121" t="str">
        <f t="shared" ca="1" si="19"/>
        <v>ok</v>
      </c>
      <c r="L46" s="121" t="str">
        <f t="shared" ca="1" si="19"/>
        <v>ok</v>
      </c>
      <c r="M46" s="121" t="str">
        <f t="shared" ca="1" si="19"/>
        <v>ok</v>
      </c>
      <c r="N46" s="121" t="str">
        <f t="shared" ca="1" si="19"/>
        <v>ok</v>
      </c>
      <c r="O46" s="121" t="str">
        <f t="shared" ca="1" si="19"/>
        <v>ok</v>
      </c>
      <c r="P46" s="122"/>
    </row>
    <row r="47" spans="1:16" s="123" customFormat="1" ht="16" customHeight="1" x14ac:dyDescent="0.25">
      <c r="A47" s="178"/>
      <c r="B47" s="120" t="s">
        <v>396</v>
      </c>
      <c r="C47" s="121"/>
      <c r="D47" s="121" t="str">
        <f ca="1">IF(ROUND(SUM(D17:D21)-CFS!C39,2)=0=TRUE,"ok","error")</f>
        <v>ok</v>
      </c>
      <c r="E47" s="121" t="str">
        <f ca="1">IF(ROUND(SUM(E17:E21)-CFS!D39,2)=0=TRUE,"ok","error")</f>
        <v>ok</v>
      </c>
      <c r="F47" s="121" t="str">
        <f ca="1">IF(ROUND(SUM(F17:F21)-CFS!E39,2)=0=TRUE,"ok","error")</f>
        <v>ok</v>
      </c>
      <c r="G47" s="121" t="str">
        <f ca="1">IF(ROUND(SUM(G17:G21)-CFS!F39,2)=0=TRUE,"ok","error")</f>
        <v>ok</v>
      </c>
      <c r="H47" s="121" t="str">
        <f ca="1">IF(ROUND(SUM(H17:H21)-CFS!G39,2)=0=TRUE,"ok","error")</f>
        <v>ok</v>
      </c>
      <c r="I47" s="121" t="str">
        <f ca="1">IF(ROUND(SUM(I17:I21)-CFS!H39,2)=0=TRUE,"ok","error")</f>
        <v>ok</v>
      </c>
      <c r="J47" s="121" t="str">
        <f ca="1">IF(ROUND(SUM(J17:J21)-CFS!I39,2)=0=TRUE,"ok","error")</f>
        <v>ok</v>
      </c>
      <c r="K47" s="121" t="str">
        <f ca="1">IF(ROUND(SUM(K17:K21)-CFS!J39,2)=0=TRUE,"ok","error")</f>
        <v>ok</v>
      </c>
      <c r="L47" s="121" t="str">
        <f ca="1">IF(ROUND(SUM(L17:L21)-CFS!K39,2)=0=TRUE,"ok","error")</f>
        <v>ok</v>
      </c>
      <c r="M47" s="121" t="str">
        <f ca="1">IF(ROUND(SUM(M17:M21)-CFS!L39,2)=0=TRUE,"ok","error")</f>
        <v>ok</v>
      </c>
      <c r="N47" s="121" t="str">
        <f ca="1">IF(ROUND(SUM(N17:N21)-CFS!M39,2)=0=TRUE,"ok","error")</f>
        <v>ok</v>
      </c>
      <c r="O47" s="121" t="str">
        <f ca="1">IF(ROUND(SUM(O17:O21)-CFS!N39,2)=0=TRUE,"ok","error")</f>
        <v>ok</v>
      </c>
      <c r="P47" s="122"/>
    </row>
    <row r="48" spans="1:16" s="118" customFormat="1" ht="16" customHeight="1" x14ac:dyDescent="0.25">
      <c r="A48" s="182"/>
      <c r="B48" s="117"/>
      <c r="D48" s="118" t="str">
        <f ca="1">IF(ROUND(SUM(D17:D21)-CFS!C39,2)&lt;&gt;0,ROUND(SUM(D17:D21)-CFS!C39,2),"")</f>
        <v/>
      </c>
      <c r="E48" s="118" t="str">
        <f ca="1">IF(ROUND(SUM(E17:E21)-CFS!D39,2)&lt;&gt;0,ROUND(SUM(E17:E21)-CFS!D39,2),"")</f>
        <v/>
      </c>
      <c r="F48" s="118" t="str">
        <f ca="1">IF(ROUND(SUM(F17:F21)-CFS!E39,2)&lt;&gt;0,ROUND(SUM(F17:F21)-CFS!E39,2),"")</f>
        <v/>
      </c>
      <c r="G48" s="118" t="str">
        <f ca="1">IF(ROUND(SUM(G17:G21)-CFS!F39,2)&lt;&gt;0,ROUND(SUM(G17:G21)-CFS!F39,2),"")</f>
        <v/>
      </c>
      <c r="H48" s="118" t="str">
        <f ca="1">IF(ROUND(SUM(H17:H21)-CFS!G39,2)&lt;&gt;0,ROUND(SUM(H17:H21)-CFS!G39,2),"")</f>
        <v/>
      </c>
      <c r="I48" s="118" t="str">
        <f ca="1">IF(ROUND(SUM(I17:I21)-CFS!H39,2)&lt;&gt;0,ROUND(SUM(I17:I21)-CFS!H39,2),"")</f>
        <v/>
      </c>
      <c r="J48" s="118" t="str">
        <f ca="1">IF(ROUND(SUM(J17:J21)-CFS!I39,2)&lt;&gt;0,ROUND(SUM(J17:J21)-CFS!I39,2),"")</f>
        <v/>
      </c>
      <c r="K48" s="118" t="str">
        <f ca="1">IF(ROUND(SUM(K17:K21)-CFS!J39,2)&lt;&gt;0,ROUND(SUM(K17:K21)-CFS!J39,2),"")</f>
        <v/>
      </c>
      <c r="L48" s="118" t="str">
        <f ca="1">IF(ROUND(SUM(L17:L21)-CFS!K39,2)&lt;&gt;0,ROUND(SUM(L17:L21)-CFS!K39,2),"")</f>
        <v/>
      </c>
      <c r="M48" s="118" t="str">
        <f ca="1">IF(ROUND(SUM(M17:M21)-CFS!L39,2)&lt;&gt;0,ROUND(SUM(M17:M21)-CFS!L39,2),"")</f>
        <v/>
      </c>
      <c r="N48" s="118" t="str">
        <f ca="1">IF(ROUND(SUM(N17:N21)-CFS!M39,2)&lt;&gt;0,ROUND(SUM(N17:N21)-CFS!M39,2),"")</f>
        <v/>
      </c>
      <c r="O48" s="118" t="str">
        <f ca="1">IF(ROUND(SUM(O17:O21)-CFS!N39,2)&lt;&gt;0,ROUND(SUM(O17:O21)-CFS!N39,2),"")</f>
        <v/>
      </c>
      <c r="P48" s="119"/>
    </row>
    <row r="49" spans="4:16" ht="16" customHeight="1" x14ac:dyDescent="0.25">
      <c r="D49" s="109"/>
      <c r="E49" s="109"/>
      <c r="F49" s="109"/>
      <c r="G49" s="109"/>
      <c r="H49" s="109"/>
      <c r="I49" s="109"/>
      <c r="J49" s="109"/>
      <c r="K49" s="109"/>
      <c r="L49" s="109"/>
      <c r="M49" s="109"/>
      <c r="N49" s="109"/>
      <c r="O49" s="109"/>
      <c r="P49" s="106"/>
    </row>
    <row r="50" spans="4:16" ht="16" customHeight="1" x14ac:dyDescent="0.25">
      <c r="D50" s="124"/>
    </row>
  </sheetData>
  <sheetProtection formatCells="0" formatColumns="0" formatRows="0"/>
  <phoneticPr fontId="2" type="noConversion"/>
  <conditionalFormatting sqref="C46:O47">
    <cfRule type="cellIs" dxfId="0" priority="3" stopIfTrue="1" operator="equal">
      <formula>"error"</formula>
    </cfRule>
  </conditionalFormatting>
  <pageMargins left="0.59055118110236227" right="0.59055118110236227" top="0.59055118110236227" bottom="0.59055118110236227" header="0.39370078740157483" footer="0.39370078740157483"/>
  <pageSetup paperSize="9" scale="55" orientation="landscape" r:id="rId1"/>
  <headerFooter alignWithMargins="0">
    <oddFooter>Page &amp;P of &amp;N</oddFooter>
  </headerFooter>
  <colBreaks count="1" manualBreakCount="1">
    <brk id="12"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pageSetUpPr fitToPage="1"/>
  </sheetPr>
  <dimension ref="A1:K39"/>
  <sheetViews>
    <sheetView zoomScale="95" zoomScaleNormal="95" workbookViewId="0">
      <pane ySplit="8" topLeftCell="A9" activePane="bottomLeft" state="frozen"/>
      <selection pane="bottomLeft" activeCell="B4" sqref="B4"/>
    </sheetView>
  </sheetViews>
  <sheetFormatPr defaultColWidth="9.08984375" defaultRowHeight="16" customHeight="1" x14ac:dyDescent="0.25"/>
  <cols>
    <col min="1" max="1" width="14.81640625" style="79" customWidth="1"/>
    <col min="2" max="3" width="14.81640625" style="29" customWidth="1"/>
    <col min="4" max="5" width="14.81640625" style="4" customWidth="1"/>
    <col min="6" max="6" width="5.6328125" style="4" customWidth="1"/>
    <col min="7" max="7" width="14.81640625" style="126" customWidth="1"/>
    <col min="8" max="11" width="14.81640625" style="29" customWidth="1"/>
    <col min="12" max="16384" width="9.08984375" style="4"/>
  </cols>
  <sheetData>
    <row r="1" spans="1:11" ht="16" customHeight="1" x14ac:dyDescent="0.3">
      <c r="A1" s="176" t="str">
        <f>IF(ISBLANK(Setup!$C$4),"Example Limited",Setup!$C$4)</f>
        <v>Example (Pty) Limited</v>
      </c>
    </row>
    <row r="2" spans="1:11" ht="16" customHeight="1" x14ac:dyDescent="0.25">
      <c r="A2" s="75" t="s">
        <v>143</v>
      </c>
    </row>
    <row r="3" spans="1:11" ht="16" customHeight="1" x14ac:dyDescent="0.25">
      <c r="A3" s="127" t="s">
        <v>350</v>
      </c>
    </row>
    <row r="4" spans="1:11" s="29" customFormat="1" ht="16" customHeight="1" x14ac:dyDescent="0.25">
      <c r="A4" s="128" t="s">
        <v>161</v>
      </c>
      <c r="B4" s="129" t="s">
        <v>145</v>
      </c>
      <c r="C4" s="130" t="str">
        <f>IF(ISBLANK(B4),"&lt;&gt;JC",B4)</f>
        <v>B1</v>
      </c>
      <c r="G4" s="126"/>
    </row>
    <row r="5" spans="1:11" ht="16" customHeight="1" x14ac:dyDescent="0.25">
      <c r="A5" s="125" t="s">
        <v>424</v>
      </c>
      <c r="B5" s="131">
        <v>44255</v>
      </c>
      <c r="C5" s="32">
        <f>IF(ISBLANK(B5),IS!$N$4,B5)</f>
        <v>44255</v>
      </c>
    </row>
    <row r="7" spans="1:11" s="132" customFormat="1" ht="18" customHeight="1" x14ac:dyDescent="0.25">
      <c r="A7" s="207" t="s">
        <v>534</v>
      </c>
      <c r="B7" s="208"/>
      <c r="C7" s="208"/>
      <c r="D7" s="208"/>
      <c r="E7" s="209"/>
      <c r="G7" s="207" t="s">
        <v>535</v>
      </c>
      <c r="H7" s="208"/>
      <c r="I7" s="208"/>
      <c r="J7" s="208"/>
      <c r="K7" s="209"/>
    </row>
    <row r="8" spans="1:11" s="3" customFormat="1" ht="18" customHeight="1" x14ac:dyDescent="0.25">
      <c r="A8" s="133" t="s">
        <v>425</v>
      </c>
      <c r="B8" s="134" t="s">
        <v>428</v>
      </c>
      <c r="C8" s="134" t="s">
        <v>426</v>
      </c>
      <c r="D8" s="135" t="s">
        <v>427</v>
      </c>
      <c r="E8" s="135" t="s">
        <v>429</v>
      </c>
      <c r="G8" s="136" t="s">
        <v>424</v>
      </c>
      <c r="H8" s="134" t="s">
        <v>428</v>
      </c>
      <c r="I8" s="134" t="s">
        <v>426</v>
      </c>
      <c r="J8" s="134" t="s">
        <v>427</v>
      </c>
      <c r="K8" s="134" t="s">
        <v>429</v>
      </c>
    </row>
    <row r="9" spans="1:11" ht="16" customHeight="1" x14ac:dyDescent="0.25">
      <c r="A9" s="79">
        <f>DATE(YEAR($C$5),MONTH($C$5),1)</f>
        <v>44228</v>
      </c>
      <c r="B9" s="29">
        <f>SUMIFS(IncPayAmount,IncPayDate,"&lt;"&amp;$A9,IncPayDate,"&lt;&gt;""",IncBank,$C$4)-SUMIFS(ExpIncl,ExpPayDate,"&lt;"&amp;$A9,ExpPayDate,"&lt;&gt;""",ExpBank,$C$4)</f>
        <v>261695.23000000045</v>
      </c>
      <c r="C9" s="29" cm="1">
        <f t="array" ref="C9">IF(A9="","",SUMIFS(IncPayAmount,IncPayDate,$A9,IncPayDate,"&lt;&gt;""",IncBank,$C$4)-SUMIFS(ExpIncl,ExpPayDate,$A9,ExpPayDate,"&lt;&gt;""",ExpBank,$C$4,ExpIncl,"&lt;0"))</f>
        <v>0</v>
      </c>
      <c r="D9" s="29" cm="1">
        <f t="array" ref="D9">IF(A9="","",-SUMIFS(ExpIncl,ExpPayDate,$A9,ExpPayDate,"&lt;&gt;""",ExpBank,$C$4,ExpIncl,"&gt;0"))</f>
        <v>0</v>
      </c>
      <c r="E9" s="137">
        <f>IF(A9="","",SUM(B9:D9))</f>
        <v>261695.23000000045</v>
      </c>
      <c r="G9" s="138">
        <f ca="1">OFFSET(IS!$B$4,0,ROW($A9)-ROW($A$8),1,1)</f>
        <v>43921</v>
      </c>
      <c r="H9" s="139">
        <f ca="1">SUMIFS(IncPayAmount,IncPayDate,"&lt;"&amp;DATE(YEAR($G9),MONTH($G9),1),IncPayDate,"&lt;&gt;""",IncBank,$C$4)-SUMIFS(ExpIncl,ExpPayDate,"&lt;"&amp;DATE(YEAR($G9),MONTH($G9),1),ExpPayDate,"&lt;&gt;""",ExpBank,$C$4)</f>
        <v>45250.5</v>
      </c>
      <c r="I9" s="139">
        <f t="shared" ref="I9:I20" ca="1" si="0">SUMIFS(IncPayAmount,IncPayDate,"&gt;="&amp;DATE(YEAR($G9),MONTH($G9),1),IncPayDate,"&lt;="&amp;$G9,IncBank,$C$4)-SUMIFS(ExpIncl,ExpPayDate,"&gt;="&amp;DATE(YEAR($G9),MONTH($G9),1),ExpPayDate,"&lt;="&amp;$G9,ExpBank,$C$4,ExpIncl,"&lt;0")</f>
        <v>148086</v>
      </c>
      <c r="J9" s="139">
        <f t="shared" ref="J9:J20" ca="1" si="1">-SUMIFS(ExpIncl,ExpPayDate,"&gt;="&amp;DATE(YEAR($G9),MONTH($G9),1),ExpPayDate,"&lt;="&amp;$G9,ExpBank,$C$4,ExpIncl,"&gt;0")</f>
        <v>-79554.210000000006</v>
      </c>
      <c r="K9" s="140">
        <f ca="1">SUM(H9:J9)</f>
        <v>113782.29</v>
      </c>
    </row>
    <row r="10" spans="1:11" ht="16" customHeight="1" x14ac:dyDescent="0.25">
      <c r="A10" s="79">
        <f>IF(A9="","",IF(A9+1&gt;DATE(YEAR($C$5),MONTH($C$5)+1,0),"",A9+1))</f>
        <v>44229</v>
      </c>
      <c r="B10" s="29">
        <f>IF(A10="","",E9)</f>
        <v>261695.23000000045</v>
      </c>
      <c r="C10" s="29" cm="1">
        <f t="array" ref="C10">IF(A10="","",SUMIFS(IncPayAmount,IncPayDate,$A10,IncPayDate,"&lt;&gt;""",IncBank,$C$4)-SUMIFS(ExpIncl,ExpPayDate,$A10,ExpPayDate,"&lt;&gt;""",ExpBank,$C$4,ExpIncl,"&lt;0"))</f>
        <v>0</v>
      </c>
      <c r="D10" s="29" cm="1">
        <f t="array" ref="D10">IF(A10="","",-SUMIFS(ExpIncl,ExpPayDate,$A10,ExpPayDate,"&lt;&gt;""",ExpBank,$C$4,ExpIncl,"&gt;0"))</f>
        <v>-2300</v>
      </c>
      <c r="E10" s="137">
        <f t="shared" ref="E10:E39" si="2">IF(A10="","",SUM(B10:D10))</f>
        <v>259395.23000000045</v>
      </c>
      <c r="G10" s="141">
        <f ca="1">OFFSET(IS!$B$4,0,ROW($A10)-ROW($A$8),1,1)</f>
        <v>43951</v>
      </c>
      <c r="H10" s="89">
        <f ca="1">K9</f>
        <v>113782.29</v>
      </c>
      <c r="I10" s="89">
        <f t="shared" ca="1" si="0"/>
        <v>139278.1</v>
      </c>
      <c r="J10" s="89">
        <f t="shared" ca="1" si="1"/>
        <v>-148271.64000000001</v>
      </c>
      <c r="K10" s="142">
        <f t="shared" ref="K10:K20" ca="1" si="3">SUM(H10:J10)</f>
        <v>104788.75</v>
      </c>
    </row>
    <row r="11" spans="1:11" ht="16" customHeight="1" x14ac:dyDescent="0.25">
      <c r="A11" s="79">
        <f t="shared" ref="A11:A39" si="4">IF(A10="","",IF(A10+1&gt;DATE(YEAR($C$5),MONTH($C$5)+1,0),"",A10+1))</f>
        <v>44230</v>
      </c>
      <c r="B11" s="29">
        <f t="shared" ref="B11:B39" si="5">IF(A11="","",E10)</f>
        <v>259395.23000000045</v>
      </c>
      <c r="C11" s="29" cm="1">
        <f t="array" ref="C11">IF(A11="","",SUMIFS(IncPayAmount,IncPayDate,$A11,IncPayDate,"&lt;&gt;""",IncBank,$C$4)-SUMIFS(ExpIncl,ExpPayDate,$A11,ExpPayDate,"&lt;&gt;""",ExpBank,$C$4,ExpIncl,"&lt;0"))</f>
        <v>0</v>
      </c>
      <c r="D11" s="29" cm="1">
        <f t="array" ref="D11">IF(A11="","",-SUMIFS(ExpIncl,ExpPayDate,$A11,ExpPayDate,"&lt;&gt;""",ExpBank,$C$4,ExpIncl,"&gt;0"))</f>
        <v>0</v>
      </c>
      <c r="E11" s="137">
        <f t="shared" si="2"/>
        <v>259395.23000000045</v>
      </c>
      <c r="G11" s="141">
        <f ca="1">OFFSET(IS!$B$4,0,ROW($A11)-ROW($A$8),1,1)</f>
        <v>43982</v>
      </c>
      <c r="H11" s="89">
        <f t="shared" ref="H11:H20" ca="1" si="6">K10</f>
        <v>104788.75</v>
      </c>
      <c r="I11" s="89">
        <f t="shared" ca="1" si="0"/>
        <v>266075.5</v>
      </c>
      <c r="J11" s="89">
        <f t="shared" ca="1" si="1"/>
        <v>-157569.91</v>
      </c>
      <c r="K11" s="142">
        <f t="shared" ca="1" si="3"/>
        <v>213294.34</v>
      </c>
    </row>
    <row r="12" spans="1:11" ht="16" customHeight="1" x14ac:dyDescent="0.25">
      <c r="A12" s="79">
        <f t="shared" si="4"/>
        <v>44231</v>
      </c>
      <c r="B12" s="29">
        <f t="shared" si="5"/>
        <v>259395.23000000045</v>
      </c>
      <c r="C12" s="29" cm="1">
        <f t="array" ref="C12">IF(A12="","",SUMIFS(IncPayAmount,IncPayDate,$A12,IncPayDate,"&lt;&gt;""",IncBank,$C$4)-SUMIFS(ExpIncl,ExpPayDate,$A12,ExpPayDate,"&lt;&gt;""",ExpBank,$C$4,ExpIncl,"&lt;0"))</f>
        <v>0</v>
      </c>
      <c r="D12" s="29" cm="1">
        <f t="array" ref="D12">IF(A12="","",-SUMIFS(ExpIncl,ExpPayDate,$A12,ExpPayDate,"&lt;&gt;""",ExpBank,$C$4,ExpIncl,"&gt;0"))</f>
        <v>0</v>
      </c>
      <c r="E12" s="137">
        <f t="shared" si="2"/>
        <v>259395.23000000045</v>
      </c>
      <c r="G12" s="141">
        <f ca="1">OFFSET(IS!$B$4,0,ROW($A12)-ROW($A$8),1,1)</f>
        <v>44012</v>
      </c>
      <c r="H12" s="89">
        <f t="shared" ca="1" si="6"/>
        <v>213294.34</v>
      </c>
      <c r="I12" s="89">
        <f t="shared" ca="1" si="0"/>
        <v>105432</v>
      </c>
      <c r="J12" s="89">
        <f t="shared" ca="1" si="1"/>
        <v>-159745.5</v>
      </c>
      <c r="K12" s="142">
        <f t="shared" ca="1" si="3"/>
        <v>158980.83999999997</v>
      </c>
    </row>
    <row r="13" spans="1:11" ht="16" customHeight="1" x14ac:dyDescent="0.25">
      <c r="A13" s="79">
        <f t="shared" si="4"/>
        <v>44232</v>
      </c>
      <c r="B13" s="29">
        <f t="shared" si="5"/>
        <v>259395.23000000045</v>
      </c>
      <c r="C13" s="29" cm="1">
        <f t="array" ref="C13">IF(A13="","",SUMIFS(IncPayAmount,IncPayDate,$A13,IncPayDate,"&lt;&gt;""",IncBank,$C$4)-SUMIFS(ExpIncl,ExpPayDate,$A13,ExpPayDate,"&lt;&gt;""",ExpBank,$C$4,ExpIncl,"&lt;0"))</f>
        <v>0</v>
      </c>
      <c r="D13" s="29" cm="1">
        <f t="array" ref="D13">IF(A13="","",-SUMIFS(ExpIncl,ExpPayDate,$A13,ExpPayDate,"&lt;&gt;""",ExpBank,$C$4,ExpIncl,"&gt;0"))</f>
        <v>-15368</v>
      </c>
      <c r="E13" s="137">
        <f t="shared" si="2"/>
        <v>244027.23000000045</v>
      </c>
      <c r="G13" s="141">
        <f ca="1">OFFSET(IS!$B$4,0,ROW($A13)-ROW($A$8),1,1)</f>
        <v>44043</v>
      </c>
      <c r="H13" s="89">
        <f t="shared" ca="1" si="6"/>
        <v>158980.83999999997</v>
      </c>
      <c r="I13" s="89">
        <f t="shared" ca="1" si="0"/>
        <v>306636</v>
      </c>
      <c r="J13" s="89">
        <f t="shared" ca="1" si="1"/>
        <v>-132526.41</v>
      </c>
      <c r="K13" s="142">
        <f t="shared" ca="1" si="3"/>
        <v>333090.42999999993</v>
      </c>
    </row>
    <row r="14" spans="1:11" ht="16" customHeight="1" x14ac:dyDescent="0.25">
      <c r="A14" s="79">
        <f t="shared" si="4"/>
        <v>44233</v>
      </c>
      <c r="B14" s="29">
        <f t="shared" si="5"/>
        <v>244027.23000000045</v>
      </c>
      <c r="C14" s="29" cm="1">
        <f t="array" ref="C14">IF(A14="","",SUMIFS(IncPayAmount,IncPayDate,$A14,IncPayDate,"&lt;&gt;""",IncBank,$C$4)-SUMIFS(ExpIncl,ExpPayDate,$A14,ExpPayDate,"&lt;&gt;""",ExpBank,$C$4,ExpIncl,"&lt;0"))</f>
        <v>0</v>
      </c>
      <c r="D14" s="29" cm="1">
        <f t="array" ref="D14">IF(A14="","",-SUMIFS(ExpIncl,ExpPayDate,$A14,ExpPayDate,"&lt;&gt;""",ExpBank,$C$4,ExpIncl,"&gt;0"))</f>
        <v>0</v>
      </c>
      <c r="E14" s="137">
        <f t="shared" si="2"/>
        <v>244027.23000000045</v>
      </c>
      <c r="G14" s="141">
        <f ca="1">OFFSET(IS!$B$4,0,ROW($A14)-ROW($A$8),1,1)</f>
        <v>44074</v>
      </c>
      <c r="H14" s="89">
        <f t="shared" ca="1" si="6"/>
        <v>333090.42999999993</v>
      </c>
      <c r="I14" s="89">
        <f t="shared" ca="1" si="0"/>
        <v>19665</v>
      </c>
      <c r="J14" s="89">
        <f t="shared" ca="1" si="1"/>
        <v>-247613.36000000002</v>
      </c>
      <c r="K14" s="142">
        <f t="shared" ca="1" si="3"/>
        <v>105142.06999999992</v>
      </c>
    </row>
    <row r="15" spans="1:11" ht="16" customHeight="1" x14ac:dyDescent="0.25">
      <c r="A15" s="79">
        <f t="shared" si="4"/>
        <v>44234</v>
      </c>
      <c r="B15" s="29">
        <f t="shared" si="5"/>
        <v>244027.23000000045</v>
      </c>
      <c r="C15" s="29" cm="1">
        <f t="array" ref="C15">IF(A15="","",SUMIFS(IncPayAmount,IncPayDate,$A15,IncPayDate,"&lt;&gt;""",IncBank,$C$4)-SUMIFS(ExpIncl,ExpPayDate,$A15,ExpPayDate,"&lt;&gt;""",ExpBank,$C$4,ExpIncl,"&lt;0"))</f>
        <v>3104.9999999999995</v>
      </c>
      <c r="D15" s="29" cm="1">
        <f t="array" ref="D15">IF(A15="","",-SUMIFS(ExpIncl,ExpPayDate,$A15,ExpPayDate,"&lt;&gt;""",ExpBank,$C$4,ExpIncl,"&gt;0"))</f>
        <v>0</v>
      </c>
      <c r="E15" s="137">
        <f t="shared" si="2"/>
        <v>247132.23000000045</v>
      </c>
      <c r="G15" s="141">
        <f ca="1">OFFSET(IS!$B$4,0,ROW($A15)-ROW($A$8),1,1)</f>
        <v>44104</v>
      </c>
      <c r="H15" s="89">
        <f t="shared" ca="1" si="6"/>
        <v>105142.06999999992</v>
      </c>
      <c r="I15" s="89">
        <f t="shared" ca="1" si="0"/>
        <v>204435.5</v>
      </c>
      <c r="J15" s="89">
        <f t="shared" ca="1" si="1"/>
        <v>-97851.41</v>
      </c>
      <c r="K15" s="142">
        <f t="shared" ca="1" si="3"/>
        <v>211726.15999999995</v>
      </c>
    </row>
    <row r="16" spans="1:11" ht="16" customHeight="1" x14ac:dyDescent="0.25">
      <c r="A16" s="79">
        <f t="shared" si="4"/>
        <v>44235</v>
      </c>
      <c r="B16" s="29">
        <f t="shared" si="5"/>
        <v>247132.23000000045</v>
      </c>
      <c r="C16" s="29" cm="1">
        <f t="array" ref="C16">IF(A16="","",SUMIFS(IncPayAmount,IncPayDate,$A16,IncPayDate,"&lt;&gt;""",IncBank,$C$4)-SUMIFS(ExpIncl,ExpPayDate,$A16,ExpPayDate,"&lt;&gt;""",ExpBank,$C$4,ExpIncl,"&lt;0"))</f>
        <v>0</v>
      </c>
      <c r="D16" s="29" cm="1">
        <f t="array" ref="D16">IF(A16="","",-SUMIFS(ExpIncl,ExpPayDate,$A16,ExpPayDate,"&lt;&gt;""",ExpBank,$C$4,ExpIncl,"&gt;0"))</f>
        <v>0</v>
      </c>
      <c r="E16" s="137">
        <f t="shared" si="2"/>
        <v>247132.23000000045</v>
      </c>
      <c r="G16" s="141">
        <f ca="1">OFFSET(IS!$B$4,0,ROW($A16)-ROW($A$8),1,1)</f>
        <v>44135</v>
      </c>
      <c r="H16" s="89">
        <f t="shared" ca="1" si="6"/>
        <v>211726.15999999995</v>
      </c>
      <c r="I16" s="89">
        <f t="shared" ca="1" si="0"/>
        <v>191394.5</v>
      </c>
      <c r="J16" s="89">
        <f t="shared" ca="1" si="1"/>
        <v>-151926.61000000002</v>
      </c>
      <c r="K16" s="142">
        <f t="shared" ca="1" si="3"/>
        <v>251194.0499999999</v>
      </c>
    </row>
    <row r="17" spans="1:11" ht="16" customHeight="1" x14ac:dyDescent="0.25">
      <c r="A17" s="79">
        <f t="shared" si="4"/>
        <v>44236</v>
      </c>
      <c r="B17" s="29">
        <f t="shared" si="5"/>
        <v>247132.23000000045</v>
      </c>
      <c r="C17" s="29" cm="1">
        <f t="array" ref="C17">IF(A17="","",SUMIFS(IncPayAmount,IncPayDate,$A17,IncPayDate,"&lt;&gt;""",IncBank,$C$4)-SUMIFS(ExpIncl,ExpPayDate,$A17,ExpPayDate,"&lt;&gt;""",ExpBank,$C$4,ExpIncl,"&lt;0"))</f>
        <v>0</v>
      </c>
      <c r="D17" s="29" cm="1">
        <f t="array" ref="D17">IF(A17="","",-SUMIFS(ExpIncl,ExpPayDate,$A17,ExpPayDate,"&lt;&gt;""",ExpBank,$C$4,ExpIncl,"&gt;0"))</f>
        <v>0</v>
      </c>
      <c r="E17" s="137">
        <f t="shared" si="2"/>
        <v>247132.23000000045</v>
      </c>
      <c r="G17" s="141">
        <f ca="1">OFFSET(IS!$B$4,0,ROW($A17)-ROW($A$8),1,1)</f>
        <v>44165</v>
      </c>
      <c r="H17" s="89">
        <f t="shared" ca="1" si="6"/>
        <v>251194.0499999999</v>
      </c>
      <c r="I17" s="89">
        <f t="shared" ca="1" si="0"/>
        <v>74760</v>
      </c>
      <c r="J17" s="89">
        <f t="shared" ca="1" si="1"/>
        <v>-181188.41</v>
      </c>
      <c r="K17" s="142">
        <f t="shared" ca="1" si="3"/>
        <v>144765.63999999993</v>
      </c>
    </row>
    <row r="18" spans="1:11" ht="16" customHeight="1" x14ac:dyDescent="0.25">
      <c r="A18" s="79">
        <f t="shared" si="4"/>
        <v>44237</v>
      </c>
      <c r="B18" s="29">
        <f t="shared" si="5"/>
        <v>247132.23000000045</v>
      </c>
      <c r="C18" s="29" cm="1">
        <f t="array" ref="C18">IF(A18="","",SUMIFS(IncPayAmount,IncPayDate,$A18,IncPayDate,"&lt;&gt;""",IncBank,$C$4)-SUMIFS(ExpIncl,ExpPayDate,$A18,ExpPayDate,"&lt;&gt;""",ExpBank,$C$4,ExpIncl,"&lt;0"))</f>
        <v>0</v>
      </c>
      <c r="D18" s="29" cm="1">
        <f t="array" ref="D18">IF(A18="","",-SUMIFS(ExpIncl,ExpPayDate,$A18,ExpPayDate,"&lt;&gt;""",ExpBank,$C$4,ExpIncl,"&gt;0"))</f>
        <v>0</v>
      </c>
      <c r="E18" s="137">
        <f t="shared" si="2"/>
        <v>247132.23000000045</v>
      </c>
      <c r="G18" s="141">
        <f ca="1">OFFSET(IS!$B$4,0,ROW($A18)-ROW($A$8),1,1)</f>
        <v>44196</v>
      </c>
      <c r="H18" s="89">
        <f t="shared" ca="1" si="6"/>
        <v>144765.63999999993</v>
      </c>
      <c r="I18" s="89">
        <f t="shared" ca="1" si="0"/>
        <v>152789</v>
      </c>
      <c r="J18" s="89">
        <f t="shared" ca="1" si="1"/>
        <v>-168645.65</v>
      </c>
      <c r="K18" s="142">
        <f t="shared" ca="1" si="3"/>
        <v>128908.9899999999</v>
      </c>
    </row>
    <row r="19" spans="1:11" ht="16" customHeight="1" x14ac:dyDescent="0.25">
      <c r="A19" s="79">
        <f t="shared" si="4"/>
        <v>44238</v>
      </c>
      <c r="B19" s="29">
        <f t="shared" si="5"/>
        <v>247132.23000000045</v>
      </c>
      <c r="C19" s="29" cm="1">
        <f t="array" ref="C19">IF(A19="","",SUMIFS(IncPayAmount,IncPayDate,$A19,IncPayDate,"&lt;&gt;""",IncBank,$C$4)-SUMIFS(ExpIncl,ExpPayDate,$A19,ExpPayDate,"&lt;&gt;""",ExpBank,$C$4,ExpIncl,"&lt;0"))</f>
        <v>0</v>
      </c>
      <c r="D19" s="29" cm="1">
        <f t="array" ref="D19">IF(A19="","",-SUMIFS(ExpIncl,ExpPayDate,$A19,ExpPayDate,"&lt;&gt;""",ExpBank,$C$4,ExpIncl,"&gt;0"))</f>
        <v>0</v>
      </c>
      <c r="E19" s="137">
        <f t="shared" si="2"/>
        <v>247132.23000000045</v>
      </c>
      <c r="G19" s="141">
        <f ca="1">OFFSET(IS!$B$4,0,ROW($A19)-ROW($A$8),1,1)</f>
        <v>44227</v>
      </c>
      <c r="H19" s="89">
        <f t="shared" ca="1" si="6"/>
        <v>128908.9899999999</v>
      </c>
      <c r="I19" s="89">
        <f t="shared" ca="1" si="0"/>
        <v>218126</v>
      </c>
      <c r="J19" s="89">
        <f t="shared" ca="1" si="1"/>
        <v>-85339.760000000009</v>
      </c>
      <c r="K19" s="142">
        <f t="shared" ca="1" si="3"/>
        <v>261695.22999999986</v>
      </c>
    </row>
    <row r="20" spans="1:11" ht="16" customHeight="1" x14ac:dyDescent="0.25">
      <c r="A20" s="79">
        <f t="shared" si="4"/>
        <v>44239</v>
      </c>
      <c r="B20" s="29">
        <f t="shared" si="5"/>
        <v>247132.23000000045</v>
      </c>
      <c r="C20" s="29" cm="1">
        <f t="array" ref="C20">IF(A20="","",SUMIFS(IncPayAmount,IncPayDate,$A20,IncPayDate,"&lt;&gt;""",IncBank,$C$4)-SUMIFS(ExpIncl,ExpPayDate,$A20,ExpPayDate,"&lt;&gt;""",ExpBank,$C$4,ExpIncl,"&lt;0"))</f>
        <v>0</v>
      </c>
      <c r="D20" s="29" cm="1">
        <f t="array" ref="D20">IF(A20="","",-SUMIFS(ExpIncl,ExpPayDate,$A20,ExpPayDate,"&lt;&gt;""",ExpBank,$C$4,ExpIncl,"&gt;0"))</f>
        <v>0</v>
      </c>
      <c r="E20" s="137">
        <f t="shared" si="2"/>
        <v>247132.23000000045</v>
      </c>
      <c r="G20" s="143">
        <f ca="1">OFFSET(IS!$B$4,0,ROW($A20)-ROW($A$8),1,1)</f>
        <v>44255</v>
      </c>
      <c r="H20" s="144">
        <f t="shared" ca="1" si="6"/>
        <v>261695.22999999986</v>
      </c>
      <c r="I20" s="144">
        <f t="shared" ca="1" si="0"/>
        <v>251220</v>
      </c>
      <c r="J20" s="144">
        <f t="shared" ca="1" si="1"/>
        <v>-172338.29</v>
      </c>
      <c r="K20" s="145">
        <f t="shared" ca="1" si="3"/>
        <v>340576.93999999983</v>
      </c>
    </row>
    <row r="21" spans="1:11" ht="16" customHeight="1" x14ac:dyDescent="0.25">
      <c r="A21" s="79">
        <f t="shared" si="4"/>
        <v>44240</v>
      </c>
      <c r="B21" s="29">
        <f t="shared" si="5"/>
        <v>247132.23000000045</v>
      </c>
      <c r="C21" s="29" cm="1">
        <f t="array" ref="C21">IF(A21="","",SUMIFS(IncPayAmount,IncPayDate,$A21,IncPayDate,"&lt;&gt;""",IncBank,$C$4)-SUMIFS(ExpIncl,ExpPayDate,$A21,ExpPayDate,"&lt;&gt;""",ExpBank,$C$4,ExpIncl,"&lt;0"))</f>
        <v>0</v>
      </c>
      <c r="D21" s="29" cm="1">
        <f t="array" ref="D21">IF(A21="","",-SUMIFS(ExpIncl,ExpPayDate,$A21,ExpPayDate,"&lt;&gt;""",ExpBank,$C$4,ExpIncl,"&gt;0"))</f>
        <v>0</v>
      </c>
      <c r="E21" s="137">
        <f t="shared" si="2"/>
        <v>247132.23000000045</v>
      </c>
    </row>
    <row r="22" spans="1:11" ht="16" customHeight="1" x14ac:dyDescent="0.25">
      <c r="A22" s="79">
        <f t="shared" si="4"/>
        <v>44241</v>
      </c>
      <c r="B22" s="29">
        <f t="shared" si="5"/>
        <v>247132.23000000045</v>
      </c>
      <c r="C22" s="29" cm="1">
        <f t="array" ref="C22">IF(A22="","",SUMIFS(IncPayAmount,IncPayDate,$A22,IncPayDate,"&lt;&gt;""",IncBank,$C$4)-SUMIFS(ExpIncl,ExpPayDate,$A22,ExpPayDate,"&lt;&gt;""",ExpBank,$C$4,ExpIncl,"&lt;0"))</f>
        <v>0</v>
      </c>
      <c r="D22" s="29" cm="1">
        <f t="array" ref="D22">IF(A22="","",-SUMIFS(ExpIncl,ExpPayDate,$A22,ExpPayDate,"&lt;&gt;""",ExpBank,$C$4,ExpIncl,"&gt;0"))</f>
        <v>0</v>
      </c>
      <c r="E22" s="137">
        <f t="shared" si="2"/>
        <v>247132.23000000045</v>
      </c>
    </row>
    <row r="23" spans="1:11" ht="16" customHeight="1" x14ac:dyDescent="0.25">
      <c r="A23" s="79">
        <f t="shared" si="4"/>
        <v>44242</v>
      </c>
      <c r="B23" s="29">
        <f t="shared" si="5"/>
        <v>247132.23000000045</v>
      </c>
      <c r="C23" s="29" cm="1">
        <f t="array" ref="C23">IF(A23="","",SUMIFS(IncPayAmount,IncPayDate,$A23,IncPayDate,"&lt;&gt;""",IncBank,$C$4)-SUMIFS(ExpIncl,ExpPayDate,$A23,ExpPayDate,"&lt;&gt;""",ExpBank,$C$4,ExpIncl,"&lt;0"))</f>
        <v>0</v>
      </c>
      <c r="D23" s="29" cm="1">
        <f t="array" ref="D23">IF(A23="","",-SUMIFS(ExpIncl,ExpPayDate,$A23,ExpPayDate,"&lt;&gt;""",ExpBank,$C$4,ExpIncl,"&gt;0"))</f>
        <v>-80</v>
      </c>
      <c r="E23" s="137">
        <f t="shared" si="2"/>
        <v>247052.23000000045</v>
      </c>
    </row>
    <row r="24" spans="1:11" ht="16" customHeight="1" x14ac:dyDescent="0.25">
      <c r="A24" s="79">
        <f t="shared" si="4"/>
        <v>44243</v>
      </c>
      <c r="B24" s="29">
        <f t="shared" si="5"/>
        <v>247052.23000000045</v>
      </c>
      <c r="C24" s="29" cm="1">
        <f t="array" ref="C24">IF(A24="","",SUMIFS(IncPayAmount,IncPayDate,$A24,IncPayDate,"&lt;&gt;""",IncBank,$C$4)-SUMIFS(ExpIncl,ExpPayDate,$A24,ExpPayDate,"&lt;&gt;""",ExpBank,$C$4,ExpIncl,"&lt;0"))</f>
        <v>0</v>
      </c>
      <c r="D24" s="29" cm="1">
        <f t="array" ref="D24">IF(A24="","",-SUMIFS(ExpIncl,ExpPayDate,$A24,ExpPayDate,"&lt;&gt;""",ExpBank,$C$4,ExpIncl,"&gt;0"))</f>
        <v>0</v>
      </c>
      <c r="E24" s="137">
        <f t="shared" si="2"/>
        <v>247052.23000000045</v>
      </c>
    </row>
    <row r="25" spans="1:11" ht="16" customHeight="1" x14ac:dyDescent="0.25">
      <c r="A25" s="79">
        <f t="shared" si="4"/>
        <v>44244</v>
      </c>
      <c r="B25" s="29">
        <f t="shared" si="5"/>
        <v>247052.23000000045</v>
      </c>
      <c r="C25" s="29" cm="1">
        <f t="array" ref="C25">IF(A25="","",SUMIFS(IncPayAmount,IncPayDate,$A25,IncPayDate,"&lt;&gt;""",IncBank,$C$4)-SUMIFS(ExpIncl,ExpPayDate,$A25,ExpPayDate,"&lt;&gt;""",ExpBank,$C$4,ExpIncl,"&lt;0"))</f>
        <v>0</v>
      </c>
      <c r="D25" s="29" cm="1">
        <f t="array" ref="D25">IF(A25="","",-SUMIFS(ExpIncl,ExpPayDate,$A25,ExpPayDate,"&lt;&gt;""",ExpBank,$C$4,ExpIncl,"&gt;0"))</f>
        <v>0</v>
      </c>
      <c r="E25" s="137">
        <f t="shared" si="2"/>
        <v>247052.23000000045</v>
      </c>
    </row>
    <row r="26" spans="1:11" ht="16" customHeight="1" x14ac:dyDescent="0.25">
      <c r="A26" s="79">
        <f t="shared" si="4"/>
        <v>44245</v>
      </c>
      <c r="B26" s="29">
        <f t="shared" si="5"/>
        <v>247052.23000000045</v>
      </c>
      <c r="C26" s="29" cm="1">
        <f t="array" ref="C26">IF(A26="","",SUMIFS(IncPayAmount,IncPayDate,$A26,IncPayDate,"&lt;&gt;""",IncBank,$C$4)-SUMIFS(ExpIncl,ExpPayDate,$A26,ExpPayDate,"&lt;&gt;""",ExpBank,$C$4,ExpIncl,"&lt;0"))</f>
        <v>0</v>
      </c>
      <c r="D26" s="29" cm="1">
        <f t="array" ref="D26">IF(A26="","",-SUMIFS(ExpIncl,ExpPayDate,$A26,ExpPayDate,"&lt;&gt;""",ExpBank,$C$4,ExpIncl,"&gt;0"))</f>
        <v>0</v>
      </c>
      <c r="E26" s="137">
        <f t="shared" si="2"/>
        <v>247052.23000000045</v>
      </c>
    </row>
    <row r="27" spans="1:11" ht="16" customHeight="1" x14ac:dyDescent="0.25">
      <c r="A27" s="79">
        <f t="shared" si="4"/>
        <v>44246</v>
      </c>
      <c r="B27" s="29">
        <f t="shared" si="5"/>
        <v>247052.23000000045</v>
      </c>
      <c r="C27" s="29" cm="1">
        <f t="array" ref="C27">IF(A27="","",SUMIFS(IncPayAmount,IncPayDate,$A27,IncPayDate,"&lt;&gt;""",IncBank,$C$4)-SUMIFS(ExpIncl,ExpPayDate,$A27,ExpPayDate,"&lt;&gt;""",ExpBank,$C$4,ExpIncl,"&lt;0"))</f>
        <v>0</v>
      </c>
      <c r="D27" s="29" cm="1">
        <f t="array" ref="D27">IF(A27="","",-SUMIFS(ExpIncl,ExpPayDate,$A27,ExpPayDate,"&lt;&gt;""",ExpBank,$C$4,ExpIncl,"&gt;0"))</f>
        <v>0</v>
      </c>
      <c r="E27" s="137">
        <f t="shared" si="2"/>
        <v>247052.23000000045</v>
      </c>
    </row>
    <row r="28" spans="1:11" ht="16" customHeight="1" x14ac:dyDescent="0.25">
      <c r="A28" s="79">
        <f t="shared" si="4"/>
        <v>44247</v>
      </c>
      <c r="B28" s="29">
        <f t="shared" si="5"/>
        <v>247052.23000000045</v>
      </c>
      <c r="C28" s="29" cm="1">
        <f t="array" ref="C28">IF(A28="","",SUMIFS(IncPayAmount,IncPayDate,$A28,IncPayDate,"&lt;&gt;""",IncBank,$C$4)-SUMIFS(ExpIncl,ExpPayDate,$A28,ExpPayDate,"&lt;&gt;""",ExpBank,$C$4,ExpIncl,"&lt;0"))</f>
        <v>0</v>
      </c>
      <c r="D28" s="29" cm="1">
        <f t="array" ref="D28">IF(A28="","",-SUMIFS(ExpIncl,ExpPayDate,$A28,ExpPayDate,"&lt;&gt;""",ExpBank,$C$4,ExpIncl,"&gt;0"))</f>
        <v>-80000</v>
      </c>
      <c r="E28" s="137">
        <f t="shared" si="2"/>
        <v>167052.23000000045</v>
      </c>
    </row>
    <row r="29" spans="1:11" ht="16" customHeight="1" x14ac:dyDescent="0.25">
      <c r="A29" s="79">
        <f t="shared" si="4"/>
        <v>44248</v>
      </c>
      <c r="B29" s="29">
        <f t="shared" si="5"/>
        <v>167052.23000000045</v>
      </c>
      <c r="C29" s="29" cm="1">
        <f t="array" ref="C29">IF(A29="","",SUMIFS(IncPayAmount,IncPayDate,$A29,IncPayDate,"&lt;&gt;""",IncBank,$C$4)-SUMIFS(ExpIncl,ExpPayDate,$A29,ExpPayDate,"&lt;&gt;""",ExpBank,$C$4,ExpIncl,"&lt;0"))</f>
        <v>0</v>
      </c>
      <c r="D29" s="29" cm="1">
        <f t="array" ref="D29">IF(A29="","",-SUMIFS(ExpIncl,ExpPayDate,$A29,ExpPayDate,"&lt;&gt;""",ExpBank,$C$4,ExpIncl,"&gt;0"))</f>
        <v>0</v>
      </c>
      <c r="E29" s="137">
        <f t="shared" si="2"/>
        <v>167052.23000000045</v>
      </c>
    </row>
    <row r="30" spans="1:11" ht="16" customHeight="1" x14ac:dyDescent="0.25">
      <c r="A30" s="79">
        <f t="shared" si="4"/>
        <v>44249</v>
      </c>
      <c r="B30" s="29">
        <f t="shared" si="5"/>
        <v>167052.23000000045</v>
      </c>
      <c r="C30" s="29" cm="1">
        <f t="array" ref="C30">IF(A30="","",SUMIFS(IncPayAmount,IncPayDate,$A30,IncPayDate,"&lt;&gt;""",IncBank,$C$4)-SUMIFS(ExpIncl,ExpPayDate,$A30,ExpPayDate,"&lt;&gt;""",ExpBank,$C$4,ExpIncl,"&lt;0"))</f>
        <v>0</v>
      </c>
      <c r="D30" s="29" cm="1">
        <f t="array" ref="D30">IF(A30="","",-SUMIFS(ExpIncl,ExpPayDate,$A30,ExpPayDate,"&lt;&gt;""",ExpBank,$C$4,ExpIncl,"&gt;0"))</f>
        <v>0</v>
      </c>
      <c r="E30" s="137">
        <f t="shared" si="2"/>
        <v>167052.23000000045</v>
      </c>
    </row>
    <row r="31" spans="1:11" ht="16" customHeight="1" x14ac:dyDescent="0.25">
      <c r="A31" s="79">
        <f t="shared" si="4"/>
        <v>44250</v>
      </c>
      <c r="B31" s="29">
        <f t="shared" si="5"/>
        <v>167052.23000000045</v>
      </c>
      <c r="C31" s="29" cm="1">
        <f t="array" ref="C31">IF(A31="","",SUMIFS(IncPayAmount,IncPayDate,$A31,IncPayDate,"&lt;&gt;""",IncBank,$C$4)-SUMIFS(ExpIncl,ExpPayDate,$A31,ExpPayDate,"&lt;&gt;""",ExpBank,$C$4,ExpIncl,"&lt;0"))</f>
        <v>0</v>
      </c>
      <c r="D31" s="29" cm="1">
        <f t="array" ref="D31">IF(A31="","",-SUMIFS(ExpIncl,ExpPayDate,$A31,ExpPayDate,"&lt;&gt;""",ExpBank,$C$4,ExpIncl,"&gt;0"))</f>
        <v>0</v>
      </c>
      <c r="E31" s="137">
        <f t="shared" si="2"/>
        <v>167052.23000000045</v>
      </c>
    </row>
    <row r="32" spans="1:11" ht="16" customHeight="1" x14ac:dyDescent="0.25">
      <c r="A32" s="79">
        <f t="shared" si="4"/>
        <v>44251</v>
      </c>
      <c r="B32" s="29">
        <f t="shared" si="5"/>
        <v>167052.23000000045</v>
      </c>
      <c r="C32" s="29" cm="1">
        <f t="array" ref="C32">IF(A32="","",SUMIFS(IncPayAmount,IncPayDate,$A32,IncPayDate,"&lt;&gt;""",IncBank,$C$4)-SUMIFS(ExpIncl,ExpPayDate,$A32,ExpPayDate,"&lt;&gt;""",ExpBank,$C$4,ExpIncl,"&lt;0"))</f>
        <v>0</v>
      </c>
      <c r="D32" s="29" cm="1">
        <f t="array" ref="D32">IF(A32="","",-SUMIFS(ExpIncl,ExpPayDate,$A32,ExpPayDate,"&lt;&gt;""",ExpBank,$C$4,ExpIncl,"&gt;0"))</f>
        <v>0</v>
      </c>
      <c r="E32" s="137">
        <f t="shared" si="2"/>
        <v>167052.23000000045</v>
      </c>
    </row>
    <row r="33" spans="1:5" ht="16" customHeight="1" x14ac:dyDescent="0.25">
      <c r="A33" s="79">
        <f t="shared" si="4"/>
        <v>44252</v>
      </c>
      <c r="B33" s="29">
        <f t="shared" si="5"/>
        <v>167052.23000000045</v>
      </c>
      <c r="C33" s="29" cm="1">
        <f t="array" ref="C33">IF(A33="","",SUMIFS(IncPayAmount,IncPayDate,$A33,IncPayDate,"&lt;&gt;""",IncBank,$C$4)-SUMIFS(ExpIncl,ExpPayDate,$A33,ExpPayDate,"&lt;&gt;""",ExpBank,$C$4,ExpIncl,"&lt;0"))</f>
        <v>0</v>
      </c>
      <c r="D33" s="29" cm="1">
        <f t="array" ref="D33">IF(A33="","",-SUMIFS(ExpIncl,ExpPayDate,$A33,ExpPayDate,"&lt;&gt;""",ExpBank,$C$4,ExpIncl,"&gt;0"))</f>
        <v>-31218.52</v>
      </c>
      <c r="E33" s="137">
        <f t="shared" si="2"/>
        <v>135833.71000000046</v>
      </c>
    </row>
    <row r="34" spans="1:5" ht="16" customHeight="1" x14ac:dyDescent="0.25">
      <c r="A34" s="79">
        <f t="shared" si="4"/>
        <v>44253</v>
      </c>
      <c r="B34" s="29">
        <f t="shared" si="5"/>
        <v>135833.71000000046</v>
      </c>
      <c r="C34" s="29" cm="1">
        <f t="array" ref="C34">IF(A34="","",SUMIFS(IncPayAmount,IncPayDate,$A34,IncPayDate,"&lt;&gt;""",IncBank,$C$4)-SUMIFS(ExpIncl,ExpPayDate,$A34,ExpPayDate,"&lt;&gt;""",ExpBank,$C$4,ExpIncl,"&lt;0"))</f>
        <v>110000</v>
      </c>
      <c r="D34" s="29" cm="1">
        <f t="array" ref="D34">IF(A34="","",-SUMIFS(ExpIncl,ExpPayDate,$A34,ExpPayDate,"&lt;&gt;""",ExpBank,$C$4,ExpIncl,"&gt;0"))</f>
        <v>-19111.77</v>
      </c>
      <c r="E34" s="137">
        <f t="shared" si="2"/>
        <v>226721.94000000047</v>
      </c>
    </row>
    <row r="35" spans="1:5" ht="16" customHeight="1" x14ac:dyDescent="0.25">
      <c r="A35" s="79">
        <f t="shared" si="4"/>
        <v>44254</v>
      </c>
      <c r="B35" s="29">
        <f t="shared" si="5"/>
        <v>226721.94000000047</v>
      </c>
      <c r="C35" s="29" cm="1">
        <f t="array" ref="C35">IF(A35="","",SUMIFS(IncPayAmount,IncPayDate,$A35,IncPayDate,"&lt;&gt;""",IncBank,$C$4)-SUMIFS(ExpIncl,ExpPayDate,$A35,ExpPayDate,"&lt;&gt;""",ExpBank,$C$4,ExpIncl,"&lt;0"))</f>
        <v>0</v>
      </c>
      <c r="D35" s="29" cm="1">
        <f t="array" ref="D35">IF(A35="","",-SUMIFS(ExpIncl,ExpPayDate,$A35,ExpPayDate,"&lt;&gt;""",ExpBank,$C$4,ExpIncl,"&gt;0"))</f>
        <v>0</v>
      </c>
      <c r="E35" s="137">
        <f t="shared" si="2"/>
        <v>226721.94000000047</v>
      </c>
    </row>
    <row r="36" spans="1:5" ht="16" customHeight="1" x14ac:dyDescent="0.25">
      <c r="A36" s="79">
        <f t="shared" si="4"/>
        <v>44255</v>
      </c>
      <c r="B36" s="29">
        <f t="shared" si="5"/>
        <v>226721.94000000047</v>
      </c>
      <c r="C36" s="29" cm="1">
        <f t="array" ref="C36">IF(A36="","",SUMIFS(IncPayAmount,IncPayDate,$A36,IncPayDate,"&lt;&gt;""",IncBank,$C$4)-SUMIFS(ExpIncl,ExpPayDate,$A36,ExpPayDate,"&lt;&gt;""",ExpBank,$C$4,ExpIncl,"&lt;0"))</f>
        <v>138115</v>
      </c>
      <c r="D36" s="29" cm="1">
        <f t="array" ref="D36">IF(A36="","",-SUMIFS(ExpIncl,ExpPayDate,$A36,ExpPayDate,"&lt;&gt;""",ExpBank,$C$4,ExpIncl,"&gt;0"))</f>
        <v>-24260</v>
      </c>
      <c r="E36" s="137">
        <f t="shared" si="2"/>
        <v>340576.94000000047</v>
      </c>
    </row>
    <row r="37" spans="1:5" ht="16" customHeight="1" x14ac:dyDescent="0.25">
      <c r="A37" s="79" t="str">
        <f t="shared" si="4"/>
        <v/>
      </c>
      <c r="B37" s="29" t="str">
        <f t="shared" si="5"/>
        <v/>
      </c>
      <c r="C37" s="29" t="str" cm="1">
        <f t="array" ref="C37">IF(A37="","",SUMIFS(IncPayAmount,IncPayDate,$A37,IncPayDate,"&lt;&gt;""",IncBank,$C$4)-SUMIFS(ExpIncl,ExpPayDate,$A37,ExpPayDate,"&lt;&gt;""",ExpBank,$C$4,ExpIncl,"&lt;0"))</f>
        <v/>
      </c>
      <c r="D37" s="29" t="str" cm="1">
        <f t="array" ref="D37">IF(A37="","",-SUMIFS(ExpIncl,ExpPayDate,$A37,ExpPayDate,"&lt;&gt;""",ExpBank,$C$4,ExpIncl,"&gt;0"))</f>
        <v/>
      </c>
      <c r="E37" s="137" t="str">
        <f t="shared" si="2"/>
        <v/>
      </c>
    </row>
    <row r="38" spans="1:5" ht="16" customHeight="1" x14ac:dyDescent="0.25">
      <c r="A38" s="79" t="str">
        <f t="shared" si="4"/>
        <v/>
      </c>
      <c r="B38" s="29" t="str">
        <f t="shared" si="5"/>
        <v/>
      </c>
      <c r="C38" s="29" t="str" cm="1">
        <f t="array" ref="C38">IF(A38="","",SUMIFS(IncPayAmount,IncPayDate,$A38,IncPayDate,"&lt;&gt;""",IncBank,$C$4)-SUMIFS(ExpIncl,ExpPayDate,$A38,ExpPayDate,"&lt;&gt;""",ExpBank,$C$4,ExpIncl,"&lt;0"))</f>
        <v/>
      </c>
      <c r="D38" s="29" t="str" cm="1">
        <f t="array" ref="D38">IF(A38="","",-SUMIFS(ExpIncl,ExpPayDate,$A38,ExpPayDate,"&lt;&gt;""",ExpBank,$C$4,ExpIncl,"&gt;0"))</f>
        <v/>
      </c>
      <c r="E38" s="137" t="str">
        <f t="shared" si="2"/>
        <v/>
      </c>
    </row>
    <row r="39" spans="1:5" ht="16" customHeight="1" x14ac:dyDescent="0.25">
      <c r="A39" s="79" t="str">
        <f t="shared" si="4"/>
        <v/>
      </c>
      <c r="B39" s="29" t="str">
        <f t="shared" si="5"/>
        <v/>
      </c>
      <c r="C39" s="29" t="str" cm="1">
        <f t="array" ref="C39">IF(A39="","",SUMIFS(IncPayAmount,IncPayDate,$A39,IncPayDate,"&lt;&gt;""",IncBank,$C$4)-SUMIFS(ExpIncl,ExpPayDate,$A39,ExpPayDate,"&lt;&gt;""",ExpBank,$C$4,ExpIncl,"&lt;0"))</f>
        <v/>
      </c>
      <c r="D39" s="29" t="str" cm="1">
        <f t="array" ref="D39">IF(A39="","",-SUMIFS(ExpIncl,ExpPayDate,$A39,ExpPayDate,"&lt;&gt;""",ExpBank,$C$4,ExpIncl,"&gt;0"))</f>
        <v/>
      </c>
      <c r="E39" s="137" t="str">
        <f t="shared" si="2"/>
        <v/>
      </c>
    </row>
  </sheetData>
  <sheetProtection autoFilter="0"/>
  <mergeCells count="2">
    <mergeCell ref="A7:E7"/>
    <mergeCell ref="G7:K7"/>
  </mergeCells>
  <dataValidations count="2">
    <dataValidation type="list" allowBlank="1" showInputMessage="1" showErrorMessage="1" errorTitle="Invalid Data" error="Select a valid item from the list box." sqref="B4" xr:uid="{00000000-0002-0000-0C00-000000000000}">
      <formula1>BankCode</formula1>
    </dataValidation>
    <dataValidation type="list" allowBlank="1" showInputMessage="1" showErrorMessage="1" errorTitle="Invalid Month" error="Select one of the reporting periods from the list box." sqref="B5" xr:uid="{00000000-0002-0000-0C00-000001000000}">
      <formula1>Months</formula1>
    </dataValidation>
  </dataValidations>
  <pageMargins left="0.59055118110236227" right="0.59055118110236227" top="0.59055118110236227" bottom="0.59055118110236227" header="0.39370078740157483" footer="0.39370078740157483"/>
  <pageSetup paperSize="9" scale="82" orientation="landscape" r:id="rId1"/>
  <headerFooter alignWithMargins="0">
    <oddFooter>Page &amp;P of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pageSetUpPr fitToPage="1"/>
  </sheetPr>
  <dimension ref="A1:K17"/>
  <sheetViews>
    <sheetView zoomScale="95" zoomScaleNormal="95" workbookViewId="0">
      <pane ySplit="5" topLeftCell="A6" activePane="bottomLeft" state="frozen"/>
      <selection pane="bottomLeft" activeCell="A5" sqref="A5"/>
    </sheetView>
  </sheetViews>
  <sheetFormatPr defaultColWidth="9.08984375" defaultRowHeight="16" customHeight="1" x14ac:dyDescent="0.25"/>
  <cols>
    <col min="1" max="1" width="16.81640625" style="79" customWidth="1"/>
    <col min="2" max="3" width="16.81640625" style="29" customWidth="1"/>
    <col min="4" max="6" width="16.81640625" style="4" customWidth="1"/>
    <col min="7" max="9" width="16.81640625" style="29" customWidth="1"/>
    <col min="10" max="11" width="16.81640625" style="147" customWidth="1"/>
    <col min="12" max="16384" width="9.08984375" style="4"/>
  </cols>
  <sheetData>
    <row r="1" spans="1:11" ht="16" customHeight="1" x14ac:dyDescent="0.3">
      <c r="A1" s="176" t="str">
        <f>IF(ISBLANK(Setup!$C$4),"Example Limited",Setup!$C$4)</f>
        <v>Example (Pty) Limited</v>
      </c>
      <c r="D1" s="146" t="s">
        <v>720</v>
      </c>
      <c r="E1" s="146" t="s">
        <v>721</v>
      </c>
      <c r="F1" s="146" t="s">
        <v>722</v>
      </c>
    </row>
    <row r="2" spans="1:11" ht="16" customHeight="1" x14ac:dyDescent="0.25">
      <c r="A2" s="75" t="s">
        <v>57</v>
      </c>
      <c r="C2" s="202">
        <f>IF($D$2="National/Federal",1,IF($D$2="State",2,0))</f>
        <v>0</v>
      </c>
      <c r="D2" s="148"/>
      <c r="E2" s="148"/>
      <c r="F2" s="148"/>
      <c r="G2" s="33" t="str">
        <f>IF(ISBLANK(E2),"*",E2)</f>
        <v>*</v>
      </c>
      <c r="H2" s="130" t="str">
        <f>IF(ISBLANK(F2),"*",F2)</f>
        <v>*</v>
      </c>
    </row>
    <row r="3" spans="1:11" s="6" customFormat="1" ht="16" customHeight="1" x14ac:dyDescent="0.25">
      <c r="A3" s="149" t="s">
        <v>350</v>
      </c>
      <c r="B3" s="150"/>
      <c r="C3" s="150"/>
      <c r="D3" s="150"/>
      <c r="E3" s="150"/>
      <c r="G3" s="150"/>
      <c r="H3" s="150"/>
      <c r="I3" s="150"/>
      <c r="J3" s="151"/>
      <c r="K3" s="151"/>
    </row>
    <row r="4" spans="1:11" s="34" customFormat="1" ht="18" customHeight="1" x14ac:dyDescent="0.25">
      <c r="A4" s="152"/>
      <c r="B4" s="210" t="s">
        <v>57</v>
      </c>
      <c r="C4" s="210"/>
      <c r="D4" s="210"/>
      <c r="E4" s="210"/>
      <c r="F4" s="210"/>
      <c r="G4" s="211" t="s">
        <v>433</v>
      </c>
      <c r="H4" s="211"/>
      <c r="I4" s="153" t="s">
        <v>526</v>
      </c>
      <c r="J4" s="212" t="s">
        <v>512</v>
      </c>
      <c r="K4" s="212"/>
    </row>
    <row r="5" spans="1:11" s="3" customFormat="1" ht="18" customHeight="1" x14ac:dyDescent="0.25">
      <c r="A5" s="154" t="s">
        <v>424</v>
      </c>
      <c r="B5" s="155" t="s">
        <v>428</v>
      </c>
      <c r="C5" s="155" t="s">
        <v>430</v>
      </c>
      <c r="D5" s="135" t="s">
        <v>431</v>
      </c>
      <c r="E5" s="135" t="s">
        <v>432</v>
      </c>
      <c r="F5" s="156" t="s">
        <v>429</v>
      </c>
      <c r="G5" s="155" t="s">
        <v>430</v>
      </c>
      <c r="H5" s="155" t="s">
        <v>431</v>
      </c>
      <c r="I5" s="155" t="s">
        <v>525</v>
      </c>
      <c r="J5" s="157" t="s">
        <v>430</v>
      </c>
      <c r="K5" s="157" t="s">
        <v>431</v>
      </c>
    </row>
    <row r="6" spans="1:11" ht="16" customHeight="1" x14ac:dyDescent="0.25">
      <c r="A6" s="158">
        <f ca="1">OFFSET(IS!$B$4,0,ROW($B6)-ROW($B$5),1,1)</f>
        <v>43921</v>
      </c>
      <c r="B6" s="159" cm="1">
        <f t="array" aca="1" ref="B6" ca="1">IF(OR(ISBLANK($E$2)=FALSE,ISBLANK($F$2)=FALSE),0,IF($C$2=1,-SUMIF(AccountAll,BS!$A$38,AccountOpen),IF($C$2=2,-SUMIF(AccountAll,BS!$A$39,AccountOpen),-SUMIF(AccountAll,BS!$A$38,AccountOpen)-SUMIF(AccountAll,BS!$A$39,AccountOpen))))</f>
        <v>20240</v>
      </c>
      <c r="C6" s="160" cm="1">
        <f t="array" aca="1" ref="C6" ca="1">IF($C$2=1,SUMIFS(IncTax1,IncDocDate,"&gt;="&amp;DATE(YEAR($A6),MONTH($A6),1),IncDocDate,"&lt;="&amp;$A6,IncTaxCode1,$G$2),IF($C$2=2,IF(IncTaxCount=2,SUMIFS(IncTax2,IncDocDate,"&gt;="&amp;DATE(YEAR($A6),MONTH($A6),1),IncDocDate,"&lt;="&amp;$A6,IncTaxCode2,$H$2),0),IF(IncTaxCount=2,SUMIFS(IncTax1,IncDocDate,"&gt;="&amp;DATE(YEAR($A6),MONTH($A6),1),IncDocDate,"&lt;="&amp;$A6,IncTaxCode1,$G$2,IncTaxCode2,$H$2),SUMIFS(IncTax1,IncDocDate,"&gt;="&amp;DATE(YEAR($A6),MONTH($A6),1),IncDocDate,"&lt;="&amp;$A6,IncTaxCode1,$G$2))+IF(IncTaxCount=2,SUMIFS(IncTax2,IncDocDate,"&gt;="&amp;DATE(YEAR($A6),MONTH($A6),1),IncDocDate,"&lt;="&amp;$A6,IncTaxCode1,$G$2,IncTaxCode2,$H$2),0)))</f>
        <v>16529.752173913042</v>
      </c>
      <c r="D6" s="139" cm="1">
        <f t="array" aca="1" ref="D6" ca="1">-IF($C$2=1,SUMIFS(ExpTax1,ExpDocDate,"&gt;="&amp;DATE(YEAR($A6),MONTH($A6),1),ExpDocDate,"&lt;="&amp;$A6,ExpTaxCode1,$G$2),IF($C$2=2,IF(ExpTaxCount=2,SUMIFS(ExpTax2,ExpDocDate,"&gt;="&amp;DATE(YEAR($A6),MONTH($A6),1),ExpDocDate,"&lt;="&amp;$A6,ExpTaxCode2,$H$2),0),IF(ExpTaxCount=2,SUMIFS(ExpTax1,ExpDocDate,"&gt;="&amp;DATE(YEAR($A6),MONTH($A6),1),ExpDocDate,"&lt;="&amp;$A6,ExpTaxCode1,$G$2,ExpTaxCode2,$H$2),SUMIFS(ExpTax1,ExpDocDate,"&gt;="&amp;DATE(YEAR($A6),MONTH($A6),1),ExpDocDate,"&lt;="&amp;$A6,ExpTaxCode1,$G$2))+IF(ExpTaxCount=2,SUMIFS(ExpTax2,ExpDocDate,"&gt;="&amp;DATE(YEAR($A6),MONTH($A6),1),ExpDocDate,"&lt;="&amp;$A6,ExpTaxCode1,$G$2,ExpTaxCode2,$H$2),0)))</f>
        <v>-2340.521739130435</v>
      </c>
      <c r="E6" s="159" cm="1">
        <f t="array" aca="1" ref="E6" ca="1">IF(OR(ISBLANK($E$2)=FALSE,ISBLANK($F$2)=FALSE),0,IF($C$2=2,0,SUMIFS(IncExcl,IncDocDate,"&gt;="&amp;DATE(YEAR($A6),MONTH($A6),1),IncDocDate,"&lt;="&amp;$A6,IncAccount,BS!$A$38))+IF($C$2=1,0,SUMIFS(IncExcl,IncDocDate,"&gt;="&amp;DATE(YEAR($A6),MONTH($A6),1),IncDocDate,"&lt;="&amp;$A6,IncAccount,BS!$A$39))-IF($C$2=2,0,SUMIFS(ExpExcl,ExpDocDate,"&gt;="&amp;DATE(YEAR($A6),MONTH($A6),1),ExpDocDate,"&lt;="&amp;$A6,ExpAccount,BS!$A$38))-IF($C$2=1,0,SUMIFS(ExpExcl,ExpDocDate,"&gt;="&amp;DATE(YEAR($A6),MONTH($A6),1),ExpDocDate,"&lt;="&amp;$A6,ExpAccount,BS!$A$39)))</f>
        <v>0</v>
      </c>
      <c r="F6" s="161">
        <f ca="1">IF(OR(ISBLANK($E$2)=FALSE,ISBLANK($F$2)=FALSE),0,SUM(B6:E6))</f>
        <v>34429.230434782614</v>
      </c>
      <c r="G6" s="160" cm="1">
        <f t="array" aca="1" ref="G6" ca="1">IF($C$2=1,SUMIFS(IncIncl,IncDocDate,"&gt;="&amp;DATE(YEAR($A6),MONTH($A6),1),IncDocDate,"&lt;="&amp;$A6,IncTaxCode1,$G$2),IF($C$2=2,SUMIFS(IncIncl,IncDocDate,"&gt;="&amp;DATE(YEAR($A6),MONTH($A6),1),IncDocDate,"&lt;="&amp;$A6,IncTaxCode2,$H$2),IF(IncTaxCount=2,SUMIFS(IncIncl,IncDocDate,"&gt;="&amp;DATE(YEAR($A6),MONTH($A6),1),IncDocDate,"&lt;="&amp;$A6,IncTaxCode1,$G$2,IncTaxCode2,$H$2),SUMIFS(IncIncl,IncDocDate,"&gt;="&amp;DATE(YEAR($A6),MONTH($A6),1),IncDocDate,"&lt;="&amp;$A6,IncTaxCode1,$G$2))))</f>
        <v>152258.11000000002</v>
      </c>
      <c r="H6" s="140" cm="1">
        <f t="array" aca="1" ref="H6" ca="1">-IF($C$2=1,SUMIFS(ExpIncl,ExpDocDate,"&gt;="&amp;DATE(YEAR($A6),MONTH($A6),1),ExpDocDate,"&lt;="&amp;$A6,ExpTaxCode1,$G$2),IF($C$2=2,SUMIFS(ExpIncl,ExpDocDate,"&gt;="&amp;DATE(YEAR($A6),MONTH($A6),1),ExpDocDate,"&lt;="&amp;$A6,ExpTaxCode2,$H$2),IF(ExpTaxCount=2,SUMIFS(ExpIncl,ExpDocDate,"&gt;="&amp;DATE(YEAR($A6),MONTH($A6),1),ExpDocDate,"&lt;="&amp;$A6,ExpTaxCode1,$G$2,ExpTaxCode2,$H$2),SUMIFS(ExpIncl,ExpDocDate,"&gt;="&amp;DATE(YEAR($A6),MONTH($A6),1),ExpDocDate,"&lt;="&amp;$A6,ExpTaxCode1,$G$2))))</f>
        <v>-116713.41</v>
      </c>
      <c r="I6" s="139">
        <f ca="1">SUM(C6:D6)</f>
        <v>14189.230434782607</v>
      </c>
      <c r="J6" s="162">
        <f ca="1">IF(G6=0,0,IF(G6-C6=0,0,C6/(G6-C6)))</f>
        <v>0.12178554606173851</v>
      </c>
      <c r="K6" s="163">
        <f ca="1">IF(H6=0,0,IF(H6-D6=0,0,D6/(H6-D6)))</f>
        <v>2.0463955879054235E-2</v>
      </c>
    </row>
    <row r="7" spans="1:11" ht="16" customHeight="1" x14ac:dyDescent="0.25">
      <c r="A7" s="164">
        <f ca="1">OFFSET(IS!$B$4,0,ROW($B7)-ROW($B$5),1,1)</f>
        <v>43951</v>
      </c>
      <c r="B7" s="165">
        <f ca="1">IF(OR(ISBLANK($E$2)=FALSE,ISBLANK($F$2)=FALSE),0,F6)</f>
        <v>34429.230434782614</v>
      </c>
      <c r="C7" s="166" cm="1">
        <f t="array" aca="1" ref="C7" ca="1">IF($C$2=1,SUMIFS(IncTax1,IncDocDate,"&gt;="&amp;DATE(YEAR($A7),MONTH($A7),1),IncDocDate,"&lt;="&amp;$A7,IncTaxCode1,$G$2),IF($C$2=2,IF(IncTaxCount=2,SUMIFS(IncTax2,IncDocDate,"&gt;="&amp;DATE(YEAR($A7),MONTH($A7),1),IncDocDate,"&lt;="&amp;$A7,IncTaxCode2,$H$2),0),IF(IncTaxCount=2,SUMIFS(IncTax1,IncDocDate,"&gt;="&amp;DATE(YEAR($A7),MONTH($A7),1),IncDocDate,"&lt;="&amp;$A7,IncTaxCode1,$G$2,IncTaxCode2,$H$2),SUMIFS(IncTax1,IncDocDate,"&gt;="&amp;DATE(YEAR($A7),MONTH($A7),1),IncDocDate,"&lt;="&amp;$A7,IncTaxCode1,$G$2))+IF(IncTaxCount=2,SUMIFS(IncTax2,IncDocDate,"&gt;="&amp;DATE(YEAR($A7),MONTH($A7),1),IncDocDate,"&lt;="&amp;$A7,IncTaxCode1,$G$2,IncTaxCode2,$H$2),0)))</f>
        <v>20725.5</v>
      </c>
      <c r="D7" s="89" cm="1">
        <f t="array" aca="1" ref="D7" ca="1">-IF($C$2=1,SUMIFS(ExpTax1,ExpDocDate,"&gt;="&amp;DATE(YEAR($A7),MONTH($A7),1),ExpDocDate,"&lt;="&amp;$A7,ExpTaxCode1,$G$2),IF($C$2=2,IF(ExpTaxCount=2,SUMIFS(ExpTax2,ExpDocDate,"&gt;="&amp;DATE(YEAR($A7),MONTH($A7),1),ExpDocDate,"&lt;="&amp;$A7,ExpTaxCode2,$H$2),0),IF(ExpTaxCount=2,SUMIFS(ExpTax1,ExpDocDate,"&gt;="&amp;DATE(YEAR($A7),MONTH($A7),1),ExpDocDate,"&lt;="&amp;$A7,ExpTaxCode1,$G$2,ExpTaxCode2,$H$2),SUMIFS(ExpTax1,ExpDocDate,"&gt;="&amp;DATE(YEAR($A7),MONTH($A7),1),ExpDocDate,"&lt;="&amp;$A7,ExpTaxCode1,$G$2))+IF(ExpTaxCount=2,SUMIFS(ExpTax2,ExpDocDate,"&gt;="&amp;DATE(YEAR($A7),MONTH($A7),1),ExpDocDate,"&lt;="&amp;$A7,ExpTaxCode1,$G$2,ExpTaxCode2,$H$2),0)))</f>
        <v>-4928.804347826087</v>
      </c>
      <c r="E7" s="165" cm="1">
        <f t="array" aca="1" ref="E7" ca="1">IF(OR(ISBLANK($E$2)=FALSE,ISBLANK($F$2)=FALSE),0,IF($C$2=2,0,SUMIFS(IncExcl,IncDocDate,"&gt;="&amp;DATE(YEAR($A7),MONTH($A7),1),IncDocDate,"&lt;="&amp;$A7,IncAccount,BS!$A$38))+IF($C$2=1,0,SUMIFS(IncExcl,IncDocDate,"&gt;="&amp;DATE(YEAR($A7),MONTH($A7),1),IncDocDate,"&lt;="&amp;$A7,IncAccount,BS!$A$39))-IF($C$2=2,0,SUMIFS(ExpExcl,ExpDocDate,"&gt;="&amp;DATE(YEAR($A7),MONTH($A7),1),ExpDocDate,"&lt;="&amp;$A7,ExpAccount,BS!$A$38))-IF($C$2=1,0,SUMIFS(ExpExcl,ExpDocDate,"&gt;="&amp;DATE(YEAR($A7),MONTH($A7),1),ExpDocDate,"&lt;="&amp;$A7,ExpAccount,BS!$A$39)))</f>
        <v>-34429.230000000003</v>
      </c>
      <c r="F7" s="167">
        <f t="shared" ref="F7:F17" ca="1" si="0">IF(OR(ISBLANK($E$2)=FALSE,ISBLANK($F$2)=FALSE),0,SUM(B7:E7))</f>
        <v>15796.696086956523</v>
      </c>
      <c r="G7" s="166" cm="1">
        <f t="array" aca="1" ref="G7" ca="1">IF($C$2=1,SUMIFS(IncIncl,IncDocDate,"&gt;="&amp;DATE(YEAR($A7),MONTH($A7),1),IncDocDate,"&lt;="&amp;$A7,IncTaxCode1,$G$2),IF($C$2=2,SUMIFS(IncIncl,IncDocDate,"&gt;="&amp;DATE(YEAR($A7),MONTH($A7),1),IncDocDate,"&lt;="&amp;$A7,IncTaxCode2,$H$2),IF(IncTaxCount=2,SUMIFS(IncIncl,IncDocDate,"&gt;="&amp;DATE(YEAR($A7),MONTH($A7),1),IncDocDate,"&lt;="&amp;$A7,IncTaxCode1,$G$2,IncTaxCode2,$H$2),SUMIFS(IncIncl,IncDocDate,"&gt;="&amp;DATE(YEAR($A7),MONTH($A7),1),IncDocDate,"&lt;="&amp;$A7,IncTaxCode1,$G$2))))</f>
        <v>169316.15</v>
      </c>
      <c r="H7" s="142" cm="1">
        <f t="array" aca="1" ref="H7" ca="1">-IF($C$2=1,SUMIFS(ExpIncl,ExpDocDate,"&gt;="&amp;DATE(YEAR($A7),MONTH($A7),1),ExpDocDate,"&lt;="&amp;$A7,ExpTaxCode1,$G$2),IF($C$2=2,SUMIFS(ExpIncl,ExpDocDate,"&gt;="&amp;DATE(YEAR($A7),MONTH($A7),1),ExpDocDate,"&lt;="&amp;$A7,ExpTaxCode2,$H$2),IF(ExpTaxCount=2,SUMIFS(ExpIncl,ExpDocDate,"&gt;="&amp;DATE(YEAR($A7),MONTH($A7),1),ExpDocDate,"&lt;="&amp;$A7,ExpTaxCode1,$G$2,ExpTaxCode2,$H$2),SUMIFS(ExpIncl,ExpDocDate,"&gt;="&amp;DATE(YEAR($A7),MONTH($A7),1),ExpDocDate,"&lt;="&amp;$A7,ExpTaxCode1,$G$2))))</f>
        <v>-182786.14</v>
      </c>
      <c r="I7" s="89">
        <f t="shared" ref="I7:I17" ca="1" si="1">SUM(C7:D7)</f>
        <v>15796.695652173912</v>
      </c>
      <c r="J7" s="168">
        <f t="shared" ref="J7:J17" ca="1" si="2">IF(G7=0,0,IF(G7-C7=0,0,C7/(G7-C7)))</f>
        <v>0.1394805124010158</v>
      </c>
      <c r="K7" s="169">
        <f t="shared" ref="K7:K17" ca="1" si="3">IF(H7=0,0,IF(H7-D7=0,0,D7/(H7-D7)))</f>
        <v>2.771212292005254E-2</v>
      </c>
    </row>
    <row r="8" spans="1:11" ht="16" customHeight="1" x14ac:dyDescent="0.25">
      <c r="A8" s="164">
        <f ca="1">OFFSET(IS!$B$4,0,ROW($B8)-ROW($B$5),1,1)</f>
        <v>43982</v>
      </c>
      <c r="B8" s="165">
        <f t="shared" ref="B8:B17" ca="1" si="4">IF(OR(ISBLANK($E$2)=FALSE,ISBLANK($F$2)=FALSE),0,F7)</f>
        <v>15796.696086956523</v>
      </c>
      <c r="C8" s="166" cm="1">
        <f t="array" aca="1" ref="C8" ca="1">IF($C$2=1,SUMIFS(IncTax1,IncDocDate,"&gt;="&amp;DATE(YEAR($A8),MONTH($A8),1),IncDocDate,"&lt;="&amp;$A8,IncTaxCode1,$G$2),IF($C$2=2,IF(IncTaxCount=2,SUMIFS(IncTax2,IncDocDate,"&gt;="&amp;DATE(YEAR($A8),MONTH($A8),1),IncDocDate,"&lt;="&amp;$A8,IncTaxCode2,$H$2),0),IF(IncTaxCount=2,SUMIFS(IncTax1,IncDocDate,"&gt;="&amp;DATE(YEAR($A8),MONTH($A8),1),IncDocDate,"&lt;="&amp;$A8,IncTaxCode1,$G$2,IncTaxCode2,$H$2),SUMIFS(IncTax1,IncDocDate,"&gt;="&amp;DATE(YEAR($A8),MONTH($A8),1),IncDocDate,"&lt;="&amp;$A8,IncTaxCode1,$G$2))+IF(IncTaxCount=2,SUMIFS(IncTax2,IncDocDate,"&gt;="&amp;DATE(YEAR($A8),MONTH($A8),1),IncDocDate,"&lt;="&amp;$A8,IncTaxCode1,$G$2,IncTaxCode2,$H$2),0)))</f>
        <v>27672</v>
      </c>
      <c r="D8" s="89" cm="1">
        <f t="array" aca="1" ref="D8" ca="1">-IF($C$2=1,SUMIFS(ExpTax1,ExpDocDate,"&gt;="&amp;DATE(YEAR($A8),MONTH($A8),1),ExpDocDate,"&lt;="&amp;$A8,ExpTaxCode1,$G$2),IF($C$2=2,IF(ExpTaxCount=2,SUMIFS(ExpTax2,ExpDocDate,"&gt;="&amp;DATE(YEAR($A8),MONTH($A8),1),ExpDocDate,"&lt;="&amp;$A8,ExpTaxCode2,$H$2),0),IF(ExpTaxCount=2,SUMIFS(ExpTax1,ExpDocDate,"&gt;="&amp;DATE(YEAR($A8),MONTH($A8),1),ExpDocDate,"&lt;="&amp;$A8,ExpTaxCode1,$G$2,ExpTaxCode2,$H$2),SUMIFS(ExpTax1,ExpDocDate,"&gt;="&amp;DATE(YEAR($A8),MONTH($A8),1),ExpDocDate,"&lt;="&amp;$A8,ExpTaxCode1,$G$2))+IF(ExpTaxCount=2,SUMIFS(ExpTax2,ExpDocDate,"&gt;="&amp;DATE(YEAR($A8),MONTH($A8),1),ExpDocDate,"&lt;="&amp;$A8,ExpTaxCode1,$G$2,ExpTaxCode2,$H$2),0)))</f>
        <v>-3452.608695652174</v>
      </c>
      <c r="E8" s="165" cm="1">
        <f t="array" aca="1" ref="E8" ca="1">IF(OR(ISBLANK($E$2)=FALSE,ISBLANK($F$2)=FALSE),0,IF($C$2=2,0,SUMIFS(IncExcl,IncDocDate,"&gt;="&amp;DATE(YEAR($A8),MONTH($A8),1),IncDocDate,"&lt;="&amp;$A8,IncAccount,BS!$A$38))+IF($C$2=1,0,SUMIFS(IncExcl,IncDocDate,"&gt;="&amp;DATE(YEAR($A8),MONTH($A8),1),IncDocDate,"&lt;="&amp;$A8,IncAccount,BS!$A$39))-IF($C$2=2,0,SUMIFS(ExpExcl,ExpDocDate,"&gt;="&amp;DATE(YEAR($A8),MONTH($A8),1),ExpDocDate,"&lt;="&amp;$A8,ExpAccount,BS!$A$38))-IF($C$2=1,0,SUMIFS(ExpExcl,ExpDocDate,"&gt;="&amp;DATE(YEAR($A8),MONTH($A8),1),ExpDocDate,"&lt;="&amp;$A8,ExpAccount,BS!$A$39)))</f>
        <v>0</v>
      </c>
      <c r="F8" s="167">
        <f t="shared" ca="1" si="0"/>
        <v>40016.087391304347</v>
      </c>
      <c r="G8" s="166" cm="1">
        <f t="array" aca="1" ref="G8" ca="1">IF($C$2=1,SUMIFS(IncIncl,IncDocDate,"&gt;="&amp;DATE(YEAR($A8),MONTH($A8),1),IncDocDate,"&lt;="&amp;$A8,IncTaxCode1,$G$2),IF($C$2=2,SUMIFS(IncIncl,IncDocDate,"&gt;="&amp;DATE(YEAR($A8),MONTH($A8),1),IncDocDate,"&lt;="&amp;$A8,IncTaxCode2,$H$2),IF(IncTaxCount=2,SUMIFS(IncIncl,IncDocDate,"&gt;="&amp;DATE(YEAR($A8),MONTH($A8),1),IncDocDate,"&lt;="&amp;$A8,IncTaxCode1,$G$2,IncTaxCode2,$H$2),SUMIFS(IncIncl,IncDocDate,"&gt;="&amp;DATE(YEAR($A8),MONTH($A8),1),IncDocDate,"&lt;="&amp;$A8,IncTaxCode1,$G$2))))</f>
        <v>227512.22999999998</v>
      </c>
      <c r="H8" s="142" cm="1">
        <f t="array" aca="1" ref="H8" ca="1">-IF($C$2=1,SUMIFS(ExpIncl,ExpDocDate,"&gt;="&amp;DATE(YEAR($A8),MONTH($A8),1),ExpDocDate,"&lt;="&amp;$A8,ExpTaxCode1,$G$2),IF($C$2=2,SUMIFS(ExpIncl,ExpDocDate,"&gt;="&amp;DATE(YEAR($A8),MONTH($A8),1),ExpDocDate,"&lt;="&amp;$A8,ExpTaxCode2,$H$2),IF(ExpTaxCount=2,SUMIFS(ExpIncl,ExpDocDate,"&gt;="&amp;DATE(YEAR($A8),MONTH($A8),1),ExpDocDate,"&lt;="&amp;$A8,ExpTaxCode1,$G$2,ExpTaxCode2,$H$2),SUMIFS(ExpIncl,ExpDocDate,"&gt;="&amp;DATE(YEAR($A8),MONTH($A8),1),ExpDocDate,"&lt;="&amp;$A8,ExpTaxCode1,$G$2))))</f>
        <v>-138259.41</v>
      </c>
      <c r="I8" s="89">
        <f t="shared" ca="1" si="1"/>
        <v>24219.391304347824</v>
      </c>
      <c r="J8" s="168">
        <f t="shared" ca="1" si="2"/>
        <v>0.13847061725259224</v>
      </c>
      <c r="K8" s="169">
        <f t="shared" ca="1" si="3"/>
        <v>2.5611531927512764E-2</v>
      </c>
    </row>
    <row r="9" spans="1:11" ht="16" customHeight="1" x14ac:dyDescent="0.25">
      <c r="A9" s="164">
        <f ca="1">OFFSET(IS!$B$4,0,ROW($B9)-ROW($B$5),1,1)</f>
        <v>44012</v>
      </c>
      <c r="B9" s="165">
        <f t="shared" ca="1" si="4"/>
        <v>40016.087391304347</v>
      </c>
      <c r="C9" s="166" cm="1">
        <f t="array" aca="1" ref="C9" ca="1">IF($C$2=1,SUMIFS(IncTax1,IncDocDate,"&gt;="&amp;DATE(YEAR($A9),MONTH($A9),1),IncDocDate,"&lt;="&amp;$A9,IncTaxCode1,$G$2),IF($C$2=2,IF(IncTaxCount=2,SUMIFS(IncTax2,IncDocDate,"&gt;="&amp;DATE(YEAR($A9),MONTH($A9),1),IncDocDate,"&lt;="&amp;$A9,IncTaxCode2,$H$2),0),IF(IncTaxCount=2,SUMIFS(IncTax1,IncDocDate,"&gt;="&amp;DATE(YEAR($A9),MONTH($A9),1),IncDocDate,"&lt;="&amp;$A9,IncTaxCode1,$G$2,IncTaxCode2,$H$2),SUMIFS(IncTax1,IncDocDate,"&gt;="&amp;DATE(YEAR($A9),MONTH($A9),1),IncDocDate,"&lt;="&amp;$A9,IncTaxCode1,$G$2))+IF(IncTaxCount=2,SUMIFS(IncTax2,IncDocDate,"&gt;="&amp;DATE(YEAR($A9),MONTH($A9),1),IncDocDate,"&lt;="&amp;$A9,IncTaxCode1,$G$2,IncTaxCode2,$H$2),0)))</f>
        <v>22221</v>
      </c>
      <c r="D9" s="89" cm="1">
        <f t="array" aca="1" ref="D9" ca="1">-IF($C$2=1,SUMIFS(ExpTax1,ExpDocDate,"&gt;="&amp;DATE(YEAR($A9),MONTH($A9),1),ExpDocDate,"&lt;="&amp;$A9,ExpTaxCode1,$G$2),IF($C$2=2,IF(ExpTaxCount=2,SUMIFS(ExpTax2,ExpDocDate,"&gt;="&amp;DATE(YEAR($A9),MONTH($A9),1),ExpDocDate,"&lt;="&amp;$A9,ExpTaxCode2,$H$2),0),IF(ExpTaxCount=2,SUMIFS(ExpTax1,ExpDocDate,"&gt;="&amp;DATE(YEAR($A9),MONTH($A9),1),ExpDocDate,"&lt;="&amp;$A9,ExpTaxCode1,$G$2,ExpTaxCode2,$H$2),SUMIFS(ExpTax1,ExpDocDate,"&gt;="&amp;DATE(YEAR($A9),MONTH($A9),1),ExpDocDate,"&lt;="&amp;$A9,ExpTaxCode1,$G$2))+IF(ExpTaxCount=2,SUMIFS(ExpTax2,ExpDocDate,"&gt;="&amp;DATE(YEAR($A9),MONTH($A9),1),ExpDocDate,"&lt;="&amp;$A9,ExpTaxCode1,$G$2,ExpTaxCode2,$H$2),0)))</f>
        <v>-2562.130434782609</v>
      </c>
      <c r="E9" s="165" cm="1">
        <f t="array" aca="1" ref="E9" ca="1">IF(OR(ISBLANK($E$2)=FALSE,ISBLANK($F$2)=FALSE),0,IF($C$2=2,0,SUMIFS(IncExcl,IncDocDate,"&gt;="&amp;DATE(YEAR($A9),MONTH($A9),1),IncDocDate,"&lt;="&amp;$A9,IncAccount,BS!$A$38))+IF($C$2=1,0,SUMIFS(IncExcl,IncDocDate,"&gt;="&amp;DATE(YEAR($A9),MONTH($A9),1),IncDocDate,"&lt;="&amp;$A9,IncAccount,BS!$A$39))-IF($C$2=2,0,SUMIFS(ExpExcl,ExpDocDate,"&gt;="&amp;DATE(YEAR($A9),MONTH($A9),1),ExpDocDate,"&lt;="&amp;$A9,ExpAccount,BS!$A$38))-IF($C$2=1,0,SUMIFS(ExpExcl,ExpDocDate,"&gt;="&amp;DATE(YEAR($A9),MONTH($A9),1),ExpDocDate,"&lt;="&amp;$A9,ExpAccount,BS!$A$39)))</f>
        <v>-40016.089999999997</v>
      </c>
      <c r="F9" s="167">
        <f t="shared" ca="1" si="0"/>
        <v>19658.866956521742</v>
      </c>
      <c r="G9" s="166" cm="1">
        <f t="array" aca="1" ref="G9" ca="1">IF($C$2=1,SUMIFS(IncIncl,IncDocDate,"&gt;="&amp;DATE(YEAR($A9),MONTH($A9),1),IncDocDate,"&lt;="&amp;$A9,IncTaxCode1,$G$2),IF($C$2=2,SUMIFS(IncIncl,IncDocDate,"&gt;="&amp;DATE(YEAR($A9),MONTH($A9),1),IncDocDate,"&lt;="&amp;$A9,IncTaxCode2,$H$2),IF(IncTaxCount=2,SUMIFS(IncIncl,IncDocDate,"&gt;="&amp;DATE(YEAR($A9),MONTH($A9),1),IncDocDate,"&lt;="&amp;$A9,IncTaxCode1,$G$2,IncTaxCode2,$H$2),SUMIFS(IncIncl,IncDocDate,"&gt;="&amp;DATE(YEAR($A9),MONTH($A9),1),IncDocDate,"&lt;="&amp;$A9,IncTaxCode1,$G$2))))</f>
        <v>180031.21</v>
      </c>
      <c r="H9" s="142" cm="1">
        <f t="array" aca="1" ref="H9" ca="1">-IF($C$2=1,SUMIFS(ExpIncl,ExpDocDate,"&gt;="&amp;DATE(YEAR($A9),MONTH($A9),1),ExpDocDate,"&lt;="&amp;$A9,ExpTaxCode1,$G$2),IF($C$2=2,SUMIFS(ExpIncl,ExpDocDate,"&gt;="&amp;DATE(YEAR($A9),MONTH($A9),1),ExpDocDate,"&lt;="&amp;$A9,ExpTaxCode2,$H$2),IF(ExpTaxCount=2,SUMIFS(ExpIncl,ExpDocDate,"&gt;="&amp;DATE(YEAR($A9),MONTH($A9),1),ExpDocDate,"&lt;="&amp;$A9,ExpTaxCode1,$G$2,ExpTaxCode2,$H$2),SUMIFS(ExpIncl,ExpDocDate,"&gt;="&amp;DATE(YEAR($A9),MONTH($A9),1),ExpDocDate,"&lt;="&amp;$A9,ExpTaxCode1,$G$2))))</f>
        <v>-170928.5</v>
      </c>
      <c r="I9" s="89">
        <f t="shared" ca="1" si="1"/>
        <v>19658.869565217392</v>
      </c>
      <c r="J9" s="168">
        <f t="shared" ca="1" si="2"/>
        <v>0.14080837988872838</v>
      </c>
      <c r="K9" s="169">
        <f t="shared" ca="1" si="3"/>
        <v>1.5217590314496611E-2</v>
      </c>
    </row>
    <row r="10" spans="1:11" ht="16" customHeight="1" x14ac:dyDescent="0.25">
      <c r="A10" s="164">
        <f ca="1">OFFSET(IS!$B$4,0,ROW($B10)-ROW($B$5),1,1)</f>
        <v>44043</v>
      </c>
      <c r="B10" s="165">
        <f t="shared" ca="1" si="4"/>
        <v>19658.866956521742</v>
      </c>
      <c r="C10" s="166" cm="1">
        <f t="array" aca="1" ref="C10" ca="1">IF($C$2=1,SUMIFS(IncTax1,IncDocDate,"&gt;="&amp;DATE(YEAR($A10),MONTH($A10),1),IncDocDate,"&lt;="&amp;$A10,IncTaxCode1,$G$2),IF($C$2=2,IF(IncTaxCount=2,SUMIFS(IncTax2,IncDocDate,"&gt;="&amp;DATE(YEAR($A10),MONTH($A10),1),IncDocDate,"&lt;="&amp;$A10,IncTaxCode2,$H$2),0),IF(IncTaxCount=2,SUMIFS(IncTax1,IncDocDate,"&gt;="&amp;DATE(YEAR($A10),MONTH($A10),1),IncDocDate,"&lt;="&amp;$A10,IncTaxCode1,$G$2,IncTaxCode2,$H$2),SUMIFS(IncTax1,IncDocDate,"&gt;="&amp;DATE(YEAR($A10),MONTH($A10),1),IncDocDate,"&lt;="&amp;$A10,IncTaxCode1,$G$2))+IF(IncTaxCount=2,SUMIFS(IncTax2,IncDocDate,"&gt;="&amp;DATE(YEAR($A10),MONTH($A10),1),IncDocDate,"&lt;="&amp;$A10,IncTaxCode1,$G$2,IncTaxCode2,$H$2),0)))</f>
        <v>20295</v>
      </c>
      <c r="D10" s="89" cm="1">
        <f t="array" aca="1" ref="D10" ca="1">-IF($C$2=1,SUMIFS(ExpTax1,ExpDocDate,"&gt;="&amp;DATE(YEAR($A10),MONTH($A10),1),ExpDocDate,"&lt;="&amp;$A10,ExpTaxCode1,$G$2),IF($C$2=2,IF(ExpTaxCount=2,SUMIFS(ExpTax2,ExpDocDate,"&gt;="&amp;DATE(YEAR($A10),MONTH($A10),1),ExpDocDate,"&lt;="&amp;$A10,ExpTaxCode2,$H$2),0),IF(ExpTaxCount=2,SUMIFS(ExpTax1,ExpDocDate,"&gt;="&amp;DATE(YEAR($A10),MONTH($A10),1),ExpDocDate,"&lt;="&amp;$A10,ExpTaxCode1,$G$2,ExpTaxCode2,$H$2),SUMIFS(ExpTax1,ExpDocDate,"&gt;="&amp;DATE(YEAR($A10),MONTH($A10),1),ExpDocDate,"&lt;="&amp;$A10,ExpTaxCode1,$G$2))+IF(ExpTaxCount=2,SUMIFS(ExpTax2,ExpDocDate,"&gt;="&amp;DATE(YEAR($A10),MONTH($A10),1),ExpDocDate,"&lt;="&amp;$A10,ExpTaxCode1,$G$2,ExpTaxCode2,$H$2),0)))</f>
        <v>-3531.913043478261</v>
      </c>
      <c r="E10" s="165" cm="1">
        <f t="array" aca="1" ref="E10" ca="1">IF(OR(ISBLANK($E$2)=FALSE,ISBLANK($F$2)=FALSE),0,IF($C$2=2,0,SUMIFS(IncExcl,IncDocDate,"&gt;="&amp;DATE(YEAR($A10),MONTH($A10),1),IncDocDate,"&lt;="&amp;$A10,IncAccount,BS!$A$38))+IF($C$2=1,0,SUMIFS(IncExcl,IncDocDate,"&gt;="&amp;DATE(YEAR($A10),MONTH($A10),1),IncDocDate,"&lt;="&amp;$A10,IncAccount,BS!$A$39))-IF($C$2=2,0,SUMIFS(ExpExcl,ExpDocDate,"&gt;="&amp;DATE(YEAR($A10),MONTH($A10),1),ExpDocDate,"&lt;="&amp;$A10,ExpAccount,BS!$A$38))-IF($C$2=1,0,SUMIFS(ExpExcl,ExpDocDate,"&gt;="&amp;DATE(YEAR($A10),MONTH($A10),1),ExpDocDate,"&lt;="&amp;$A10,ExpAccount,BS!$A$39)))</f>
        <v>0</v>
      </c>
      <c r="F10" s="167">
        <f t="shared" ca="1" si="0"/>
        <v>36421.953913043479</v>
      </c>
      <c r="G10" s="166" cm="1">
        <f t="array" aca="1" ref="G10" ca="1">IF($C$2=1,SUMIFS(IncIncl,IncDocDate,"&gt;="&amp;DATE(YEAR($A10),MONTH($A10),1),IncDocDate,"&lt;="&amp;$A10,IncTaxCode1,$G$2),IF($C$2=2,SUMIFS(IncIncl,IncDocDate,"&gt;="&amp;DATE(YEAR($A10),MONTH($A10),1),IncDocDate,"&lt;="&amp;$A10,IncTaxCode2,$H$2),IF(IncTaxCount=2,SUMIFS(IncIncl,IncDocDate,"&gt;="&amp;DATE(YEAR($A10),MONTH($A10),1),IncDocDate,"&lt;="&amp;$A10,IncTaxCode1,$G$2,IncTaxCode2,$H$2),SUMIFS(IncIncl,IncDocDate,"&gt;="&amp;DATE(YEAR($A10),MONTH($A10),1),IncDocDate,"&lt;="&amp;$A10,IncTaxCode1,$G$2))))</f>
        <v>178060.23</v>
      </c>
      <c r="H10" s="142" cm="1">
        <f t="array" aca="1" ref="H10" ca="1">-IF($C$2=1,SUMIFS(ExpIncl,ExpDocDate,"&gt;="&amp;DATE(YEAR($A10),MONTH($A10),1),ExpDocDate,"&lt;="&amp;$A10,ExpTaxCode1,$G$2),IF($C$2=2,SUMIFS(ExpIncl,ExpDocDate,"&gt;="&amp;DATE(YEAR($A10),MONTH($A10),1),ExpDocDate,"&lt;="&amp;$A10,ExpTaxCode2,$H$2),IF(ExpTaxCount=2,SUMIFS(ExpIncl,ExpDocDate,"&gt;="&amp;DATE(YEAR($A10),MONTH($A10),1),ExpDocDate,"&lt;="&amp;$A10,ExpTaxCode1,$G$2,ExpTaxCode2,$H$2),SUMIFS(ExpIncl,ExpDocDate,"&gt;="&amp;DATE(YEAR($A10),MONTH($A10),1),ExpDocDate,"&lt;="&amp;$A10,ExpTaxCode1,$G$2))))</f>
        <v>-138697.41</v>
      </c>
      <c r="I10" s="89">
        <f t="shared" ca="1" si="1"/>
        <v>16763.08695652174</v>
      </c>
      <c r="J10" s="168">
        <f t="shared" ca="1" si="2"/>
        <v>0.12864051223453987</v>
      </c>
      <c r="K10" s="169">
        <f t="shared" ca="1" si="3"/>
        <v>2.6130285635056413E-2</v>
      </c>
    </row>
    <row r="11" spans="1:11" ht="16" customHeight="1" x14ac:dyDescent="0.25">
      <c r="A11" s="164">
        <f ca="1">OFFSET(IS!$B$4,0,ROW($B11)-ROW($B$5),1,1)</f>
        <v>44074</v>
      </c>
      <c r="B11" s="165">
        <f t="shared" ca="1" si="4"/>
        <v>36421.953913043479</v>
      </c>
      <c r="C11" s="166" cm="1">
        <f t="array" aca="1" ref="C11" ca="1">IF($C$2=1,SUMIFS(IncTax1,IncDocDate,"&gt;="&amp;DATE(YEAR($A11),MONTH($A11),1),IncDocDate,"&lt;="&amp;$A11,IncTaxCode1,$G$2),IF($C$2=2,IF(IncTaxCount=2,SUMIFS(IncTax2,IncDocDate,"&gt;="&amp;DATE(YEAR($A11),MONTH($A11),1),IncDocDate,"&lt;="&amp;$A11,IncTaxCode2,$H$2),0),IF(IncTaxCount=2,SUMIFS(IncTax1,IncDocDate,"&gt;="&amp;DATE(YEAR($A11),MONTH($A11),1),IncDocDate,"&lt;="&amp;$A11,IncTaxCode1,$G$2,IncTaxCode2,$H$2),SUMIFS(IncTax1,IncDocDate,"&gt;="&amp;DATE(YEAR($A11),MONTH($A11),1),IncDocDate,"&lt;="&amp;$A11,IncTaxCode1,$G$2))+IF(IncTaxCount=2,SUMIFS(IncTax2,IncDocDate,"&gt;="&amp;DATE(YEAR($A11),MONTH($A11),1),IncDocDate,"&lt;="&amp;$A11,IncTaxCode1,$G$2,IncTaxCode2,$H$2),0)))</f>
        <v>19480.5</v>
      </c>
      <c r="D11" s="89" cm="1">
        <f t="array" aca="1" ref="D11" ca="1">-IF($C$2=1,SUMIFS(ExpTax1,ExpDocDate,"&gt;="&amp;DATE(YEAR($A11),MONTH($A11),1),ExpDocDate,"&lt;="&amp;$A11,ExpTaxCode1,$G$2),IF($C$2=2,IF(ExpTaxCount=2,SUMIFS(ExpTax2,ExpDocDate,"&gt;="&amp;DATE(YEAR($A11),MONTH($A11),1),ExpDocDate,"&lt;="&amp;$A11,ExpTaxCode2,$H$2),0),IF(ExpTaxCount=2,SUMIFS(ExpTax1,ExpDocDate,"&gt;="&amp;DATE(YEAR($A11),MONTH($A11),1),ExpDocDate,"&lt;="&amp;$A11,ExpTaxCode1,$G$2,ExpTaxCode2,$H$2),SUMIFS(ExpTax1,ExpDocDate,"&gt;="&amp;DATE(YEAR($A11),MONTH($A11),1),ExpDocDate,"&lt;="&amp;$A11,ExpTaxCode1,$G$2))+IF(ExpTaxCount=2,SUMIFS(ExpTax2,ExpDocDate,"&gt;="&amp;DATE(YEAR($A11),MONTH($A11),1),ExpDocDate,"&lt;="&amp;$A11,ExpTaxCode1,$G$2,ExpTaxCode2,$H$2),0)))</f>
        <v>-3243.2608695652179</v>
      </c>
      <c r="E11" s="165" cm="1">
        <f t="array" aca="1" ref="E11" ca="1">IF(OR(ISBLANK($E$2)=FALSE,ISBLANK($F$2)=FALSE),0,IF($C$2=2,0,SUMIFS(IncExcl,IncDocDate,"&gt;="&amp;DATE(YEAR($A11),MONTH($A11),1),IncDocDate,"&lt;="&amp;$A11,IncAccount,BS!$A$38))+IF($C$2=1,0,SUMIFS(IncExcl,IncDocDate,"&gt;="&amp;DATE(YEAR($A11),MONTH($A11),1),IncDocDate,"&lt;="&amp;$A11,IncAccount,BS!$A$39))-IF($C$2=2,0,SUMIFS(ExpExcl,ExpDocDate,"&gt;="&amp;DATE(YEAR($A11),MONTH($A11),1),ExpDocDate,"&lt;="&amp;$A11,ExpAccount,BS!$A$38))-IF($C$2=1,0,SUMIFS(ExpExcl,ExpDocDate,"&gt;="&amp;DATE(YEAR($A11),MONTH($A11),1),ExpDocDate,"&lt;="&amp;$A11,ExpAccount,BS!$A$39)))</f>
        <v>-36421.949999999997</v>
      </c>
      <c r="F11" s="167">
        <f t="shared" ca="1" si="0"/>
        <v>16237.243043478265</v>
      </c>
      <c r="G11" s="166" cm="1">
        <f t="array" aca="1" ref="G11" ca="1">IF($C$2=1,SUMIFS(IncIncl,IncDocDate,"&gt;="&amp;DATE(YEAR($A11),MONTH($A11),1),IncDocDate,"&lt;="&amp;$A11,IncTaxCode1,$G$2),IF($C$2=2,SUMIFS(IncIncl,IncDocDate,"&gt;="&amp;DATE(YEAR($A11),MONTH($A11),1),IncDocDate,"&lt;="&amp;$A11,IncTaxCode2,$H$2),IF(IncTaxCount=2,SUMIFS(IncIncl,IncDocDate,"&gt;="&amp;DATE(YEAR($A11),MONTH($A11),1),IncDocDate,"&lt;="&amp;$A11,IncTaxCode1,$G$2,IncTaxCode2,$H$2),SUMIFS(IncIncl,IncDocDate,"&gt;="&amp;DATE(YEAR($A11),MONTH($A11),1),IncDocDate,"&lt;="&amp;$A11,IncTaxCode1,$G$2))))</f>
        <v>170916.74</v>
      </c>
      <c r="H11" s="142" cm="1">
        <f t="array" aca="1" ref="H11" ca="1">-IF($C$2=1,SUMIFS(ExpIncl,ExpDocDate,"&gt;="&amp;DATE(YEAR($A11),MONTH($A11),1),ExpDocDate,"&lt;="&amp;$A11,ExpTaxCode1,$G$2),IF($C$2=2,SUMIFS(ExpIncl,ExpDocDate,"&gt;="&amp;DATE(YEAR($A11),MONTH($A11),1),ExpDocDate,"&lt;="&amp;$A11,ExpTaxCode2,$H$2),IF(ExpTaxCount=2,SUMIFS(ExpIncl,ExpDocDate,"&gt;="&amp;DATE(YEAR($A11),MONTH($A11),1),ExpDocDate,"&lt;="&amp;$A11,ExpTaxCode1,$G$2,ExpTaxCode2,$H$2),SUMIFS(ExpIncl,ExpDocDate,"&gt;="&amp;DATE(YEAR($A11),MONTH($A11),1),ExpDocDate,"&lt;="&amp;$A11,ExpTaxCode1,$G$2))))</f>
        <v>-250786.36</v>
      </c>
      <c r="I11" s="89">
        <f t="shared" ca="1" si="1"/>
        <v>16237.239130434782</v>
      </c>
      <c r="J11" s="168">
        <f t="shared" ca="1" si="2"/>
        <v>0.12863829688322953</v>
      </c>
      <c r="K11" s="169">
        <f t="shared" ca="1" si="3"/>
        <v>1.310180280103986E-2</v>
      </c>
    </row>
    <row r="12" spans="1:11" ht="16" customHeight="1" x14ac:dyDescent="0.25">
      <c r="A12" s="164">
        <f ca="1">OFFSET(IS!$B$4,0,ROW($B12)-ROW($B$5),1,1)</f>
        <v>44104</v>
      </c>
      <c r="B12" s="165">
        <f t="shared" ca="1" si="4"/>
        <v>16237.243043478265</v>
      </c>
      <c r="C12" s="166" cm="1">
        <f t="array" aca="1" ref="C12" ca="1">IF($C$2=1,SUMIFS(IncTax1,IncDocDate,"&gt;="&amp;DATE(YEAR($A12),MONTH($A12),1),IncDocDate,"&lt;="&amp;$A12,IncTaxCode1,$G$2),IF($C$2=2,IF(IncTaxCount=2,SUMIFS(IncTax2,IncDocDate,"&gt;="&amp;DATE(YEAR($A12),MONTH($A12),1),IncDocDate,"&lt;="&amp;$A12,IncTaxCode2,$H$2),0),IF(IncTaxCount=2,SUMIFS(IncTax1,IncDocDate,"&gt;="&amp;DATE(YEAR($A12),MONTH($A12),1),IncDocDate,"&lt;="&amp;$A12,IncTaxCode1,$G$2,IncTaxCode2,$H$2),SUMIFS(IncTax1,IncDocDate,"&gt;="&amp;DATE(YEAR($A12),MONTH($A12),1),IncDocDate,"&lt;="&amp;$A12,IncTaxCode1,$G$2))+IF(IncTaxCount=2,SUMIFS(IncTax2,IncDocDate,"&gt;="&amp;DATE(YEAR($A12),MONTH($A12),1),IncDocDate,"&lt;="&amp;$A12,IncTaxCode1,$G$2,IncTaxCode2,$H$2),0)))</f>
        <v>24450</v>
      </c>
      <c r="D12" s="89" cm="1">
        <f t="array" aca="1" ref="D12" ca="1">-IF($C$2=1,SUMIFS(ExpTax1,ExpDocDate,"&gt;="&amp;DATE(YEAR($A12),MONTH($A12),1),ExpDocDate,"&lt;="&amp;$A12,ExpTaxCode1,$G$2),IF($C$2=2,IF(ExpTaxCount=2,SUMIFS(ExpTax2,ExpDocDate,"&gt;="&amp;DATE(YEAR($A12),MONTH($A12),1),ExpDocDate,"&lt;="&amp;$A12,ExpTaxCode2,$H$2),0),IF(ExpTaxCount=2,SUMIFS(ExpTax1,ExpDocDate,"&gt;="&amp;DATE(YEAR($A12),MONTH($A12),1),ExpDocDate,"&lt;="&amp;$A12,ExpTaxCode1,$G$2,ExpTaxCode2,$H$2),SUMIFS(ExpTax1,ExpDocDate,"&gt;="&amp;DATE(YEAR($A12),MONTH($A12),1),ExpDocDate,"&lt;="&amp;$A12,ExpTaxCode1,$G$2))+IF(ExpTaxCount=2,SUMIFS(ExpTax2,ExpDocDate,"&gt;="&amp;DATE(YEAR($A12),MONTH($A12),1),ExpDocDate,"&lt;="&amp;$A12,ExpTaxCode1,$G$2,ExpTaxCode2,$H$2),0)))</f>
        <v>-4036.04347826087</v>
      </c>
      <c r="E12" s="165" cm="1">
        <f t="array" aca="1" ref="E12" ca="1">IF(OR(ISBLANK($E$2)=FALSE,ISBLANK($F$2)=FALSE),0,IF($C$2=2,0,SUMIFS(IncExcl,IncDocDate,"&gt;="&amp;DATE(YEAR($A12),MONTH($A12),1),IncDocDate,"&lt;="&amp;$A12,IncAccount,BS!$A$38))+IF($C$2=1,0,SUMIFS(IncExcl,IncDocDate,"&gt;="&amp;DATE(YEAR($A12),MONTH($A12),1),IncDocDate,"&lt;="&amp;$A12,IncAccount,BS!$A$39))-IF($C$2=2,0,SUMIFS(ExpExcl,ExpDocDate,"&gt;="&amp;DATE(YEAR($A12),MONTH($A12),1),ExpDocDate,"&lt;="&amp;$A12,ExpAccount,BS!$A$38))-IF($C$2=1,0,SUMIFS(ExpExcl,ExpDocDate,"&gt;="&amp;DATE(YEAR($A12),MONTH($A12),1),ExpDocDate,"&lt;="&amp;$A12,ExpAccount,BS!$A$39)))</f>
        <v>0</v>
      </c>
      <c r="F12" s="167">
        <f t="shared" ca="1" si="0"/>
        <v>36651.199565217394</v>
      </c>
      <c r="G12" s="166" cm="1">
        <f t="array" aca="1" ref="G12" ca="1">IF($C$2=1,SUMIFS(IncIncl,IncDocDate,"&gt;="&amp;DATE(YEAR($A12),MONTH($A12),1),IncDocDate,"&lt;="&amp;$A12,IncTaxCode1,$G$2),IF($C$2=2,SUMIFS(IncIncl,IncDocDate,"&gt;="&amp;DATE(YEAR($A12),MONTH($A12),1),IncDocDate,"&lt;="&amp;$A12,IncTaxCode2,$H$2),IF(IncTaxCount=2,SUMIFS(IncIncl,IncDocDate,"&gt;="&amp;DATE(YEAR($A12),MONTH($A12),1),IncDocDate,"&lt;="&amp;$A12,IncTaxCode1,$G$2,IncTaxCode2,$H$2),SUMIFS(IncIncl,IncDocDate,"&gt;="&amp;DATE(YEAR($A12),MONTH($A12),1),IncDocDate,"&lt;="&amp;$A12,IncTaxCode1,$G$2))))</f>
        <v>202714.20999999996</v>
      </c>
      <c r="H12" s="142" cm="1">
        <f t="array" aca="1" ref="H12" ca="1">-IF($C$2=1,SUMIFS(ExpIncl,ExpDocDate,"&gt;="&amp;DATE(YEAR($A12),MONTH($A12),1),ExpDocDate,"&lt;="&amp;$A12,ExpTaxCode1,$G$2),IF($C$2=2,SUMIFS(ExpIncl,ExpDocDate,"&gt;="&amp;DATE(YEAR($A12),MONTH($A12),1),ExpDocDate,"&lt;="&amp;$A12,ExpTaxCode2,$H$2),IF(ExpTaxCount=2,SUMIFS(ExpIncl,ExpDocDate,"&gt;="&amp;DATE(YEAR($A12),MONTH($A12),1),ExpDocDate,"&lt;="&amp;$A12,ExpTaxCode1,$G$2,ExpTaxCode2,$H$2),SUMIFS(ExpIncl,ExpDocDate,"&gt;="&amp;DATE(YEAR($A12),MONTH($A12),1),ExpDocDate,"&lt;="&amp;$A12,ExpTaxCode1,$G$2))))</f>
        <v>-142312.41</v>
      </c>
      <c r="I12" s="89">
        <f t="shared" ca="1" si="1"/>
        <v>20413.956521739128</v>
      </c>
      <c r="J12" s="168">
        <f t="shared" ca="1" si="2"/>
        <v>0.13715596641636593</v>
      </c>
      <c r="K12" s="169">
        <f t="shared" ca="1" si="3"/>
        <v>2.9188237873073869E-2</v>
      </c>
    </row>
    <row r="13" spans="1:11" ht="16" customHeight="1" x14ac:dyDescent="0.25">
      <c r="A13" s="164">
        <f ca="1">OFFSET(IS!$B$4,0,ROW($B13)-ROW($B$5),1,1)</f>
        <v>44135</v>
      </c>
      <c r="B13" s="165">
        <f t="shared" ca="1" si="4"/>
        <v>36651.199565217394</v>
      </c>
      <c r="C13" s="166" cm="1">
        <f t="array" aca="1" ref="C13" ca="1">IF($C$2=1,SUMIFS(IncTax1,IncDocDate,"&gt;="&amp;DATE(YEAR($A13),MONTH($A13),1),IncDocDate,"&lt;="&amp;$A13,IncTaxCode1,$G$2),IF($C$2=2,IF(IncTaxCount=2,SUMIFS(IncTax2,IncDocDate,"&gt;="&amp;DATE(YEAR($A13),MONTH($A13),1),IncDocDate,"&lt;="&amp;$A13,IncTaxCode2,$H$2),0),IF(IncTaxCount=2,SUMIFS(IncTax1,IncDocDate,"&gt;="&amp;DATE(YEAR($A13),MONTH($A13),1),IncDocDate,"&lt;="&amp;$A13,IncTaxCode1,$G$2,IncTaxCode2,$H$2),SUMIFS(IncTax1,IncDocDate,"&gt;="&amp;DATE(YEAR($A13),MONTH($A13),1),IncDocDate,"&lt;="&amp;$A13,IncTaxCode1,$G$2))+IF(IncTaxCount=2,SUMIFS(IncTax2,IncDocDate,"&gt;="&amp;DATE(YEAR($A13),MONTH($A13),1),IncDocDate,"&lt;="&amp;$A13,IncTaxCode1,$G$2,IncTaxCode2,$H$2),0)))</f>
        <v>26809.5</v>
      </c>
      <c r="D13" s="89" cm="1">
        <f t="array" aca="1" ref="D13" ca="1">-IF($C$2=1,SUMIFS(ExpTax1,ExpDocDate,"&gt;="&amp;DATE(YEAR($A13),MONTH($A13),1),ExpDocDate,"&lt;="&amp;$A13,ExpTaxCode1,$G$2),IF($C$2=2,IF(ExpTaxCount=2,SUMIFS(ExpTax2,ExpDocDate,"&gt;="&amp;DATE(YEAR($A13),MONTH($A13),1),ExpDocDate,"&lt;="&amp;$A13,ExpTaxCode2,$H$2),0),IF(ExpTaxCount=2,SUMIFS(ExpTax1,ExpDocDate,"&gt;="&amp;DATE(YEAR($A13),MONTH($A13),1),ExpDocDate,"&lt;="&amp;$A13,ExpTaxCode1,$G$2,ExpTaxCode2,$H$2),SUMIFS(ExpTax1,ExpDocDate,"&gt;="&amp;DATE(YEAR($A13),MONTH($A13),1),ExpDocDate,"&lt;="&amp;$A13,ExpTaxCode1,$G$2))+IF(ExpTaxCount=2,SUMIFS(ExpTax2,ExpDocDate,"&gt;="&amp;DATE(YEAR($A13),MONTH($A13),1),ExpDocDate,"&lt;="&amp;$A13,ExpTaxCode1,$G$2,ExpTaxCode2,$H$2),0)))</f>
        <v>-3026.0869565217395</v>
      </c>
      <c r="E13" s="165" cm="1">
        <f t="array" aca="1" ref="E13" ca="1">IF(OR(ISBLANK($E$2)=FALSE,ISBLANK($F$2)=FALSE),0,IF($C$2=2,0,SUMIFS(IncExcl,IncDocDate,"&gt;="&amp;DATE(YEAR($A13),MONTH($A13),1),IncDocDate,"&lt;="&amp;$A13,IncAccount,BS!$A$38))+IF($C$2=1,0,SUMIFS(IncExcl,IncDocDate,"&gt;="&amp;DATE(YEAR($A13),MONTH($A13),1),IncDocDate,"&lt;="&amp;$A13,IncAccount,BS!$A$39))-IF($C$2=2,0,SUMIFS(ExpExcl,ExpDocDate,"&gt;="&amp;DATE(YEAR($A13),MONTH($A13),1),ExpDocDate,"&lt;="&amp;$A13,ExpAccount,BS!$A$38))-IF($C$2=1,0,SUMIFS(ExpExcl,ExpDocDate,"&gt;="&amp;DATE(YEAR($A13),MONTH($A13),1),ExpDocDate,"&lt;="&amp;$A13,ExpAccount,BS!$A$39)))</f>
        <v>-36651.199999999997</v>
      </c>
      <c r="F13" s="167">
        <f t="shared" ca="1" si="0"/>
        <v>23783.41260869566</v>
      </c>
      <c r="G13" s="166" cm="1">
        <f t="array" aca="1" ref="G13" ca="1">IF($C$2=1,SUMIFS(IncIncl,IncDocDate,"&gt;="&amp;DATE(YEAR($A13),MONTH($A13),1),IncDocDate,"&lt;="&amp;$A13,IncTaxCode1,$G$2),IF($C$2=2,SUMIFS(IncIncl,IncDocDate,"&gt;="&amp;DATE(YEAR($A13),MONTH($A13),1),IncDocDate,"&lt;="&amp;$A13,IncTaxCode2,$H$2),IF(IncTaxCount=2,SUMIFS(IncIncl,IncDocDate,"&gt;="&amp;DATE(YEAR($A13),MONTH($A13),1),IncDocDate,"&lt;="&amp;$A13,IncTaxCode1,$G$2,IncTaxCode2,$H$2),SUMIFS(IncIncl,IncDocDate,"&gt;="&amp;DATE(YEAR($A13),MONTH($A13),1),IncDocDate,"&lt;="&amp;$A13,IncTaxCode1,$G$2))))</f>
        <v>224105.39</v>
      </c>
      <c r="H13" s="142" cm="1">
        <f t="array" aca="1" ref="H13" ca="1">-IF($C$2=1,SUMIFS(ExpIncl,ExpDocDate,"&gt;="&amp;DATE(YEAR($A13),MONTH($A13),1),ExpDocDate,"&lt;="&amp;$A13,ExpTaxCode1,$G$2),IF($C$2=2,SUMIFS(ExpIncl,ExpDocDate,"&gt;="&amp;DATE(YEAR($A13),MONTH($A13),1),ExpDocDate,"&lt;="&amp;$A13,ExpTaxCode2,$H$2),IF(ExpTaxCount=2,SUMIFS(ExpIncl,ExpDocDate,"&gt;="&amp;DATE(YEAR($A13),MONTH($A13),1),ExpDocDate,"&lt;="&amp;$A13,ExpTaxCode1,$G$2,ExpTaxCode2,$H$2),SUMIFS(ExpIncl,ExpDocDate,"&gt;="&amp;DATE(YEAR($A13),MONTH($A13),1),ExpDocDate,"&lt;="&amp;$A13,ExpTaxCode1,$G$2))))</f>
        <v>-170970.61</v>
      </c>
      <c r="I13" s="89">
        <f t="shared" ca="1" si="1"/>
        <v>23783.41304347826</v>
      </c>
      <c r="J13" s="168">
        <f t="shared" ca="1" si="2"/>
        <v>0.13588473637235929</v>
      </c>
      <c r="K13" s="169">
        <f t="shared" ca="1" si="3"/>
        <v>1.8018372386804968E-2</v>
      </c>
    </row>
    <row r="14" spans="1:11" ht="16" customHeight="1" x14ac:dyDescent="0.25">
      <c r="A14" s="164">
        <f ca="1">OFFSET(IS!$B$4,0,ROW($B14)-ROW($B$5),1,1)</f>
        <v>44165</v>
      </c>
      <c r="B14" s="165">
        <f t="shared" ca="1" si="4"/>
        <v>23783.41260869566</v>
      </c>
      <c r="C14" s="166" cm="1">
        <f t="array" aca="1" ref="C14" ca="1">IF($C$2=1,SUMIFS(IncTax1,IncDocDate,"&gt;="&amp;DATE(YEAR($A14),MONTH($A14),1),IncDocDate,"&lt;="&amp;$A14,IncTaxCode1,$G$2),IF($C$2=2,IF(IncTaxCount=2,SUMIFS(IncTax2,IncDocDate,"&gt;="&amp;DATE(YEAR($A14),MONTH($A14),1),IncDocDate,"&lt;="&amp;$A14,IncTaxCode2,$H$2),0),IF(IncTaxCount=2,SUMIFS(IncTax1,IncDocDate,"&gt;="&amp;DATE(YEAR($A14),MONTH($A14),1),IncDocDate,"&lt;="&amp;$A14,IncTaxCode1,$G$2,IncTaxCode2,$H$2),SUMIFS(IncTax1,IncDocDate,"&gt;="&amp;DATE(YEAR($A14),MONTH($A14),1),IncDocDate,"&lt;="&amp;$A14,IncTaxCode1,$G$2))+IF(IncTaxCount=2,SUMIFS(IncTax2,IncDocDate,"&gt;="&amp;DATE(YEAR($A14),MONTH($A14),1),IncDocDate,"&lt;="&amp;$A14,IncTaxCode1,$G$2,IncTaxCode2,$H$2),0)))</f>
        <v>20058</v>
      </c>
      <c r="D14" s="89" cm="1">
        <f t="array" aca="1" ref="D14" ca="1">-IF($C$2=1,SUMIFS(ExpTax1,ExpDocDate,"&gt;="&amp;DATE(YEAR($A14),MONTH($A14),1),ExpDocDate,"&lt;="&amp;$A14,ExpTaxCode1,$G$2),IF($C$2=2,IF(ExpTaxCount=2,SUMIFS(ExpTax2,ExpDocDate,"&gt;="&amp;DATE(YEAR($A14),MONTH($A14),1),ExpDocDate,"&lt;="&amp;$A14,ExpTaxCode2,$H$2),0),IF(ExpTaxCount=2,SUMIFS(ExpTax1,ExpDocDate,"&gt;="&amp;DATE(YEAR($A14),MONTH($A14),1),ExpDocDate,"&lt;="&amp;$A14,ExpTaxCode1,$G$2,ExpTaxCode2,$H$2),SUMIFS(ExpTax1,ExpDocDate,"&gt;="&amp;DATE(YEAR($A14),MONTH($A14),1),ExpDocDate,"&lt;="&amp;$A14,ExpTaxCode1,$G$2))+IF(ExpTaxCount=2,SUMIFS(ExpTax2,ExpDocDate,"&gt;="&amp;DATE(YEAR($A14),MONTH($A14),1),ExpDocDate,"&lt;="&amp;$A14,ExpTaxCode1,$G$2,ExpTaxCode2,$H$2),0)))</f>
        <v>-2864.6739130434785</v>
      </c>
      <c r="E14" s="165" cm="1">
        <f t="array" aca="1" ref="E14" ca="1">IF(OR(ISBLANK($E$2)=FALSE,ISBLANK($F$2)=FALSE),0,IF($C$2=2,0,SUMIFS(IncExcl,IncDocDate,"&gt;="&amp;DATE(YEAR($A14),MONTH($A14),1),IncDocDate,"&lt;="&amp;$A14,IncAccount,BS!$A$38))+IF($C$2=1,0,SUMIFS(IncExcl,IncDocDate,"&gt;="&amp;DATE(YEAR($A14),MONTH($A14),1),IncDocDate,"&lt;="&amp;$A14,IncAccount,BS!$A$39))-IF($C$2=2,0,SUMIFS(ExpExcl,ExpDocDate,"&gt;="&amp;DATE(YEAR($A14),MONTH($A14),1),ExpDocDate,"&lt;="&amp;$A14,ExpAccount,BS!$A$38))-IF($C$2=1,0,SUMIFS(ExpExcl,ExpDocDate,"&gt;="&amp;DATE(YEAR($A14),MONTH($A14),1),ExpDocDate,"&lt;="&amp;$A14,ExpAccount,BS!$A$39)))</f>
        <v>0</v>
      </c>
      <c r="F14" s="167">
        <f t="shared" ca="1" si="0"/>
        <v>40976.73869565218</v>
      </c>
      <c r="G14" s="166" cm="1">
        <f t="array" aca="1" ref="G14" ca="1">IF($C$2=1,SUMIFS(IncIncl,IncDocDate,"&gt;="&amp;DATE(YEAR($A14),MONTH($A14),1),IncDocDate,"&lt;="&amp;$A14,IncTaxCode1,$G$2),IF($C$2=2,SUMIFS(IncIncl,IncDocDate,"&gt;="&amp;DATE(YEAR($A14),MONTH($A14),1),IncDocDate,"&lt;="&amp;$A14,IncTaxCode2,$H$2),IF(IncTaxCount=2,SUMIFS(IncIncl,IncDocDate,"&gt;="&amp;DATE(YEAR($A14),MONTH($A14),1),IncDocDate,"&lt;="&amp;$A14,IncTaxCode1,$G$2,IncTaxCode2,$H$2),SUMIFS(IncIncl,IncDocDate,"&gt;="&amp;DATE(YEAR($A14),MONTH($A14),1),IncDocDate,"&lt;="&amp;$A14,IncTaxCode1,$G$2))))</f>
        <v>176095.25</v>
      </c>
      <c r="H14" s="142" cm="1">
        <f t="array" aca="1" ref="H14" ca="1">-IF($C$2=1,SUMIFS(ExpIncl,ExpDocDate,"&gt;="&amp;DATE(YEAR($A14),MONTH($A14),1),ExpDocDate,"&lt;="&amp;$A14,ExpTaxCode1,$G$2),IF($C$2=2,SUMIFS(ExpIncl,ExpDocDate,"&gt;="&amp;DATE(YEAR($A14),MONTH($A14),1),ExpDocDate,"&lt;="&amp;$A14,ExpTaxCode2,$H$2),IF(ExpTaxCount=2,SUMIFS(ExpIncl,ExpDocDate,"&gt;="&amp;DATE(YEAR($A14),MONTH($A14),1),ExpDocDate,"&lt;="&amp;$A14,ExpTaxCode1,$G$2,ExpTaxCode2,$H$2),SUMIFS(ExpIncl,ExpDocDate,"&gt;="&amp;DATE(YEAR($A14),MONTH($A14),1),ExpDocDate,"&lt;="&amp;$A14,ExpTaxCode1,$G$2))))</f>
        <v>-132971.91</v>
      </c>
      <c r="I14" s="89">
        <f t="shared" ca="1" si="1"/>
        <v>17193.32608695652</v>
      </c>
      <c r="J14" s="168">
        <f t="shared" ca="1" si="2"/>
        <v>0.12854622854478659</v>
      </c>
      <c r="K14" s="169">
        <f t="shared" ca="1" si="3"/>
        <v>2.2017790856220232E-2</v>
      </c>
    </row>
    <row r="15" spans="1:11" ht="16" customHeight="1" x14ac:dyDescent="0.25">
      <c r="A15" s="164">
        <f ca="1">OFFSET(IS!$B$4,0,ROW($B15)-ROW($B$5),1,1)</f>
        <v>44196</v>
      </c>
      <c r="B15" s="165">
        <f t="shared" ca="1" si="4"/>
        <v>40976.73869565218</v>
      </c>
      <c r="C15" s="166" cm="1">
        <f t="array" aca="1" ref="C15" ca="1">IF($C$2=1,SUMIFS(IncTax1,IncDocDate,"&gt;="&amp;DATE(YEAR($A15),MONTH($A15),1),IncDocDate,"&lt;="&amp;$A15,IncTaxCode1,$G$2),IF($C$2=2,IF(IncTaxCount=2,SUMIFS(IncTax2,IncDocDate,"&gt;="&amp;DATE(YEAR($A15),MONTH($A15),1),IncDocDate,"&lt;="&amp;$A15,IncTaxCode2,$H$2),0),IF(IncTaxCount=2,SUMIFS(IncTax1,IncDocDate,"&gt;="&amp;DATE(YEAR($A15),MONTH($A15),1),IncDocDate,"&lt;="&amp;$A15,IncTaxCode1,$G$2,IncTaxCode2,$H$2),SUMIFS(IncTax1,IncDocDate,"&gt;="&amp;DATE(YEAR($A15),MONTH($A15),1),IncDocDate,"&lt;="&amp;$A15,IncTaxCode1,$G$2))+IF(IncTaxCount=2,SUMIFS(IncTax2,IncDocDate,"&gt;="&amp;DATE(YEAR($A15),MONTH($A15),1),IncDocDate,"&lt;="&amp;$A15,IncTaxCode1,$G$2,IncTaxCode2,$H$2),0)))</f>
        <v>15231.000000000002</v>
      </c>
      <c r="D15" s="89" cm="1">
        <f t="array" aca="1" ref="D15" ca="1">-IF($C$2=1,SUMIFS(ExpTax1,ExpDocDate,"&gt;="&amp;DATE(YEAR($A15),MONTH($A15),1),ExpDocDate,"&lt;="&amp;$A15,ExpTaxCode1,$G$2),IF($C$2=2,IF(ExpTaxCount=2,SUMIFS(ExpTax2,ExpDocDate,"&gt;="&amp;DATE(YEAR($A15),MONTH($A15),1),ExpDocDate,"&lt;="&amp;$A15,ExpTaxCode2,$H$2),0),IF(ExpTaxCount=2,SUMIFS(ExpTax1,ExpDocDate,"&gt;="&amp;DATE(YEAR($A15),MONTH($A15),1),ExpDocDate,"&lt;="&amp;$A15,ExpTaxCode1,$G$2,ExpTaxCode2,$H$2),SUMIFS(ExpTax1,ExpDocDate,"&gt;="&amp;DATE(YEAR($A15),MONTH($A15),1),ExpDocDate,"&lt;="&amp;$A15,ExpTaxCode1,$G$2))+IF(ExpTaxCount=2,SUMIFS(ExpTax2,ExpDocDate,"&gt;="&amp;DATE(YEAR($A15),MONTH($A15),1),ExpDocDate,"&lt;="&amp;$A15,ExpTaxCode1,$G$2,ExpTaxCode2,$H$2),0)))</f>
        <v>-2427</v>
      </c>
      <c r="E15" s="165" cm="1">
        <f t="array" aca="1" ref="E15" ca="1">IF(OR(ISBLANK($E$2)=FALSE,ISBLANK($F$2)=FALSE),0,IF($C$2=2,0,SUMIFS(IncExcl,IncDocDate,"&gt;="&amp;DATE(YEAR($A15),MONTH($A15),1),IncDocDate,"&lt;="&amp;$A15,IncAccount,BS!$A$38))+IF($C$2=1,0,SUMIFS(IncExcl,IncDocDate,"&gt;="&amp;DATE(YEAR($A15),MONTH($A15),1),IncDocDate,"&lt;="&amp;$A15,IncAccount,BS!$A$39))-IF($C$2=2,0,SUMIFS(ExpExcl,ExpDocDate,"&gt;="&amp;DATE(YEAR($A15),MONTH($A15),1),ExpDocDate,"&lt;="&amp;$A15,ExpAccount,BS!$A$38))-IF($C$2=1,0,SUMIFS(ExpExcl,ExpDocDate,"&gt;="&amp;DATE(YEAR($A15),MONTH($A15),1),ExpDocDate,"&lt;="&amp;$A15,ExpAccount,BS!$A$39)))</f>
        <v>-40976.74</v>
      </c>
      <c r="F15" s="167">
        <f t="shared" ca="1" si="0"/>
        <v>12803.998695652183</v>
      </c>
      <c r="G15" s="166" cm="1">
        <f t="array" aca="1" ref="G15" ca="1">IF($C$2=1,SUMIFS(IncIncl,IncDocDate,"&gt;="&amp;DATE(YEAR($A15),MONTH($A15),1),IncDocDate,"&lt;="&amp;$A15,IncTaxCode1,$G$2),IF($C$2=2,SUMIFS(IncIncl,IncDocDate,"&gt;="&amp;DATE(YEAR($A15),MONTH($A15),1),IncDocDate,"&lt;="&amp;$A15,IncTaxCode2,$H$2),IF(IncTaxCount=2,SUMIFS(IncIncl,IncDocDate,"&gt;="&amp;DATE(YEAR($A15),MONTH($A15),1),IncDocDate,"&lt;="&amp;$A15,IncTaxCode1,$G$2,IncTaxCode2,$H$2),SUMIFS(IncIncl,IncDocDate,"&gt;="&amp;DATE(YEAR($A15),MONTH($A15),1),IncDocDate,"&lt;="&amp;$A15,IncTaxCode1,$G$2))))</f>
        <v>140302.45000000001</v>
      </c>
      <c r="H15" s="142" cm="1">
        <f t="array" aca="1" ref="H15" ca="1">-IF($C$2=1,SUMIFS(ExpIncl,ExpDocDate,"&gt;="&amp;DATE(YEAR($A15),MONTH($A15),1),ExpDocDate,"&lt;="&amp;$A15,ExpTaxCode1,$G$2),IF($C$2=2,SUMIFS(ExpIncl,ExpDocDate,"&gt;="&amp;DATE(YEAR($A15),MONTH($A15),1),ExpDocDate,"&lt;="&amp;$A15,ExpTaxCode2,$H$2),IF(ExpTaxCount=2,SUMIFS(ExpIncl,ExpDocDate,"&gt;="&amp;DATE(YEAR($A15),MONTH($A15),1),ExpDocDate,"&lt;="&amp;$A15,ExpTaxCode1,$G$2,ExpTaxCode2,$H$2),SUMIFS(ExpIncl,ExpDocDate,"&gt;="&amp;DATE(YEAR($A15),MONTH($A15),1),ExpDocDate,"&lt;="&amp;$A15,ExpTaxCode1,$G$2))))</f>
        <v>-247013.15</v>
      </c>
      <c r="I15" s="89">
        <f t="shared" ca="1" si="1"/>
        <v>12804.000000000002</v>
      </c>
      <c r="J15" s="168">
        <f t="shared" ca="1" si="2"/>
        <v>0.12177839147143493</v>
      </c>
      <c r="K15" s="169">
        <f t="shared" ca="1" si="3"/>
        <v>9.9228840226644067E-3</v>
      </c>
    </row>
    <row r="16" spans="1:11" ht="16" customHeight="1" x14ac:dyDescent="0.25">
      <c r="A16" s="164">
        <f ca="1">OFFSET(IS!$B$4,0,ROW($B16)-ROW($B$5),1,1)</f>
        <v>44227</v>
      </c>
      <c r="B16" s="165">
        <f t="shared" ca="1" si="4"/>
        <v>12803.998695652183</v>
      </c>
      <c r="C16" s="166" cm="1">
        <f t="array" aca="1" ref="C16" ca="1">IF($C$2=1,SUMIFS(IncTax1,IncDocDate,"&gt;="&amp;DATE(YEAR($A16),MONTH($A16),1),IncDocDate,"&lt;="&amp;$A16,IncTaxCode1,$G$2),IF($C$2=2,IF(IncTaxCount=2,SUMIFS(IncTax2,IncDocDate,"&gt;="&amp;DATE(YEAR($A16),MONTH($A16),1),IncDocDate,"&lt;="&amp;$A16,IncTaxCode2,$H$2),0),IF(IncTaxCount=2,SUMIFS(IncTax1,IncDocDate,"&gt;="&amp;DATE(YEAR($A16),MONTH($A16),1),IncDocDate,"&lt;="&amp;$A16,IncTaxCode1,$G$2,IncTaxCode2,$H$2),SUMIFS(IncTax1,IncDocDate,"&gt;="&amp;DATE(YEAR($A16),MONTH($A16),1),IncDocDate,"&lt;="&amp;$A16,IncTaxCode1,$G$2))+IF(IncTaxCount=2,SUMIFS(IncTax2,IncDocDate,"&gt;="&amp;DATE(YEAR($A16),MONTH($A16),1),IncDocDate,"&lt;="&amp;$A16,IncTaxCode1,$G$2,IncTaxCode2,$H$2),0)))</f>
        <v>20976</v>
      </c>
      <c r="D16" s="89" cm="1">
        <f t="array" aca="1" ref="D16" ca="1">-IF($C$2=1,SUMIFS(ExpTax1,ExpDocDate,"&gt;="&amp;DATE(YEAR($A16),MONTH($A16),1),ExpDocDate,"&lt;="&amp;$A16,ExpTaxCode1,$G$2),IF($C$2=2,IF(ExpTaxCount=2,SUMIFS(ExpTax2,ExpDocDate,"&gt;="&amp;DATE(YEAR($A16),MONTH($A16),1),ExpDocDate,"&lt;="&amp;$A16,ExpTaxCode2,$H$2),0),IF(ExpTaxCount=2,SUMIFS(ExpTax1,ExpDocDate,"&gt;="&amp;DATE(YEAR($A16),MONTH($A16),1),ExpDocDate,"&lt;="&amp;$A16,ExpTaxCode1,$G$2,ExpTaxCode2,$H$2),SUMIFS(ExpTax1,ExpDocDate,"&gt;="&amp;DATE(YEAR($A16),MONTH($A16),1),ExpDocDate,"&lt;="&amp;$A16,ExpTaxCode1,$G$2))+IF(ExpTaxCount=2,SUMIFS(ExpTax2,ExpDocDate,"&gt;="&amp;DATE(YEAR($A16),MONTH($A16),1),ExpDocDate,"&lt;="&amp;$A16,ExpTaxCode1,$G$2,ExpTaxCode2,$H$2),0)))</f>
        <v>-2561.4782608695655</v>
      </c>
      <c r="E16" s="165" cm="1">
        <f t="array" aca="1" ref="E16" ca="1">IF(OR(ISBLANK($E$2)=FALSE,ISBLANK($F$2)=FALSE),0,IF($C$2=2,0,SUMIFS(IncExcl,IncDocDate,"&gt;="&amp;DATE(YEAR($A16),MONTH($A16),1),IncDocDate,"&lt;="&amp;$A16,IncAccount,BS!$A$38))+IF($C$2=1,0,SUMIFS(IncExcl,IncDocDate,"&gt;="&amp;DATE(YEAR($A16),MONTH($A16),1),IncDocDate,"&lt;="&amp;$A16,IncAccount,BS!$A$39))-IF($C$2=2,0,SUMIFS(ExpExcl,ExpDocDate,"&gt;="&amp;DATE(YEAR($A16),MONTH($A16),1),ExpDocDate,"&lt;="&amp;$A16,ExpAccount,BS!$A$38))-IF($C$2=1,0,SUMIFS(ExpExcl,ExpDocDate,"&gt;="&amp;DATE(YEAR($A16),MONTH($A16),1),ExpDocDate,"&lt;="&amp;$A16,ExpAccount,BS!$A$39)))</f>
        <v>0</v>
      </c>
      <c r="F16" s="167">
        <f t="shared" ca="1" si="0"/>
        <v>31218.520434782618</v>
      </c>
      <c r="G16" s="166" cm="1">
        <f t="array" aca="1" ref="G16" ca="1">IF($C$2=1,SUMIFS(IncIncl,IncDocDate,"&gt;="&amp;DATE(YEAR($A16),MONTH($A16),1),IncDocDate,"&lt;="&amp;$A16,IncTaxCode1,$G$2),IF($C$2=2,SUMIFS(IncIncl,IncDocDate,"&gt;="&amp;DATE(YEAR($A16),MONTH($A16),1),IncDocDate,"&lt;="&amp;$A16,IncTaxCode2,$H$2),IF(IncTaxCount=2,SUMIFS(IncIncl,IncDocDate,"&gt;="&amp;DATE(YEAR($A16),MONTH($A16),1),IncDocDate,"&lt;="&amp;$A16,IncTaxCode1,$G$2,IncTaxCode2,$H$2),SUMIFS(IncIncl,IncDocDate,"&gt;="&amp;DATE(YEAR($A16),MONTH($A16),1),IncDocDate,"&lt;="&amp;$A16,IncTaxCode1,$G$2))))</f>
        <v>225232.23</v>
      </c>
      <c r="H16" s="142" cm="1">
        <f t="array" aca="1" ref="H16" ca="1">-IF($C$2=1,SUMIFS(ExpIncl,ExpDocDate,"&gt;="&amp;DATE(YEAR($A16),MONTH($A16),1),ExpDocDate,"&lt;="&amp;$A16,ExpTaxCode1,$G$2),IF($C$2=2,SUMIFS(ExpIncl,ExpDocDate,"&gt;="&amp;DATE(YEAR($A16),MONTH($A16),1),ExpDocDate,"&lt;="&amp;$A16,ExpTaxCode2,$H$2),IF(ExpTaxCount=2,SUMIFS(ExpIncl,ExpDocDate,"&gt;="&amp;DATE(YEAR($A16),MONTH($A16),1),ExpDocDate,"&lt;="&amp;$A16,ExpTaxCode1,$G$2,ExpTaxCode2,$H$2),SUMIFS(ExpIncl,ExpDocDate,"&gt;="&amp;DATE(YEAR($A16),MONTH($A16),1),ExpDocDate,"&lt;="&amp;$A16,ExpTaxCode1,$G$2))))</f>
        <v>-132672.76</v>
      </c>
      <c r="I16" s="89">
        <f t="shared" ca="1" si="1"/>
        <v>18414.521739130436</v>
      </c>
      <c r="J16" s="168">
        <f t="shared" ca="1" si="2"/>
        <v>0.10269454204652656</v>
      </c>
      <c r="K16" s="169">
        <f t="shared" ca="1" si="3"/>
        <v>1.9686826742705211E-2</v>
      </c>
    </row>
    <row r="17" spans="1:11" ht="16" customHeight="1" x14ac:dyDescent="0.25">
      <c r="A17" s="170">
        <f ca="1">OFFSET(IS!$B$4,0,ROW($B17)-ROW($B$5),1,1)</f>
        <v>44255</v>
      </c>
      <c r="B17" s="171">
        <f t="shared" ca="1" si="4"/>
        <v>31218.520434782618</v>
      </c>
      <c r="C17" s="172" cm="1">
        <f t="array" aca="1" ref="C17" ca="1">IF($C$2=1,SUMIFS(IncTax1,IncDocDate,"&gt;="&amp;DATE(YEAR($A17),MONTH($A17),1),IncDocDate,"&lt;="&amp;$A17,IncTaxCode1,$G$2),IF($C$2=2,IF(IncTaxCount=2,SUMIFS(IncTax2,IncDocDate,"&gt;="&amp;DATE(YEAR($A17),MONTH($A17),1),IncDocDate,"&lt;="&amp;$A17,IncTaxCode2,$H$2),0),IF(IncTaxCount=2,SUMIFS(IncTax1,IncDocDate,"&gt;="&amp;DATE(YEAR($A17),MONTH($A17),1),IncDocDate,"&lt;="&amp;$A17,IncTaxCode1,$G$2,IncTaxCode2,$H$2),SUMIFS(IncTax1,IncDocDate,"&gt;="&amp;DATE(YEAR($A17),MONTH($A17),1),IncDocDate,"&lt;="&amp;$A17,IncTaxCode1,$G$2))+IF(IncTaxCount=2,SUMIFS(IncTax2,IncDocDate,"&gt;="&amp;DATE(YEAR($A17),MONTH($A17),1),IncDocDate,"&lt;="&amp;$A17,IncTaxCode1,$G$2,IncTaxCode2,$H$2),0)))</f>
        <v>23220</v>
      </c>
      <c r="D17" s="144" cm="1">
        <f t="array" aca="1" ref="D17" ca="1">-IF($C$2=1,SUMIFS(ExpTax1,ExpDocDate,"&gt;="&amp;DATE(YEAR($A17),MONTH($A17),1),ExpDocDate,"&lt;="&amp;$A17,ExpTaxCode1,$G$2),IF($C$2=2,IF(ExpTaxCount=2,SUMIFS(ExpTax2,ExpDocDate,"&gt;="&amp;DATE(YEAR($A17),MONTH($A17),1),ExpDocDate,"&lt;="&amp;$A17,ExpTaxCode2,$H$2),0),IF(ExpTaxCount=2,SUMIFS(ExpTax1,ExpDocDate,"&gt;="&amp;DATE(YEAR($A17),MONTH($A17),1),ExpDocDate,"&lt;="&amp;$A17,ExpTaxCode1,$G$2,ExpTaxCode2,$H$2),SUMIFS(ExpTax1,ExpDocDate,"&gt;="&amp;DATE(YEAR($A17),MONTH($A17),1),ExpDocDate,"&lt;="&amp;$A17,ExpTaxCode1,$G$2))+IF(ExpTaxCount=2,SUMIFS(ExpTax2,ExpDocDate,"&gt;="&amp;DATE(YEAR($A17),MONTH($A17),1),ExpDocDate,"&lt;="&amp;$A17,ExpTaxCode1,$G$2,ExpTaxCode2,$H$2),0)))</f>
        <v>-6101.347826086957</v>
      </c>
      <c r="E17" s="171" cm="1">
        <f t="array" aca="1" ref="E17" ca="1">IF(OR(ISBLANK($E$2)=FALSE,ISBLANK($F$2)=FALSE),0,IF($C$2=2,0,SUMIFS(IncExcl,IncDocDate,"&gt;="&amp;DATE(YEAR($A17),MONTH($A17),1),IncDocDate,"&lt;="&amp;$A17,IncAccount,BS!$A$38))+IF($C$2=1,0,SUMIFS(IncExcl,IncDocDate,"&gt;="&amp;DATE(YEAR($A17),MONTH($A17),1),IncDocDate,"&lt;="&amp;$A17,IncAccount,BS!$A$39))-IF($C$2=2,0,SUMIFS(ExpExcl,ExpDocDate,"&gt;="&amp;DATE(YEAR($A17),MONTH($A17),1),ExpDocDate,"&lt;="&amp;$A17,ExpAccount,BS!$A$38))-IF($C$2=1,0,SUMIFS(ExpExcl,ExpDocDate,"&gt;="&amp;DATE(YEAR($A17),MONTH($A17),1),ExpDocDate,"&lt;="&amp;$A17,ExpAccount,BS!$A$39)))</f>
        <v>-31218.52</v>
      </c>
      <c r="F17" s="173">
        <f t="shared" ca="1" si="0"/>
        <v>17118.652608695662</v>
      </c>
      <c r="G17" s="172" cm="1">
        <f t="array" aca="1" ref="G17" ca="1">IF($C$2=1,SUMIFS(IncIncl,IncDocDate,"&gt;="&amp;DATE(YEAR($A17),MONTH($A17),1),IncDocDate,"&lt;="&amp;$A17,IncTaxCode1,$G$2),IF($C$2=2,SUMIFS(IncIncl,IncDocDate,"&gt;="&amp;DATE(YEAR($A17),MONTH($A17),1),IncDocDate,"&lt;="&amp;$A17,IncTaxCode2,$H$2),IF(IncTaxCount=2,SUMIFS(IncIncl,IncDocDate,"&gt;="&amp;DATE(YEAR($A17),MONTH($A17),1),IncDocDate,"&lt;="&amp;$A17,IncTaxCode1,$G$2,IncTaxCode2,$H$2),SUMIFS(IncIncl,IncDocDate,"&gt;="&amp;DATE(YEAR($A17),MONTH($A17),1),IncDocDate,"&lt;="&amp;$A17,IncTaxCode1,$G$2))))</f>
        <v>202537.25</v>
      </c>
      <c r="H17" s="145" cm="1">
        <f t="array" aca="1" ref="H17" ca="1">-IF($C$2=1,SUMIFS(ExpIncl,ExpDocDate,"&gt;="&amp;DATE(YEAR($A17),MONTH($A17),1),ExpDocDate,"&lt;="&amp;$A17,ExpTaxCode1,$G$2),IF($C$2=2,SUMIFS(ExpIncl,ExpDocDate,"&gt;="&amp;DATE(YEAR($A17),MONTH($A17),1),ExpDocDate,"&lt;="&amp;$A17,ExpTaxCode2,$H$2),IF(ExpTaxCount=2,SUMIFS(ExpIncl,ExpDocDate,"&gt;="&amp;DATE(YEAR($A17),MONTH($A17),1),ExpDocDate,"&lt;="&amp;$A17,ExpTaxCode1,$G$2,ExpTaxCode2,$H$2),SUMIFS(ExpIncl,ExpDocDate,"&gt;="&amp;DATE(YEAR($A17),MONTH($A17),1),ExpDocDate,"&lt;="&amp;$A17,ExpTaxCode1,$G$2))))</f>
        <v>-216112.28999999998</v>
      </c>
      <c r="I17" s="144">
        <f t="shared" ca="1" si="1"/>
        <v>17118.652173913044</v>
      </c>
      <c r="J17" s="174">
        <f t="shared" ca="1" si="2"/>
        <v>0.12949116719110962</v>
      </c>
      <c r="K17" s="175">
        <f t="shared" ca="1" si="3"/>
        <v>2.9052523468202644E-2</v>
      </c>
    </row>
  </sheetData>
  <sheetProtection autoFilter="0"/>
  <mergeCells count="3">
    <mergeCell ref="B4:F4"/>
    <mergeCell ref="G4:H4"/>
    <mergeCell ref="J4:K4"/>
  </mergeCells>
  <dataValidations count="2">
    <dataValidation type="list" allowBlank="1" showInputMessage="1" showErrorMessage="1" errorTitle="Invalid Data" error="Select a valid item from the list box." sqref="E2 F2" xr:uid="{C82AE590-37E1-4C91-A1D4-0D6E30D126C9}">
      <formula1>TaxCode</formula1>
    </dataValidation>
    <dataValidation type="list" allowBlank="1" showInputMessage="1" showErrorMessage="1" errorTitle="Invalid Data" error="Select a valid item from the list box." sqref="D2" xr:uid="{DF2498E4-7FCD-4C9A-8A3D-924990988B58}">
      <formula1>"National/Federal,State,Both"</formula1>
    </dataValidation>
  </dataValidations>
  <pageMargins left="0.59055118110236227" right="0.59055118110236227" top="0.59055118110236227" bottom="0.59055118110236227" header="0.39370078740157483" footer="0.39370078740157483"/>
  <pageSetup paperSize="9" scale="85" orientation="landscape" r:id="rId1"/>
  <headerFooter alignWithMargins="0">
    <oddFooter>Page &amp;P of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
  <sheetViews>
    <sheetView workbookViewId="0">
      <selection activeCell="B2" sqref="B2"/>
    </sheetView>
  </sheetViews>
  <sheetFormatPr defaultColWidth="8.90625" defaultRowHeight="13.5" x14ac:dyDescent="0.25"/>
  <cols>
    <col min="1" max="14" width="15.6328125" style="1" customWidth="1"/>
    <col min="15" max="16384" width="8.90625" style="1"/>
  </cols>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B436"/>
  <sheetViews>
    <sheetView zoomScaleNormal="100" workbookViewId="0">
      <pane ySplit="3" topLeftCell="A4" activePane="bottomLeft" state="frozen"/>
      <selection pane="bottomLeft"/>
    </sheetView>
  </sheetViews>
  <sheetFormatPr defaultColWidth="9.08984375" defaultRowHeight="12.5" x14ac:dyDescent="0.25"/>
  <cols>
    <col min="1" max="1" width="109.81640625" style="193" customWidth="1"/>
    <col min="2" max="2" width="50.81640625" style="190" customWidth="1"/>
    <col min="3" max="25" width="20.6328125" style="190" customWidth="1"/>
    <col min="26" max="16384" width="9.08984375" style="190"/>
  </cols>
  <sheetData>
    <row r="1" spans="1:1" ht="15.5" x14ac:dyDescent="0.35">
      <c r="A1" s="200" t="s">
        <v>1</v>
      </c>
    </row>
    <row r="2" spans="1:1" ht="15" customHeight="1" x14ac:dyDescent="0.3">
      <c r="A2" s="191" t="s">
        <v>62</v>
      </c>
    </row>
    <row r="3" spans="1:1" ht="15" customHeight="1" x14ac:dyDescent="0.25">
      <c r="A3" s="201" t="s">
        <v>64</v>
      </c>
    </row>
    <row r="4" spans="1:1" x14ac:dyDescent="0.25">
      <c r="A4" s="192"/>
    </row>
    <row r="5" spans="1:1" ht="62.5" x14ac:dyDescent="0.25">
      <c r="A5" s="193" t="s">
        <v>650</v>
      </c>
    </row>
    <row r="7" spans="1:1" ht="39" x14ac:dyDescent="0.3">
      <c r="A7" s="194" t="s">
        <v>712</v>
      </c>
    </row>
    <row r="9" spans="1:1" x14ac:dyDescent="0.25">
      <c r="A9" s="193" t="s">
        <v>536</v>
      </c>
    </row>
    <row r="10" spans="1:1" ht="50.5" x14ac:dyDescent="0.25">
      <c r="A10" s="195" t="s">
        <v>676</v>
      </c>
    </row>
    <row r="11" spans="1:1" ht="38" x14ac:dyDescent="0.25">
      <c r="A11" s="193" t="s">
        <v>677</v>
      </c>
    </row>
    <row r="12" spans="1:1" ht="50.5" x14ac:dyDescent="0.25">
      <c r="A12" s="193" t="s">
        <v>678</v>
      </c>
    </row>
    <row r="13" spans="1:1" ht="25.5" x14ac:dyDescent="0.25">
      <c r="A13" s="195" t="s">
        <v>701</v>
      </c>
    </row>
    <row r="14" spans="1:1" ht="38" x14ac:dyDescent="0.25">
      <c r="A14" s="195" t="s">
        <v>679</v>
      </c>
    </row>
    <row r="15" spans="1:1" ht="38" x14ac:dyDescent="0.25">
      <c r="A15" s="193" t="s">
        <v>680</v>
      </c>
    </row>
    <row r="16" spans="1:1" ht="25.5" x14ac:dyDescent="0.25">
      <c r="A16" s="193" t="s">
        <v>681</v>
      </c>
    </row>
    <row r="17" spans="1:1" ht="38" x14ac:dyDescent="0.25">
      <c r="A17" s="193" t="s">
        <v>682</v>
      </c>
    </row>
    <row r="18" spans="1:1" ht="25.5" x14ac:dyDescent="0.25">
      <c r="A18" s="193" t="s">
        <v>683</v>
      </c>
    </row>
    <row r="19" spans="1:1" ht="38" x14ac:dyDescent="0.25">
      <c r="A19" s="193" t="s">
        <v>723</v>
      </c>
    </row>
    <row r="20" spans="1:1" ht="13" x14ac:dyDescent="0.3">
      <c r="A20" s="195"/>
    </row>
    <row r="21" spans="1:1" ht="13" x14ac:dyDescent="0.3">
      <c r="A21" s="195" t="s">
        <v>185</v>
      </c>
    </row>
    <row r="23" spans="1:1" ht="37.5" x14ac:dyDescent="0.25">
      <c r="A23" s="193" t="s">
        <v>545</v>
      </c>
    </row>
    <row r="25" spans="1:1" ht="37.5" x14ac:dyDescent="0.25">
      <c r="A25" s="193" t="s">
        <v>541</v>
      </c>
    </row>
    <row r="27" spans="1:1" ht="52" x14ac:dyDescent="0.3">
      <c r="A27" s="194" t="s">
        <v>651</v>
      </c>
    </row>
    <row r="29" spans="1:1" ht="50" x14ac:dyDescent="0.25">
      <c r="A29" s="193" t="s">
        <v>652</v>
      </c>
    </row>
    <row r="31" spans="1:1" ht="50" x14ac:dyDescent="0.25">
      <c r="A31" s="193" t="s">
        <v>542</v>
      </c>
    </row>
    <row r="33" spans="1:1" ht="52" x14ac:dyDescent="0.3">
      <c r="A33" s="194" t="s">
        <v>543</v>
      </c>
    </row>
    <row r="35" spans="1:1" ht="37.5" x14ac:dyDescent="0.25">
      <c r="A35" s="193" t="s">
        <v>653</v>
      </c>
    </row>
    <row r="37" spans="1:1" s="196" customFormat="1" ht="13" x14ac:dyDescent="0.3">
      <c r="A37" s="194" t="s">
        <v>546</v>
      </c>
    </row>
    <row r="39" spans="1:1" ht="37.5" x14ac:dyDescent="0.25">
      <c r="A39" s="193" t="s">
        <v>547</v>
      </c>
    </row>
    <row r="41" spans="1:1" ht="50" x14ac:dyDescent="0.25">
      <c r="A41" s="193" t="s">
        <v>767</v>
      </c>
    </row>
    <row r="43" spans="1:1" ht="62.5" x14ac:dyDescent="0.25">
      <c r="A43" s="193" t="s">
        <v>766</v>
      </c>
    </row>
    <row r="45" spans="1:1" ht="25" x14ac:dyDescent="0.25">
      <c r="A45" s="193" t="s">
        <v>764</v>
      </c>
    </row>
    <row r="47" spans="1:1" ht="75" x14ac:dyDescent="0.25">
      <c r="A47" s="193" t="s">
        <v>765</v>
      </c>
    </row>
    <row r="49" spans="1:1" ht="50" x14ac:dyDescent="0.25">
      <c r="A49" s="193" t="s">
        <v>654</v>
      </c>
    </row>
    <row r="51" spans="1:1" ht="13" x14ac:dyDescent="0.3">
      <c r="A51" s="194" t="s">
        <v>143</v>
      </c>
    </row>
    <row r="53" spans="1:1" ht="50" x14ac:dyDescent="0.25">
      <c r="A53" s="193" t="s">
        <v>702</v>
      </c>
    </row>
    <row r="55" spans="1:1" ht="52" x14ac:dyDescent="0.3">
      <c r="A55" s="194" t="s">
        <v>548</v>
      </c>
    </row>
    <row r="57" spans="1:1" ht="50" x14ac:dyDescent="0.25">
      <c r="A57" s="193" t="s">
        <v>549</v>
      </c>
    </row>
    <row r="59" spans="1:1" ht="26" x14ac:dyDescent="0.3">
      <c r="A59" s="194" t="s">
        <v>550</v>
      </c>
    </row>
    <row r="61" spans="1:1" ht="62.5" x14ac:dyDescent="0.25">
      <c r="A61" s="193" t="s">
        <v>703</v>
      </c>
    </row>
    <row r="63" spans="1:1" ht="50" x14ac:dyDescent="0.25">
      <c r="A63" s="193" t="s">
        <v>551</v>
      </c>
    </row>
    <row r="65" spans="1:1" ht="26" x14ac:dyDescent="0.3">
      <c r="A65" s="194" t="s">
        <v>655</v>
      </c>
    </row>
    <row r="67" spans="1:1" ht="52" x14ac:dyDescent="0.3">
      <c r="A67" s="194" t="s">
        <v>642</v>
      </c>
    </row>
    <row r="69" spans="1:1" ht="13" x14ac:dyDescent="0.3">
      <c r="A69" s="194" t="s">
        <v>152</v>
      </c>
    </row>
    <row r="71" spans="1:1" ht="37.5" x14ac:dyDescent="0.25">
      <c r="A71" s="193" t="s">
        <v>552</v>
      </c>
    </row>
    <row r="73" spans="1:1" ht="13" x14ac:dyDescent="0.3">
      <c r="A73" s="195" t="s">
        <v>554</v>
      </c>
    </row>
    <row r="75" spans="1:1" ht="37.5" x14ac:dyDescent="0.25">
      <c r="A75" s="193" t="s">
        <v>567</v>
      </c>
    </row>
    <row r="77" spans="1:1" ht="65" x14ac:dyDescent="0.3">
      <c r="A77" s="194" t="s">
        <v>555</v>
      </c>
    </row>
    <row r="78" spans="1:1" ht="13" x14ac:dyDescent="0.3">
      <c r="A78" s="194"/>
    </row>
    <row r="79" spans="1:1" ht="26" x14ac:dyDescent="0.3">
      <c r="A79" s="194" t="s">
        <v>568</v>
      </c>
    </row>
    <row r="81" spans="1:1" ht="50" x14ac:dyDescent="0.25">
      <c r="A81" s="193" t="s">
        <v>643</v>
      </c>
    </row>
    <row r="83" spans="1:1" ht="52" x14ac:dyDescent="0.3">
      <c r="A83" s="194" t="s">
        <v>556</v>
      </c>
    </row>
    <row r="85" spans="1:1" ht="62.5" x14ac:dyDescent="0.25">
      <c r="A85" s="193" t="s">
        <v>657</v>
      </c>
    </row>
    <row r="86" spans="1:1" ht="52" x14ac:dyDescent="0.3">
      <c r="A86" s="194" t="s">
        <v>557</v>
      </c>
    </row>
    <row r="87" spans="1:1" ht="52" x14ac:dyDescent="0.3">
      <c r="A87" s="194" t="s">
        <v>558</v>
      </c>
    </row>
    <row r="88" spans="1:1" ht="39" x14ac:dyDescent="0.3">
      <c r="A88" s="194" t="s">
        <v>559</v>
      </c>
    </row>
    <row r="89" spans="1:1" ht="52" x14ac:dyDescent="0.3">
      <c r="A89" s="194" t="s">
        <v>560</v>
      </c>
    </row>
    <row r="90" spans="1:1" ht="78" x14ac:dyDescent="0.3">
      <c r="A90" s="194" t="s">
        <v>564</v>
      </c>
    </row>
    <row r="91" spans="1:1" ht="52" x14ac:dyDescent="0.3">
      <c r="A91" s="194" t="s">
        <v>561</v>
      </c>
    </row>
    <row r="92" spans="1:1" ht="52" x14ac:dyDescent="0.3">
      <c r="A92" s="194" t="s">
        <v>562</v>
      </c>
    </row>
    <row r="93" spans="1:1" ht="39" x14ac:dyDescent="0.3">
      <c r="A93" s="194" t="s">
        <v>563</v>
      </c>
    </row>
    <row r="94" spans="1:1" ht="26" x14ac:dyDescent="0.3">
      <c r="A94" s="194" t="s">
        <v>565</v>
      </c>
    </row>
    <row r="95" spans="1:1" ht="13" x14ac:dyDescent="0.3">
      <c r="A95" s="194"/>
    </row>
    <row r="96" spans="1:1" ht="25" x14ac:dyDescent="0.25">
      <c r="A96" s="193" t="s">
        <v>658</v>
      </c>
    </row>
    <row r="98" spans="1:1" ht="26" x14ac:dyDescent="0.3">
      <c r="A98" s="194" t="s">
        <v>566</v>
      </c>
    </row>
    <row r="99" spans="1:1" ht="13" x14ac:dyDescent="0.3">
      <c r="A99" s="194"/>
    </row>
    <row r="100" spans="1:1" ht="13" x14ac:dyDescent="0.3">
      <c r="A100" s="195" t="s">
        <v>569</v>
      </c>
    </row>
    <row r="102" spans="1:1" ht="50" x14ac:dyDescent="0.25">
      <c r="A102" s="193" t="s">
        <v>659</v>
      </c>
    </row>
    <row r="104" spans="1:1" ht="13" x14ac:dyDescent="0.3">
      <c r="A104" s="194" t="s">
        <v>553</v>
      </c>
    </row>
    <row r="106" spans="1:1" ht="50" x14ac:dyDescent="0.25">
      <c r="A106" s="193" t="s">
        <v>570</v>
      </c>
    </row>
    <row r="108" spans="1:1" ht="52" x14ac:dyDescent="0.3">
      <c r="A108" s="194" t="s">
        <v>672</v>
      </c>
    </row>
    <row r="110" spans="1:1" ht="37.5" x14ac:dyDescent="0.25">
      <c r="A110" s="193" t="s">
        <v>571</v>
      </c>
    </row>
    <row r="112" spans="1:1" ht="62.5" x14ac:dyDescent="0.25">
      <c r="A112" s="193" t="s">
        <v>660</v>
      </c>
    </row>
    <row r="114" spans="1:1" ht="39" x14ac:dyDescent="0.3">
      <c r="A114" s="194" t="s">
        <v>572</v>
      </c>
    </row>
    <row r="115" spans="1:1" ht="13" x14ac:dyDescent="0.3">
      <c r="A115" s="194"/>
    </row>
    <row r="116" spans="1:1" ht="39" x14ac:dyDescent="0.3">
      <c r="A116" s="194" t="s">
        <v>661</v>
      </c>
    </row>
    <row r="118" spans="1:1" ht="13" x14ac:dyDescent="0.3">
      <c r="A118" s="194" t="s">
        <v>573</v>
      </c>
    </row>
    <row r="120" spans="1:1" ht="50" x14ac:dyDescent="0.25">
      <c r="A120" s="193" t="s">
        <v>704</v>
      </c>
    </row>
    <row r="122" spans="1:1" ht="52" x14ac:dyDescent="0.3">
      <c r="A122" s="194" t="s">
        <v>644</v>
      </c>
    </row>
    <row r="124" spans="1:1" ht="50" x14ac:dyDescent="0.25">
      <c r="A124" s="193" t="s">
        <v>645</v>
      </c>
    </row>
    <row r="126" spans="1:1" ht="25" x14ac:dyDescent="0.25">
      <c r="A126" s="193" t="s">
        <v>574</v>
      </c>
    </row>
    <row r="127" spans="1:1" ht="13" x14ac:dyDescent="0.3">
      <c r="A127" s="194" t="s">
        <v>575</v>
      </c>
    </row>
    <row r="128" spans="1:1" ht="13" x14ac:dyDescent="0.3">
      <c r="A128" s="194" t="s">
        <v>576</v>
      </c>
    </row>
    <row r="129" spans="1:1" ht="39" x14ac:dyDescent="0.3">
      <c r="A129" s="194" t="s">
        <v>581</v>
      </c>
    </row>
    <row r="130" spans="1:1" ht="78" x14ac:dyDescent="0.3">
      <c r="A130" s="194" t="s">
        <v>577</v>
      </c>
    </row>
    <row r="131" spans="1:1" ht="13" x14ac:dyDescent="0.3">
      <c r="A131" s="194"/>
    </row>
    <row r="132" spans="1:1" ht="39" x14ac:dyDescent="0.3">
      <c r="A132" s="194" t="s">
        <v>578</v>
      </c>
    </row>
    <row r="133" spans="1:1" ht="13" x14ac:dyDescent="0.3">
      <c r="A133" s="194"/>
    </row>
    <row r="134" spans="1:1" ht="52" x14ac:dyDescent="0.3">
      <c r="A134" s="194" t="s">
        <v>580</v>
      </c>
    </row>
    <row r="135" spans="1:1" ht="13" x14ac:dyDescent="0.3">
      <c r="A135" s="194"/>
    </row>
    <row r="136" spans="1:1" ht="39" x14ac:dyDescent="0.3">
      <c r="A136" s="194" t="s">
        <v>662</v>
      </c>
    </row>
    <row r="138" spans="1:1" s="196" customFormat="1" ht="13" x14ac:dyDescent="0.3">
      <c r="A138" s="194" t="s">
        <v>101</v>
      </c>
    </row>
    <row r="140" spans="1:1" ht="50" x14ac:dyDescent="0.25">
      <c r="A140" s="193" t="s">
        <v>579</v>
      </c>
    </row>
    <row r="142" spans="1:1" ht="39" x14ac:dyDescent="0.3">
      <c r="A142" s="194" t="s">
        <v>646</v>
      </c>
    </row>
    <row r="144" spans="1:1" s="196" customFormat="1" ht="13" x14ac:dyDescent="0.3">
      <c r="A144" s="194" t="s">
        <v>582</v>
      </c>
    </row>
    <row r="145" spans="1:1" ht="13" x14ac:dyDescent="0.3">
      <c r="A145" s="194"/>
    </row>
    <row r="146" spans="1:1" ht="50" x14ac:dyDescent="0.25">
      <c r="A146" s="193" t="s">
        <v>663</v>
      </c>
    </row>
    <row r="148" spans="1:1" ht="37.5" x14ac:dyDescent="0.25">
      <c r="A148" s="193" t="s">
        <v>583</v>
      </c>
    </row>
    <row r="150" spans="1:1" ht="52" x14ac:dyDescent="0.3">
      <c r="A150" s="194" t="s">
        <v>584</v>
      </c>
    </row>
    <row r="152" spans="1:1" s="197" customFormat="1" ht="39" x14ac:dyDescent="0.3">
      <c r="A152" s="194" t="s">
        <v>585</v>
      </c>
    </row>
    <row r="154" spans="1:1" ht="62.5" x14ac:dyDescent="0.25">
      <c r="A154" s="193" t="s">
        <v>705</v>
      </c>
    </row>
    <row r="156" spans="1:1" ht="52" x14ac:dyDescent="0.3">
      <c r="A156" s="194" t="s">
        <v>706</v>
      </c>
    </row>
    <row r="158" spans="1:1" ht="50" x14ac:dyDescent="0.25">
      <c r="A158" s="193" t="s">
        <v>586</v>
      </c>
    </row>
    <row r="160" spans="1:1" ht="52" x14ac:dyDescent="0.3">
      <c r="A160" s="194" t="s">
        <v>664</v>
      </c>
    </row>
    <row r="162" spans="1:1" ht="62.5" x14ac:dyDescent="0.25">
      <c r="A162" s="193" t="s">
        <v>665</v>
      </c>
    </row>
    <row r="164" spans="1:1" ht="65" x14ac:dyDescent="0.3">
      <c r="A164" s="194" t="s">
        <v>707</v>
      </c>
    </row>
    <row r="166" spans="1:1" ht="62.5" x14ac:dyDescent="0.25">
      <c r="A166" s="193" t="s">
        <v>666</v>
      </c>
    </row>
    <row r="168" spans="1:1" ht="65" x14ac:dyDescent="0.3">
      <c r="A168" s="194" t="s">
        <v>667</v>
      </c>
    </row>
    <row r="170" spans="1:1" ht="52" x14ac:dyDescent="0.3">
      <c r="A170" s="194" t="s">
        <v>668</v>
      </c>
    </row>
    <row r="172" spans="1:1" ht="13" x14ac:dyDescent="0.3">
      <c r="A172" s="194" t="s">
        <v>3</v>
      </c>
    </row>
    <row r="173" spans="1:1" ht="13" x14ac:dyDescent="0.3">
      <c r="A173" s="194"/>
    </row>
    <row r="174" spans="1:1" ht="50" x14ac:dyDescent="0.25">
      <c r="A174" s="193" t="s">
        <v>588</v>
      </c>
    </row>
    <row r="176" spans="1:1" ht="51" customHeight="1" x14ac:dyDescent="0.3">
      <c r="A176" s="194" t="s">
        <v>589</v>
      </c>
    </row>
    <row r="178" spans="1:1" ht="37.5" x14ac:dyDescent="0.25">
      <c r="A178" s="193" t="s">
        <v>590</v>
      </c>
    </row>
    <row r="180" spans="1:1" ht="37.5" x14ac:dyDescent="0.25">
      <c r="A180" s="193" t="s">
        <v>591</v>
      </c>
    </row>
    <row r="182" spans="1:1" ht="13" x14ac:dyDescent="0.3">
      <c r="A182" s="194" t="s">
        <v>592</v>
      </c>
    </row>
    <row r="184" spans="1:1" ht="37.5" x14ac:dyDescent="0.25">
      <c r="A184" s="193" t="s">
        <v>593</v>
      </c>
    </row>
    <row r="186" spans="1:1" ht="37.5" x14ac:dyDescent="0.25">
      <c r="A186" s="193" t="s">
        <v>594</v>
      </c>
    </row>
    <row r="188" spans="1:1" ht="26" x14ac:dyDescent="0.3">
      <c r="A188" s="194" t="s">
        <v>595</v>
      </c>
    </row>
    <row r="190" spans="1:1" ht="13" x14ac:dyDescent="0.3">
      <c r="A190" s="195" t="s">
        <v>2</v>
      </c>
    </row>
    <row r="192" spans="1:1" ht="37.5" x14ac:dyDescent="0.25">
      <c r="A192" s="193" t="s">
        <v>597</v>
      </c>
    </row>
    <row r="194" spans="1:1" ht="63.75" customHeight="1" x14ac:dyDescent="0.3">
      <c r="A194" s="194" t="s">
        <v>598</v>
      </c>
    </row>
    <row r="196" spans="1:1" x14ac:dyDescent="0.25">
      <c r="A196" s="193" t="s">
        <v>596</v>
      </c>
    </row>
    <row r="197" spans="1:1" ht="38" x14ac:dyDescent="0.25">
      <c r="A197" s="195" t="s">
        <v>684</v>
      </c>
    </row>
    <row r="198" spans="1:1" ht="38" x14ac:dyDescent="0.25">
      <c r="A198" s="195" t="s">
        <v>685</v>
      </c>
    </row>
    <row r="199" spans="1:1" ht="38" x14ac:dyDescent="0.25">
      <c r="A199" s="195" t="s">
        <v>686</v>
      </c>
    </row>
    <row r="200" spans="1:1" ht="13" x14ac:dyDescent="0.3">
      <c r="A200" s="195" t="s">
        <v>687</v>
      </c>
    </row>
    <row r="201" spans="1:1" ht="50.5" x14ac:dyDescent="0.25">
      <c r="A201" s="195" t="s">
        <v>688</v>
      </c>
    </row>
    <row r="202" spans="1:1" ht="50.5" x14ac:dyDescent="0.25">
      <c r="A202" s="193" t="s">
        <v>724</v>
      </c>
    </row>
    <row r="203" spans="1:1" ht="50.5" x14ac:dyDescent="0.25">
      <c r="A203" s="193" t="s">
        <v>725</v>
      </c>
    </row>
    <row r="204" spans="1:1" ht="38" x14ac:dyDescent="0.25">
      <c r="A204" s="193" t="s">
        <v>689</v>
      </c>
    </row>
    <row r="205" spans="1:1" ht="38" x14ac:dyDescent="0.25">
      <c r="A205" s="193" t="s">
        <v>690</v>
      </c>
    </row>
    <row r="206" spans="1:1" ht="13" x14ac:dyDescent="0.3">
      <c r="A206" s="193" t="s">
        <v>691</v>
      </c>
    </row>
    <row r="207" spans="1:1" ht="50.5" x14ac:dyDescent="0.25">
      <c r="A207" s="195" t="s">
        <v>692</v>
      </c>
    </row>
    <row r="208" spans="1:1" ht="13" x14ac:dyDescent="0.3">
      <c r="A208" s="195"/>
    </row>
    <row r="209" spans="1:1" x14ac:dyDescent="0.25">
      <c r="A209" s="193" t="s">
        <v>599</v>
      </c>
    </row>
    <row r="210" spans="1:1" ht="50.5" x14ac:dyDescent="0.25">
      <c r="A210" s="193" t="s">
        <v>726</v>
      </c>
    </row>
    <row r="211" spans="1:1" ht="50.5" x14ac:dyDescent="0.25">
      <c r="A211" s="195" t="s">
        <v>727</v>
      </c>
    </row>
    <row r="212" spans="1:1" ht="38" x14ac:dyDescent="0.25">
      <c r="A212" s="193" t="s">
        <v>728</v>
      </c>
    </row>
    <row r="213" spans="1:1" ht="38" x14ac:dyDescent="0.25">
      <c r="A213" s="193" t="s">
        <v>729</v>
      </c>
    </row>
    <row r="214" spans="1:1" ht="13" x14ac:dyDescent="0.3">
      <c r="A214" s="195" t="s">
        <v>693</v>
      </c>
    </row>
    <row r="215" spans="1:1" ht="25.5" x14ac:dyDescent="0.25">
      <c r="A215" s="193" t="s">
        <v>694</v>
      </c>
    </row>
    <row r="216" spans="1:1" ht="50.5" x14ac:dyDescent="0.25">
      <c r="A216" s="193" t="s">
        <v>695</v>
      </c>
    </row>
    <row r="218" spans="1:1" ht="91" x14ac:dyDescent="0.3">
      <c r="A218" s="194" t="s">
        <v>602</v>
      </c>
    </row>
    <row r="219" spans="1:1" ht="13" x14ac:dyDescent="0.3">
      <c r="A219" s="194"/>
    </row>
    <row r="220" spans="1:1" ht="37.5" x14ac:dyDescent="0.25">
      <c r="A220" s="193" t="s">
        <v>730</v>
      </c>
    </row>
    <row r="222" spans="1:1" s="196" customFormat="1" ht="13" x14ac:dyDescent="0.3">
      <c r="A222" s="194" t="s">
        <v>600</v>
      </c>
    </row>
    <row r="224" spans="1:1" ht="37.5" x14ac:dyDescent="0.25">
      <c r="A224" s="193" t="s">
        <v>731</v>
      </c>
    </row>
    <row r="226" spans="1:1" ht="52" x14ac:dyDescent="0.3">
      <c r="A226" s="194" t="s">
        <v>732</v>
      </c>
    </row>
    <row r="227" spans="1:1" ht="13" x14ac:dyDescent="0.3">
      <c r="A227" s="194"/>
    </row>
    <row r="228" spans="1:1" ht="39" x14ac:dyDescent="0.3">
      <c r="A228" s="194" t="s">
        <v>601</v>
      </c>
    </row>
    <row r="230" spans="1:1" ht="50" x14ac:dyDescent="0.25">
      <c r="A230" s="193" t="s">
        <v>733</v>
      </c>
    </row>
    <row r="232" spans="1:1" s="196" customFormat="1" ht="13" x14ac:dyDescent="0.3">
      <c r="A232" s="194" t="s">
        <v>603</v>
      </c>
    </row>
    <row r="234" spans="1:1" ht="37.5" x14ac:dyDescent="0.25">
      <c r="A234" s="193" t="s">
        <v>734</v>
      </c>
    </row>
    <row r="236" spans="1:1" ht="50" x14ac:dyDescent="0.25">
      <c r="A236" s="193" t="s">
        <v>735</v>
      </c>
    </row>
    <row r="238" spans="1:1" s="196" customFormat="1" ht="13" x14ac:dyDescent="0.3">
      <c r="A238" s="194" t="s">
        <v>604</v>
      </c>
    </row>
    <row r="239" spans="1:1" ht="13" x14ac:dyDescent="0.3">
      <c r="A239" s="194"/>
    </row>
    <row r="240" spans="1:1" ht="37.5" x14ac:dyDescent="0.25">
      <c r="A240" s="193" t="s">
        <v>674</v>
      </c>
    </row>
    <row r="242" spans="1:1" ht="62.5" x14ac:dyDescent="0.25">
      <c r="A242" s="193" t="s">
        <v>736</v>
      </c>
    </row>
    <row r="244" spans="1:1" s="196" customFormat="1" ht="13" x14ac:dyDescent="0.3">
      <c r="A244" s="194" t="s">
        <v>605</v>
      </c>
    </row>
    <row r="246" spans="1:1" ht="37.5" x14ac:dyDescent="0.25">
      <c r="A246" s="193" t="s">
        <v>737</v>
      </c>
    </row>
    <row r="248" spans="1:1" ht="39" x14ac:dyDescent="0.3">
      <c r="A248" s="194" t="s">
        <v>606</v>
      </c>
    </row>
    <row r="249" spans="1:1" ht="13" x14ac:dyDescent="0.3">
      <c r="A249" s="194"/>
    </row>
    <row r="250" spans="1:1" ht="13" x14ac:dyDescent="0.3">
      <c r="A250" s="194" t="s">
        <v>57</v>
      </c>
    </row>
    <row r="252" spans="1:1" ht="50" x14ac:dyDescent="0.25">
      <c r="A252" s="193" t="s">
        <v>738</v>
      </c>
    </row>
    <row r="254" spans="1:1" ht="26" x14ac:dyDescent="0.3">
      <c r="A254" s="194" t="s">
        <v>739</v>
      </c>
    </row>
    <row r="255" spans="1:1" ht="13" x14ac:dyDescent="0.3">
      <c r="A255" s="194"/>
    </row>
    <row r="256" spans="1:1" ht="65" x14ac:dyDescent="0.3">
      <c r="A256" s="194" t="s">
        <v>763</v>
      </c>
    </row>
    <row r="258" spans="1:1" ht="13" x14ac:dyDescent="0.3">
      <c r="A258" s="195" t="s">
        <v>63</v>
      </c>
    </row>
    <row r="260" spans="1:1" ht="37.5" x14ac:dyDescent="0.25">
      <c r="A260" s="193" t="s">
        <v>609</v>
      </c>
    </row>
    <row r="262" spans="1:1" ht="65" x14ac:dyDescent="0.3">
      <c r="A262" s="194" t="s">
        <v>740</v>
      </c>
    </row>
    <row r="264" spans="1:1" x14ac:dyDescent="0.25">
      <c r="A264" s="193" t="s">
        <v>608</v>
      </c>
    </row>
    <row r="265" spans="1:1" ht="38" x14ac:dyDescent="0.25">
      <c r="A265" s="195" t="s">
        <v>696</v>
      </c>
    </row>
    <row r="266" spans="1:1" ht="38" x14ac:dyDescent="0.25">
      <c r="A266" s="195" t="s">
        <v>697</v>
      </c>
    </row>
    <row r="267" spans="1:1" ht="25.5" x14ac:dyDescent="0.25">
      <c r="A267" s="195" t="s">
        <v>698</v>
      </c>
    </row>
    <row r="268" spans="1:1" ht="13" x14ac:dyDescent="0.3">
      <c r="A268" s="195" t="s">
        <v>687</v>
      </c>
    </row>
    <row r="269" spans="1:1" ht="50.5" x14ac:dyDescent="0.25">
      <c r="A269" s="195" t="s">
        <v>741</v>
      </c>
    </row>
    <row r="270" spans="1:1" ht="50.5" x14ac:dyDescent="0.25">
      <c r="A270" s="193" t="s">
        <v>762</v>
      </c>
    </row>
    <row r="271" spans="1:1" ht="50.5" x14ac:dyDescent="0.25">
      <c r="A271" s="193" t="s">
        <v>742</v>
      </c>
    </row>
    <row r="272" spans="1:1" ht="38" x14ac:dyDescent="0.25">
      <c r="A272" s="193" t="s">
        <v>689</v>
      </c>
    </row>
    <row r="273" spans="1:1" ht="38" x14ac:dyDescent="0.25">
      <c r="A273" s="193" t="s">
        <v>690</v>
      </c>
    </row>
    <row r="274" spans="1:1" ht="50.5" x14ac:dyDescent="0.25">
      <c r="A274" s="195" t="s">
        <v>699</v>
      </c>
    </row>
    <row r="275" spans="1:1" ht="13" x14ac:dyDescent="0.3">
      <c r="A275" s="195"/>
    </row>
    <row r="276" spans="1:1" x14ac:dyDescent="0.25">
      <c r="A276" s="193" t="s">
        <v>610</v>
      </c>
    </row>
    <row r="277" spans="1:1" ht="50.5" x14ac:dyDescent="0.25">
      <c r="A277" s="193" t="s">
        <v>743</v>
      </c>
    </row>
    <row r="278" spans="1:1" ht="50.5" x14ac:dyDescent="0.25">
      <c r="A278" s="195" t="s">
        <v>744</v>
      </c>
    </row>
    <row r="279" spans="1:1" ht="38" x14ac:dyDescent="0.25">
      <c r="A279" s="193" t="s">
        <v>745</v>
      </c>
    </row>
    <row r="280" spans="1:1" ht="38" x14ac:dyDescent="0.25">
      <c r="A280" s="193" t="s">
        <v>746</v>
      </c>
    </row>
    <row r="281" spans="1:1" ht="13" x14ac:dyDescent="0.3">
      <c r="A281" s="195" t="s">
        <v>700</v>
      </c>
    </row>
    <row r="282" spans="1:1" ht="50.5" x14ac:dyDescent="0.25">
      <c r="A282" s="193" t="s">
        <v>695</v>
      </c>
    </row>
    <row r="284" spans="1:1" ht="91" x14ac:dyDescent="0.3">
      <c r="A284" s="194" t="s">
        <v>602</v>
      </c>
    </row>
    <row r="285" spans="1:1" ht="13" x14ac:dyDescent="0.3">
      <c r="A285" s="194"/>
    </row>
    <row r="286" spans="1:1" ht="37.5" x14ac:dyDescent="0.25">
      <c r="A286" s="193" t="s">
        <v>747</v>
      </c>
    </row>
    <row r="288" spans="1:1" ht="13" x14ac:dyDescent="0.3">
      <c r="A288" s="194" t="s">
        <v>600</v>
      </c>
    </row>
    <row r="290" spans="1:1" ht="37.5" x14ac:dyDescent="0.25">
      <c r="A290" s="193" t="s">
        <v>731</v>
      </c>
    </row>
    <row r="292" spans="1:1" ht="52" x14ac:dyDescent="0.3">
      <c r="A292" s="194" t="s">
        <v>748</v>
      </c>
    </row>
    <row r="293" spans="1:1" ht="13" x14ac:dyDescent="0.3">
      <c r="A293" s="194"/>
    </row>
    <row r="294" spans="1:1" ht="39" x14ac:dyDescent="0.3">
      <c r="A294" s="194" t="s">
        <v>601</v>
      </c>
    </row>
    <row r="296" spans="1:1" ht="50" x14ac:dyDescent="0.25">
      <c r="A296" s="193" t="s">
        <v>733</v>
      </c>
    </row>
    <row r="298" spans="1:1" ht="13" x14ac:dyDescent="0.3">
      <c r="A298" s="194" t="s">
        <v>611</v>
      </c>
    </row>
    <row r="300" spans="1:1" ht="50" x14ac:dyDescent="0.25">
      <c r="A300" s="193" t="s">
        <v>749</v>
      </c>
    </row>
    <row r="302" spans="1:1" ht="13" x14ac:dyDescent="0.3">
      <c r="A302" s="194" t="s">
        <v>57</v>
      </c>
    </row>
    <row r="304" spans="1:1" ht="50" x14ac:dyDescent="0.25">
      <c r="A304" s="193" t="s">
        <v>750</v>
      </c>
    </row>
    <row r="306" spans="1:1" ht="26" x14ac:dyDescent="0.3">
      <c r="A306" s="194" t="s">
        <v>739</v>
      </c>
    </row>
    <row r="307" spans="1:1" ht="13" x14ac:dyDescent="0.3">
      <c r="A307" s="194"/>
    </row>
    <row r="308" spans="1:1" ht="65" x14ac:dyDescent="0.3">
      <c r="A308" s="194" t="s">
        <v>763</v>
      </c>
    </row>
    <row r="310" spans="1:1" ht="13" x14ac:dyDescent="0.3">
      <c r="A310" s="195" t="s">
        <v>607</v>
      </c>
    </row>
    <row r="312" spans="1:1" ht="50" x14ac:dyDescent="0.25">
      <c r="A312" s="193" t="s">
        <v>612</v>
      </c>
    </row>
    <row r="313" spans="1:1" ht="13" x14ac:dyDescent="0.3">
      <c r="A313" s="194"/>
    </row>
    <row r="314" spans="1:1" ht="25" x14ac:dyDescent="0.25">
      <c r="A314" s="193" t="s">
        <v>669</v>
      </c>
    </row>
    <row r="316" spans="1:1" ht="52" x14ac:dyDescent="0.3">
      <c r="A316" s="194" t="s">
        <v>613</v>
      </c>
    </row>
    <row r="317" spans="1:1" ht="13" x14ac:dyDescent="0.3">
      <c r="A317" s="194"/>
    </row>
    <row r="318" spans="1:1" ht="52" x14ac:dyDescent="0.3">
      <c r="A318" s="194" t="s">
        <v>177</v>
      </c>
    </row>
    <row r="319" spans="1:1" ht="13" x14ac:dyDescent="0.3">
      <c r="A319" s="194"/>
    </row>
    <row r="320" spans="1:1" ht="13" x14ac:dyDescent="0.3">
      <c r="A320" s="195" t="s">
        <v>614</v>
      </c>
    </row>
    <row r="322" spans="1:1" ht="37.5" x14ac:dyDescent="0.25">
      <c r="A322" s="193" t="s">
        <v>615</v>
      </c>
    </row>
    <row r="323" spans="1:1" ht="13" x14ac:dyDescent="0.3">
      <c r="A323" s="194"/>
    </row>
    <row r="324" spans="1:1" ht="25" x14ac:dyDescent="0.25">
      <c r="A324" s="193" t="s">
        <v>670</v>
      </c>
    </row>
    <row r="326" spans="1:1" ht="52" x14ac:dyDescent="0.3">
      <c r="A326" s="194" t="s">
        <v>673</v>
      </c>
    </row>
    <row r="327" spans="1:1" ht="13" x14ac:dyDescent="0.3">
      <c r="A327" s="194"/>
    </row>
    <row r="328" spans="1:1" ht="13" x14ac:dyDescent="0.3">
      <c r="A328" s="195" t="s">
        <v>178</v>
      </c>
    </row>
    <row r="329" spans="1:1" ht="13" x14ac:dyDescent="0.3">
      <c r="A329" s="194"/>
    </row>
    <row r="330" spans="1:1" ht="25" x14ac:dyDescent="0.25">
      <c r="A330" s="193" t="s">
        <v>179</v>
      </c>
    </row>
    <row r="331" spans="1:1" ht="13" x14ac:dyDescent="0.3">
      <c r="A331" s="194"/>
    </row>
    <row r="332" spans="1:1" ht="26" x14ac:dyDescent="0.3">
      <c r="A332" s="194" t="s">
        <v>616</v>
      </c>
    </row>
    <row r="333" spans="1:1" ht="52" x14ac:dyDescent="0.3">
      <c r="A333" s="194" t="s">
        <v>752</v>
      </c>
    </row>
    <row r="334" spans="1:1" ht="39" x14ac:dyDescent="0.3">
      <c r="A334" s="194" t="s">
        <v>751</v>
      </c>
    </row>
    <row r="335" spans="1:1" ht="13" x14ac:dyDescent="0.3">
      <c r="A335" s="194"/>
    </row>
    <row r="336" spans="1:1" ht="39" x14ac:dyDescent="0.3">
      <c r="A336" s="194" t="s">
        <v>617</v>
      </c>
    </row>
    <row r="338" spans="1:1" ht="13" x14ac:dyDescent="0.3">
      <c r="A338" s="195" t="s">
        <v>379</v>
      </c>
    </row>
    <row r="340" spans="1:1" ht="37.5" x14ac:dyDescent="0.25">
      <c r="A340" s="193" t="s">
        <v>753</v>
      </c>
    </row>
    <row r="342" spans="1:1" ht="37.5" x14ac:dyDescent="0.25">
      <c r="A342" s="193" t="s">
        <v>708</v>
      </c>
    </row>
    <row r="344" spans="1:1" ht="50" x14ac:dyDescent="0.25">
      <c r="A344" s="193" t="s">
        <v>618</v>
      </c>
    </row>
    <row r="346" spans="1:1" ht="39" x14ac:dyDescent="0.3">
      <c r="A346" s="194" t="s">
        <v>619</v>
      </c>
    </row>
    <row r="348" spans="1:1" ht="62.5" x14ac:dyDescent="0.25">
      <c r="A348" s="193" t="s">
        <v>620</v>
      </c>
    </row>
    <row r="350" spans="1:1" ht="62.5" x14ac:dyDescent="0.25">
      <c r="A350" s="193" t="s">
        <v>621</v>
      </c>
    </row>
    <row r="352" spans="1:1" ht="52" x14ac:dyDescent="0.3">
      <c r="A352" s="194" t="s">
        <v>647</v>
      </c>
    </row>
    <row r="353" spans="1:1" ht="13" x14ac:dyDescent="0.3">
      <c r="A353" s="194"/>
    </row>
    <row r="354" spans="1:1" ht="52" x14ac:dyDescent="0.3">
      <c r="A354" s="194" t="s">
        <v>709</v>
      </c>
    </row>
    <row r="356" spans="1:1" ht="13" x14ac:dyDescent="0.3">
      <c r="A356" s="195" t="s">
        <v>380</v>
      </c>
    </row>
    <row r="358" spans="1:1" ht="25" x14ac:dyDescent="0.25">
      <c r="A358" s="193" t="s">
        <v>754</v>
      </c>
    </row>
    <row r="360" spans="1:1" ht="52" x14ac:dyDescent="0.3">
      <c r="A360" s="194" t="s">
        <v>622</v>
      </c>
    </row>
    <row r="362" spans="1:1" ht="39" x14ac:dyDescent="0.3">
      <c r="A362" s="194" t="s">
        <v>623</v>
      </c>
    </row>
    <row r="363" spans="1:1" ht="13" x14ac:dyDescent="0.3">
      <c r="A363" s="194"/>
    </row>
    <row r="364" spans="1:1" ht="26" x14ac:dyDescent="0.3">
      <c r="A364" s="194" t="s">
        <v>624</v>
      </c>
    </row>
    <row r="366" spans="1:1" ht="13" x14ac:dyDescent="0.3">
      <c r="A366" s="195" t="s">
        <v>100</v>
      </c>
    </row>
    <row r="368" spans="1:1" ht="25" x14ac:dyDescent="0.25">
      <c r="A368" s="193" t="s">
        <v>755</v>
      </c>
    </row>
    <row r="370" spans="1:1" ht="62.5" x14ac:dyDescent="0.25">
      <c r="A370" s="193" t="s">
        <v>625</v>
      </c>
    </row>
    <row r="372" spans="1:1" ht="50" x14ac:dyDescent="0.25">
      <c r="A372" s="193" t="s">
        <v>671</v>
      </c>
    </row>
    <row r="374" spans="1:1" ht="26" x14ac:dyDescent="0.3">
      <c r="A374" s="194" t="s">
        <v>626</v>
      </c>
    </row>
    <row r="376" spans="1:1" ht="26" x14ac:dyDescent="0.3">
      <c r="A376" s="194" t="s">
        <v>710</v>
      </c>
    </row>
    <row r="378" spans="1:1" ht="13" x14ac:dyDescent="0.3">
      <c r="A378" s="194" t="s">
        <v>627</v>
      </c>
    </row>
    <row r="380" spans="1:1" ht="50" x14ac:dyDescent="0.25">
      <c r="A380" s="193" t="s">
        <v>628</v>
      </c>
    </row>
    <row r="382" spans="1:1" ht="52" x14ac:dyDescent="0.3">
      <c r="A382" s="194" t="s">
        <v>629</v>
      </c>
    </row>
    <row r="383" spans="1:1" ht="13" x14ac:dyDescent="0.3">
      <c r="A383" s="194"/>
    </row>
    <row r="384" spans="1:1" ht="13" x14ac:dyDescent="0.3">
      <c r="A384" s="194" t="s">
        <v>630</v>
      </c>
    </row>
    <row r="385" spans="1:1" ht="52" x14ac:dyDescent="0.3">
      <c r="A385" s="194" t="s">
        <v>180</v>
      </c>
    </row>
    <row r="386" spans="1:1" ht="26" x14ac:dyDescent="0.3">
      <c r="A386" s="194" t="s">
        <v>181</v>
      </c>
    </row>
    <row r="387" spans="1:1" ht="26" x14ac:dyDescent="0.3">
      <c r="A387" s="194" t="s">
        <v>632</v>
      </c>
    </row>
    <row r="388" spans="1:1" ht="65" x14ac:dyDescent="0.3">
      <c r="A388" s="194" t="s">
        <v>631</v>
      </c>
    </row>
    <row r="389" spans="1:1" ht="52" x14ac:dyDescent="0.3">
      <c r="A389" s="194" t="s">
        <v>656</v>
      </c>
    </row>
    <row r="390" spans="1:1" ht="26" x14ac:dyDescent="0.3">
      <c r="A390" s="194" t="s">
        <v>537</v>
      </c>
    </row>
    <row r="391" spans="1:1" ht="78" x14ac:dyDescent="0.3">
      <c r="A391" s="194" t="s">
        <v>711</v>
      </c>
    </row>
    <row r="392" spans="1:1" ht="26" x14ac:dyDescent="0.3">
      <c r="A392" s="194" t="s">
        <v>633</v>
      </c>
    </row>
    <row r="393" spans="1:1" ht="13" x14ac:dyDescent="0.3">
      <c r="A393" s="194"/>
    </row>
    <row r="394" spans="1:1" ht="38.9" customHeight="1" x14ac:dyDescent="0.3">
      <c r="A394" s="194" t="s">
        <v>634</v>
      </c>
    </row>
    <row r="396" spans="1:1" ht="13" x14ac:dyDescent="0.3">
      <c r="A396" s="195" t="s">
        <v>637</v>
      </c>
    </row>
    <row r="398" spans="1:1" ht="37.5" x14ac:dyDescent="0.25">
      <c r="A398" s="193" t="s">
        <v>648</v>
      </c>
    </row>
    <row r="400" spans="1:1" ht="26" x14ac:dyDescent="0.3">
      <c r="A400" s="194" t="s">
        <v>638</v>
      </c>
    </row>
    <row r="402" spans="1:1" ht="39" x14ac:dyDescent="0.3">
      <c r="A402" s="194" t="s">
        <v>649</v>
      </c>
    </row>
    <row r="404" spans="1:1" ht="13" x14ac:dyDescent="0.3">
      <c r="A404" s="195" t="s">
        <v>639</v>
      </c>
    </row>
    <row r="406" spans="1:1" ht="37.5" x14ac:dyDescent="0.25">
      <c r="A406" s="193" t="s">
        <v>768</v>
      </c>
    </row>
    <row r="408" spans="1:1" ht="50" x14ac:dyDescent="0.25">
      <c r="A408" s="193" t="s">
        <v>756</v>
      </c>
    </row>
    <row r="410" spans="1:1" ht="39" x14ac:dyDescent="0.3">
      <c r="A410" s="194" t="s">
        <v>757</v>
      </c>
    </row>
    <row r="412" spans="1:1" ht="25" x14ac:dyDescent="0.25">
      <c r="A412" s="193" t="s">
        <v>640</v>
      </c>
    </row>
    <row r="414" spans="1:1" ht="37.5" x14ac:dyDescent="0.25">
      <c r="A414" s="193" t="s">
        <v>641</v>
      </c>
    </row>
    <row r="416" spans="1:1" ht="39" x14ac:dyDescent="0.3">
      <c r="A416" s="194" t="s">
        <v>758</v>
      </c>
    </row>
    <row r="418" spans="1:2" ht="39" x14ac:dyDescent="0.3">
      <c r="A418" s="194" t="s">
        <v>759</v>
      </c>
    </row>
    <row r="419" spans="1:2" ht="13" x14ac:dyDescent="0.3">
      <c r="A419" s="194"/>
    </row>
    <row r="420" spans="1:2" ht="52" x14ac:dyDescent="0.3">
      <c r="A420" s="194" t="s">
        <v>760</v>
      </c>
    </row>
    <row r="422" spans="1:2" ht="26" x14ac:dyDescent="0.3">
      <c r="A422" s="194" t="s">
        <v>761</v>
      </c>
    </row>
    <row r="424" spans="1:2" ht="13" x14ac:dyDescent="0.3">
      <c r="A424" s="195" t="s">
        <v>111</v>
      </c>
    </row>
    <row r="426" spans="1:2" ht="37.5" x14ac:dyDescent="0.25">
      <c r="A426" s="193" t="s">
        <v>635</v>
      </c>
    </row>
    <row r="428" spans="1:2" ht="50" x14ac:dyDescent="0.25">
      <c r="A428" s="193" t="s">
        <v>636</v>
      </c>
    </row>
    <row r="430" spans="1:2" ht="13" x14ac:dyDescent="0.3">
      <c r="A430" s="198" t="s">
        <v>58</v>
      </c>
    </row>
    <row r="432" spans="1:2" ht="50" x14ac:dyDescent="0.25">
      <c r="A432" s="193" t="s">
        <v>0</v>
      </c>
      <c r="B432" s="199"/>
    </row>
    <row r="433" spans="1:2" x14ac:dyDescent="0.25">
      <c r="B433" s="199"/>
    </row>
    <row r="434" spans="1:2" s="199" customFormat="1" ht="13" x14ac:dyDescent="0.3">
      <c r="A434" s="195" t="s">
        <v>182</v>
      </c>
    </row>
    <row r="435" spans="1:2" s="199" customFormat="1" ht="13" x14ac:dyDescent="0.3">
      <c r="A435" s="195"/>
      <c r="B435" s="190"/>
    </row>
    <row r="436" spans="1:2" s="199" customFormat="1" ht="75" x14ac:dyDescent="0.25">
      <c r="A436" s="193" t="s">
        <v>183</v>
      </c>
      <c r="B436" s="190"/>
    </row>
  </sheetData>
  <sheetProtection selectLockedCells="1"/>
  <phoneticPr fontId="2" type="noConversion"/>
  <hyperlinks>
    <hyperlink ref="A3" r:id="rId1" xr:uid="{00000000-0004-0000-0300-000000000000}"/>
  </hyperlinks>
  <pageMargins left="0.59055118110236227" right="0.59055118110236227" top="0.59055118110236227" bottom="0.59055118110236227" header="0.39370078740157483" footer="0.39370078740157483"/>
  <pageSetup paperSize="9" scale="84" fitToHeight="0" orientation="portrait" r:id="rId2"/>
  <headerFooter alignWithMargins="0">
    <oddFooter>&amp;C&amp;9Page &amp;P of &amp;N</oddFooter>
  </headerFooter>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F49"/>
  <sheetViews>
    <sheetView zoomScale="95" zoomScaleNormal="95" workbookViewId="0">
      <selection activeCell="C4" sqref="C4:D4"/>
    </sheetView>
  </sheetViews>
  <sheetFormatPr defaultColWidth="9.08984375" defaultRowHeight="16" customHeight="1" x14ac:dyDescent="0.25"/>
  <cols>
    <col min="1" max="1" width="8.6328125" style="4" customWidth="1"/>
    <col min="2" max="2" width="15.6328125" style="4" customWidth="1"/>
    <col min="3" max="5" width="20.6328125" style="4" customWidth="1"/>
    <col min="6" max="13" width="15.6328125" style="4" customWidth="1"/>
    <col min="14" max="16384" width="9.08984375" style="4"/>
  </cols>
  <sheetData>
    <row r="1" spans="1:6" ht="16" customHeight="1" x14ac:dyDescent="0.3">
      <c r="A1" s="25" t="str">
        <f>IF(ISBLANK($C$4),"Example Limited",$C$4)</f>
        <v>Example (Pty) Limited</v>
      </c>
      <c r="B1" s="3"/>
      <c r="D1" s="5"/>
    </row>
    <row r="2" spans="1:6" ht="16" customHeight="1" x14ac:dyDescent="0.25">
      <c r="A2" s="6" t="s">
        <v>185</v>
      </c>
      <c r="B2" s="6"/>
    </row>
    <row r="3" spans="1:6" ht="16" customHeight="1" x14ac:dyDescent="0.25">
      <c r="A3" s="7" t="s">
        <v>350</v>
      </c>
      <c r="F3" s="5"/>
    </row>
    <row r="4" spans="1:6" ht="16" customHeight="1" x14ac:dyDescent="0.25">
      <c r="A4" s="3" t="s">
        <v>65</v>
      </c>
      <c r="C4" s="205" t="s">
        <v>186</v>
      </c>
      <c r="D4" s="206"/>
    </row>
    <row r="6" spans="1:6" ht="16" customHeight="1" x14ac:dyDescent="0.25">
      <c r="A6" s="3" t="s">
        <v>187</v>
      </c>
      <c r="B6" s="3"/>
    </row>
    <row r="7" spans="1:6" ht="16" customHeight="1" x14ac:dyDescent="0.25">
      <c r="D7" s="8" t="s">
        <v>538</v>
      </c>
    </row>
    <row r="8" spans="1:6" ht="16" customHeight="1" x14ac:dyDescent="0.25">
      <c r="A8" s="4" t="s">
        <v>539</v>
      </c>
      <c r="C8" s="9">
        <v>2021</v>
      </c>
      <c r="D8" s="10">
        <f ca="1">IF(ISBLANK(C8),IF(MONTH(TODAY())&gt;MONTH($C$12),DATE(YEAR(TODAY()),MONTH($C$12)+1,1),DATE(YEAR(TODAY())-1,MONTH($C$12)+1,1)),DATE(C8-1,MONTH($C$12)+1,1))</f>
        <v>43891</v>
      </c>
      <c r="E8" s="6" t="s">
        <v>410</v>
      </c>
    </row>
    <row r="9" spans="1:6" ht="16" customHeight="1" x14ac:dyDescent="0.25">
      <c r="D9" s="8" t="s">
        <v>538</v>
      </c>
    </row>
    <row r="10" spans="1:6" ht="16" customHeight="1" x14ac:dyDescent="0.25">
      <c r="A10" s="4" t="s">
        <v>540</v>
      </c>
      <c r="C10" s="9">
        <v>2021</v>
      </c>
      <c r="D10" s="10">
        <f ca="1">IF(ISBLANK(C10),IF(MONTH(TODAY())&gt;MONTH($C$12),DATE(YEAR(TODAY()),MONTH($C$12)+1,1),DATE(YEAR(TODAY())-1,MONTH($C$12)+1,1)),DATE(C10-1,MONTH($C$12)+1,1))</f>
        <v>43891</v>
      </c>
      <c r="E10" s="6" t="s">
        <v>411</v>
      </c>
    </row>
    <row r="12" spans="1:6" ht="16" customHeight="1" x14ac:dyDescent="0.25">
      <c r="A12" s="4" t="s">
        <v>544</v>
      </c>
      <c r="C12" s="11">
        <v>43132</v>
      </c>
      <c r="E12" s="10"/>
    </row>
    <row r="14" spans="1:6" ht="16" customHeight="1" x14ac:dyDescent="0.25">
      <c r="A14" s="3" t="s">
        <v>57</v>
      </c>
    </row>
    <row r="15" spans="1:6" s="12" customFormat="1" ht="16" customHeight="1" x14ac:dyDescent="0.25">
      <c r="A15" s="6" t="s">
        <v>144</v>
      </c>
      <c r="B15" s="6" t="s">
        <v>61</v>
      </c>
      <c r="D15" s="8" t="s">
        <v>412</v>
      </c>
      <c r="E15" s="4"/>
    </row>
    <row r="16" spans="1:6" ht="16" customHeight="1" x14ac:dyDescent="0.25">
      <c r="A16" s="13" t="s">
        <v>93</v>
      </c>
      <c r="B16" s="14" t="s">
        <v>417</v>
      </c>
      <c r="C16" s="15"/>
      <c r="D16" s="16">
        <v>0.15</v>
      </c>
    </row>
    <row r="17" spans="1:5" ht="16" customHeight="1" x14ac:dyDescent="0.25">
      <c r="A17" s="13" t="s">
        <v>184</v>
      </c>
      <c r="B17" s="14" t="s">
        <v>418</v>
      </c>
      <c r="C17" s="15"/>
      <c r="D17" s="16">
        <v>0</v>
      </c>
    </row>
    <row r="18" spans="1:5" ht="16" customHeight="1" x14ac:dyDescent="0.25">
      <c r="A18" s="13" t="s">
        <v>413</v>
      </c>
      <c r="B18" s="14" t="s">
        <v>419</v>
      </c>
      <c r="C18" s="15"/>
      <c r="D18" s="16">
        <v>0</v>
      </c>
    </row>
    <row r="19" spans="1:5" ht="16" customHeight="1" x14ac:dyDescent="0.25">
      <c r="A19" s="13" t="s">
        <v>108</v>
      </c>
      <c r="B19" s="14" t="s">
        <v>414</v>
      </c>
      <c r="C19" s="15"/>
      <c r="D19" s="16">
        <v>0</v>
      </c>
    </row>
    <row r="20" spans="1:5" ht="16" customHeight="1" x14ac:dyDescent="0.25">
      <c r="A20" s="13" t="s">
        <v>415</v>
      </c>
      <c r="B20" s="14" t="s">
        <v>416</v>
      </c>
      <c r="C20" s="15"/>
      <c r="D20" s="16">
        <v>0</v>
      </c>
    </row>
    <row r="21" spans="1:5" ht="16" customHeight="1" x14ac:dyDescent="0.25">
      <c r="A21" s="6" t="s">
        <v>216</v>
      </c>
      <c r="B21" s="17"/>
      <c r="C21" s="17"/>
      <c r="D21" s="18"/>
    </row>
    <row r="23" spans="1:5" ht="16" customHeight="1" x14ac:dyDescent="0.25">
      <c r="A23" s="3" t="s">
        <v>143</v>
      </c>
    </row>
    <row r="24" spans="1:5" s="6" customFormat="1" ht="16" customHeight="1" x14ac:dyDescent="0.25">
      <c r="A24" s="6" t="s">
        <v>144</v>
      </c>
      <c r="B24" s="6" t="s">
        <v>61</v>
      </c>
      <c r="D24" s="8" t="s">
        <v>407</v>
      </c>
      <c r="E24" s="8" t="s">
        <v>408</v>
      </c>
    </row>
    <row r="25" spans="1:5" ht="16" customHeight="1" x14ac:dyDescent="0.25">
      <c r="A25" s="13" t="s">
        <v>145</v>
      </c>
      <c r="B25" s="14" t="s">
        <v>146</v>
      </c>
      <c r="C25" s="15"/>
      <c r="D25" s="19" t="str">
        <f ca="1">IF(ISNA(MATCH($A25,TB!$H$74:$H$84,0)),"add!","ok")</f>
        <v>ok</v>
      </c>
      <c r="E25" s="19" t="str">
        <f ca="1">IF(ISNA(MATCH("BS-B"&amp;$A25,BS!$A$4:$A$24,0)),"add!","ok")</f>
        <v>ok</v>
      </c>
    </row>
    <row r="26" spans="1:5" ht="16" customHeight="1" x14ac:dyDescent="0.25">
      <c r="A26" s="13" t="s">
        <v>147</v>
      </c>
      <c r="B26" s="14" t="s">
        <v>148</v>
      </c>
      <c r="C26" s="15"/>
      <c r="D26" s="19" t="str">
        <f ca="1">IF(ISNA(MATCH($A26,TB!$H$74:$H$84,0)),"add!","ok")</f>
        <v>ok</v>
      </c>
      <c r="E26" s="19" t="str">
        <f ca="1">IF(ISNA(MATCH("BS-B"&amp;$A26,BS!$A$4:$A$24,0)),"add!","ok")</f>
        <v>ok</v>
      </c>
    </row>
    <row r="27" spans="1:5" ht="16" customHeight="1" x14ac:dyDescent="0.25">
      <c r="A27" s="13" t="s">
        <v>149</v>
      </c>
      <c r="B27" s="14" t="s">
        <v>150</v>
      </c>
      <c r="C27" s="15"/>
      <c r="D27" s="19" t="str">
        <f ca="1">IF(ISNA(MATCH($A27,TB!$H$74:$H$84,0)),"add!","ok")</f>
        <v>ok</v>
      </c>
      <c r="E27" s="19" t="str">
        <f ca="1">IF(ISNA(MATCH("BS-B"&amp;$A27,BS!$A$4:$A$24,0)),"add!","ok")</f>
        <v>ok</v>
      </c>
    </row>
    <row r="28" spans="1:5" ht="16" customHeight="1" x14ac:dyDescent="0.25">
      <c r="A28" s="13" t="s">
        <v>151</v>
      </c>
      <c r="B28" s="14" t="s">
        <v>215</v>
      </c>
      <c r="C28" s="15"/>
      <c r="D28" s="19" t="str">
        <f ca="1">IF(ISNA(MATCH($A28,TB!$H$74:$H$84,0)),"add!","ok")</f>
        <v>ok</v>
      </c>
      <c r="E28" s="19" t="str">
        <f ca="1">IF(ISNA(MATCH("BS-B"&amp;$A28,BS!$A$4:$A$24,0)),"add!","ok")</f>
        <v>ok</v>
      </c>
    </row>
    <row r="29" spans="1:5" ht="16" customHeight="1" x14ac:dyDescent="0.25">
      <c r="A29" s="20" t="s">
        <v>217</v>
      </c>
      <c r="B29" s="21" t="s">
        <v>218</v>
      </c>
      <c r="C29" s="22"/>
      <c r="D29" s="19" t="str">
        <f ca="1">IF(ISNA(MATCH($A29,TB!$H$74:$H$84,0)),"add!","ok")</f>
        <v>ok</v>
      </c>
      <c r="E29" s="19" t="str">
        <f ca="1">IF(ISNA(MATCH("BS-B"&amp;$A29,BS!$A$4:$A$24,0)),"add!","ok")</f>
        <v>ok</v>
      </c>
    </row>
    <row r="30" spans="1:5" s="6" customFormat="1" ht="16" customHeight="1" x14ac:dyDescent="0.25">
      <c r="A30" s="6" t="s">
        <v>216</v>
      </c>
      <c r="B30" s="23"/>
      <c r="C30" s="23"/>
    </row>
    <row r="32" spans="1:5" s="3" customFormat="1" ht="16" customHeight="1" x14ac:dyDescent="0.25">
      <c r="A32" s="3" t="s">
        <v>152</v>
      </c>
    </row>
    <row r="33" spans="1:2" s="6" customFormat="1" ht="16" customHeight="1" x14ac:dyDescent="0.25">
      <c r="A33" s="6" t="s">
        <v>144</v>
      </c>
      <c r="B33" s="6" t="s">
        <v>153</v>
      </c>
    </row>
    <row r="34" spans="1:2" ht="16" customHeight="1" x14ac:dyDescent="0.25">
      <c r="A34" s="4" t="s">
        <v>154</v>
      </c>
      <c r="B34" s="4" t="s">
        <v>155</v>
      </c>
    </row>
    <row r="35" spans="1:2" ht="16" customHeight="1" x14ac:dyDescent="0.25">
      <c r="A35" s="4" t="s">
        <v>156</v>
      </c>
      <c r="B35" s="4" t="s">
        <v>157</v>
      </c>
    </row>
    <row r="36" spans="1:2" ht="16" customHeight="1" x14ac:dyDescent="0.25">
      <c r="A36" s="4" t="s">
        <v>158</v>
      </c>
      <c r="B36" s="4" t="s">
        <v>159</v>
      </c>
    </row>
    <row r="38" spans="1:2" ht="16" customHeight="1" x14ac:dyDescent="0.25">
      <c r="B38" s="24">
        <f ca="1">DATE(YEAR(TODAY()),1,1)</f>
        <v>45292</v>
      </c>
    </row>
    <row r="39" spans="1:2" ht="16" customHeight="1" x14ac:dyDescent="0.25">
      <c r="B39" s="24">
        <f ca="1">DATE(YEAR(TODAY()),2,1)</f>
        <v>45323</v>
      </c>
    </row>
    <row r="40" spans="1:2" ht="16" customHeight="1" x14ac:dyDescent="0.25">
      <c r="B40" s="24">
        <f ca="1">DATE(YEAR(TODAY()),3,1)</f>
        <v>45352</v>
      </c>
    </row>
    <row r="41" spans="1:2" ht="16" customHeight="1" x14ac:dyDescent="0.25">
      <c r="B41" s="24">
        <f ca="1">DATE(YEAR(TODAY()),4,1)</f>
        <v>45383</v>
      </c>
    </row>
    <row r="42" spans="1:2" ht="16" customHeight="1" x14ac:dyDescent="0.25">
      <c r="B42" s="24">
        <f ca="1">DATE(YEAR(TODAY()),5,1)</f>
        <v>45413</v>
      </c>
    </row>
    <row r="43" spans="1:2" ht="16" customHeight="1" x14ac:dyDescent="0.25">
      <c r="B43" s="24">
        <f ca="1">DATE(YEAR(TODAY()),6,1)</f>
        <v>45444</v>
      </c>
    </row>
    <row r="44" spans="1:2" ht="16" customHeight="1" x14ac:dyDescent="0.25">
      <c r="B44" s="24">
        <f ca="1">DATE(YEAR(TODAY()),7,1)</f>
        <v>45474</v>
      </c>
    </row>
    <row r="45" spans="1:2" ht="16" customHeight="1" x14ac:dyDescent="0.25">
      <c r="B45" s="24">
        <f ca="1">DATE(YEAR(TODAY()),8,1)</f>
        <v>45505</v>
      </c>
    </row>
    <row r="46" spans="1:2" ht="16" customHeight="1" x14ac:dyDescent="0.25">
      <c r="B46" s="24">
        <f ca="1">DATE(YEAR(TODAY()),9,1)</f>
        <v>45536</v>
      </c>
    </row>
    <row r="47" spans="1:2" ht="16" customHeight="1" x14ac:dyDescent="0.25">
      <c r="B47" s="24">
        <f ca="1">DATE(YEAR(TODAY()),10,1)</f>
        <v>45566</v>
      </c>
    </row>
    <row r="48" spans="1:2" ht="16" customHeight="1" x14ac:dyDescent="0.25">
      <c r="B48" s="24">
        <f ca="1">DATE(YEAR(TODAY()),11,1)</f>
        <v>45597</v>
      </c>
    </row>
    <row r="49" spans="2:2" ht="16" customHeight="1" x14ac:dyDescent="0.25">
      <c r="B49" s="24">
        <f ca="1">DATE(YEAR(TODAY()),12,1)</f>
        <v>45627</v>
      </c>
    </row>
  </sheetData>
  <mergeCells count="1">
    <mergeCell ref="C4:D4"/>
  </mergeCells>
  <phoneticPr fontId="2" type="noConversion"/>
  <dataValidations count="2">
    <dataValidation type="list" allowBlank="1" showInputMessage="1" showErrorMessage="1" sqref="C12" xr:uid="{00000000-0002-0000-0400-000000000000}">
      <formula1>MonthNames</formula1>
    </dataValidation>
    <dataValidation type="decimal" allowBlank="1" showInputMessage="1" showErrorMessage="1" errorTitle="Invalid Tax %" error="The applicable tax percentage needs to be entered as a percentage value - only values between 0 and 1 are therefore accepted." sqref="D16:D17 C18:D21" xr:uid="{00000000-0002-0000-0400-000001000000}">
      <formula1>0</formula1>
      <formula2>1</formula2>
    </dataValidation>
  </dataValidations>
  <pageMargins left="0.59055118110236227" right="0.59055118110236227" top="0.59055118110236227" bottom="0.59055118110236227" header="0.39370078740157483" footer="0.39370078740157483"/>
  <pageSetup paperSize="9" scale="78" orientation="portrait" r:id="rId1"/>
  <headerFooter alignWithMargins="0">
    <oddFooter>Page &amp;P of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A1:B36"/>
  <sheetViews>
    <sheetView zoomScale="95" zoomScaleNormal="95" workbookViewId="0">
      <pane ySplit="4" topLeftCell="A5" activePane="bottomLeft" state="frozen"/>
      <selection pane="bottomLeft" activeCell="A4" sqref="A4"/>
    </sheetView>
  </sheetViews>
  <sheetFormatPr defaultColWidth="9.08984375" defaultRowHeight="16" customHeight="1" x14ac:dyDescent="0.25"/>
  <cols>
    <col min="1" max="1" width="10.6328125" style="4" customWidth="1"/>
    <col min="2" max="2" width="40.6328125" style="4" customWidth="1"/>
    <col min="3" max="16384" width="9.08984375" style="4"/>
  </cols>
  <sheetData>
    <row r="1" spans="1:2" ht="16" customHeight="1" x14ac:dyDescent="0.3">
      <c r="A1" s="25" t="str">
        <f>IF(ISBLANK(Setup!$C$4),"Example Limited",Setup!$C$4)</f>
        <v>Example (Pty) Limited</v>
      </c>
    </row>
    <row r="2" spans="1:2" ht="16" customHeight="1" x14ac:dyDescent="0.25">
      <c r="A2" s="23" t="s">
        <v>319</v>
      </c>
    </row>
    <row r="3" spans="1:2" ht="16" customHeight="1" x14ac:dyDescent="0.25">
      <c r="A3" s="7" t="s">
        <v>350</v>
      </c>
    </row>
    <row r="4" spans="1:2" ht="25" x14ac:dyDescent="0.25">
      <c r="A4" s="26" t="s">
        <v>351</v>
      </c>
      <c r="B4" s="27" t="s">
        <v>352</v>
      </c>
    </row>
    <row r="5" spans="1:2" ht="16" customHeight="1" x14ac:dyDescent="0.25">
      <c r="A5" s="4" t="s">
        <v>321</v>
      </c>
      <c r="B5" s="4" t="s">
        <v>190</v>
      </c>
    </row>
    <row r="6" spans="1:2" ht="16" customHeight="1" x14ac:dyDescent="0.25">
      <c r="A6" s="4" t="s">
        <v>322</v>
      </c>
      <c r="B6" s="4" t="s">
        <v>241</v>
      </c>
    </row>
    <row r="7" spans="1:2" ht="16" customHeight="1" x14ac:dyDescent="0.25">
      <c r="A7" s="4" t="s">
        <v>323</v>
      </c>
      <c r="B7" s="4" t="s">
        <v>191</v>
      </c>
    </row>
    <row r="8" spans="1:2" ht="16" customHeight="1" x14ac:dyDescent="0.25">
      <c r="A8" s="4" t="s">
        <v>324</v>
      </c>
      <c r="B8" s="4" t="s">
        <v>192</v>
      </c>
    </row>
    <row r="9" spans="1:2" ht="16" customHeight="1" x14ac:dyDescent="0.25">
      <c r="A9" s="4" t="s">
        <v>325</v>
      </c>
      <c r="B9" s="4" t="s">
        <v>102</v>
      </c>
    </row>
    <row r="10" spans="1:2" ht="16" customHeight="1" x14ac:dyDescent="0.25">
      <c r="A10" s="4" t="s">
        <v>326</v>
      </c>
      <c r="B10" s="4" t="s">
        <v>211</v>
      </c>
    </row>
    <row r="11" spans="1:2" ht="16" customHeight="1" x14ac:dyDescent="0.25">
      <c r="A11" s="4" t="s">
        <v>327</v>
      </c>
      <c r="B11" s="4" t="s">
        <v>214</v>
      </c>
    </row>
    <row r="12" spans="1:2" ht="16" customHeight="1" x14ac:dyDescent="0.25">
      <c r="A12" s="4" t="s">
        <v>328</v>
      </c>
      <c r="B12" s="4" t="s">
        <v>103</v>
      </c>
    </row>
    <row r="13" spans="1:2" ht="16" customHeight="1" x14ac:dyDescent="0.25">
      <c r="A13" s="4" t="s">
        <v>329</v>
      </c>
      <c r="B13" s="4" t="s">
        <v>225</v>
      </c>
    </row>
    <row r="14" spans="1:2" ht="16" customHeight="1" x14ac:dyDescent="0.25">
      <c r="A14" s="4" t="s">
        <v>330</v>
      </c>
      <c r="B14" s="4" t="s">
        <v>230</v>
      </c>
    </row>
    <row r="15" spans="1:2" ht="16" customHeight="1" x14ac:dyDescent="0.25">
      <c r="A15" s="4" t="s">
        <v>331</v>
      </c>
      <c r="B15" s="4" t="s">
        <v>398</v>
      </c>
    </row>
    <row r="16" spans="1:2" ht="16" customHeight="1" x14ac:dyDescent="0.25">
      <c r="A16" s="4" t="s">
        <v>332</v>
      </c>
      <c r="B16" s="4" t="s">
        <v>384</v>
      </c>
    </row>
    <row r="17" spans="1:2" ht="16" customHeight="1" x14ac:dyDescent="0.25">
      <c r="A17" s="4" t="s">
        <v>333</v>
      </c>
      <c r="B17" s="4" t="s">
        <v>57</v>
      </c>
    </row>
    <row r="18" spans="1:2" ht="16" customHeight="1" x14ac:dyDescent="0.25">
      <c r="A18" s="4" t="s">
        <v>334</v>
      </c>
      <c r="B18" s="4" t="s">
        <v>87</v>
      </c>
    </row>
    <row r="19" spans="1:2" ht="16" customHeight="1" x14ac:dyDescent="0.25">
      <c r="A19" s="4" t="s">
        <v>335</v>
      </c>
      <c r="B19" s="4" t="s">
        <v>104</v>
      </c>
    </row>
    <row r="20" spans="1:2" ht="16" customHeight="1" x14ac:dyDescent="0.25">
      <c r="A20" s="4" t="s">
        <v>400</v>
      </c>
      <c r="B20" s="4" t="s">
        <v>221</v>
      </c>
    </row>
    <row r="21" spans="1:2" ht="16" customHeight="1" x14ac:dyDescent="0.25">
      <c r="A21" s="4" t="s">
        <v>341</v>
      </c>
      <c r="B21" s="4" t="s">
        <v>353</v>
      </c>
    </row>
    <row r="22" spans="1:2" ht="16" customHeight="1" x14ac:dyDescent="0.25">
      <c r="A22" s="4" t="s">
        <v>342</v>
      </c>
      <c r="B22" s="4" t="s">
        <v>336</v>
      </c>
    </row>
    <row r="23" spans="1:2" ht="16" customHeight="1" x14ac:dyDescent="0.25">
      <c r="A23" s="4" t="s">
        <v>343</v>
      </c>
      <c r="B23" s="4" t="s">
        <v>337</v>
      </c>
    </row>
    <row r="24" spans="1:2" ht="16" customHeight="1" x14ac:dyDescent="0.25">
      <c r="A24" s="4" t="s">
        <v>344</v>
      </c>
      <c r="B24" s="4" t="s">
        <v>338</v>
      </c>
    </row>
    <row r="25" spans="1:2" ht="16" customHeight="1" x14ac:dyDescent="0.25">
      <c r="A25" s="4" t="s">
        <v>345</v>
      </c>
      <c r="B25" s="4" t="s">
        <v>85</v>
      </c>
    </row>
    <row r="26" spans="1:2" ht="16" customHeight="1" x14ac:dyDescent="0.25">
      <c r="A26" s="4" t="s">
        <v>346</v>
      </c>
      <c r="B26" s="4" t="s">
        <v>339</v>
      </c>
    </row>
    <row r="27" spans="1:2" ht="16" customHeight="1" x14ac:dyDescent="0.25">
      <c r="A27" s="4" t="s">
        <v>347</v>
      </c>
      <c r="B27" s="4" t="s">
        <v>96</v>
      </c>
    </row>
    <row r="28" spans="1:2" ht="16" customHeight="1" x14ac:dyDescent="0.25">
      <c r="A28" s="4" t="s">
        <v>348</v>
      </c>
      <c r="B28" s="4" t="s">
        <v>67</v>
      </c>
    </row>
    <row r="29" spans="1:2" ht="16" customHeight="1" x14ac:dyDescent="0.25">
      <c r="A29" s="4" t="s">
        <v>349</v>
      </c>
      <c r="B29" s="4" t="s">
        <v>340</v>
      </c>
    </row>
    <row r="31" spans="1:2" s="3" customFormat="1" ht="16" customHeight="1" x14ac:dyDescent="0.25">
      <c r="A31" s="3" t="s">
        <v>101</v>
      </c>
    </row>
    <row r="32" spans="1:2" ht="16" customHeight="1" x14ac:dyDescent="0.25">
      <c r="A32" s="4" t="s">
        <v>354</v>
      </c>
      <c r="B32" s="4" t="s">
        <v>143</v>
      </c>
    </row>
    <row r="33" spans="1:2" ht="16" customHeight="1" x14ac:dyDescent="0.25">
      <c r="A33" s="4" t="s">
        <v>358</v>
      </c>
      <c r="B33" s="4" t="s">
        <v>106</v>
      </c>
    </row>
    <row r="34" spans="1:2" ht="16" customHeight="1" x14ac:dyDescent="0.25">
      <c r="A34" s="4" t="s">
        <v>359</v>
      </c>
      <c r="B34" s="4" t="s">
        <v>107</v>
      </c>
    </row>
    <row r="35" spans="1:2" ht="16" customHeight="1" x14ac:dyDescent="0.25">
      <c r="A35" s="4" t="s">
        <v>360</v>
      </c>
      <c r="B35" s="4" t="s">
        <v>355</v>
      </c>
    </row>
    <row r="36" spans="1:2" ht="16" customHeight="1" x14ac:dyDescent="0.25">
      <c r="A36" s="4" t="s">
        <v>361</v>
      </c>
      <c r="B36" s="4" t="s">
        <v>356</v>
      </c>
    </row>
  </sheetData>
  <pageMargins left="0.59055118110236227" right="0.59055118110236227" top="0.59055118110236227" bottom="0.59055118110236227" header="0.39370078740157483" footer="0.39370078740157483"/>
  <pageSetup paperSize="9" orientation="portrait" r:id="rId1"/>
  <headerFooter>
    <oddFooter>Page &amp;P of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pageSetUpPr fitToPage="1"/>
  </sheetPr>
  <dimension ref="A1:M93"/>
  <sheetViews>
    <sheetView zoomScale="95" zoomScaleNormal="95" workbookViewId="0">
      <pane ySplit="4" topLeftCell="A5" activePane="bottomLeft" state="frozen"/>
      <selection pane="bottomLeft" activeCell="A4" sqref="A4"/>
    </sheetView>
  </sheetViews>
  <sheetFormatPr defaultColWidth="9.08984375" defaultRowHeight="16" customHeight="1" x14ac:dyDescent="0.25"/>
  <cols>
    <col min="1" max="1" width="10.6328125" style="17" customWidth="1"/>
    <col min="2" max="2" width="43.453125" style="4" bestFit="1" customWidth="1"/>
    <col min="3" max="3" width="18.6328125" style="29" customWidth="1"/>
    <col min="4" max="4" width="5.6328125" style="4" customWidth="1"/>
    <col min="5" max="5" width="18.6328125" style="29" customWidth="1"/>
    <col min="6" max="6" width="17.6328125" style="29" customWidth="1"/>
    <col min="7" max="7" width="18.6328125" style="29" customWidth="1"/>
    <col min="8" max="8" width="10.6328125" style="30" customWidth="1"/>
    <col min="9" max="16" width="15.6328125" style="4" customWidth="1"/>
    <col min="17" max="16384" width="9.08984375" style="4"/>
  </cols>
  <sheetData>
    <row r="1" spans="1:11" ht="16" customHeight="1" x14ac:dyDescent="0.3">
      <c r="A1" s="25" t="str">
        <f>IF(ISBLANK(Setup!$C$4),"Example Limited",Setup!$C$4)</f>
        <v>Example (Pty) Limited</v>
      </c>
      <c r="C1" s="28"/>
    </row>
    <row r="2" spans="1:11" ht="16" customHeight="1" x14ac:dyDescent="0.25">
      <c r="A2" s="23" t="s">
        <v>409</v>
      </c>
      <c r="C2" s="31"/>
      <c r="D2" s="7"/>
      <c r="E2" s="32">
        <f ca="1">IF(MONTH(Setup!$D$10)&gt;MONTH(Setup!$C$12),DATE(YEAR(Setup!$D$10),MONTH(Setup!$C$12)+1,0),DATE(YEAR(Setup!$D$10)-1,MONTH(Setup!$C$12)+1,0))</f>
        <v>43890</v>
      </c>
      <c r="F2" s="31"/>
      <c r="G2" s="32">
        <f>IF(MONTH($G$3)&gt;MONTH(Setup!$C$12),DATE(YEAR($G$3),MONTH(Setup!$C$12)+1,0),DATE(YEAR($G$3)-1,MONTH(Setup!$C$12)+1,0))</f>
        <v>43890</v>
      </c>
      <c r="H2" s="33"/>
    </row>
    <row r="3" spans="1:11" s="34" customFormat="1" ht="16" customHeight="1" x14ac:dyDescent="0.25">
      <c r="A3" s="7" t="s">
        <v>350</v>
      </c>
      <c r="C3" s="35">
        <f ca="1">DATE(YEAR(Setup!$D$8),MONTH(Setup!$D$8),0)</f>
        <v>43890</v>
      </c>
      <c r="E3" s="35">
        <f ca="1">DATE(YEAR(Setup!$D$10),MONTH(Setup!$D$10),0)</f>
        <v>43890</v>
      </c>
      <c r="F3" s="36"/>
      <c r="G3" s="37">
        <v>44255</v>
      </c>
      <c r="H3" s="38"/>
    </row>
    <row r="4" spans="1:11" s="2" customFormat="1" ht="25" x14ac:dyDescent="0.25">
      <c r="A4" s="26" t="s">
        <v>231</v>
      </c>
      <c r="B4" s="27" t="s">
        <v>232</v>
      </c>
      <c r="C4" s="39" t="s">
        <v>235</v>
      </c>
      <c r="E4" s="40" t="s">
        <v>233</v>
      </c>
      <c r="F4" s="40" t="s">
        <v>236</v>
      </c>
      <c r="G4" s="40" t="s">
        <v>234</v>
      </c>
      <c r="H4" s="40" t="s">
        <v>406</v>
      </c>
    </row>
    <row r="5" spans="1:11" ht="16" customHeight="1" x14ac:dyDescent="0.25">
      <c r="A5" s="41" t="s">
        <v>242</v>
      </c>
      <c r="B5" s="42" t="s">
        <v>193</v>
      </c>
      <c r="C5" s="43">
        <v>0</v>
      </c>
      <c r="E5" s="29" cm="1">
        <f t="array" aca="1" ref="E5" ca="1">IF(LEFT($A5,2)="IS",-SUMIFS(IncExcl,IncDocDate,"&lt;="&amp;$E$3,IncDocDate,"&gt;"&amp;$E$2,IncAccount,$A5)+SUMIFS(ExpExcl,ExpDocDate,"&lt;="&amp;$E$3,ExpDocDate,"&gt;"&amp;$E$2,ExpAccount,$A5),$C5-SUMIFS(IncExcl,IncDocDate,"&lt;="&amp;$E$3,IncDocDate,"&gt;"&amp;$C$3,IncAccount,$A5)+SUMIFS(ExpExcl,ExpDocDate,"&lt;="&amp;$E$3,ExpDocDate,"&gt;"&amp;$C$3,ExpAccount,$A5)+IF($A5="BS-1700",-SUMIFS(IncTax1,IncDocDate,"&lt;="&amp;$E$3,IncDocDate,"&gt;"&amp;$C$3)+SUMIFS(ExpTax1,ExpDocDate,"&lt;="&amp;$E$3,ExpDocDate,"&gt;"&amp;$C$3),0)+IF($A5="BS-1710",-IF(IncTaxCount=2,SUMIFS(IncTax2,IncDocDate,"&lt;="&amp;$E$3,IncDocDate,"&gt;"&amp;$C$3),0)+IF(ExpTaxCount=2,SUMIFS(ExpTax2,ExpDocDate,"&lt;="&amp;$E$3,ExpDocDate,"&gt;"&amp;$C$3),0),0))</f>
        <v>0</v>
      </c>
      <c r="F5" s="29">
        <f ca="1">G5-E5</f>
        <v>0</v>
      </c>
      <c r="G5" s="29" cm="1">
        <f t="array" aca="1" ref="G5" ca="1">IF(LEFT($A5,2)="IS",-SUMIFS(IncExcl,IncDocDate,"&lt;="&amp;$G$3,IncDocDate,"&gt;"&amp;$G$2,IncAccount,$A5)+SUMIFS(ExpExcl,ExpDocDate,"&lt;="&amp;$G$3,ExpDocDate,"&gt;"&amp;$G$2,ExpAccount,$A5),$C5-SUMIFS(IncExcl,IncDocDate,"&lt;="&amp;$G$3,IncDocDate,"&gt;"&amp;$C$3,IncAccount,$A5)+SUMIFS(ExpExcl,ExpDocDate,"&lt;="&amp;$G$3,ExpDocDate,"&gt;"&amp;$C$3,ExpAccount,$A5)+IF($A5="BS-1700",-SUMIFS(IncTax1,IncDocDate,"&lt;="&amp;$G$3,IncDocDate,"&gt;"&amp;$C$3)+SUMIFS(ExpTax1,ExpDocDate,"&lt;="&amp;$G$3,ExpDocDate,"&gt;"&amp;$C$3),0)+IF($A5="BS-1710",-IF(IncTaxCount=2,SUMIFS(IncTax2,IncDocDate,"&lt;="&amp;$G$3,IncDocDate,"&gt;"&amp;$C$3),0)+IF(ExpTaxCount=2,SUMIFS(ExpTax2,ExpDocDate,"&lt;="&amp;$G$3,ExpDocDate,"&gt;"&amp;$C$3),0),0))</f>
        <v>0</v>
      </c>
      <c r="H5" s="30" t="str">
        <f t="shared" ref="H5:H37" ca="1" si="0">IF(LEFT($A5,2)="BS",IF(ISNA(MATCH(LEFT($A5,5)&amp;"G",KeyBS,0)),IF(ISNA(MATCH($A5,KeyBS,0)),"Error!","Account"),IF(ISNA(MATCH($A5,KeyBS,0)),"Group","Double!")),IF(ISNA(MATCH(LEFT($A5,5)&amp;"G",KeyIS,0)),IF(ISNA(MATCH($A5,KeyIS,0)),"Error!","Account"),IF(ISNA(MATCH($A5,KeyIS,0)),"Group","Double!")))</f>
        <v>Group</v>
      </c>
      <c r="K5" s="44"/>
    </row>
    <row r="6" spans="1:11" ht="16" customHeight="1" x14ac:dyDescent="0.25">
      <c r="A6" s="41" t="s">
        <v>243</v>
      </c>
      <c r="B6" s="42" t="s">
        <v>194</v>
      </c>
      <c r="C6" s="43">
        <v>0</v>
      </c>
      <c r="E6" s="29" cm="1">
        <f t="array" aca="1" ref="E6" ca="1">IF(LEFT($A6,2)="IS",-SUMIFS(IncExcl,IncDocDate,"&lt;="&amp;$E$3,IncDocDate,"&gt;"&amp;$E$2,IncAccount,$A6)+SUMIFS(ExpExcl,ExpDocDate,"&lt;="&amp;$E$3,ExpDocDate,"&gt;"&amp;$E$2,ExpAccount,$A6),$C6-SUMIFS(IncExcl,IncDocDate,"&lt;="&amp;$E$3,IncDocDate,"&gt;"&amp;$C$3,IncAccount,$A6)+SUMIFS(ExpExcl,ExpDocDate,"&lt;="&amp;$E$3,ExpDocDate,"&gt;"&amp;$C$3,ExpAccount,$A6)+IF($A6="BS-1700",-SUMIFS(IncTax1,IncDocDate,"&lt;="&amp;$E$3,IncDocDate,"&gt;"&amp;$C$3)+SUMIFS(ExpTax1,ExpDocDate,"&lt;="&amp;$E$3,ExpDocDate,"&gt;"&amp;$C$3),0)+IF($A6="BS-1710",-IF(IncTaxCount=2,SUMIFS(IncTax2,IncDocDate,"&lt;="&amp;$E$3,IncDocDate,"&gt;"&amp;$C$3),0)+IF(ExpTaxCount=2,SUMIFS(ExpTax2,ExpDocDate,"&lt;="&amp;$E$3,ExpDocDate,"&gt;"&amp;$C$3),0),0))</f>
        <v>0</v>
      </c>
      <c r="F6" s="29">
        <f t="shared" ref="F6:F70" ca="1" si="1">G6-E6</f>
        <v>0</v>
      </c>
      <c r="G6" s="29" cm="1">
        <f t="array" aca="1" ref="G6" ca="1">IF(LEFT($A6,2)="IS",-SUMIFS(IncExcl,IncDocDate,"&lt;="&amp;$G$3,IncDocDate,"&gt;"&amp;$G$2,IncAccount,$A6)+SUMIFS(ExpExcl,ExpDocDate,"&lt;="&amp;$G$3,ExpDocDate,"&gt;"&amp;$G$2,ExpAccount,$A6),$C6-SUMIFS(IncExcl,IncDocDate,"&lt;="&amp;$G$3,IncDocDate,"&gt;"&amp;$C$3,IncAccount,$A6)+SUMIFS(ExpExcl,ExpDocDate,"&lt;="&amp;$G$3,ExpDocDate,"&gt;"&amp;$C$3,ExpAccount,$A6)+IF($A6="BS-1700",-SUMIFS(IncTax1,IncDocDate,"&lt;="&amp;$G$3,IncDocDate,"&gt;"&amp;$C$3)+SUMIFS(ExpTax1,ExpDocDate,"&lt;="&amp;$G$3,ExpDocDate,"&gt;"&amp;$C$3),0)+IF($A6="BS-1710",-IF(IncTaxCount=2,SUMIFS(IncTax2,IncDocDate,"&lt;="&amp;$G$3,IncDocDate,"&gt;"&amp;$C$3),0)+IF(ExpTaxCount=2,SUMIFS(ExpTax2,ExpDocDate,"&lt;="&amp;$G$3,ExpDocDate,"&gt;"&amp;$C$3),0),0))</f>
        <v>0</v>
      </c>
      <c r="H6" s="30" t="str">
        <f t="shared" ca="1" si="0"/>
        <v>Group</v>
      </c>
      <c r="K6" s="44"/>
    </row>
    <row r="7" spans="1:11" ht="16" customHeight="1" x14ac:dyDescent="0.25">
      <c r="A7" s="41" t="s">
        <v>244</v>
      </c>
      <c r="B7" s="42" t="s">
        <v>195</v>
      </c>
      <c r="C7" s="43">
        <v>120500</v>
      </c>
      <c r="E7" s="29" cm="1">
        <f t="array" aca="1" ref="E7" ca="1">IF(LEFT($A7,2)="IS",-SUMIFS(IncExcl,IncDocDate,"&lt;="&amp;$E$3,IncDocDate,"&gt;"&amp;$E$2,IncAccount,$A7)+SUMIFS(ExpExcl,ExpDocDate,"&lt;="&amp;$E$3,ExpDocDate,"&gt;"&amp;$E$2,ExpAccount,$A7),$C7-SUMIFS(IncExcl,IncDocDate,"&lt;="&amp;$E$3,IncDocDate,"&gt;"&amp;$C$3,IncAccount,$A7)+SUMIFS(ExpExcl,ExpDocDate,"&lt;="&amp;$E$3,ExpDocDate,"&gt;"&amp;$C$3,ExpAccount,$A7)+IF($A7="BS-1700",-SUMIFS(IncTax1,IncDocDate,"&lt;="&amp;$E$3,IncDocDate,"&gt;"&amp;$C$3)+SUMIFS(ExpTax1,ExpDocDate,"&lt;="&amp;$E$3,ExpDocDate,"&gt;"&amp;$C$3),0)+IF($A7="BS-1710",-IF(IncTaxCount=2,SUMIFS(IncTax2,IncDocDate,"&lt;="&amp;$E$3,IncDocDate,"&gt;"&amp;$C$3),0)+IF(ExpTaxCount=2,SUMIFS(ExpTax2,ExpDocDate,"&lt;="&amp;$E$3,ExpDocDate,"&gt;"&amp;$C$3),0),0))</f>
        <v>120500</v>
      </c>
      <c r="F7" s="29">
        <f t="shared" ca="1" si="1"/>
        <v>15450</v>
      </c>
      <c r="G7" s="29" cm="1">
        <f t="array" aca="1" ref="G7" ca="1">IF(LEFT($A7,2)="IS",-SUMIFS(IncExcl,IncDocDate,"&lt;="&amp;$G$3,IncDocDate,"&gt;"&amp;$G$2,IncAccount,$A7)+SUMIFS(ExpExcl,ExpDocDate,"&lt;="&amp;$G$3,ExpDocDate,"&gt;"&amp;$G$2,ExpAccount,$A7),$C7-SUMIFS(IncExcl,IncDocDate,"&lt;="&amp;$G$3,IncDocDate,"&gt;"&amp;$C$3,IncAccount,$A7)+SUMIFS(ExpExcl,ExpDocDate,"&lt;="&amp;$G$3,ExpDocDate,"&gt;"&amp;$C$3,ExpAccount,$A7)+IF($A7="BS-1700",-SUMIFS(IncTax1,IncDocDate,"&lt;="&amp;$G$3,IncDocDate,"&gt;"&amp;$C$3)+SUMIFS(ExpTax1,ExpDocDate,"&lt;="&amp;$G$3,ExpDocDate,"&gt;"&amp;$C$3),0)+IF($A7="BS-1710",-IF(IncTaxCount=2,SUMIFS(IncTax2,IncDocDate,"&lt;="&amp;$G$3,IncDocDate,"&gt;"&amp;$C$3),0)+IF(ExpTaxCount=2,SUMIFS(ExpTax2,ExpDocDate,"&lt;="&amp;$G$3,ExpDocDate,"&gt;"&amp;$C$3),0),0))</f>
        <v>135950</v>
      </c>
      <c r="H7" s="30" t="str">
        <f t="shared" ca="1" si="0"/>
        <v>Group</v>
      </c>
      <c r="K7" s="44"/>
    </row>
    <row r="8" spans="1:11" ht="16" customHeight="1" x14ac:dyDescent="0.25">
      <c r="A8" s="41" t="s">
        <v>245</v>
      </c>
      <c r="B8" s="42" t="s">
        <v>196</v>
      </c>
      <c r="C8" s="43">
        <v>63250</v>
      </c>
      <c r="E8" s="29" cm="1">
        <f t="array" aca="1" ref="E8" ca="1">IF(LEFT($A8,2)="IS",-SUMIFS(IncExcl,IncDocDate,"&lt;="&amp;$E$3,IncDocDate,"&gt;"&amp;$E$2,IncAccount,$A8)+SUMIFS(ExpExcl,ExpDocDate,"&lt;="&amp;$E$3,ExpDocDate,"&gt;"&amp;$E$2,ExpAccount,$A8),$C8-SUMIFS(IncExcl,IncDocDate,"&lt;="&amp;$E$3,IncDocDate,"&gt;"&amp;$C$3,IncAccount,$A8)+SUMIFS(ExpExcl,ExpDocDate,"&lt;="&amp;$E$3,ExpDocDate,"&gt;"&amp;$C$3,ExpAccount,$A8)+IF($A8="BS-1700",-SUMIFS(IncTax1,IncDocDate,"&lt;="&amp;$E$3,IncDocDate,"&gt;"&amp;$C$3)+SUMIFS(ExpTax1,ExpDocDate,"&lt;="&amp;$E$3,ExpDocDate,"&gt;"&amp;$C$3),0)+IF($A8="BS-1710",-IF(IncTaxCount=2,SUMIFS(IncTax2,IncDocDate,"&lt;="&amp;$E$3,IncDocDate,"&gt;"&amp;$C$3),0)+IF(ExpTaxCount=2,SUMIFS(ExpTax2,ExpDocDate,"&lt;="&amp;$E$3,ExpDocDate,"&gt;"&amp;$C$3),0),0))</f>
        <v>63250</v>
      </c>
      <c r="F8" s="29">
        <f t="shared" ca="1" si="1"/>
        <v>10200</v>
      </c>
      <c r="G8" s="29" cm="1">
        <f t="array" aca="1" ref="G8" ca="1">IF(LEFT($A8,2)="IS",-SUMIFS(IncExcl,IncDocDate,"&lt;="&amp;$G$3,IncDocDate,"&gt;"&amp;$G$2,IncAccount,$A8)+SUMIFS(ExpExcl,ExpDocDate,"&lt;="&amp;$G$3,ExpDocDate,"&gt;"&amp;$G$2,ExpAccount,$A8),$C8-SUMIFS(IncExcl,IncDocDate,"&lt;="&amp;$G$3,IncDocDate,"&gt;"&amp;$C$3,IncAccount,$A8)+SUMIFS(ExpExcl,ExpDocDate,"&lt;="&amp;$G$3,ExpDocDate,"&gt;"&amp;$C$3,ExpAccount,$A8)+IF($A8="BS-1700",-SUMIFS(IncTax1,IncDocDate,"&lt;="&amp;$G$3,IncDocDate,"&gt;"&amp;$C$3)+SUMIFS(ExpTax1,ExpDocDate,"&lt;="&amp;$G$3,ExpDocDate,"&gt;"&amp;$C$3),0)+IF($A8="BS-1710",-IF(IncTaxCount=2,SUMIFS(IncTax2,IncDocDate,"&lt;="&amp;$G$3,IncDocDate,"&gt;"&amp;$C$3),0)+IF(ExpTaxCount=2,SUMIFS(ExpTax2,ExpDocDate,"&lt;="&amp;$G$3,ExpDocDate,"&gt;"&amp;$C$3),0),0))</f>
        <v>73450</v>
      </c>
      <c r="H8" s="30" t="str">
        <f t="shared" ca="1" si="0"/>
        <v>Group</v>
      </c>
      <c r="K8" s="44"/>
    </row>
    <row r="9" spans="1:11" ht="16" customHeight="1" x14ac:dyDescent="0.25">
      <c r="A9" s="41" t="s">
        <v>246</v>
      </c>
      <c r="B9" s="42" t="s">
        <v>197</v>
      </c>
      <c r="C9" s="43">
        <v>0</v>
      </c>
      <c r="E9" s="29" cm="1">
        <f t="array" aca="1" ref="E9" ca="1">IF(LEFT($A9,2)="IS",-SUMIFS(IncExcl,IncDocDate,"&lt;="&amp;$E$3,IncDocDate,"&gt;"&amp;$E$2,IncAccount,$A9)+SUMIFS(ExpExcl,ExpDocDate,"&lt;="&amp;$E$3,ExpDocDate,"&gt;"&amp;$E$2,ExpAccount,$A9),$C9-SUMIFS(IncExcl,IncDocDate,"&lt;="&amp;$E$3,IncDocDate,"&gt;"&amp;$C$3,IncAccount,$A9)+SUMIFS(ExpExcl,ExpDocDate,"&lt;="&amp;$E$3,ExpDocDate,"&gt;"&amp;$C$3,ExpAccount,$A9)+IF($A9="BS-1700",-SUMIFS(IncTax1,IncDocDate,"&lt;="&amp;$E$3,IncDocDate,"&gt;"&amp;$C$3)+SUMIFS(ExpTax1,ExpDocDate,"&lt;="&amp;$E$3,ExpDocDate,"&gt;"&amp;$C$3),0)+IF($A9="BS-1710",-IF(IncTaxCount=2,SUMIFS(IncTax2,IncDocDate,"&lt;="&amp;$E$3,IncDocDate,"&gt;"&amp;$C$3),0)+IF(ExpTaxCount=2,SUMIFS(ExpTax2,ExpDocDate,"&lt;="&amp;$E$3,ExpDocDate,"&gt;"&amp;$C$3),0),0))</f>
        <v>0</v>
      </c>
      <c r="F9" s="29">
        <f t="shared" ca="1" si="1"/>
        <v>0</v>
      </c>
      <c r="G9" s="29" cm="1">
        <f t="array" aca="1" ref="G9" ca="1">IF(LEFT($A9,2)="IS",-SUMIFS(IncExcl,IncDocDate,"&lt;="&amp;$G$3,IncDocDate,"&gt;"&amp;$G$2,IncAccount,$A9)+SUMIFS(ExpExcl,ExpDocDate,"&lt;="&amp;$G$3,ExpDocDate,"&gt;"&amp;$G$2,ExpAccount,$A9),$C9-SUMIFS(IncExcl,IncDocDate,"&lt;="&amp;$G$3,IncDocDate,"&gt;"&amp;$C$3,IncAccount,$A9)+SUMIFS(ExpExcl,ExpDocDate,"&lt;="&amp;$G$3,ExpDocDate,"&gt;"&amp;$C$3,ExpAccount,$A9)+IF($A9="BS-1700",-SUMIFS(IncTax1,IncDocDate,"&lt;="&amp;$G$3,IncDocDate,"&gt;"&amp;$C$3)+SUMIFS(ExpTax1,ExpDocDate,"&lt;="&amp;$G$3,ExpDocDate,"&gt;"&amp;$C$3),0)+IF($A9="BS-1710",-IF(IncTaxCount=2,SUMIFS(IncTax2,IncDocDate,"&lt;="&amp;$G$3,IncDocDate,"&gt;"&amp;$C$3),0)+IF(ExpTaxCount=2,SUMIFS(ExpTax2,ExpDocDate,"&lt;="&amp;$G$3,ExpDocDate,"&gt;"&amp;$C$3),0),0))</f>
        <v>0</v>
      </c>
      <c r="H9" s="30" t="str">
        <f t="shared" ca="1" si="0"/>
        <v>Group</v>
      </c>
      <c r="K9" s="44"/>
    </row>
    <row r="10" spans="1:11" ht="16" customHeight="1" x14ac:dyDescent="0.25">
      <c r="A10" s="41" t="s">
        <v>247</v>
      </c>
      <c r="B10" s="42" t="s">
        <v>198</v>
      </c>
      <c r="C10" s="43">
        <v>0</v>
      </c>
      <c r="E10" s="29" cm="1">
        <f t="array" aca="1" ref="E10" ca="1">IF(LEFT($A10,2)="IS",-SUMIFS(IncExcl,IncDocDate,"&lt;="&amp;$E$3,IncDocDate,"&gt;"&amp;$E$2,IncAccount,$A10)+SUMIFS(ExpExcl,ExpDocDate,"&lt;="&amp;$E$3,ExpDocDate,"&gt;"&amp;$E$2,ExpAccount,$A10),$C10-SUMIFS(IncExcl,IncDocDate,"&lt;="&amp;$E$3,IncDocDate,"&gt;"&amp;$C$3,IncAccount,$A10)+SUMIFS(ExpExcl,ExpDocDate,"&lt;="&amp;$E$3,ExpDocDate,"&gt;"&amp;$C$3,ExpAccount,$A10)+IF($A10="BS-1700",-SUMIFS(IncTax1,IncDocDate,"&lt;="&amp;$E$3,IncDocDate,"&gt;"&amp;$C$3)+SUMIFS(ExpTax1,ExpDocDate,"&lt;="&amp;$E$3,ExpDocDate,"&gt;"&amp;$C$3),0)+IF($A10="BS-1710",-IF(IncTaxCount=2,SUMIFS(IncTax2,IncDocDate,"&lt;="&amp;$E$3,IncDocDate,"&gt;"&amp;$C$3),0)+IF(ExpTaxCount=2,SUMIFS(ExpTax2,ExpDocDate,"&lt;="&amp;$E$3,ExpDocDate,"&gt;"&amp;$C$3),0),0))</f>
        <v>0</v>
      </c>
      <c r="F10" s="29">
        <f t="shared" ca="1" si="1"/>
        <v>0</v>
      </c>
      <c r="G10" s="29" cm="1">
        <f t="array" aca="1" ref="G10" ca="1">IF(LEFT($A10,2)="IS",-SUMIFS(IncExcl,IncDocDate,"&lt;="&amp;$G$3,IncDocDate,"&gt;"&amp;$G$2,IncAccount,$A10)+SUMIFS(ExpExcl,ExpDocDate,"&lt;="&amp;$G$3,ExpDocDate,"&gt;"&amp;$G$2,ExpAccount,$A10),$C10-SUMIFS(IncExcl,IncDocDate,"&lt;="&amp;$G$3,IncDocDate,"&gt;"&amp;$C$3,IncAccount,$A10)+SUMIFS(ExpExcl,ExpDocDate,"&lt;="&amp;$G$3,ExpDocDate,"&gt;"&amp;$C$3,ExpAccount,$A10)+IF($A10="BS-1700",-SUMIFS(IncTax1,IncDocDate,"&lt;="&amp;$G$3,IncDocDate,"&gt;"&amp;$C$3)+SUMIFS(ExpTax1,ExpDocDate,"&lt;="&amp;$G$3,ExpDocDate,"&gt;"&amp;$C$3),0)+IF($A10="BS-1710",-IF(IncTaxCount=2,SUMIFS(IncTax2,IncDocDate,"&lt;="&amp;$G$3,IncDocDate,"&gt;"&amp;$C$3),0)+IF(ExpTaxCount=2,SUMIFS(ExpTax2,ExpDocDate,"&lt;="&amp;$G$3,ExpDocDate,"&gt;"&amp;$C$3),0),0))</f>
        <v>0</v>
      </c>
      <c r="H10" s="30" t="str">
        <f t="shared" ca="1" si="0"/>
        <v>Group</v>
      </c>
      <c r="K10" s="44"/>
    </row>
    <row r="11" spans="1:11" ht="16" customHeight="1" x14ac:dyDescent="0.25">
      <c r="A11" s="41" t="s">
        <v>248</v>
      </c>
      <c r="B11" s="42" t="s">
        <v>199</v>
      </c>
      <c r="C11" s="45">
        <v>0</v>
      </c>
      <c r="E11" s="29" cm="1">
        <f t="array" aca="1" ref="E11" ca="1">IF(LEFT($A11,2)="IS",-SUMIFS(IncExcl,IncDocDate,"&lt;="&amp;$E$3,IncDocDate,"&gt;"&amp;$E$2,IncAccount,$A11)+SUMIFS(ExpExcl,ExpDocDate,"&lt;="&amp;$E$3,ExpDocDate,"&gt;"&amp;$E$2,ExpAccount,$A11),$C11-SUMIFS(IncExcl,IncDocDate,"&lt;="&amp;$E$3,IncDocDate,"&gt;"&amp;$C$3,IncAccount,$A11)+SUMIFS(ExpExcl,ExpDocDate,"&lt;="&amp;$E$3,ExpDocDate,"&gt;"&amp;$C$3,ExpAccount,$A11)+IF($A11="BS-1700",-SUMIFS(IncTax1,IncDocDate,"&lt;="&amp;$E$3,IncDocDate,"&gt;"&amp;$C$3)+SUMIFS(ExpTax1,ExpDocDate,"&lt;="&amp;$E$3,ExpDocDate,"&gt;"&amp;$C$3),0)+IF($A11="BS-1710",-IF(IncTaxCount=2,SUMIFS(IncTax2,IncDocDate,"&lt;="&amp;$E$3,IncDocDate,"&gt;"&amp;$C$3),0)+IF(ExpTaxCount=2,SUMIFS(ExpTax2,ExpDocDate,"&lt;="&amp;$E$3,ExpDocDate,"&gt;"&amp;$C$3),0),0))</f>
        <v>0</v>
      </c>
      <c r="F11" s="29">
        <f t="shared" ca="1" si="1"/>
        <v>0</v>
      </c>
      <c r="G11" s="29" cm="1">
        <f t="array" aca="1" ref="G11" ca="1">IF(LEFT($A11,2)="IS",-SUMIFS(IncExcl,IncDocDate,"&lt;="&amp;$G$3,IncDocDate,"&gt;"&amp;$G$2,IncAccount,$A11)+SUMIFS(ExpExcl,ExpDocDate,"&lt;="&amp;$G$3,ExpDocDate,"&gt;"&amp;$G$2,ExpAccount,$A11),$C11-SUMIFS(IncExcl,IncDocDate,"&lt;="&amp;$G$3,IncDocDate,"&gt;"&amp;$C$3,IncAccount,$A11)+SUMIFS(ExpExcl,ExpDocDate,"&lt;="&amp;$G$3,ExpDocDate,"&gt;"&amp;$C$3,ExpAccount,$A11)+IF($A11="BS-1700",-SUMIFS(IncTax1,IncDocDate,"&lt;="&amp;$G$3,IncDocDate,"&gt;"&amp;$C$3)+SUMIFS(ExpTax1,ExpDocDate,"&lt;="&amp;$G$3,ExpDocDate,"&gt;"&amp;$C$3),0)+IF($A11="BS-1710",-IF(IncTaxCount=2,SUMIFS(IncTax2,IncDocDate,"&lt;="&amp;$G$3,IncDocDate,"&gt;"&amp;$C$3),0)+IF(ExpTaxCount=2,SUMIFS(ExpTax2,ExpDocDate,"&lt;="&amp;$G$3,ExpDocDate,"&gt;"&amp;$C$3),0),0))</f>
        <v>0</v>
      </c>
      <c r="H11" s="30" t="str">
        <f t="shared" ca="1" si="0"/>
        <v>Group</v>
      </c>
      <c r="K11" s="17"/>
    </row>
    <row r="12" spans="1:11" ht="16" customHeight="1" x14ac:dyDescent="0.25">
      <c r="A12" s="41" t="s">
        <v>249</v>
      </c>
      <c r="B12" s="42" t="s">
        <v>200</v>
      </c>
      <c r="C12" s="45">
        <v>0</v>
      </c>
      <c r="E12" s="29" cm="1">
        <f t="array" aca="1" ref="E12" ca="1">IF(LEFT($A12,2)="IS",-SUMIFS(IncExcl,IncDocDate,"&lt;="&amp;$E$3,IncDocDate,"&gt;"&amp;$E$2,IncAccount,$A12)+SUMIFS(ExpExcl,ExpDocDate,"&lt;="&amp;$E$3,ExpDocDate,"&gt;"&amp;$E$2,ExpAccount,$A12),$C12-SUMIFS(IncExcl,IncDocDate,"&lt;="&amp;$E$3,IncDocDate,"&gt;"&amp;$C$3,IncAccount,$A12)+SUMIFS(ExpExcl,ExpDocDate,"&lt;="&amp;$E$3,ExpDocDate,"&gt;"&amp;$C$3,ExpAccount,$A12)+IF($A12="BS-1700",-SUMIFS(IncTax1,IncDocDate,"&lt;="&amp;$E$3,IncDocDate,"&gt;"&amp;$C$3)+SUMIFS(ExpTax1,ExpDocDate,"&lt;="&amp;$E$3,ExpDocDate,"&gt;"&amp;$C$3),0)+IF($A12="BS-1710",-IF(IncTaxCount=2,SUMIFS(IncTax2,IncDocDate,"&lt;="&amp;$E$3,IncDocDate,"&gt;"&amp;$C$3),0)+IF(ExpTaxCount=2,SUMIFS(ExpTax2,ExpDocDate,"&lt;="&amp;$E$3,ExpDocDate,"&gt;"&amp;$C$3),0),0))</f>
        <v>0</v>
      </c>
      <c r="F12" s="29">
        <f t="shared" ca="1" si="1"/>
        <v>0</v>
      </c>
      <c r="G12" s="29" cm="1">
        <f t="array" aca="1" ref="G12" ca="1">IF(LEFT($A12,2)="IS",-SUMIFS(IncExcl,IncDocDate,"&lt;="&amp;$G$3,IncDocDate,"&gt;"&amp;$G$2,IncAccount,$A12)+SUMIFS(ExpExcl,ExpDocDate,"&lt;="&amp;$G$3,ExpDocDate,"&gt;"&amp;$G$2,ExpAccount,$A12),$C12-SUMIFS(IncExcl,IncDocDate,"&lt;="&amp;$G$3,IncDocDate,"&gt;"&amp;$C$3,IncAccount,$A12)+SUMIFS(ExpExcl,ExpDocDate,"&lt;="&amp;$G$3,ExpDocDate,"&gt;"&amp;$C$3,ExpAccount,$A12)+IF($A12="BS-1700",-SUMIFS(IncTax1,IncDocDate,"&lt;="&amp;$G$3,IncDocDate,"&gt;"&amp;$C$3)+SUMIFS(ExpTax1,ExpDocDate,"&lt;="&amp;$G$3,ExpDocDate,"&gt;"&amp;$C$3),0)+IF($A12="BS-1710",-IF(IncTaxCount=2,SUMIFS(IncTax2,IncDocDate,"&lt;="&amp;$G$3,IncDocDate,"&gt;"&amp;$C$3),0)+IF(ExpTaxCount=2,SUMIFS(ExpTax2,ExpDocDate,"&lt;="&amp;$G$3,ExpDocDate,"&gt;"&amp;$C$3),0),0))</f>
        <v>0</v>
      </c>
      <c r="H12" s="30" t="str">
        <f t="shared" ca="1" si="0"/>
        <v>Group</v>
      </c>
      <c r="K12" s="17"/>
    </row>
    <row r="13" spans="1:11" ht="16" customHeight="1" x14ac:dyDescent="0.25">
      <c r="A13" s="41" t="s">
        <v>250</v>
      </c>
      <c r="B13" s="42" t="s">
        <v>201</v>
      </c>
      <c r="C13" s="45">
        <v>-22000</v>
      </c>
      <c r="E13" s="29" cm="1">
        <f t="array" aca="1" ref="E13" ca="1">IF(LEFT($A13,2)="IS",-SUMIFS(IncExcl,IncDocDate,"&lt;="&amp;$E$3,IncDocDate,"&gt;"&amp;$E$2,IncAccount,$A13)+SUMIFS(ExpExcl,ExpDocDate,"&lt;="&amp;$E$3,ExpDocDate,"&gt;"&amp;$E$2,ExpAccount,$A13),$C13-SUMIFS(IncExcl,IncDocDate,"&lt;="&amp;$E$3,IncDocDate,"&gt;"&amp;$C$3,IncAccount,$A13)+SUMIFS(ExpExcl,ExpDocDate,"&lt;="&amp;$E$3,ExpDocDate,"&gt;"&amp;$C$3,ExpAccount,$A13)+IF($A13="BS-1700",-SUMIFS(IncTax1,IncDocDate,"&lt;="&amp;$E$3,IncDocDate,"&gt;"&amp;$C$3)+SUMIFS(ExpTax1,ExpDocDate,"&lt;="&amp;$E$3,ExpDocDate,"&gt;"&amp;$C$3),0)+IF($A13="BS-1710",-IF(IncTaxCount=2,SUMIFS(IncTax2,IncDocDate,"&lt;="&amp;$E$3,IncDocDate,"&gt;"&amp;$C$3),0)+IF(ExpTaxCount=2,SUMIFS(ExpTax2,ExpDocDate,"&lt;="&amp;$E$3,ExpDocDate,"&gt;"&amp;$C$3),0),0))</f>
        <v>-22000</v>
      </c>
      <c r="F13" s="29">
        <f t="shared" ca="1" si="1"/>
        <v>-18232</v>
      </c>
      <c r="G13" s="29" cm="1">
        <f t="array" aca="1" ref="G13" ca="1">IF(LEFT($A13,2)="IS",-SUMIFS(IncExcl,IncDocDate,"&lt;="&amp;$G$3,IncDocDate,"&gt;"&amp;$G$2,IncAccount,$A13)+SUMIFS(ExpExcl,ExpDocDate,"&lt;="&amp;$G$3,ExpDocDate,"&gt;"&amp;$G$2,ExpAccount,$A13),$C13-SUMIFS(IncExcl,IncDocDate,"&lt;="&amp;$G$3,IncDocDate,"&gt;"&amp;$C$3,IncAccount,$A13)+SUMIFS(ExpExcl,ExpDocDate,"&lt;="&amp;$G$3,ExpDocDate,"&gt;"&amp;$C$3,ExpAccount,$A13)+IF($A13="BS-1700",-SUMIFS(IncTax1,IncDocDate,"&lt;="&amp;$G$3,IncDocDate,"&gt;"&amp;$C$3)+SUMIFS(ExpTax1,ExpDocDate,"&lt;="&amp;$G$3,ExpDocDate,"&gt;"&amp;$C$3),0)+IF($A13="BS-1710",-IF(IncTaxCount=2,SUMIFS(IncTax2,IncDocDate,"&lt;="&amp;$G$3,IncDocDate,"&gt;"&amp;$C$3),0)+IF(ExpTaxCount=2,SUMIFS(ExpTax2,ExpDocDate,"&lt;="&amp;$G$3,ExpDocDate,"&gt;"&amp;$C$3),0),0))</f>
        <v>-40232</v>
      </c>
      <c r="H13" s="30" t="str">
        <f t="shared" ca="1" si="0"/>
        <v>Group</v>
      </c>
      <c r="K13" s="17"/>
    </row>
    <row r="14" spans="1:11" ht="16" customHeight="1" x14ac:dyDescent="0.25">
      <c r="A14" s="41" t="s">
        <v>251</v>
      </c>
      <c r="B14" s="42" t="s">
        <v>202</v>
      </c>
      <c r="C14" s="45">
        <v>-12500</v>
      </c>
      <c r="E14" s="29" cm="1">
        <f t="array" aca="1" ref="E14" ca="1">IF(LEFT($A14,2)="IS",-SUMIFS(IncExcl,IncDocDate,"&lt;="&amp;$E$3,IncDocDate,"&gt;"&amp;$E$2,IncAccount,$A14)+SUMIFS(ExpExcl,ExpDocDate,"&lt;="&amp;$E$3,ExpDocDate,"&gt;"&amp;$E$2,ExpAccount,$A14),$C14-SUMIFS(IncExcl,IncDocDate,"&lt;="&amp;$E$3,IncDocDate,"&gt;"&amp;$C$3,IncAccount,$A14)+SUMIFS(ExpExcl,ExpDocDate,"&lt;="&amp;$E$3,ExpDocDate,"&gt;"&amp;$C$3,ExpAccount,$A14)+IF($A14="BS-1700",-SUMIFS(IncTax1,IncDocDate,"&lt;="&amp;$E$3,IncDocDate,"&gt;"&amp;$C$3)+SUMIFS(ExpTax1,ExpDocDate,"&lt;="&amp;$E$3,ExpDocDate,"&gt;"&amp;$C$3),0)+IF($A14="BS-1710",-IF(IncTaxCount=2,SUMIFS(IncTax2,IncDocDate,"&lt;="&amp;$E$3,IncDocDate,"&gt;"&amp;$C$3),0)+IF(ExpTaxCount=2,SUMIFS(ExpTax2,ExpDocDate,"&lt;="&amp;$E$3,ExpDocDate,"&gt;"&amp;$C$3),0),0))</f>
        <v>-12500</v>
      </c>
      <c r="F14" s="29">
        <f t="shared" ca="1" si="1"/>
        <v>-12190</v>
      </c>
      <c r="G14" s="29" cm="1">
        <f t="array" aca="1" ref="G14" ca="1">IF(LEFT($A14,2)="IS",-SUMIFS(IncExcl,IncDocDate,"&lt;="&amp;$G$3,IncDocDate,"&gt;"&amp;$G$2,IncAccount,$A14)+SUMIFS(ExpExcl,ExpDocDate,"&lt;="&amp;$G$3,ExpDocDate,"&gt;"&amp;$G$2,ExpAccount,$A14),$C14-SUMIFS(IncExcl,IncDocDate,"&lt;="&amp;$G$3,IncDocDate,"&gt;"&amp;$C$3,IncAccount,$A14)+SUMIFS(ExpExcl,ExpDocDate,"&lt;="&amp;$G$3,ExpDocDate,"&gt;"&amp;$C$3,ExpAccount,$A14)+IF($A14="BS-1700",-SUMIFS(IncTax1,IncDocDate,"&lt;="&amp;$G$3,IncDocDate,"&gt;"&amp;$C$3)+SUMIFS(ExpTax1,ExpDocDate,"&lt;="&amp;$G$3,ExpDocDate,"&gt;"&amp;$C$3),0)+IF($A14="BS-1710",-IF(IncTaxCount=2,SUMIFS(IncTax2,IncDocDate,"&lt;="&amp;$G$3,IncDocDate,"&gt;"&amp;$C$3),0)+IF(ExpTaxCount=2,SUMIFS(ExpTax2,ExpDocDate,"&lt;="&amp;$G$3,ExpDocDate,"&gt;"&amp;$C$3),0),0))</f>
        <v>-24690</v>
      </c>
      <c r="H14" s="30" t="str">
        <f t="shared" ca="1" si="0"/>
        <v>Group</v>
      </c>
      <c r="K14" s="17"/>
    </row>
    <row r="15" spans="1:11" ht="16" customHeight="1" x14ac:dyDescent="0.25">
      <c r="A15" s="41" t="s">
        <v>252</v>
      </c>
      <c r="B15" s="42" t="s">
        <v>203</v>
      </c>
      <c r="C15" s="45">
        <v>0</v>
      </c>
      <c r="E15" s="29" cm="1">
        <f t="array" aca="1" ref="E15" ca="1">IF(LEFT($A15,2)="IS",-SUMIFS(IncExcl,IncDocDate,"&lt;="&amp;$E$3,IncDocDate,"&gt;"&amp;$E$2,IncAccount,$A15)+SUMIFS(ExpExcl,ExpDocDate,"&lt;="&amp;$E$3,ExpDocDate,"&gt;"&amp;$E$2,ExpAccount,$A15),$C15-SUMIFS(IncExcl,IncDocDate,"&lt;="&amp;$E$3,IncDocDate,"&gt;"&amp;$C$3,IncAccount,$A15)+SUMIFS(ExpExcl,ExpDocDate,"&lt;="&amp;$E$3,ExpDocDate,"&gt;"&amp;$C$3,ExpAccount,$A15)+IF($A15="BS-1700",-SUMIFS(IncTax1,IncDocDate,"&lt;="&amp;$E$3,IncDocDate,"&gt;"&amp;$C$3)+SUMIFS(ExpTax1,ExpDocDate,"&lt;="&amp;$E$3,ExpDocDate,"&gt;"&amp;$C$3),0)+IF($A15="BS-1710",-IF(IncTaxCount=2,SUMIFS(IncTax2,IncDocDate,"&lt;="&amp;$E$3,IncDocDate,"&gt;"&amp;$C$3),0)+IF(ExpTaxCount=2,SUMIFS(ExpTax2,ExpDocDate,"&lt;="&amp;$E$3,ExpDocDate,"&gt;"&amp;$C$3),0),0))</f>
        <v>0</v>
      </c>
      <c r="F15" s="29">
        <f t="shared" ca="1" si="1"/>
        <v>0</v>
      </c>
      <c r="G15" s="29" cm="1">
        <f t="array" aca="1" ref="G15" ca="1">IF(LEFT($A15,2)="IS",-SUMIFS(IncExcl,IncDocDate,"&lt;="&amp;$G$3,IncDocDate,"&gt;"&amp;$G$2,IncAccount,$A15)+SUMIFS(ExpExcl,ExpDocDate,"&lt;="&amp;$G$3,ExpDocDate,"&gt;"&amp;$G$2,ExpAccount,$A15),$C15-SUMIFS(IncExcl,IncDocDate,"&lt;="&amp;$G$3,IncDocDate,"&gt;"&amp;$C$3,IncAccount,$A15)+SUMIFS(ExpExcl,ExpDocDate,"&lt;="&amp;$G$3,ExpDocDate,"&gt;"&amp;$C$3,ExpAccount,$A15)+IF($A15="BS-1700",-SUMIFS(IncTax1,IncDocDate,"&lt;="&amp;$G$3,IncDocDate,"&gt;"&amp;$C$3)+SUMIFS(ExpTax1,ExpDocDate,"&lt;="&amp;$G$3,ExpDocDate,"&gt;"&amp;$C$3),0)+IF($A15="BS-1710",-IF(IncTaxCount=2,SUMIFS(IncTax2,IncDocDate,"&lt;="&amp;$G$3,IncDocDate,"&gt;"&amp;$C$3),0)+IF(ExpTaxCount=2,SUMIFS(ExpTax2,ExpDocDate,"&lt;="&amp;$G$3,ExpDocDate,"&gt;"&amp;$C$3),0),0))</f>
        <v>0</v>
      </c>
      <c r="H15" s="30" t="str">
        <f t="shared" ca="1" si="0"/>
        <v>Group</v>
      </c>
      <c r="K15" s="17"/>
    </row>
    <row r="16" spans="1:11" ht="16" customHeight="1" x14ac:dyDescent="0.25">
      <c r="A16" s="41" t="s">
        <v>253</v>
      </c>
      <c r="B16" s="42" t="s">
        <v>204</v>
      </c>
      <c r="C16" s="45">
        <v>0</v>
      </c>
      <c r="E16" s="29" cm="1">
        <f t="array" aca="1" ref="E16" ca="1">IF(LEFT($A16,2)="IS",-SUMIFS(IncExcl,IncDocDate,"&lt;="&amp;$E$3,IncDocDate,"&gt;"&amp;$E$2,IncAccount,$A16)+SUMIFS(ExpExcl,ExpDocDate,"&lt;="&amp;$E$3,ExpDocDate,"&gt;"&amp;$E$2,ExpAccount,$A16),$C16-SUMIFS(IncExcl,IncDocDate,"&lt;="&amp;$E$3,IncDocDate,"&gt;"&amp;$C$3,IncAccount,$A16)+SUMIFS(ExpExcl,ExpDocDate,"&lt;="&amp;$E$3,ExpDocDate,"&gt;"&amp;$C$3,ExpAccount,$A16)+IF($A16="BS-1700",-SUMIFS(IncTax1,IncDocDate,"&lt;="&amp;$E$3,IncDocDate,"&gt;"&amp;$C$3)+SUMIFS(ExpTax1,ExpDocDate,"&lt;="&amp;$E$3,ExpDocDate,"&gt;"&amp;$C$3),0)+IF($A16="BS-1710",-IF(IncTaxCount=2,SUMIFS(IncTax2,IncDocDate,"&lt;="&amp;$E$3,IncDocDate,"&gt;"&amp;$C$3),0)+IF(ExpTaxCount=2,SUMIFS(ExpTax2,ExpDocDate,"&lt;="&amp;$E$3,ExpDocDate,"&gt;"&amp;$C$3),0),0))</f>
        <v>0</v>
      </c>
      <c r="F16" s="29">
        <f t="shared" ca="1" si="1"/>
        <v>0</v>
      </c>
      <c r="G16" s="29" cm="1">
        <f t="array" aca="1" ref="G16" ca="1">IF(LEFT($A16,2)="IS",-SUMIFS(IncExcl,IncDocDate,"&lt;="&amp;$G$3,IncDocDate,"&gt;"&amp;$G$2,IncAccount,$A16)+SUMIFS(ExpExcl,ExpDocDate,"&lt;="&amp;$G$3,ExpDocDate,"&gt;"&amp;$G$2,ExpAccount,$A16),$C16-SUMIFS(IncExcl,IncDocDate,"&lt;="&amp;$G$3,IncDocDate,"&gt;"&amp;$C$3,IncAccount,$A16)+SUMIFS(ExpExcl,ExpDocDate,"&lt;="&amp;$G$3,ExpDocDate,"&gt;"&amp;$C$3,ExpAccount,$A16)+IF($A16="BS-1700",-SUMIFS(IncTax1,IncDocDate,"&lt;="&amp;$G$3,IncDocDate,"&gt;"&amp;$C$3)+SUMIFS(ExpTax1,ExpDocDate,"&lt;="&amp;$G$3,ExpDocDate,"&gt;"&amp;$C$3),0)+IF($A16="BS-1710",-IF(IncTaxCount=2,SUMIFS(IncTax2,IncDocDate,"&lt;="&amp;$G$3,IncDocDate,"&gt;"&amp;$C$3),0)+IF(ExpTaxCount=2,SUMIFS(ExpTax2,ExpDocDate,"&lt;="&amp;$G$3,ExpDocDate,"&gt;"&amp;$C$3),0),0))</f>
        <v>0</v>
      </c>
      <c r="H16" s="30" t="str">
        <f t="shared" ca="1" si="0"/>
        <v>Group</v>
      </c>
      <c r="K16" s="17"/>
    </row>
    <row r="17" spans="1:11" ht="16" customHeight="1" x14ac:dyDescent="0.25">
      <c r="A17" s="41" t="s">
        <v>256</v>
      </c>
      <c r="B17" s="42" t="s">
        <v>205</v>
      </c>
      <c r="C17" s="45">
        <v>0</v>
      </c>
      <c r="E17" s="29" cm="1">
        <f t="array" aca="1" ref="E17" ca="1">IF(LEFT($A17,2)="IS",-SUMIFS(IncExcl,IncDocDate,"&lt;="&amp;$E$3,IncDocDate,"&gt;"&amp;$E$2,IncAccount,$A17)+SUMIFS(ExpExcl,ExpDocDate,"&lt;="&amp;$E$3,ExpDocDate,"&gt;"&amp;$E$2,ExpAccount,$A17),$C17-SUMIFS(IncExcl,IncDocDate,"&lt;="&amp;$E$3,IncDocDate,"&gt;"&amp;$C$3,IncAccount,$A17)+SUMIFS(ExpExcl,ExpDocDate,"&lt;="&amp;$E$3,ExpDocDate,"&gt;"&amp;$C$3,ExpAccount,$A17)+IF($A17="BS-1700",-SUMIFS(IncTax1,IncDocDate,"&lt;="&amp;$E$3,IncDocDate,"&gt;"&amp;$C$3)+SUMIFS(ExpTax1,ExpDocDate,"&lt;="&amp;$E$3,ExpDocDate,"&gt;"&amp;$C$3),0)+IF($A17="BS-1710",-IF(IncTaxCount=2,SUMIFS(IncTax2,IncDocDate,"&lt;="&amp;$E$3,IncDocDate,"&gt;"&amp;$C$3),0)+IF(ExpTaxCount=2,SUMIFS(ExpTax2,ExpDocDate,"&lt;="&amp;$E$3,ExpDocDate,"&gt;"&amp;$C$3),0),0))</f>
        <v>0</v>
      </c>
      <c r="F17" s="29">
        <f t="shared" ca="1" si="1"/>
        <v>0</v>
      </c>
      <c r="G17" s="29" cm="1">
        <f t="array" aca="1" ref="G17" ca="1">IF(LEFT($A17,2)="IS",-SUMIFS(IncExcl,IncDocDate,"&lt;="&amp;$G$3,IncDocDate,"&gt;"&amp;$G$2,IncAccount,$A17)+SUMIFS(ExpExcl,ExpDocDate,"&lt;="&amp;$G$3,ExpDocDate,"&gt;"&amp;$G$2,ExpAccount,$A17),$C17-SUMIFS(IncExcl,IncDocDate,"&lt;="&amp;$G$3,IncDocDate,"&gt;"&amp;$C$3,IncAccount,$A17)+SUMIFS(ExpExcl,ExpDocDate,"&lt;="&amp;$G$3,ExpDocDate,"&gt;"&amp;$C$3,ExpAccount,$A17)+IF($A17="BS-1700",-SUMIFS(IncTax1,IncDocDate,"&lt;="&amp;$G$3,IncDocDate,"&gt;"&amp;$C$3)+SUMIFS(ExpTax1,ExpDocDate,"&lt;="&amp;$G$3,ExpDocDate,"&gt;"&amp;$C$3),0)+IF($A17="BS-1710",-IF(IncTaxCount=2,SUMIFS(IncTax2,IncDocDate,"&lt;="&amp;$G$3,IncDocDate,"&gt;"&amp;$C$3),0)+IF(ExpTaxCount=2,SUMIFS(ExpTax2,ExpDocDate,"&lt;="&amp;$G$3,ExpDocDate,"&gt;"&amp;$C$3),0),0))</f>
        <v>0</v>
      </c>
      <c r="H17" s="30" t="str">
        <f t="shared" ca="1" si="0"/>
        <v>Group</v>
      </c>
      <c r="K17" s="17"/>
    </row>
    <row r="18" spans="1:11" ht="16" customHeight="1" x14ac:dyDescent="0.25">
      <c r="A18" s="41" t="s">
        <v>257</v>
      </c>
      <c r="B18" s="42" t="s">
        <v>206</v>
      </c>
      <c r="C18" s="45">
        <v>0</v>
      </c>
      <c r="E18" s="29" cm="1">
        <f t="array" aca="1" ref="E18" ca="1">IF(LEFT($A18,2)="IS",-SUMIFS(IncExcl,IncDocDate,"&lt;="&amp;$E$3,IncDocDate,"&gt;"&amp;$E$2,IncAccount,$A18)+SUMIFS(ExpExcl,ExpDocDate,"&lt;="&amp;$E$3,ExpDocDate,"&gt;"&amp;$E$2,ExpAccount,$A18),$C18-SUMIFS(IncExcl,IncDocDate,"&lt;="&amp;$E$3,IncDocDate,"&gt;"&amp;$C$3,IncAccount,$A18)+SUMIFS(ExpExcl,ExpDocDate,"&lt;="&amp;$E$3,ExpDocDate,"&gt;"&amp;$C$3,ExpAccount,$A18)+IF($A18="BS-1700",-SUMIFS(IncTax1,IncDocDate,"&lt;="&amp;$E$3,IncDocDate,"&gt;"&amp;$C$3)+SUMIFS(ExpTax1,ExpDocDate,"&lt;="&amp;$E$3,ExpDocDate,"&gt;"&amp;$C$3),0)+IF($A18="BS-1710",-IF(IncTaxCount=2,SUMIFS(IncTax2,IncDocDate,"&lt;="&amp;$E$3,IncDocDate,"&gt;"&amp;$C$3),0)+IF(ExpTaxCount=2,SUMIFS(ExpTax2,ExpDocDate,"&lt;="&amp;$E$3,ExpDocDate,"&gt;"&amp;$C$3),0),0))</f>
        <v>0</v>
      </c>
      <c r="F18" s="29">
        <f t="shared" ca="1" si="1"/>
        <v>0</v>
      </c>
      <c r="G18" s="29" cm="1">
        <f t="array" aca="1" ref="G18" ca="1">IF(LEFT($A18,2)="IS",-SUMIFS(IncExcl,IncDocDate,"&lt;="&amp;$G$3,IncDocDate,"&gt;"&amp;$G$2,IncAccount,$A18)+SUMIFS(ExpExcl,ExpDocDate,"&lt;="&amp;$G$3,ExpDocDate,"&gt;"&amp;$G$2,ExpAccount,$A18),$C18-SUMIFS(IncExcl,IncDocDate,"&lt;="&amp;$G$3,IncDocDate,"&gt;"&amp;$C$3,IncAccount,$A18)+SUMIFS(ExpExcl,ExpDocDate,"&lt;="&amp;$G$3,ExpDocDate,"&gt;"&amp;$C$3,ExpAccount,$A18)+IF($A18="BS-1700",-SUMIFS(IncTax1,IncDocDate,"&lt;="&amp;$G$3,IncDocDate,"&gt;"&amp;$C$3)+SUMIFS(ExpTax1,ExpDocDate,"&lt;="&amp;$G$3,ExpDocDate,"&gt;"&amp;$C$3),0)+IF($A18="BS-1710",-IF(IncTaxCount=2,SUMIFS(IncTax2,IncDocDate,"&lt;="&amp;$G$3,IncDocDate,"&gt;"&amp;$C$3),0)+IF(ExpTaxCount=2,SUMIFS(ExpTax2,ExpDocDate,"&lt;="&amp;$G$3,ExpDocDate,"&gt;"&amp;$C$3),0),0))</f>
        <v>0</v>
      </c>
      <c r="H18" s="30" t="str">
        <f t="shared" ca="1" si="0"/>
        <v>Group</v>
      </c>
      <c r="K18" s="17"/>
    </row>
    <row r="19" spans="1:11" ht="16" customHeight="1" x14ac:dyDescent="0.25">
      <c r="A19" s="41" t="s">
        <v>258</v>
      </c>
      <c r="B19" s="42" t="s">
        <v>207</v>
      </c>
      <c r="C19" s="45">
        <v>147200</v>
      </c>
      <c r="E19" s="29" cm="1">
        <f t="array" aca="1" ref="E19" ca="1">IF(LEFT($A19,2)="IS",-SUMIFS(IncExcl,IncDocDate,"&lt;="&amp;$E$3,IncDocDate,"&gt;"&amp;$E$2,IncAccount,$A19)+SUMIFS(ExpExcl,ExpDocDate,"&lt;="&amp;$E$3,ExpDocDate,"&gt;"&amp;$E$2,ExpAccount,$A19),$C19-SUMIFS(IncExcl,IncDocDate,"&lt;="&amp;$E$3,IncDocDate,"&gt;"&amp;$C$3,IncAccount,$A19)+SUMIFS(ExpExcl,ExpDocDate,"&lt;="&amp;$E$3,ExpDocDate,"&gt;"&amp;$C$3,ExpAccount,$A19)+IF($A19="BS-1700",-SUMIFS(IncTax1,IncDocDate,"&lt;="&amp;$E$3,IncDocDate,"&gt;"&amp;$C$3)+SUMIFS(ExpTax1,ExpDocDate,"&lt;="&amp;$E$3,ExpDocDate,"&gt;"&amp;$C$3),0)+IF($A19="BS-1710",-IF(IncTaxCount=2,SUMIFS(IncTax2,IncDocDate,"&lt;="&amp;$E$3,IncDocDate,"&gt;"&amp;$C$3),0)+IF(ExpTaxCount=2,SUMIFS(ExpTax2,ExpDocDate,"&lt;="&amp;$E$3,ExpDocDate,"&gt;"&amp;$C$3),0),0))</f>
        <v>147200</v>
      </c>
      <c r="F19" s="29">
        <f t="shared" ca="1" si="1"/>
        <v>0</v>
      </c>
      <c r="G19" s="29" cm="1">
        <f t="array" aca="1" ref="G19" ca="1">IF(LEFT($A19,2)="IS",-SUMIFS(IncExcl,IncDocDate,"&lt;="&amp;$G$3,IncDocDate,"&gt;"&amp;$G$2,IncAccount,$A19)+SUMIFS(ExpExcl,ExpDocDate,"&lt;="&amp;$G$3,ExpDocDate,"&gt;"&amp;$G$2,ExpAccount,$A19),$C19-SUMIFS(IncExcl,IncDocDate,"&lt;="&amp;$G$3,IncDocDate,"&gt;"&amp;$C$3,IncAccount,$A19)+SUMIFS(ExpExcl,ExpDocDate,"&lt;="&amp;$G$3,ExpDocDate,"&gt;"&amp;$C$3,ExpAccount,$A19)+IF($A19="BS-1700",-SUMIFS(IncTax1,IncDocDate,"&lt;="&amp;$G$3,IncDocDate,"&gt;"&amp;$C$3)+SUMIFS(ExpTax1,ExpDocDate,"&lt;="&amp;$G$3,ExpDocDate,"&gt;"&amp;$C$3),0)+IF($A19="BS-1710",-IF(IncTaxCount=2,SUMIFS(IncTax2,IncDocDate,"&lt;="&amp;$G$3,IncDocDate,"&gt;"&amp;$C$3),0)+IF(ExpTaxCount=2,SUMIFS(ExpTax2,ExpDocDate,"&lt;="&amp;$G$3,ExpDocDate,"&gt;"&amp;$C$3),0),0))</f>
        <v>147200</v>
      </c>
      <c r="H19" s="30" t="str">
        <f t="shared" ca="1" si="0"/>
        <v>Group</v>
      </c>
      <c r="K19" s="17"/>
    </row>
    <row r="20" spans="1:11" ht="16" customHeight="1" x14ac:dyDescent="0.25">
      <c r="A20" s="41" t="s">
        <v>259</v>
      </c>
      <c r="B20" s="42" t="s">
        <v>208</v>
      </c>
      <c r="C20" s="45">
        <v>0</v>
      </c>
      <c r="E20" s="29" cm="1">
        <f t="array" aca="1" ref="E20" ca="1">IF(LEFT($A20,2)="IS",-SUMIFS(IncExcl,IncDocDate,"&lt;="&amp;$E$3,IncDocDate,"&gt;"&amp;$E$2,IncAccount,$A20)+SUMIFS(ExpExcl,ExpDocDate,"&lt;="&amp;$E$3,ExpDocDate,"&gt;"&amp;$E$2,ExpAccount,$A20),$C20-SUMIFS(IncExcl,IncDocDate,"&lt;="&amp;$E$3,IncDocDate,"&gt;"&amp;$C$3,IncAccount,$A20)+SUMIFS(ExpExcl,ExpDocDate,"&lt;="&amp;$E$3,ExpDocDate,"&gt;"&amp;$C$3,ExpAccount,$A20)+IF($A20="BS-1700",-SUMIFS(IncTax1,IncDocDate,"&lt;="&amp;$E$3,IncDocDate,"&gt;"&amp;$C$3)+SUMIFS(ExpTax1,ExpDocDate,"&lt;="&amp;$E$3,ExpDocDate,"&gt;"&amp;$C$3),0)+IF($A20="BS-1710",-IF(IncTaxCount=2,SUMIFS(IncTax2,IncDocDate,"&lt;="&amp;$E$3,IncDocDate,"&gt;"&amp;$C$3),0)+IF(ExpTaxCount=2,SUMIFS(ExpTax2,ExpDocDate,"&lt;="&amp;$E$3,ExpDocDate,"&gt;"&amp;$C$3),0),0))</f>
        <v>0</v>
      </c>
      <c r="F20" s="29">
        <f t="shared" ca="1" si="1"/>
        <v>0</v>
      </c>
      <c r="G20" s="29" cm="1">
        <f t="array" aca="1" ref="G20" ca="1">IF(LEFT($A20,2)="IS",-SUMIFS(IncExcl,IncDocDate,"&lt;="&amp;$G$3,IncDocDate,"&gt;"&amp;$G$2,IncAccount,$A20)+SUMIFS(ExpExcl,ExpDocDate,"&lt;="&amp;$G$3,ExpDocDate,"&gt;"&amp;$G$2,ExpAccount,$A20),$C20-SUMIFS(IncExcl,IncDocDate,"&lt;="&amp;$G$3,IncDocDate,"&gt;"&amp;$C$3,IncAccount,$A20)+SUMIFS(ExpExcl,ExpDocDate,"&lt;="&amp;$G$3,ExpDocDate,"&gt;"&amp;$C$3,ExpAccount,$A20)+IF($A20="BS-1700",-SUMIFS(IncTax1,IncDocDate,"&lt;="&amp;$G$3,IncDocDate,"&gt;"&amp;$C$3)+SUMIFS(ExpTax1,ExpDocDate,"&lt;="&amp;$G$3,ExpDocDate,"&gt;"&amp;$C$3),0)+IF($A20="BS-1710",-IF(IncTaxCount=2,SUMIFS(IncTax2,IncDocDate,"&lt;="&amp;$G$3,IncDocDate,"&gt;"&amp;$C$3),0)+IF(ExpTaxCount=2,SUMIFS(ExpTax2,ExpDocDate,"&lt;="&amp;$G$3,ExpDocDate,"&gt;"&amp;$C$3),0),0))</f>
        <v>0</v>
      </c>
      <c r="H20" s="30" t="str">
        <f t="shared" ca="1" si="0"/>
        <v>Group</v>
      </c>
      <c r="K20" s="17"/>
    </row>
    <row r="21" spans="1:11" ht="16" customHeight="1" x14ac:dyDescent="0.25">
      <c r="A21" s="41" t="s">
        <v>260</v>
      </c>
      <c r="B21" s="42" t="s">
        <v>209</v>
      </c>
      <c r="C21" s="45">
        <v>0</v>
      </c>
      <c r="E21" s="29" cm="1">
        <f t="array" aca="1" ref="E21" ca="1">IF(LEFT($A21,2)="IS",-SUMIFS(IncExcl,IncDocDate,"&lt;="&amp;$E$3,IncDocDate,"&gt;"&amp;$E$2,IncAccount,$A21)+SUMIFS(ExpExcl,ExpDocDate,"&lt;="&amp;$E$3,ExpDocDate,"&gt;"&amp;$E$2,ExpAccount,$A21),$C21-SUMIFS(IncExcl,IncDocDate,"&lt;="&amp;$E$3,IncDocDate,"&gt;"&amp;$C$3,IncAccount,$A21)+SUMIFS(ExpExcl,ExpDocDate,"&lt;="&amp;$E$3,ExpDocDate,"&gt;"&amp;$C$3,ExpAccount,$A21)+IF($A21="BS-1700",-SUMIFS(IncTax1,IncDocDate,"&lt;="&amp;$E$3,IncDocDate,"&gt;"&amp;$C$3)+SUMIFS(ExpTax1,ExpDocDate,"&lt;="&amp;$E$3,ExpDocDate,"&gt;"&amp;$C$3),0)+IF($A21="BS-1710",-IF(IncTaxCount=2,SUMIFS(IncTax2,IncDocDate,"&lt;="&amp;$E$3,IncDocDate,"&gt;"&amp;$C$3),0)+IF(ExpTaxCount=2,SUMIFS(ExpTax2,ExpDocDate,"&lt;="&amp;$E$3,ExpDocDate,"&gt;"&amp;$C$3),0),0))</f>
        <v>0</v>
      </c>
      <c r="F21" s="29">
        <f t="shared" ca="1" si="1"/>
        <v>0</v>
      </c>
      <c r="G21" s="29" cm="1">
        <f t="array" aca="1" ref="G21" ca="1">IF(LEFT($A21,2)="IS",-SUMIFS(IncExcl,IncDocDate,"&lt;="&amp;$G$3,IncDocDate,"&gt;"&amp;$G$2,IncAccount,$A21)+SUMIFS(ExpExcl,ExpDocDate,"&lt;="&amp;$G$3,ExpDocDate,"&gt;"&amp;$G$2,ExpAccount,$A21),$C21-SUMIFS(IncExcl,IncDocDate,"&lt;="&amp;$G$3,IncDocDate,"&gt;"&amp;$C$3,IncAccount,$A21)+SUMIFS(ExpExcl,ExpDocDate,"&lt;="&amp;$G$3,ExpDocDate,"&gt;"&amp;$C$3,ExpAccount,$A21)+IF($A21="BS-1700",-SUMIFS(IncTax1,IncDocDate,"&lt;="&amp;$G$3,IncDocDate,"&gt;"&amp;$C$3)+SUMIFS(ExpTax1,ExpDocDate,"&lt;="&amp;$G$3,ExpDocDate,"&gt;"&amp;$C$3),0)+IF($A21="BS-1710",-IF(IncTaxCount=2,SUMIFS(IncTax2,IncDocDate,"&lt;="&amp;$G$3,IncDocDate,"&gt;"&amp;$C$3),0)+IF(ExpTaxCount=2,SUMIFS(ExpTax2,ExpDocDate,"&lt;="&amp;$G$3,ExpDocDate,"&gt;"&amp;$C$3),0),0))</f>
        <v>0</v>
      </c>
      <c r="H21" s="30" t="str">
        <f t="shared" ca="1" si="0"/>
        <v>Group</v>
      </c>
      <c r="K21" s="17"/>
    </row>
    <row r="22" spans="1:11" ht="16" customHeight="1" x14ac:dyDescent="0.25">
      <c r="A22" s="41" t="s">
        <v>261</v>
      </c>
      <c r="B22" s="42" t="s">
        <v>210</v>
      </c>
      <c r="C22" s="45">
        <v>-29440</v>
      </c>
      <c r="E22" s="29" cm="1">
        <f t="array" aca="1" ref="E22" ca="1">IF(LEFT($A22,2)="IS",-SUMIFS(IncExcl,IncDocDate,"&lt;="&amp;$E$3,IncDocDate,"&gt;"&amp;$E$2,IncAccount,$A22)+SUMIFS(ExpExcl,ExpDocDate,"&lt;="&amp;$E$3,ExpDocDate,"&gt;"&amp;$E$2,ExpAccount,$A22),$C22-SUMIFS(IncExcl,IncDocDate,"&lt;="&amp;$E$3,IncDocDate,"&gt;"&amp;$C$3,IncAccount,$A22)+SUMIFS(ExpExcl,ExpDocDate,"&lt;="&amp;$E$3,ExpDocDate,"&gt;"&amp;$C$3,ExpAccount,$A22)+IF($A22="BS-1700",-SUMIFS(IncTax1,IncDocDate,"&lt;="&amp;$E$3,IncDocDate,"&gt;"&amp;$C$3)+SUMIFS(ExpTax1,ExpDocDate,"&lt;="&amp;$E$3,ExpDocDate,"&gt;"&amp;$C$3),0)+IF($A22="BS-1710",-IF(IncTaxCount=2,SUMIFS(IncTax2,IncDocDate,"&lt;="&amp;$E$3,IncDocDate,"&gt;"&amp;$C$3),0)+IF(ExpTaxCount=2,SUMIFS(ExpTax2,ExpDocDate,"&lt;="&amp;$E$3,ExpDocDate,"&gt;"&amp;$C$3),0),0))</f>
        <v>-29440</v>
      </c>
      <c r="F22" s="29">
        <f t="shared" ca="1" si="1"/>
        <v>-14720</v>
      </c>
      <c r="G22" s="29" cm="1">
        <f t="array" aca="1" ref="G22" ca="1">IF(LEFT($A22,2)="IS",-SUMIFS(IncExcl,IncDocDate,"&lt;="&amp;$G$3,IncDocDate,"&gt;"&amp;$G$2,IncAccount,$A22)+SUMIFS(ExpExcl,ExpDocDate,"&lt;="&amp;$G$3,ExpDocDate,"&gt;"&amp;$G$2,ExpAccount,$A22),$C22-SUMIFS(IncExcl,IncDocDate,"&lt;="&amp;$G$3,IncDocDate,"&gt;"&amp;$C$3,IncAccount,$A22)+SUMIFS(ExpExcl,ExpDocDate,"&lt;="&amp;$G$3,ExpDocDate,"&gt;"&amp;$C$3,ExpAccount,$A22)+IF($A22="BS-1700",-SUMIFS(IncTax1,IncDocDate,"&lt;="&amp;$G$3,IncDocDate,"&gt;"&amp;$C$3)+SUMIFS(ExpTax1,ExpDocDate,"&lt;="&amp;$G$3,ExpDocDate,"&gt;"&amp;$C$3),0)+IF($A22="BS-1710",-IF(IncTaxCount=2,SUMIFS(IncTax2,IncDocDate,"&lt;="&amp;$G$3,IncDocDate,"&gt;"&amp;$C$3),0)+IF(ExpTaxCount=2,SUMIFS(ExpTax2,ExpDocDate,"&lt;="&amp;$G$3,ExpDocDate,"&gt;"&amp;$C$3),0),0))</f>
        <v>-44160</v>
      </c>
      <c r="H22" s="30" t="str">
        <f t="shared" ca="1" si="0"/>
        <v>Group</v>
      </c>
      <c r="K22" s="17"/>
    </row>
    <row r="23" spans="1:11" ht="16" customHeight="1" x14ac:dyDescent="0.25">
      <c r="A23" s="41" t="s">
        <v>262</v>
      </c>
      <c r="B23" s="42" t="s">
        <v>102</v>
      </c>
      <c r="C23" s="45">
        <v>150000</v>
      </c>
      <c r="E23" s="29" cm="1">
        <f t="array" aca="1" ref="E23" ca="1">IF(LEFT($A23,2)="IS",-SUMIFS(IncExcl,IncDocDate,"&lt;="&amp;$E$3,IncDocDate,"&gt;"&amp;$E$2,IncAccount,$A23)+SUMIFS(ExpExcl,ExpDocDate,"&lt;="&amp;$E$3,ExpDocDate,"&gt;"&amp;$E$2,ExpAccount,$A23),$C23-SUMIFS(IncExcl,IncDocDate,"&lt;="&amp;$E$3,IncDocDate,"&gt;"&amp;$C$3,IncAccount,$A23)+SUMIFS(ExpExcl,ExpDocDate,"&lt;="&amp;$E$3,ExpDocDate,"&gt;"&amp;$C$3,ExpAccount,$A23)+IF($A23="BS-1700",-SUMIFS(IncTax1,IncDocDate,"&lt;="&amp;$E$3,IncDocDate,"&gt;"&amp;$C$3)+SUMIFS(ExpTax1,ExpDocDate,"&lt;="&amp;$E$3,ExpDocDate,"&gt;"&amp;$C$3),0)+IF($A23="BS-1710",-IF(IncTaxCount=2,SUMIFS(IncTax2,IncDocDate,"&lt;="&amp;$E$3,IncDocDate,"&gt;"&amp;$C$3),0)+IF(ExpTaxCount=2,SUMIFS(ExpTax2,ExpDocDate,"&lt;="&amp;$E$3,ExpDocDate,"&gt;"&amp;$C$3),0),0))</f>
        <v>150000</v>
      </c>
      <c r="F23" s="29">
        <f t="shared" ca="1" si="1"/>
        <v>30750</v>
      </c>
      <c r="G23" s="29" cm="1">
        <f t="array" aca="1" ref="G23" ca="1">IF(LEFT($A23,2)="IS",-SUMIFS(IncExcl,IncDocDate,"&lt;="&amp;$G$3,IncDocDate,"&gt;"&amp;$G$2,IncAccount,$A23)+SUMIFS(ExpExcl,ExpDocDate,"&lt;="&amp;$G$3,ExpDocDate,"&gt;"&amp;$G$2,ExpAccount,$A23),$C23-SUMIFS(IncExcl,IncDocDate,"&lt;="&amp;$G$3,IncDocDate,"&gt;"&amp;$C$3,IncAccount,$A23)+SUMIFS(ExpExcl,ExpDocDate,"&lt;="&amp;$G$3,ExpDocDate,"&gt;"&amp;$C$3,ExpAccount,$A23)+IF($A23="BS-1700",-SUMIFS(IncTax1,IncDocDate,"&lt;="&amp;$G$3,IncDocDate,"&gt;"&amp;$C$3)+SUMIFS(ExpTax1,ExpDocDate,"&lt;="&amp;$G$3,ExpDocDate,"&gt;"&amp;$C$3),0)+IF($A23="BS-1710",-IF(IncTaxCount=2,SUMIFS(IncTax2,IncDocDate,"&lt;="&amp;$G$3,IncDocDate,"&gt;"&amp;$C$3),0)+IF(ExpTaxCount=2,SUMIFS(ExpTax2,ExpDocDate,"&lt;="&amp;$G$3,ExpDocDate,"&gt;"&amp;$C$3),0),0))</f>
        <v>180750</v>
      </c>
      <c r="H23" s="30" t="str">
        <f t="shared" ca="1" si="0"/>
        <v>Group</v>
      </c>
      <c r="K23" s="17"/>
    </row>
    <row r="24" spans="1:11" ht="16" customHeight="1" x14ac:dyDescent="0.25">
      <c r="A24" s="41" t="s">
        <v>263</v>
      </c>
      <c r="B24" s="42" t="s">
        <v>211</v>
      </c>
      <c r="C24" s="45">
        <v>12000</v>
      </c>
      <c r="E24" s="29" cm="1">
        <f t="array" aca="1" ref="E24" ca="1">IF(LEFT($A24,2)="IS",-SUMIFS(IncExcl,IncDocDate,"&lt;="&amp;$E$3,IncDocDate,"&gt;"&amp;$E$2,IncAccount,$A24)+SUMIFS(ExpExcl,ExpDocDate,"&lt;="&amp;$E$3,ExpDocDate,"&gt;"&amp;$E$2,ExpAccount,$A24),$C24-SUMIFS(IncExcl,IncDocDate,"&lt;="&amp;$E$3,IncDocDate,"&gt;"&amp;$C$3,IncAccount,$A24)+SUMIFS(ExpExcl,ExpDocDate,"&lt;="&amp;$E$3,ExpDocDate,"&gt;"&amp;$C$3,ExpAccount,$A24)+IF($A24="BS-1700",-SUMIFS(IncTax1,IncDocDate,"&lt;="&amp;$E$3,IncDocDate,"&gt;"&amp;$C$3)+SUMIFS(ExpTax1,ExpDocDate,"&lt;="&amp;$E$3,ExpDocDate,"&gt;"&amp;$C$3),0)+IF($A24="BS-1710",-IF(IncTaxCount=2,SUMIFS(IncTax2,IncDocDate,"&lt;="&amp;$E$3,IncDocDate,"&gt;"&amp;$C$3),0)+IF(ExpTaxCount=2,SUMIFS(ExpTax2,ExpDocDate,"&lt;="&amp;$E$3,ExpDocDate,"&gt;"&amp;$C$3),0),0))</f>
        <v>12000</v>
      </c>
      <c r="F24" s="29">
        <f t="shared" ca="1" si="1"/>
        <v>-12000</v>
      </c>
      <c r="G24" s="29" cm="1">
        <f t="array" aca="1" ref="G24" ca="1">IF(LEFT($A24,2)="IS",-SUMIFS(IncExcl,IncDocDate,"&lt;="&amp;$G$3,IncDocDate,"&gt;"&amp;$G$2,IncAccount,$A24)+SUMIFS(ExpExcl,ExpDocDate,"&lt;="&amp;$G$3,ExpDocDate,"&gt;"&amp;$G$2,ExpAccount,$A24),$C24-SUMIFS(IncExcl,IncDocDate,"&lt;="&amp;$G$3,IncDocDate,"&gt;"&amp;$C$3,IncAccount,$A24)+SUMIFS(ExpExcl,ExpDocDate,"&lt;="&amp;$G$3,ExpDocDate,"&gt;"&amp;$C$3,ExpAccount,$A24)+IF($A24="BS-1700",-SUMIFS(IncTax1,IncDocDate,"&lt;="&amp;$G$3,IncDocDate,"&gt;"&amp;$C$3)+SUMIFS(ExpTax1,ExpDocDate,"&lt;="&amp;$G$3,ExpDocDate,"&gt;"&amp;$C$3),0)+IF($A24="BS-1710",-IF(IncTaxCount=2,SUMIFS(IncTax2,IncDocDate,"&lt;="&amp;$G$3,IncDocDate,"&gt;"&amp;$C$3),0)+IF(ExpTaxCount=2,SUMIFS(ExpTax2,ExpDocDate,"&lt;="&amp;$G$3,ExpDocDate,"&gt;"&amp;$C$3),0),0))</f>
        <v>0</v>
      </c>
      <c r="H24" s="30" t="str">
        <f t="shared" ca="1" si="0"/>
        <v>Group</v>
      </c>
      <c r="K24" s="17"/>
    </row>
    <row r="25" spans="1:11" ht="16" customHeight="1" x14ac:dyDescent="0.25">
      <c r="A25" s="41" t="s">
        <v>274</v>
      </c>
      <c r="B25" s="42" t="s">
        <v>214</v>
      </c>
      <c r="C25" s="45">
        <v>0</v>
      </c>
      <c r="E25" s="29" cm="1">
        <f t="array" aca="1" ref="E25" ca="1">IF(LEFT($A25,2)="IS",-SUMIFS(IncExcl,IncDocDate,"&lt;="&amp;$E$3,IncDocDate,"&gt;"&amp;$E$2,IncAccount,$A25)+SUMIFS(ExpExcl,ExpDocDate,"&lt;="&amp;$E$3,ExpDocDate,"&gt;"&amp;$E$2,ExpAccount,$A25),$C25-SUMIFS(IncExcl,IncDocDate,"&lt;="&amp;$E$3,IncDocDate,"&gt;"&amp;$C$3,IncAccount,$A25)+SUMIFS(ExpExcl,ExpDocDate,"&lt;="&amp;$E$3,ExpDocDate,"&gt;"&amp;$C$3,ExpAccount,$A25)+IF($A25="BS-1700",-SUMIFS(IncTax1,IncDocDate,"&lt;="&amp;$E$3,IncDocDate,"&gt;"&amp;$C$3)+SUMIFS(ExpTax1,ExpDocDate,"&lt;="&amp;$E$3,ExpDocDate,"&gt;"&amp;$C$3),0)+IF($A25="BS-1710",-IF(IncTaxCount=2,SUMIFS(IncTax2,IncDocDate,"&lt;="&amp;$E$3,IncDocDate,"&gt;"&amp;$C$3),0)+IF(ExpTaxCount=2,SUMIFS(ExpTax2,ExpDocDate,"&lt;="&amp;$E$3,ExpDocDate,"&gt;"&amp;$C$3),0),0))</f>
        <v>0</v>
      </c>
      <c r="F25" s="29">
        <f t="shared" ca="1" si="1"/>
        <v>0</v>
      </c>
      <c r="G25" s="29" cm="1">
        <f t="array" aca="1" ref="G25" ca="1">IF(LEFT($A25,2)="IS",-SUMIFS(IncExcl,IncDocDate,"&lt;="&amp;$G$3,IncDocDate,"&gt;"&amp;$G$2,IncAccount,$A25)+SUMIFS(ExpExcl,ExpDocDate,"&lt;="&amp;$G$3,ExpDocDate,"&gt;"&amp;$G$2,ExpAccount,$A25),$C25-SUMIFS(IncExcl,IncDocDate,"&lt;="&amp;$G$3,IncDocDate,"&gt;"&amp;$C$3,IncAccount,$A25)+SUMIFS(ExpExcl,ExpDocDate,"&lt;="&amp;$G$3,ExpDocDate,"&gt;"&amp;$C$3,ExpAccount,$A25)+IF($A25="BS-1700",-SUMIFS(IncTax1,IncDocDate,"&lt;="&amp;$G$3,IncDocDate,"&gt;"&amp;$C$3)+SUMIFS(ExpTax1,ExpDocDate,"&lt;="&amp;$G$3,ExpDocDate,"&gt;"&amp;$C$3),0)+IF($A25="BS-1710",-IF(IncTaxCount=2,SUMIFS(IncTax2,IncDocDate,"&lt;="&amp;$G$3,IncDocDate,"&gt;"&amp;$C$3),0)+IF(ExpTaxCount=2,SUMIFS(ExpTax2,ExpDocDate,"&lt;="&amp;$G$3,ExpDocDate,"&gt;"&amp;$C$3),0),0))</f>
        <v>0</v>
      </c>
      <c r="H25" s="30" t="str">
        <f t="shared" ca="1" si="0"/>
        <v>Group</v>
      </c>
      <c r="K25" s="17"/>
    </row>
    <row r="26" spans="1:11" ht="16" customHeight="1" x14ac:dyDescent="0.25">
      <c r="A26" s="41" t="s">
        <v>275</v>
      </c>
      <c r="B26" s="42" t="s">
        <v>160</v>
      </c>
      <c r="C26" s="45">
        <v>0</v>
      </c>
      <c r="E26" s="29" cm="1">
        <f t="array" aca="1" ref="E26" ca="1">IF(LEFT($A26,2)="IS",-SUMIFS(IncExcl,IncDocDate,"&lt;="&amp;$E$3,IncDocDate,"&gt;"&amp;$E$2,IncAccount,$A26)+SUMIFS(ExpExcl,ExpDocDate,"&lt;="&amp;$E$3,ExpDocDate,"&gt;"&amp;$E$2,ExpAccount,$A26),$C26-SUMIFS(IncExcl,IncDocDate,"&lt;="&amp;$E$3,IncDocDate,"&gt;"&amp;$C$3,IncAccount,$A26)+SUMIFS(ExpExcl,ExpDocDate,"&lt;="&amp;$E$3,ExpDocDate,"&gt;"&amp;$C$3,ExpAccount,$A26)+IF($A26="BS-1700",-SUMIFS(IncTax1,IncDocDate,"&lt;="&amp;$E$3,IncDocDate,"&gt;"&amp;$C$3)+SUMIFS(ExpTax1,ExpDocDate,"&lt;="&amp;$E$3,ExpDocDate,"&gt;"&amp;$C$3),0)+IF($A26="BS-1710",-IF(IncTaxCount=2,SUMIFS(IncTax2,IncDocDate,"&lt;="&amp;$E$3,IncDocDate,"&gt;"&amp;$C$3),0)+IF(ExpTaxCount=2,SUMIFS(ExpTax2,ExpDocDate,"&lt;="&amp;$E$3,ExpDocDate,"&gt;"&amp;$C$3),0),0))</f>
        <v>0</v>
      </c>
      <c r="F26" s="29">
        <f t="shared" ca="1" si="1"/>
        <v>0</v>
      </c>
      <c r="G26" s="29" cm="1">
        <f t="array" aca="1" ref="G26" ca="1">IF(LEFT($A26,2)="IS",-SUMIFS(IncExcl,IncDocDate,"&lt;="&amp;$G$3,IncDocDate,"&gt;"&amp;$G$2,IncAccount,$A26)+SUMIFS(ExpExcl,ExpDocDate,"&lt;="&amp;$G$3,ExpDocDate,"&gt;"&amp;$G$2,ExpAccount,$A26),$C26-SUMIFS(IncExcl,IncDocDate,"&lt;="&amp;$G$3,IncDocDate,"&gt;"&amp;$C$3,IncAccount,$A26)+SUMIFS(ExpExcl,ExpDocDate,"&lt;="&amp;$G$3,ExpDocDate,"&gt;"&amp;$C$3,ExpAccount,$A26)+IF($A26="BS-1700",-SUMIFS(IncTax1,IncDocDate,"&lt;="&amp;$G$3,IncDocDate,"&gt;"&amp;$C$3)+SUMIFS(ExpTax1,ExpDocDate,"&lt;="&amp;$G$3,ExpDocDate,"&gt;"&amp;$C$3),0)+IF($A26="BS-1710",-IF(IncTaxCount=2,SUMIFS(IncTax2,IncDocDate,"&lt;="&amp;$G$3,IncDocDate,"&gt;"&amp;$C$3),0)+IF(ExpTaxCount=2,SUMIFS(ExpTax2,ExpDocDate,"&lt;="&amp;$G$3,ExpDocDate,"&gt;"&amp;$C$3),0),0))</f>
        <v>0</v>
      </c>
      <c r="H26" s="30" t="str">
        <f t="shared" ca="1" si="0"/>
        <v>Group</v>
      </c>
      <c r="I26" s="17"/>
      <c r="J26" s="17"/>
      <c r="K26" s="17"/>
    </row>
    <row r="27" spans="1:11" ht="16" customHeight="1" x14ac:dyDescent="0.25">
      <c r="A27" s="41" t="s">
        <v>269</v>
      </c>
      <c r="B27" s="42" t="s">
        <v>103</v>
      </c>
      <c r="C27" s="45">
        <v>0</v>
      </c>
      <c r="E27" s="29" cm="1">
        <f t="array" aca="1" ref="E27" ca="1">IF(LEFT($A27,2)="IS",-SUMIFS(IncExcl,IncDocDate,"&lt;="&amp;$E$3,IncDocDate,"&gt;"&amp;$E$2,IncAccount,$A27)+SUMIFS(ExpExcl,ExpDocDate,"&lt;="&amp;$E$3,ExpDocDate,"&gt;"&amp;$E$2,ExpAccount,$A27),$C27-SUMIFS(IncExcl,IncDocDate,"&lt;="&amp;$E$3,IncDocDate,"&gt;"&amp;$C$3,IncAccount,$A27)+SUMIFS(ExpExcl,ExpDocDate,"&lt;="&amp;$E$3,ExpDocDate,"&gt;"&amp;$C$3,ExpAccount,$A27)+IF($A27="BS-1700",-SUMIFS(IncTax1,IncDocDate,"&lt;="&amp;$E$3,IncDocDate,"&gt;"&amp;$C$3)+SUMIFS(ExpTax1,ExpDocDate,"&lt;="&amp;$E$3,ExpDocDate,"&gt;"&amp;$C$3),0)+IF($A27="BS-1710",-IF(IncTaxCount=2,SUMIFS(IncTax2,IncDocDate,"&lt;="&amp;$E$3,IncDocDate,"&gt;"&amp;$C$3),0)+IF(ExpTaxCount=2,SUMIFS(ExpTax2,ExpDocDate,"&lt;="&amp;$E$3,ExpDocDate,"&gt;"&amp;$C$3),0),0))</f>
        <v>0</v>
      </c>
      <c r="F27" s="29">
        <f t="shared" ca="1" si="1"/>
        <v>0</v>
      </c>
      <c r="G27" s="29" cm="1">
        <f t="array" aca="1" ref="G27" ca="1">IF(LEFT($A27,2)="IS",-SUMIFS(IncExcl,IncDocDate,"&lt;="&amp;$G$3,IncDocDate,"&gt;"&amp;$G$2,IncAccount,$A27)+SUMIFS(ExpExcl,ExpDocDate,"&lt;="&amp;$G$3,ExpDocDate,"&gt;"&amp;$G$2,ExpAccount,$A27),$C27-SUMIFS(IncExcl,IncDocDate,"&lt;="&amp;$G$3,IncDocDate,"&gt;"&amp;$C$3,IncAccount,$A27)+SUMIFS(ExpExcl,ExpDocDate,"&lt;="&amp;$G$3,ExpDocDate,"&gt;"&amp;$C$3,ExpAccount,$A27)+IF($A27="BS-1700",-SUMIFS(IncTax1,IncDocDate,"&lt;="&amp;$G$3,IncDocDate,"&gt;"&amp;$C$3)+SUMIFS(ExpTax1,ExpDocDate,"&lt;="&amp;$G$3,ExpDocDate,"&gt;"&amp;$C$3),0)+IF($A27="BS-1710",-IF(IncTaxCount=2,SUMIFS(IncTax2,IncDocDate,"&lt;="&amp;$G$3,IncDocDate,"&gt;"&amp;$C$3),0)+IF(ExpTaxCount=2,SUMIFS(ExpTax2,ExpDocDate,"&lt;="&amp;$G$3,ExpDocDate,"&gt;"&amp;$C$3),0),0))</f>
        <v>0</v>
      </c>
      <c r="H27" s="30" t="str">
        <f t="shared" ca="1" si="0"/>
        <v>Group</v>
      </c>
      <c r="K27" s="17"/>
    </row>
    <row r="28" spans="1:11" ht="16" customHeight="1" x14ac:dyDescent="0.25">
      <c r="A28" s="41" t="s">
        <v>270</v>
      </c>
      <c r="B28" s="42" t="s">
        <v>213</v>
      </c>
      <c r="C28" s="45">
        <v>15000</v>
      </c>
      <c r="E28" s="29" cm="1">
        <f t="array" aca="1" ref="E28" ca="1">IF(LEFT($A28,2)="IS",-SUMIFS(IncExcl,IncDocDate,"&lt;="&amp;$E$3,IncDocDate,"&gt;"&amp;$E$2,IncAccount,$A28)+SUMIFS(ExpExcl,ExpDocDate,"&lt;="&amp;$E$3,ExpDocDate,"&gt;"&amp;$E$2,ExpAccount,$A28),$C28-SUMIFS(IncExcl,IncDocDate,"&lt;="&amp;$E$3,IncDocDate,"&gt;"&amp;$C$3,IncAccount,$A28)+SUMIFS(ExpExcl,ExpDocDate,"&lt;="&amp;$E$3,ExpDocDate,"&gt;"&amp;$C$3,ExpAccount,$A28)+IF($A28="BS-1700",-SUMIFS(IncTax1,IncDocDate,"&lt;="&amp;$E$3,IncDocDate,"&gt;"&amp;$C$3)+SUMIFS(ExpTax1,ExpDocDate,"&lt;="&amp;$E$3,ExpDocDate,"&gt;"&amp;$C$3),0)+IF($A28="BS-1710",-IF(IncTaxCount=2,SUMIFS(IncTax2,IncDocDate,"&lt;="&amp;$E$3,IncDocDate,"&gt;"&amp;$C$3),0)+IF(ExpTaxCount=2,SUMIFS(ExpTax2,ExpDocDate,"&lt;="&amp;$E$3,ExpDocDate,"&gt;"&amp;$C$3),0),0))</f>
        <v>15000</v>
      </c>
      <c r="F28" s="29">
        <f t="shared" ca="1" si="1"/>
        <v>-15000</v>
      </c>
      <c r="G28" s="29" cm="1">
        <f t="array" aca="1" ref="G28" ca="1">IF(LEFT($A28,2)="IS",-SUMIFS(IncExcl,IncDocDate,"&lt;="&amp;$G$3,IncDocDate,"&gt;"&amp;$G$2,IncAccount,$A28)+SUMIFS(ExpExcl,ExpDocDate,"&lt;="&amp;$G$3,ExpDocDate,"&gt;"&amp;$G$2,ExpAccount,$A28),$C28-SUMIFS(IncExcl,IncDocDate,"&lt;="&amp;$G$3,IncDocDate,"&gt;"&amp;$C$3,IncAccount,$A28)+SUMIFS(ExpExcl,ExpDocDate,"&lt;="&amp;$G$3,ExpDocDate,"&gt;"&amp;$C$3,ExpAccount,$A28)+IF($A28="BS-1700",-SUMIFS(IncTax1,IncDocDate,"&lt;="&amp;$G$3,IncDocDate,"&gt;"&amp;$C$3)+SUMIFS(ExpTax1,ExpDocDate,"&lt;="&amp;$G$3,ExpDocDate,"&gt;"&amp;$C$3),0)+IF($A28="BS-1710",-IF(IncTaxCount=2,SUMIFS(IncTax2,IncDocDate,"&lt;="&amp;$G$3,IncDocDate,"&gt;"&amp;$C$3),0)+IF(ExpTaxCount=2,SUMIFS(ExpTax2,ExpDocDate,"&lt;="&amp;$G$3,ExpDocDate,"&gt;"&amp;$C$3),0),0))</f>
        <v>0</v>
      </c>
      <c r="H28" s="30" t="str">
        <f t="shared" ca="1" si="0"/>
        <v>Group</v>
      </c>
      <c r="K28" s="17"/>
    </row>
    <row r="29" spans="1:11" ht="16" customHeight="1" x14ac:dyDescent="0.25">
      <c r="A29" s="41" t="s">
        <v>277</v>
      </c>
      <c r="B29" s="42" t="s">
        <v>225</v>
      </c>
      <c r="C29" s="45">
        <v>0</v>
      </c>
      <c r="E29" s="29" cm="1">
        <f t="array" aca="1" ref="E29" ca="1">IF(LEFT($A29,2)="IS",-SUMIFS(IncExcl,IncDocDate,"&lt;="&amp;$E$3,IncDocDate,"&gt;"&amp;$E$2,IncAccount,$A29)+SUMIFS(ExpExcl,ExpDocDate,"&lt;="&amp;$E$3,ExpDocDate,"&gt;"&amp;$E$2,ExpAccount,$A29),$C29-SUMIFS(IncExcl,IncDocDate,"&lt;="&amp;$E$3,IncDocDate,"&gt;"&amp;$C$3,IncAccount,$A29)+SUMIFS(ExpExcl,ExpDocDate,"&lt;="&amp;$E$3,ExpDocDate,"&gt;"&amp;$C$3,ExpAccount,$A29)+IF($A29="BS-1700",-SUMIFS(IncTax1,IncDocDate,"&lt;="&amp;$E$3,IncDocDate,"&gt;"&amp;$C$3)+SUMIFS(ExpTax1,ExpDocDate,"&lt;="&amp;$E$3,ExpDocDate,"&gt;"&amp;$C$3),0)+IF($A29="BS-1710",-IF(IncTaxCount=2,SUMIFS(IncTax2,IncDocDate,"&lt;="&amp;$E$3,IncDocDate,"&gt;"&amp;$C$3),0)+IF(ExpTaxCount=2,SUMIFS(ExpTax2,ExpDocDate,"&lt;="&amp;$E$3,ExpDocDate,"&gt;"&amp;$C$3),0),0))</f>
        <v>0</v>
      </c>
      <c r="F29" s="29">
        <f t="shared" ca="1" si="1"/>
        <v>0</v>
      </c>
      <c r="G29" s="29" cm="1">
        <f t="array" aca="1" ref="G29" ca="1">IF(LEFT($A29,2)="IS",-SUMIFS(IncExcl,IncDocDate,"&lt;="&amp;$G$3,IncDocDate,"&gt;"&amp;$G$2,IncAccount,$A29)+SUMIFS(ExpExcl,ExpDocDate,"&lt;="&amp;$G$3,ExpDocDate,"&gt;"&amp;$G$2,ExpAccount,$A29),$C29-SUMIFS(IncExcl,IncDocDate,"&lt;="&amp;$G$3,IncDocDate,"&gt;"&amp;$C$3,IncAccount,$A29)+SUMIFS(ExpExcl,ExpDocDate,"&lt;="&amp;$G$3,ExpDocDate,"&gt;"&amp;$C$3,ExpAccount,$A29)+IF($A29="BS-1700",-SUMIFS(IncTax1,IncDocDate,"&lt;="&amp;$G$3,IncDocDate,"&gt;"&amp;$C$3)+SUMIFS(ExpTax1,ExpDocDate,"&lt;="&amp;$G$3,ExpDocDate,"&gt;"&amp;$C$3),0)+IF($A29="BS-1710",-IF(IncTaxCount=2,SUMIFS(IncTax2,IncDocDate,"&lt;="&amp;$G$3,IncDocDate,"&gt;"&amp;$C$3),0)+IF(ExpTaxCount=2,SUMIFS(ExpTax2,ExpDocDate,"&lt;="&amp;$G$3,ExpDocDate,"&gt;"&amp;$C$3),0),0))</f>
        <v>0</v>
      </c>
      <c r="H29" s="30" t="str">
        <f t="shared" ca="1" si="0"/>
        <v>Group</v>
      </c>
      <c r="K29" s="17"/>
    </row>
    <row r="30" spans="1:11" ht="16" customHeight="1" x14ac:dyDescent="0.25">
      <c r="A30" s="41" t="s">
        <v>278</v>
      </c>
      <c r="B30" s="42" t="s">
        <v>228</v>
      </c>
      <c r="C30" s="45">
        <v>0</v>
      </c>
      <c r="E30" s="29" cm="1">
        <f t="array" aca="1" ref="E30" ca="1">IF(LEFT($A30,2)="IS",-SUMIFS(IncExcl,IncDocDate,"&lt;="&amp;$E$3,IncDocDate,"&gt;"&amp;$E$2,IncAccount,$A30)+SUMIFS(ExpExcl,ExpDocDate,"&lt;="&amp;$E$3,ExpDocDate,"&gt;"&amp;$E$2,ExpAccount,$A30),$C30-SUMIFS(IncExcl,IncDocDate,"&lt;="&amp;$E$3,IncDocDate,"&gt;"&amp;$C$3,IncAccount,$A30)+SUMIFS(ExpExcl,ExpDocDate,"&lt;="&amp;$E$3,ExpDocDate,"&gt;"&amp;$C$3,ExpAccount,$A30)+IF($A30="BS-1700",-SUMIFS(IncTax1,IncDocDate,"&lt;="&amp;$E$3,IncDocDate,"&gt;"&amp;$C$3)+SUMIFS(ExpTax1,ExpDocDate,"&lt;="&amp;$E$3,ExpDocDate,"&gt;"&amp;$C$3),0)+IF($A30="BS-1710",-IF(IncTaxCount=2,SUMIFS(IncTax2,IncDocDate,"&lt;="&amp;$E$3,IncDocDate,"&gt;"&amp;$C$3),0)+IF(ExpTaxCount=2,SUMIFS(ExpTax2,ExpDocDate,"&lt;="&amp;$E$3,ExpDocDate,"&gt;"&amp;$C$3),0),0))</f>
        <v>0</v>
      </c>
      <c r="F30" s="29">
        <f t="shared" ca="1" si="1"/>
        <v>0</v>
      </c>
      <c r="G30" s="29" cm="1">
        <f t="array" aca="1" ref="G30" ca="1">IF(LEFT($A30,2)="IS",-SUMIFS(IncExcl,IncDocDate,"&lt;="&amp;$G$3,IncDocDate,"&gt;"&amp;$G$2,IncAccount,$A30)+SUMIFS(ExpExcl,ExpDocDate,"&lt;="&amp;$G$3,ExpDocDate,"&gt;"&amp;$G$2,ExpAccount,$A30),$C30-SUMIFS(IncExcl,IncDocDate,"&lt;="&amp;$G$3,IncDocDate,"&gt;"&amp;$C$3,IncAccount,$A30)+SUMIFS(ExpExcl,ExpDocDate,"&lt;="&amp;$G$3,ExpDocDate,"&gt;"&amp;$C$3,ExpAccount,$A30)+IF($A30="BS-1700",-SUMIFS(IncTax1,IncDocDate,"&lt;="&amp;$G$3,IncDocDate,"&gt;"&amp;$C$3)+SUMIFS(ExpTax1,ExpDocDate,"&lt;="&amp;$G$3,ExpDocDate,"&gt;"&amp;$C$3),0)+IF($A30="BS-1710",-IF(IncTaxCount=2,SUMIFS(IncTax2,IncDocDate,"&lt;="&amp;$G$3,IncDocDate,"&gt;"&amp;$C$3),0)+IF(ExpTaxCount=2,SUMIFS(ExpTax2,ExpDocDate,"&lt;="&amp;$G$3,ExpDocDate,"&gt;"&amp;$C$3),0),0))</f>
        <v>0</v>
      </c>
      <c r="H30" s="30" t="str">
        <f t="shared" ca="1" si="0"/>
        <v>Group</v>
      </c>
      <c r="K30" s="17"/>
    </row>
    <row r="31" spans="1:11" ht="16" customHeight="1" x14ac:dyDescent="0.25">
      <c r="A31" s="41" t="s">
        <v>279</v>
      </c>
      <c r="B31" s="42" t="s">
        <v>229</v>
      </c>
      <c r="C31" s="45">
        <v>0</v>
      </c>
      <c r="E31" s="29" cm="1">
        <f t="array" aca="1" ref="E31" ca="1">IF(LEFT($A31,2)="IS",-SUMIFS(IncExcl,IncDocDate,"&lt;="&amp;$E$3,IncDocDate,"&gt;"&amp;$E$2,IncAccount,$A31)+SUMIFS(ExpExcl,ExpDocDate,"&lt;="&amp;$E$3,ExpDocDate,"&gt;"&amp;$E$2,ExpAccount,$A31),$C31-SUMIFS(IncExcl,IncDocDate,"&lt;="&amp;$E$3,IncDocDate,"&gt;"&amp;$C$3,IncAccount,$A31)+SUMIFS(ExpExcl,ExpDocDate,"&lt;="&amp;$E$3,ExpDocDate,"&gt;"&amp;$C$3,ExpAccount,$A31)+IF($A31="BS-1700",-SUMIFS(IncTax1,IncDocDate,"&lt;="&amp;$E$3,IncDocDate,"&gt;"&amp;$C$3)+SUMIFS(ExpTax1,ExpDocDate,"&lt;="&amp;$E$3,ExpDocDate,"&gt;"&amp;$C$3),0)+IF($A31="BS-1710",-IF(IncTaxCount=2,SUMIFS(IncTax2,IncDocDate,"&lt;="&amp;$E$3,IncDocDate,"&gt;"&amp;$C$3),0)+IF(ExpTaxCount=2,SUMIFS(ExpTax2,ExpDocDate,"&lt;="&amp;$E$3,ExpDocDate,"&gt;"&amp;$C$3),0),0))</f>
        <v>0</v>
      </c>
      <c r="F31" s="29">
        <f t="shared" ca="1" si="1"/>
        <v>0</v>
      </c>
      <c r="G31" s="29" cm="1">
        <f t="array" aca="1" ref="G31" ca="1">IF(LEFT($A31,2)="IS",-SUMIFS(IncExcl,IncDocDate,"&lt;="&amp;$G$3,IncDocDate,"&gt;"&amp;$G$2,IncAccount,$A31)+SUMIFS(ExpExcl,ExpDocDate,"&lt;="&amp;$G$3,ExpDocDate,"&gt;"&amp;$G$2,ExpAccount,$A31),$C31-SUMIFS(IncExcl,IncDocDate,"&lt;="&amp;$G$3,IncDocDate,"&gt;"&amp;$C$3,IncAccount,$A31)+SUMIFS(ExpExcl,ExpDocDate,"&lt;="&amp;$G$3,ExpDocDate,"&gt;"&amp;$C$3,ExpAccount,$A31)+IF($A31="BS-1700",-SUMIFS(IncTax1,IncDocDate,"&lt;="&amp;$G$3,IncDocDate,"&gt;"&amp;$C$3)+SUMIFS(ExpTax1,ExpDocDate,"&lt;="&amp;$G$3,ExpDocDate,"&gt;"&amp;$C$3),0)+IF($A31="BS-1710",-IF(IncTaxCount=2,SUMIFS(IncTax2,IncDocDate,"&lt;="&amp;$G$3,IncDocDate,"&gt;"&amp;$C$3),0)+IF(ExpTaxCount=2,SUMIFS(ExpTax2,ExpDocDate,"&lt;="&amp;$G$3,ExpDocDate,"&gt;"&amp;$C$3),0),0))</f>
        <v>0</v>
      </c>
      <c r="H31" s="30" t="str">
        <f t="shared" ca="1" si="0"/>
        <v>Group</v>
      </c>
      <c r="K31" s="17"/>
    </row>
    <row r="32" spans="1:11" ht="16" customHeight="1" x14ac:dyDescent="0.25">
      <c r="A32" s="41" t="s">
        <v>281</v>
      </c>
      <c r="B32" s="42" t="s">
        <v>230</v>
      </c>
      <c r="C32" s="45">
        <v>0</v>
      </c>
      <c r="E32" s="29" cm="1">
        <f t="array" aca="1" ref="E32" ca="1">IF(LEFT($A32,2)="IS",-SUMIFS(IncExcl,IncDocDate,"&lt;="&amp;$E$3,IncDocDate,"&gt;"&amp;$E$2,IncAccount,$A32)+SUMIFS(ExpExcl,ExpDocDate,"&lt;="&amp;$E$3,ExpDocDate,"&gt;"&amp;$E$2,ExpAccount,$A32),$C32-SUMIFS(IncExcl,IncDocDate,"&lt;="&amp;$E$3,IncDocDate,"&gt;"&amp;$C$3,IncAccount,$A32)+SUMIFS(ExpExcl,ExpDocDate,"&lt;="&amp;$E$3,ExpDocDate,"&gt;"&amp;$C$3,ExpAccount,$A32)+IF($A32="BS-1700",-SUMIFS(IncTax1,IncDocDate,"&lt;="&amp;$E$3,IncDocDate,"&gt;"&amp;$C$3)+SUMIFS(ExpTax1,ExpDocDate,"&lt;="&amp;$E$3,ExpDocDate,"&gt;"&amp;$C$3),0)+IF($A32="BS-1710",-IF(IncTaxCount=2,SUMIFS(IncTax2,IncDocDate,"&lt;="&amp;$E$3,IncDocDate,"&gt;"&amp;$C$3),0)+IF(ExpTaxCount=2,SUMIFS(ExpTax2,ExpDocDate,"&lt;="&amp;$E$3,ExpDocDate,"&gt;"&amp;$C$3),0),0))</f>
        <v>0</v>
      </c>
      <c r="F32" s="29">
        <f t="shared" ca="1" si="1"/>
        <v>-50000</v>
      </c>
      <c r="G32" s="29" cm="1">
        <f t="array" aca="1" ref="G32" ca="1">IF(LEFT($A32,2)="IS",-SUMIFS(IncExcl,IncDocDate,"&lt;="&amp;$G$3,IncDocDate,"&gt;"&amp;$G$2,IncAccount,$A32)+SUMIFS(ExpExcl,ExpDocDate,"&lt;="&amp;$G$3,ExpDocDate,"&gt;"&amp;$G$2,ExpAccount,$A32),$C32-SUMIFS(IncExcl,IncDocDate,"&lt;="&amp;$G$3,IncDocDate,"&gt;"&amp;$C$3,IncAccount,$A32)+SUMIFS(ExpExcl,ExpDocDate,"&lt;="&amp;$G$3,ExpDocDate,"&gt;"&amp;$C$3,ExpAccount,$A32)+IF($A32="BS-1700",-SUMIFS(IncTax1,IncDocDate,"&lt;="&amp;$G$3,IncDocDate,"&gt;"&amp;$C$3)+SUMIFS(ExpTax1,ExpDocDate,"&lt;="&amp;$G$3,ExpDocDate,"&gt;"&amp;$C$3),0)+IF($A32="BS-1710",-IF(IncTaxCount=2,SUMIFS(IncTax2,IncDocDate,"&lt;="&amp;$G$3,IncDocDate,"&gt;"&amp;$C$3),0)+IF(ExpTaxCount=2,SUMIFS(ExpTax2,ExpDocDate,"&lt;="&amp;$G$3,ExpDocDate,"&gt;"&amp;$C$3),0),0))</f>
        <v>-50000</v>
      </c>
      <c r="H32" s="30" t="str">
        <f t="shared" ca="1" si="0"/>
        <v>Group</v>
      </c>
      <c r="K32" s="17"/>
    </row>
    <row r="33" spans="1:11" ht="16" customHeight="1" x14ac:dyDescent="0.25">
      <c r="A33" s="41" t="s">
        <v>401</v>
      </c>
      <c r="B33" s="42" t="s">
        <v>226</v>
      </c>
      <c r="C33" s="45">
        <v>0</v>
      </c>
      <c r="E33" s="29" cm="1">
        <f t="array" aca="1" ref="E33" ca="1">IF(LEFT($A33,2)="IS",-SUMIFS(IncExcl,IncDocDate,"&lt;="&amp;$E$3,IncDocDate,"&gt;"&amp;$E$2,IncAccount,$A33)+SUMIFS(ExpExcl,ExpDocDate,"&lt;="&amp;$E$3,ExpDocDate,"&gt;"&amp;$E$2,ExpAccount,$A33),$C33-SUMIFS(IncExcl,IncDocDate,"&lt;="&amp;$E$3,IncDocDate,"&gt;"&amp;$C$3,IncAccount,$A33)+SUMIFS(ExpExcl,ExpDocDate,"&lt;="&amp;$E$3,ExpDocDate,"&gt;"&amp;$C$3,ExpAccount,$A33)+IF($A33="BS-1700",-SUMIFS(IncTax1,IncDocDate,"&lt;="&amp;$E$3,IncDocDate,"&gt;"&amp;$C$3)+SUMIFS(ExpTax1,ExpDocDate,"&lt;="&amp;$E$3,ExpDocDate,"&gt;"&amp;$C$3),0)+IF($A33="BS-1710",-IF(IncTaxCount=2,SUMIFS(IncTax2,IncDocDate,"&lt;="&amp;$E$3,IncDocDate,"&gt;"&amp;$C$3),0)+IF(ExpTaxCount=2,SUMIFS(ExpTax2,ExpDocDate,"&lt;="&amp;$E$3,ExpDocDate,"&gt;"&amp;$C$3),0),0))</f>
        <v>0</v>
      </c>
      <c r="F33" s="29">
        <f t="shared" ca="1" si="1"/>
        <v>0</v>
      </c>
      <c r="G33" s="29" cm="1">
        <f t="array" aca="1" ref="G33" ca="1">IF(LEFT($A33,2)="IS",-SUMIFS(IncExcl,IncDocDate,"&lt;="&amp;$G$3,IncDocDate,"&gt;"&amp;$G$2,IncAccount,$A33)+SUMIFS(ExpExcl,ExpDocDate,"&lt;="&amp;$G$3,ExpDocDate,"&gt;"&amp;$G$2,ExpAccount,$A33),$C33-SUMIFS(IncExcl,IncDocDate,"&lt;="&amp;$G$3,IncDocDate,"&gt;"&amp;$C$3,IncAccount,$A33)+SUMIFS(ExpExcl,ExpDocDate,"&lt;="&amp;$G$3,ExpDocDate,"&gt;"&amp;$C$3,ExpAccount,$A33)+IF($A33="BS-1700",-SUMIFS(IncTax1,IncDocDate,"&lt;="&amp;$G$3,IncDocDate,"&gt;"&amp;$C$3)+SUMIFS(ExpTax1,ExpDocDate,"&lt;="&amp;$G$3,ExpDocDate,"&gt;"&amp;$C$3),0)+IF($A33="BS-1710",-IF(IncTaxCount=2,SUMIFS(IncTax2,IncDocDate,"&lt;="&amp;$G$3,IncDocDate,"&gt;"&amp;$C$3),0)+IF(ExpTaxCount=2,SUMIFS(ExpTax2,ExpDocDate,"&lt;="&amp;$G$3,ExpDocDate,"&gt;"&amp;$C$3),0),0))</f>
        <v>0</v>
      </c>
      <c r="H33" s="30" t="str">
        <f t="shared" ca="1" si="0"/>
        <v>Group</v>
      </c>
      <c r="K33" s="17"/>
    </row>
    <row r="34" spans="1:11" ht="16" customHeight="1" x14ac:dyDescent="0.25">
      <c r="A34" s="41" t="s">
        <v>402</v>
      </c>
      <c r="B34" s="42" t="s">
        <v>227</v>
      </c>
      <c r="C34" s="45">
        <v>0</v>
      </c>
      <c r="E34" s="29" cm="1">
        <f t="array" aca="1" ref="E34" ca="1">IF(LEFT($A34,2)="IS",-SUMIFS(IncExcl,IncDocDate,"&lt;="&amp;$E$3,IncDocDate,"&gt;"&amp;$E$2,IncAccount,$A34)+SUMIFS(ExpExcl,ExpDocDate,"&lt;="&amp;$E$3,ExpDocDate,"&gt;"&amp;$E$2,ExpAccount,$A34),$C34-SUMIFS(IncExcl,IncDocDate,"&lt;="&amp;$E$3,IncDocDate,"&gt;"&amp;$C$3,IncAccount,$A34)+SUMIFS(ExpExcl,ExpDocDate,"&lt;="&amp;$E$3,ExpDocDate,"&gt;"&amp;$C$3,ExpAccount,$A34)+IF($A34="BS-1700",-SUMIFS(IncTax1,IncDocDate,"&lt;="&amp;$E$3,IncDocDate,"&gt;"&amp;$C$3)+SUMIFS(ExpTax1,ExpDocDate,"&lt;="&amp;$E$3,ExpDocDate,"&gt;"&amp;$C$3),0)+IF($A34="BS-1710",-IF(IncTaxCount=2,SUMIFS(IncTax2,IncDocDate,"&lt;="&amp;$E$3,IncDocDate,"&gt;"&amp;$C$3),0)+IF(ExpTaxCount=2,SUMIFS(ExpTax2,ExpDocDate,"&lt;="&amp;$E$3,ExpDocDate,"&gt;"&amp;$C$3),0),0))</f>
        <v>0</v>
      </c>
      <c r="F34" s="29">
        <f t="shared" ca="1" si="1"/>
        <v>0</v>
      </c>
      <c r="G34" s="29" cm="1">
        <f t="array" aca="1" ref="G34" ca="1">IF(LEFT($A34,2)="IS",-SUMIFS(IncExcl,IncDocDate,"&lt;="&amp;$G$3,IncDocDate,"&gt;"&amp;$G$2,IncAccount,$A34)+SUMIFS(ExpExcl,ExpDocDate,"&lt;="&amp;$G$3,ExpDocDate,"&gt;"&amp;$G$2,ExpAccount,$A34),$C34-SUMIFS(IncExcl,IncDocDate,"&lt;="&amp;$G$3,IncDocDate,"&gt;"&amp;$C$3,IncAccount,$A34)+SUMIFS(ExpExcl,ExpDocDate,"&lt;="&amp;$G$3,ExpDocDate,"&gt;"&amp;$C$3,ExpAccount,$A34)+IF($A34="BS-1700",-SUMIFS(IncTax1,IncDocDate,"&lt;="&amp;$G$3,IncDocDate,"&gt;"&amp;$C$3)+SUMIFS(ExpTax1,ExpDocDate,"&lt;="&amp;$G$3,ExpDocDate,"&gt;"&amp;$C$3),0)+IF($A34="BS-1710",-IF(IncTaxCount=2,SUMIFS(IncTax2,IncDocDate,"&lt;="&amp;$G$3,IncDocDate,"&gt;"&amp;$C$3),0)+IF(ExpTaxCount=2,SUMIFS(ExpTax2,ExpDocDate,"&lt;="&amp;$G$3,ExpDocDate,"&gt;"&amp;$C$3),0),0))</f>
        <v>0</v>
      </c>
      <c r="H34" s="30" t="str">
        <f t="shared" ca="1" si="0"/>
        <v>Group</v>
      </c>
      <c r="K34" s="17"/>
    </row>
    <row r="35" spans="1:11" ht="16" customHeight="1" x14ac:dyDescent="0.25">
      <c r="A35" s="41" t="s">
        <v>284</v>
      </c>
      <c r="B35" s="42" t="s">
        <v>714</v>
      </c>
      <c r="C35" s="45">
        <v>-20240</v>
      </c>
      <c r="E35" s="29" cm="1">
        <f t="array" aca="1" ref="E35" ca="1">IF(LEFT($A35,2)="IS",-SUMIFS(IncExcl,IncDocDate,"&lt;="&amp;$E$3,IncDocDate,"&gt;"&amp;$E$2,IncAccount,$A35)+SUMIFS(ExpExcl,ExpDocDate,"&lt;="&amp;$E$3,ExpDocDate,"&gt;"&amp;$E$2,ExpAccount,$A35),$C35-SUMIFS(IncExcl,IncDocDate,"&lt;="&amp;$E$3,IncDocDate,"&gt;"&amp;$C$3,IncAccount,$A35)+SUMIFS(ExpExcl,ExpDocDate,"&lt;="&amp;$E$3,ExpDocDate,"&gt;"&amp;$C$3,ExpAccount,$A35)+IF($A35="BS-1700",-SUMIFS(IncTax1,IncDocDate,"&lt;="&amp;$E$3,IncDocDate,"&gt;"&amp;$C$3)+SUMIFS(ExpTax1,ExpDocDate,"&lt;="&amp;$E$3,ExpDocDate,"&gt;"&amp;$C$3),0)+IF($A35="BS-1710",-IF(IncTaxCount=2,SUMIFS(IncTax2,IncDocDate,"&lt;="&amp;$E$3,IncDocDate,"&gt;"&amp;$C$3),0)+IF(ExpTaxCount=2,SUMIFS(ExpTax2,ExpDocDate,"&lt;="&amp;$E$3,ExpDocDate,"&gt;"&amp;$C$3),0),0))</f>
        <v>-20240</v>
      </c>
      <c r="F35" s="29">
        <f t="shared" ca="1" si="1"/>
        <v>3121.3473913043272</v>
      </c>
      <c r="G35" s="29" cm="1">
        <f t="array" aca="1" ref="G35" ca="1">IF(LEFT($A35,2)="IS",-SUMIFS(IncExcl,IncDocDate,"&lt;="&amp;$G$3,IncDocDate,"&gt;"&amp;$G$2,IncAccount,$A35)+SUMIFS(ExpExcl,ExpDocDate,"&lt;="&amp;$G$3,ExpDocDate,"&gt;"&amp;$G$2,ExpAccount,$A35),$C35-SUMIFS(IncExcl,IncDocDate,"&lt;="&amp;$G$3,IncDocDate,"&gt;"&amp;$C$3,IncAccount,$A35)+SUMIFS(ExpExcl,ExpDocDate,"&lt;="&amp;$G$3,ExpDocDate,"&gt;"&amp;$C$3,ExpAccount,$A35)+IF($A35="BS-1700",-SUMIFS(IncTax1,IncDocDate,"&lt;="&amp;$G$3,IncDocDate,"&gt;"&amp;$C$3)+SUMIFS(ExpTax1,ExpDocDate,"&lt;="&amp;$G$3,ExpDocDate,"&gt;"&amp;$C$3),0)+IF($A35="BS-1710",-IF(IncTaxCount=2,SUMIFS(IncTax2,IncDocDate,"&lt;="&amp;$G$3,IncDocDate,"&gt;"&amp;$C$3),0)+IF(ExpTaxCount=2,SUMIFS(ExpTax2,ExpDocDate,"&lt;="&amp;$G$3,ExpDocDate,"&gt;"&amp;$C$3),0),0))</f>
        <v>-17118.652608695673</v>
      </c>
      <c r="H35" s="30" t="str">
        <f t="shared" ca="1" si="0"/>
        <v>Account</v>
      </c>
    </row>
    <row r="36" spans="1:11" ht="16" customHeight="1" x14ac:dyDescent="0.25">
      <c r="A36" s="41" t="s">
        <v>713</v>
      </c>
      <c r="B36" s="42" t="s">
        <v>715</v>
      </c>
      <c r="C36" s="45">
        <v>0</v>
      </c>
      <c r="E36" s="29" cm="1">
        <f t="array" aca="1" ref="E36" ca="1">IF(LEFT($A36,2)="IS",-SUMIFS(IncExcl,IncDocDate,"&lt;="&amp;$E$3,IncDocDate,"&gt;"&amp;$E$2,IncAccount,$A36)+SUMIFS(ExpExcl,ExpDocDate,"&lt;="&amp;$E$3,ExpDocDate,"&gt;"&amp;$E$2,ExpAccount,$A36),$C36-SUMIFS(IncExcl,IncDocDate,"&lt;="&amp;$E$3,IncDocDate,"&gt;"&amp;$C$3,IncAccount,$A36)+SUMIFS(ExpExcl,ExpDocDate,"&lt;="&amp;$E$3,ExpDocDate,"&gt;"&amp;$C$3,ExpAccount,$A36)+IF($A36="BS-1700",-SUMIFS(IncTax1,IncDocDate,"&lt;="&amp;$E$3,IncDocDate,"&gt;"&amp;$C$3)+SUMIFS(ExpTax1,ExpDocDate,"&lt;="&amp;$E$3,ExpDocDate,"&gt;"&amp;$C$3),0)+IF($A36="BS-1710",-IF(IncTaxCount=2,SUMIFS(IncTax2,IncDocDate,"&lt;="&amp;$E$3,IncDocDate,"&gt;"&amp;$C$3),0)+IF(ExpTaxCount=2,SUMIFS(ExpTax2,ExpDocDate,"&lt;="&amp;$E$3,ExpDocDate,"&gt;"&amp;$C$3),0),0))</f>
        <v>0</v>
      </c>
      <c r="F36" s="29">
        <f t="shared" ref="F36" ca="1" si="2">G36-E36</f>
        <v>0</v>
      </c>
      <c r="G36" s="29" cm="1">
        <f t="array" aca="1" ref="G36" ca="1">IF(LEFT($A36,2)="IS",-SUMIFS(IncExcl,IncDocDate,"&lt;="&amp;$G$3,IncDocDate,"&gt;"&amp;$G$2,IncAccount,$A36)+SUMIFS(ExpExcl,ExpDocDate,"&lt;="&amp;$G$3,ExpDocDate,"&gt;"&amp;$G$2,ExpAccount,$A36),$C36-SUMIFS(IncExcl,IncDocDate,"&lt;="&amp;$G$3,IncDocDate,"&gt;"&amp;$C$3,IncAccount,$A36)+SUMIFS(ExpExcl,ExpDocDate,"&lt;="&amp;$G$3,ExpDocDate,"&gt;"&amp;$C$3,ExpAccount,$A36)+IF($A36="BS-1700",-SUMIFS(IncTax1,IncDocDate,"&lt;="&amp;$G$3,IncDocDate,"&gt;"&amp;$C$3)+SUMIFS(ExpTax1,ExpDocDate,"&lt;="&amp;$G$3,ExpDocDate,"&gt;"&amp;$C$3),0)+IF($A36="BS-1710",-IF(IncTaxCount=2,SUMIFS(IncTax2,IncDocDate,"&lt;="&amp;$G$3,IncDocDate,"&gt;"&amp;$C$3),0)+IF(ExpTaxCount=2,SUMIFS(ExpTax2,ExpDocDate,"&lt;="&amp;$G$3,ExpDocDate,"&gt;"&amp;$C$3),0),0))</f>
        <v>0</v>
      </c>
      <c r="H36" s="30" t="str">
        <f t="shared" ca="1" si="0"/>
        <v>Account</v>
      </c>
    </row>
    <row r="37" spans="1:11" ht="16" customHeight="1" x14ac:dyDescent="0.25">
      <c r="A37" s="41" t="s">
        <v>403</v>
      </c>
      <c r="B37" s="42" t="s">
        <v>223</v>
      </c>
      <c r="C37" s="45">
        <v>-200000</v>
      </c>
      <c r="E37" s="29" cm="1">
        <f t="array" aca="1" ref="E37" ca="1">IF(LEFT($A37,2)="IS",-SUMIFS(IncExcl,IncDocDate,"&lt;="&amp;$E$3,IncDocDate,"&gt;"&amp;$E$2,IncAccount,$A37)+SUMIFS(ExpExcl,ExpDocDate,"&lt;="&amp;$E$3,ExpDocDate,"&gt;"&amp;$E$2,ExpAccount,$A37),$C37-SUMIFS(IncExcl,IncDocDate,"&lt;="&amp;$E$3,IncDocDate,"&gt;"&amp;$C$3,IncAccount,$A37)+SUMIFS(ExpExcl,ExpDocDate,"&lt;="&amp;$E$3,ExpDocDate,"&gt;"&amp;$C$3,ExpAccount,$A37)+IF($A37="BS-1700",-SUMIFS(IncTax1,IncDocDate,"&lt;="&amp;$E$3,IncDocDate,"&gt;"&amp;$C$3)+SUMIFS(ExpTax1,ExpDocDate,"&lt;="&amp;$E$3,ExpDocDate,"&gt;"&amp;$C$3),0)+IF($A37="BS-1710",-IF(IncTaxCount=2,SUMIFS(IncTax2,IncDocDate,"&lt;="&amp;$E$3,IncDocDate,"&gt;"&amp;$C$3),0)+IF(ExpTaxCount=2,SUMIFS(ExpTax2,ExpDocDate,"&lt;="&amp;$E$3,ExpDocDate,"&gt;"&amp;$C$3),0),0))</f>
        <v>-200000</v>
      </c>
      <c r="F37" s="29">
        <f t="shared" ca="1" si="1"/>
        <v>-16249.609999999986</v>
      </c>
      <c r="G37" s="29" cm="1">
        <f t="array" aca="1" ref="G37" ca="1">IF(LEFT($A37,2)="IS",-SUMIFS(IncExcl,IncDocDate,"&lt;="&amp;$G$3,IncDocDate,"&gt;"&amp;$G$2,IncAccount,$A37)+SUMIFS(ExpExcl,ExpDocDate,"&lt;="&amp;$G$3,ExpDocDate,"&gt;"&amp;$G$2,ExpAccount,$A37),$C37-SUMIFS(IncExcl,IncDocDate,"&lt;="&amp;$G$3,IncDocDate,"&gt;"&amp;$C$3,IncAccount,$A37)+SUMIFS(ExpExcl,ExpDocDate,"&lt;="&amp;$G$3,ExpDocDate,"&gt;"&amp;$C$3,ExpAccount,$A37)+IF($A37="BS-1700",-SUMIFS(IncTax1,IncDocDate,"&lt;="&amp;$G$3,IncDocDate,"&gt;"&amp;$C$3)+SUMIFS(ExpTax1,ExpDocDate,"&lt;="&amp;$G$3,ExpDocDate,"&gt;"&amp;$C$3),0)+IF($A37="BS-1710",-IF(IncTaxCount=2,SUMIFS(IncTax2,IncDocDate,"&lt;="&amp;$G$3,IncDocDate,"&gt;"&amp;$C$3),0)+IF(ExpTaxCount=2,SUMIFS(ExpTax2,ExpDocDate,"&lt;="&amp;$G$3,ExpDocDate,"&gt;"&amp;$C$3),0),0))</f>
        <v>-216249.61</v>
      </c>
      <c r="H37" s="30" t="str">
        <f t="shared" ca="1" si="0"/>
        <v>Group</v>
      </c>
    </row>
    <row r="38" spans="1:11" ht="16" customHeight="1" x14ac:dyDescent="0.25">
      <c r="A38" s="41" t="s">
        <v>320</v>
      </c>
      <c r="B38" s="42" t="s">
        <v>104</v>
      </c>
      <c r="C38" s="45">
        <v>0</v>
      </c>
      <c r="E38" s="29" cm="1">
        <f t="array" aca="1" ref="E38" ca="1">IF(LEFT($A38,2)="IS",-SUMIFS(IncExcl,IncDocDate,"&lt;="&amp;$E$3,IncDocDate,"&gt;"&amp;$E$2,IncAccount,$A38)+SUMIFS(ExpExcl,ExpDocDate,"&lt;="&amp;$E$3,ExpDocDate,"&gt;"&amp;$E$2,ExpAccount,$A38),$C38-SUMIFS(IncExcl,IncDocDate,"&lt;="&amp;$E$3,IncDocDate,"&gt;"&amp;$C$3,IncAccount,$A38)+SUMIFS(ExpExcl,ExpDocDate,"&lt;="&amp;$E$3,ExpDocDate,"&gt;"&amp;$C$3,ExpAccount,$A38)+IF($A38="BS-1700",-SUMIFS(IncTax1,IncDocDate,"&lt;="&amp;$E$3,IncDocDate,"&gt;"&amp;$C$3)+SUMIFS(ExpTax1,ExpDocDate,"&lt;="&amp;$E$3,ExpDocDate,"&gt;"&amp;$C$3),0)+IF($A38="BS-1710",-IF(IncTaxCount=2,SUMIFS(IncTax2,IncDocDate,"&lt;="&amp;$E$3,IncDocDate,"&gt;"&amp;$C$3),0)+IF(ExpTaxCount=2,SUMIFS(ExpTax2,ExpDocDate,"&lt;="&amp;$E$3,ExpDocDate,"&gt;"&amp;$C$3),0),0))</f>
        <v>0</v>
      </c>
      <c r="F38" s="29">
        <f t="shared" ca="1" si="1"/>
        <v>0</v>
      </c>
      <c r="G38" s="29" cm="1">
        <f t="array" aca="1" ref="G38" ca="1">IF(LEFT($A38,2)="IS",-SUMIFS(IncExcl,IncDocDate,"&lt;="&amp;$G$3,IncDocDate,"&gt;"&amp;$G$2,IncAccount,$A38)+SUMIFS(ExpExcl,ExpDocDate,"&lt;="&amp;$G$3,ExpDocDate,"&gt;"&amp;$G$2,ExpAccount,$A38),$C38-SUMIFS(IncExcl,IncDocDate,"&lt;="&amp;$G$3,IncDocDate,"&gt;"&amp;$C$3,IncAccount,$A38)+SUMIFS(ExpExcl,ExpDocDate,"&lt;="&amp;$G$3,ExpDocDate,"&gt;"&amp;$C$3,ExpAccount,$A38)+IF($A38="BS-1700",-SUMIFS(IncTax1,IncDocDate,"&lt;="&amp;$G$3,IncDocDate,"&gt;"&amp;$C$3)+SUMIFS(ExpTax1,ExpDocDate,"&lt;="&amp;$G$3,ExpDocDate,"&gt;"&amp;$C$3),0)+IF($A38="BS-1710",-IF(IncTaxCount=2,SUMIFS(IncTax2,IncDocDate,"&lt;="&amp;$G$3,IncDocDate,"&gt;"&amp;$C$3),0)+IF(ExpTaxCount=2,SUMIFS(ExpTax2,ExpDocDate,"&lt;="&amp;$G$3,ExpDocDate,"&gt;"&amp;$C$3),0),0))</f>
        <v>0</v>
      </c>
      <c r="H38" s="30" t="str">
        <f t="shared" ref="H38:H71" ca="1" si="3">IF(LEFT($A38,2)="BS",IF(ISNA(MATCH(LEFT($A38,5)&amp;"G",KeyBS,0)),IF(ISNA(MATCH($A38,KeyBS,0)),"Error!","Account"),IF(ISNA(MATCH($A38,KeyBS,0)),"Group","Double!")),IF(ISNA(MATCH(LEFT($A38,5)&amp;"G",KeyIS,0)),IF(ISNA(MATCH($A38,KeyIS,0)),"Error!","Account"),IF(ISNA(MATCH($A38,KeyIS,0)),"Group","Double!")))</f>
        <v>Group</v>
      </c>
    </row>
    <row r="39" spans="1:11" ht="16" customHeight="1" x14ac:dyDescent="0.25">
      <c r="A39" s="41" t="s">
        <v>399</v>
      </c>
      <c r="B39" s="42" t="s">
        <v>221</v>
      </c>
      <c r="C39" s="45">
        <v>-100</v>
      </c>
      <c r="E39" s="29" cm="1">
        <f t="array" aca="1" ref="E39" ca="1">IF(LEFT($A39,2)="IS",-SUMIFS(IncExcl,IncDocDate,"&lt;="&amp;$E$3,IncDocDate,"&gt;"&amp;$E$2,IncAccount,$A39)+SUMIFS(ExpExcl,ExpDocDate,"&lt;="&amp;$E$3,ExpDocDate,"&gt;"&amp;$E$2,ExpAccount,$A39),$C39-SUMIFS(IncExcl,IncDocDate,"&lt;="&amp;$E$3,IncDocDate,"&gt;"&amp;$C$3,IncAccount,$A39)+SUMIFS(ExpExcl,ExpDocDate,"&lt;="&amp;$E$3,ExpDocDate,"&gt;"&amp;$C$3,ExpAccount,$A39)+IF($A39="BS-1700",-SUMIFS(IncTax1,IncDocDate,"&lt;="&amp;$E$3,IncDocDate,"&gt;"&amp;$C$3)+SUMIFS(ExpTax1,ExpDocDate,"&lt;="&amp;$E$3,ExpDocDate,"&gt;"&amp;$C$3),0)+IF($A39="BS-1710",-IF(IncTaxCount=2,SUMIFS(IncTax2,IncDocDate,"&lt;="&amp;$E$3,IncDocDate,"&gt;"&amp;$C$3),0)+IF(ExpTaxCount=2,SUMIFS(ExpTax2,ExpDocDate,"&lt;="&amp;$E$3,ExpDocDate,"&gt;"&amp;$C$3),0),0))</f>
        <v>-100</v>
      </c>
      <c r="F39" s="29">
        <f t="shared" ca="1" si="1"/>
        <v>0</v>
      </c>
      <c r="G39" s="29" cm="1">
        <f t="array" aca="1" ref="G39" ca="1">IF(LEFT($A39,2)="IS",-SUMIFS(IncExcl,IncDocDate,"&lt;="&amp;$G$3,IncDocDate,"&gt;"&amp;$G$2,IncAccount,$A39)+SUMIFS(ExpExcl,ExpDocDate,"&lt;="&amp;$G$3,ExpDocDate,"&gt;"&amp;$G$2,ExpAccount,$A39),$C39-SUMIFS(IncExcl,IncDocDate,"&lt;="&amp;$G$3,IncDocDate,"&gt;"&amp;$C$3,IncAccount,$A39)+SUMIFS(ExpExcl,ExpDocDate,"&lt;="&amp;$G$3,ExpDocDate,"&gt;"&amp;$C$3,ExpAccount,$A39)+IF($A39="BS-1700",-SUMIFS(IncTax1,IncDocDate,"&lt;="&amp;$G$3,IncDocDate,"&gt;"&amp;$C$3)+SUMIFS(ExpTax1,ExpDocDate,"&lt;="&amp;$G$3,ExpDocDate,"&gt;"&amp;$C$3),0)+IF($A39="BS-1710",-IF(IncTaxCount=2,SUMIFS(IncTax2,IncDocDate,"&lt;="&amp;$G$3,IncDocDate,"&gt;"&amp;$C$3),0)+IF(ExpTaxCount=2,SUMIFS(ExpTax2,ExpDocDate,"&lt;="&amp;$G$3,ExpDocDate,"&gt;"&amp;$C$3),0),0))</f>
        <v>-100</v>
      </c>
      <c r="H39" s="30" t="str">
        <f t="shared" ca="1" si="3"/>
        <v>Group</v>
      </c>
    </row>
    <row r="40" spans="1:11" ht="16" customHeight="1" x14ac:dyDescent="0.25">
      <c r="A40" s="17" t="s">
        <v>317</v>
      </c>
      <c r="B40" s="4" t="s">
        <v>475</v>
      </c>
      <c r="E40" s="29" cm="1">
        <f t="array" aca="1" ref="E40" ca="1">IF(LEFT($A40,2)="IS",-SUMIFS(IncExcl,IncDocDate,"&lt;="&amp;$E$3,IncDocDate,"&gt;"&amp;$E$2,IncAccount,$A40)+SUMIFS(ExpExcl,ExpDocDate,"&lt;="&amp;$E$3,ExpDocDate,"&gt;"&amp;$E$2,ExpAccount,$A40),$C40-SUMIFS(IncExcl,IncDocDate,"&lt;="&amp;$E$3,IncDocDate,"&gt;"&amp;$C$3,IncAccount,$A40)+SUMIFS(ExpExcl,ExpDocDate,"&lt;="&amp;$E$3,ExpDocDate,"&gt;"&amp;$C$3,ExpAccount,$A40)+IF($A40="BS-1700",-SUMIFS(IncTax1,IncDocDate,"&lt;="&amp;$E$3,IncDocDate,"&gt;"&amp;$C$3)+SUMIFS(ExpTax1,ExpDocDate,"&lt;="&amp;$E$3,ExpDocDate,"&gt;"&amp;$C$3),0)+IF($A40="BS-1710",-IF(IncTaxCount=2,SUMIFS(IncTax2,IncDocDate,"&lt;="&amp;$E$3,IncDocDate,"&gt;"&amp;$C$3),0)+IF(ExpTaxCount=2,SUMIFS(ExpTax2,ExpDocDate,"&lt;="&amp;$E$3,ExpDocDate,"&gt;"&amp;$C$3),0),0))</f>
        <v>0</v>
      </c>
      <c r="F40" s="29">
        <f t="shared" ca="1" si="1"/>
        <v>-1720236.3913043479</v>
      </c>
      <c r="G40" s="29" cm="1">
        <f t="array" aca="1" ref="G40" ca="1">IF(LEFT($A40,2)="IS",-SUMIFS(IncExcl,IncDocDate,"&lt;="&amp;$G$3,IncDocDate,"&gt;"&amp;$G$2,IncAccount,$A40)+SUMIFS(ExpExcl,ExpDocDate,"&lt;="&amp;$G$3,ExpDocDate,"&gt;"&amp;$G$2,ExpAccount,$A40),$C40-SUMIFS(IncExcl,IncDocDate,"&lt;="&amp;$G$3,IncDocDate,"&gt;"&amp;$C$3,IncAccount,$A40)+SUMIFS(ExpExcl,ExpDocDate,"&lt;="&amp;$G$3,ExpDocDate,"&gt;"&amp;$C$3,ExpAccount,$A40)+IF($A40="BS-1700",-SUMIFS(IncTax1,IncDocDate,"&lt;="&amp;$G$3,IncDocDate,"&gt;"&amp;$C$3)+SUMIFS(ExpTax1,ExpDocDate,"&lt;="&amp;$G$3,ExpDocDate,"&gt;"&amp;$C$3),0)+IF($A40="BS-1710",-IF(IncTaxCount=2,SUMIFS(IncTax2,IncDocDate,"&lt;="&amp;$G$3,IncDocDate,"&gt;"&amp;$C$3),0)+IF(ExpTaxCount=2,SUMIFS(ExpTax2,ExpDocDate,"&lt;="&amp;$G$3,ExpDocDate,"&gt;"&amp;$C$3),0),0))</f>
        <v>-1720236.3913043479</v>
      </c>
      <c r="H40" s="30" t="str">
        <f t="shared" si="3"/>
        <v>Account</v>
      </c>
    </row>
    <row r="41" spans="1:11" ht="16" customHeight="1" x14ac:dyDescent="0.25">
      <c r="A41" s="17" t="s">
        <v>316</v>
      </c>
      <c r="B41" s="4" t="s">
        <v>474</v>
      </c>
      <c r="E41" s="29" cm="1">
        <f t="array" aca="1" ref="E41" ca="1">IF(LEFT($A41,2)="IS",-SUMIFS(IncExcl,IncDocDate,"&lt;="&amp;$E$3,IncDocDate,"&gt;"&amp;$E$2,IncAccount,$A41)+SUMIFS(ExpExcl,ExpDocDate,"&lt;="&amp;$E$3,ExpDocDate,"&gt;"&amp;$E$2,ExpAccount,$A41),$C41-SUMIFS(IncExcl,IncDocDate,"&lt;="&amp;$E$3,IncDocDate,"&gt;"&amp;$C$3,IncAccount,$A41)+SUMIFS(ExpExcl,ExpDocDate,"&lt;="&amp;$E$3,ExpDocDate,"&gt;"&amp;$C$3,ExpAccount,$A41)+IF($A41="BS-1700",-SUMIFS(IncTax1,IncDocDate,"&lt;="&amp;$E$3,IncDocDate,"&gt;"&amp;$C$3)+SUMIFS(ExpTax1,ExpDocDate,"&lt;="&amp;$E$3,ExpDocDate,"&gt;"&amp;$C$3),0)+IF($A41="BS-1710",-IF(IncTaxCount=2,SUMIFS(IncTax2,IncDocDate,"&lt;="&amp;$E$3,IncDocDate,"&gt;"&amp;$C$3),0)+IF(ExpTaxCount=2,SUMIFS(ExpTax2,ExpDocDate,"&lt;="&amp;$E$3,ExpDocDate,"&gt;"&amp;$C$3),0),0))</f>
        <v>0</v>
      </c>
      <c r="F41" s="29">
        <f t="shared" ca="1" si="1"/>
        <v>-196920</v>
      </c>
      <c r="G41" s="29" cm="1">
        <f t="array" aca="1" ref="G41" ca="1">IF(LEFT($A41,2)="IS",-SUMIFS(IncExcl,IncDocDate,"&lt;="&amp;$G$3,IncDocDate,"&gt;"&amp;$G$2,IncAccount,$A41)+SUMIFS(ExpExcl,ExpDocDate,"&lt;="&amp;$G$3,ExpDocDate,"&gt;"&amp;$G$2,ExpAccount,$A41),$C41-SUMIFS(IncExcl,IncDocDate,"&lt;="&amp;$G$3,IncDocDate,"&gt;"&amp;$C$3,IncAccount,$A41)+SUMIFS(ExpExcl,ExpDocDate,"&lt;="&amp;$G$3,ExpDocDate,"&gt;"&amp;$C$3,ExpAccount,$A41)+IF($A41="BS-1700",-SUMIFS(IncTax1,IncDocDate,"&lt;="&amp;$G$3,IncDocDate,"&gt;"&amp;$C$3)+SUMIFS(ExpTax1,ExpDocDate,"&lt;="&amp;$G$3,ExpDocDate,"&gt;"&amp;$C$3),0)+IF($A41="BS-1710",-IF(IncTaxCount=2,SUMIFS(IncTax2,IncDocDate,"&lt;="&amp;$G$3,IncDocDate,"&gt;"&amp;$C$3),0)+IF(ExpTaxCount=2,SUMIFS(ExpTax2,ExpDocDate,"&lt;="&amp;$G$3,ExpDocDate,"&gt;"&amp;$C$3),0),0))</f>
        <v>-196920</v>
      </c>
      <c r="H41" s="30" t="str">
        <f t="shared" si="3"/>
        <v>Account</v>
      </c>
    </row>
    <row r="42" spans="1:11" ht="16" customHeight="1" x14ac:dyDescent="0.25">
      <c r="A42" s="17" t="s">
        <v>318</v>
      </c>
      <c r="B42" s="4" t="s">
        <v>441</v>
      </c>
      <c r="E42" s="29" cm="1">
        <f t="array" aca="1" ref="E42" ca="1">IF(LEFT($A42,2)="IS",-SUMIFS(IncExcl,IncDocDate,"&lt;="&amp;$E$3,IncDocDate,"&gt;"&amp;$E$2,IncAccount,$A42)+SUMIFS(ExpExcl,ExpDocDate,"&lt;="&amp;$E$3,ExpDocDate,"&gt;"&amp;$E$2,ExpAccount,$A42),$C42-SUMIFS(IncExcl,IncDocDate,"&lt;="&amp;$E$3,IncDocDate,"&gt;"&amp;$C$3,IncAccount,$A42)+SUMIFS(ExpExcl,ExpDocDate,"&lt;="&amp;$E$3,ExpDocDate,"&gt;"&amp;$C$3,ExpAccount,$A42)+IF($A42="BS-1700",-SUMIFS(IncTax1,IncDocDate,"&lt;="&amp;$E$3,IncDocDate,"&gt;"&amp;$C$3)+SUMIFS(ExpTax1,ExpDocDate,"&lt;="&amp;$E$3,ExpDocDate,"&gt;"&amp;$C$3),0)+IF($A42="BS-1710",-IF(IncTaxCount=2,SUMIFS(IncTax2,IncDocDate,"&lt;="&amp;$E$3,IncDocDate,"&gt;"&amp;$C$3),0)+IF(ExpTaxCount=2,SUMIFS(ExpTax2,ExpDocDate,"&lt;="&amp;$E$3,ExpDocDate,"&gt;"&amp;$C$3),0),0))</f>
        <v>0</v>
      </c>
      <c r="F42" s="29">
        <f t="shared" ca="1" si="1"/>
        <v>-22326.956521739128</v>
      </c>
      <c r="G42" s="29" cm="1">
        <f t="array" aca="1" ref="G42" ca="1">IF(LEFT($A42,2)="IS",-SUMIFS(IncExcl,IncDocDate,"&lt;="&amp;$G$3,IncDocDate,"&gt;"&amp;$G$2,IncAccount,$A42)+SUMIFS(ExpExcl,ExpDocDate,"&lt;="&amp;$G$3,ExpDocDate,"&gt;"&amp;$G$2,ExpAccount,$A42),$C42-SUMIFS(IncExcl,IncDocDate,"&lt;="&amp;$G$3,IncDocDate,"&gt;"&amp;$C$3,IncAccount,$A42)+SUMIFS(ExpExcl,ExpDocDate,"&lt;="&amp;$G$3,ExpDocDate,"&gt;"&amp;$C$3,ExpAccount,$A42)+IF($A42="BS-1700",-SUMIFS(IncTax1,IncDocDate,"&lt;="&amp;$G$3,IncDocDate,"&gt;"&amp;$C$3)+SUMIFS(ExpTax1,ExpDocDate,"&lt;="&amp;$G$3,ExpDocDate,"&gt;"&amp;$C$3),0)+IF($A42="BS-1710",-IF(IncTaxCount=2,SUMIFS(IncTax2,IncDocDate,"&lt;="&amp;$G$3,IncDocDate,"&gt;"&amp;$C$3),0)+IF(ExpTaxCount=2,SUMIFS(ExpTax2,ExpDocDate,"&lt;="&amp;$G$3,ExpDocDate,"&gt;"&amp;$C$3),0),0))</f>
        <v>-22326.956521739128</v>
      </c>
      <c r="H42" s="30" t="str">
        <f t="shared" si="3"/>
        <v>Account</v>
      </c>
    </row>
    <row r="43" spans="1:11" ht="16" customHeight="1" x14ac:dyDescent="0.25">
      <c r="A43" s="17" t="s">
        <v>289</v>
      </c>
      <c r="B43" s="4" t="s">
        <v>80</v>
      </c>
      <c r="E43" s="29" cm="1">
        <f t="array" aca="1" ref="E43" ca="1">IF(LEFT($A43,2)="IS",-SUMIFS(IncExcl,IncDocDate,"&lt;="&amp;$E$3,IncDocDate,"&gt;"&amp;$E$2,IncAccount,$A43)+SUMIFS(ExpExcl,ExpDocDate,"&lt;="&amp;$E$3,ExpDocDate,"&gt;"&amp;$E$2,ExpAccount,$A43),$C43-SUMIFS(IncExcl,IncDocDate,"&lt;="&amp;$E$3,IncDocDate,"&gt;"&amp;$C$3,IncAccount,$A43)+SUMIFS(ExpExcl,ExpDocDate,"&lt;="&amp;$E$3,ExpDocDate,"&gt;"&amp;$C$3,ExpAccount,$A43)+IF($A43="BS-1700",-SUMIFS(IncTax1,IncDocDate,"&lt;="&amp;$E$3,IncDocDate,"&gt;"&amp;$C$3)+SUMIFS(ExpTax1,ExpDocDate,"&lt;="&amp;$E$3,ExpDocDate,"&gt;"&amp;$C$3),0)+IF($A43="BS-1710",-IF(IncTaxCount=2,SUMIFS(IncTax2,IncDocDate,"&lt;="&amp;$E$3,IncDocDate,"&gt;"&amp;$C$3),0)+IF(ExpTaxCount=2,SUMIFS(ExpTax2,ExpDocDate,"&lt;="&amp;$E$3,ExpDocDate,"&gt;"&amp;$C$3),0),0))</f>
        <v>0</v>
      </c>
      <c r="F43" s="29">
        <f t="shared" ca="1" si="1"/>
        <v>23982.608695652176</v>
      </c>
      <c r="G43" s="29" cm="1">
        <f t="array" aca="1" ref="G43" ca="1">IF(LEFT($A43,2)="IS",-SUMIFS(IncExcl,IncDocDate,"&lt;="&amp;$G$3,IncDocDate,"&gt;"&amp;$G$2,IncAccount,$A43)+SUMIFS(ExpExcl,ExpDocDate,"&lt;="&amp;$G$3,ExpDocDate,"&gt;"&amp;$G$2,ExpAccount,$A43),$C43-SUMIFS(IncExcl,IncDocDate,"&lt;="&amp;$G$3,IncDocDate,"&gt;"&amp;$C$3,IncAccount,$A43)+SUMIFS(ExpExcl,ExpDocDate,"&lt;="&amp;$G$3,ExpDocDate,"&gt;"&amp;$C$3,ExpAccount,$A43)+IF($A43="BS-1700",-SUMIFS(IncTax1,IncDocDate,"&lt;="&amp;$G$3,IncDocDate,"&gt;"&amp;$C$3)+SUMIFS(ExpTax1,ExpDocDate,"&lt;="&amp;$G$3,ExpDocDate,"&gt;"&amp;$C$3),0)+IF($A43="BS-1710",-IF(IncTaxCount=2,SUMIFS(IncTax2,IncDocDate,"&lt;="&amp;$G$3,IncDocDate,"&gt;"&amp;$C$3),0)+IF(ExpTaxCount=2,SUMIFS(ExpTax2,ExpDocDate,"&lt;="&amp;$G$3,ExpDocDate,"&gt;"&amp;$C$3),0),0))</f>
        <v>23982.608695652176</v>
      </c>
      <c r="H43" s="30" t="str">
        <f t="shared" si="3"/>
        <v>Account</v>
      </c>
    </row>
    <row r="44" spans="1:11" ht="16" customHeight="1" x14ac:dyDescent="0.25">
      <c r="A44" s="17" t="s">
        <v>290</v>
      </c>
      <c r="B44" s="4" t="s">
        <v>113</v>
      </c>
      <c r="E44" s="29" cm="1">
        <f t="array" aca="1" ref="E44" ca="1">IF(LEFT($A44,2)="IS",-SUMIFS(IncExcl,IncDocDate,"&lt;="&amp;$E$3,IncDocDate,"&gt;"&amp;$E$2,IncAccount,$A44)+SUMIFS(ExpExcl,ExpDocDate,"&lt;="&amp;$E$3,ExpDocDate,"&gt;"&amp;$E$2,ExpAccount,$A44),$C44-SUMIFS(IncExcl,IncDocDate,"&lt;="&amp;$E$3,IncDocDate,"&gt;"&amp;$C$3,IncAccount,$A44)+SUMIFS(ExpExcl,ExpDocDate,"&lt;="&amp;$E$3,ExpDocDate,"&gt;"&amp;$C$3,ExpAccount,$A44)+IF($A44="BS-1700",-SUMIFS(IncTax1,IncDocDate,"&lt;="&amp;$E$3,IncDocDate,"&gt;"&amp;$C$3)+SUMIFS(ExpTax1,ExpDocDate,"&lt;="&amp;$E$3,ExpDocDate,"&gt;"&amp;$C$3),0)+IF($A44="BS-1710",-IF(IncTaxCount=2,SUMIFS(IncTax2,IncDocDate,"&lt;="&amp;$E$3,IncDocDate,"&gt;"&amp;$C$3),0)+IF(ExpTaxCount=2,SUMIFS(ExpTax2,ExpDocDate,"&lt;="&amp;$E$3,ExpDocDate,"&gt;"&amp;$C$3),0),0))</f>
        <v>0</v>
      </c>
      <c r="F44" s="29">
        <f t="shared" ca="1" si="1"/>
        <v>143643</v>
      </c>
      <c r="G44" s="29" cm="1">
        <f t="array" aca="1" ref="G44" ca="1">IF(LEFT($A44,2)="IS",-SUMIFS(IncExcl,IncDocDate,"&lt;="&amp;$G$3,IncDocDate,"&gt;"&amp;$G$2,IncAccount,$A44)+SUMIFS(ExpExcl,ExpDocDate,"&lt;="&amp;$G$3,ExpDocDate,"&gt;"&amp;$G$2,ExpAccount,$A44),$C44-SUMIFS(IncExcl,IncDocDate,"&lt;="&amp;$G$3,IncDocDate,"&gt;"&amp;$C$3,IncAccount,$A44)+SUMIFS(ExpExcl,ExpDocDate,"&lt;="&amp;$G$3,ExpDocDate,"&gt;"&amp;$C$3,ExpAccount,$A44)+IF($A44="BS-1700",-SUMIFS(IncTax1,IncDocDate,"&lt;="&amp;$G$3,IncDocDate,"&gt;"&amp;$C$3)+SUMIFS(ExpTax1,ExpDocDate,"&lt;="&amp;$G$3,ExpDocDate,"&gt;"&amp;$C$3),0)+IF($A44="BS-1710",-IF(IncTaxCount=2,SUMIFS(IncTax2,IncDocDate,"&lt;="&amp;$G$3,IncDocDate,"&gt;"&amp;$C$3),0)+IF(ExpTaxCount=2,SUMIFS(ExpTax2,ExpDocDate,"&lt;="&amp;$G$3,ExpDocDate,"&gt;"&amp;$C$3),0),0))</f>
        <v>143643</v>
      </c>
      <c r="H44" s="30" t="str">
        <f t="shared" si="3"/>
        <v>Account</v>
      </c>
    </row>
    <row r="45" spans="1:11" ht="16" customHeight="1" x14ac:dyDescent="0.25">
      <c r="A45" s="17" t="s">
        <v>291</v>
      </c>
      <c r="B45" s="4" t="s">
        <v>68</v>
      </c>
      <c r="E45" s="29" cm="1">
        <f t="array" aca="1" ref="E45" ca="1">IF(LEFT($A45,2)="IS",-SUMIFS(IncExcl,IncDocDate,"&lt;="&amp;$E$3,IncDocDate,"&gt;"&amp;$E$2,IncAccount,$A45)+SUMIFS(ExpExcl,ExpDocDate,"&lt;="&amp;$E$3,ExpDocDate,"&gt;"&amp;$E$2,ExpAccount,$A45),$C45-SUMIFS(IncExcl,IncDocDate,"&lt;="&amp;$E$3,IncDocDate,"&gt;"&amp;$C$3,IncAccount,$A45)+SUMIFS(ExpExcl,ExpDocDate,"&lt;="&amp;$E$3,ExpDocDate,"&gt;"&amp;$C$3,ExpAccount,$A45)+IF($A45="BS-1700",-SUMIFS(IncTax1,IncDocDate,"&lt;="&amp;$E$3,IncDocDate,"&gt;"&amp;$C$3)+SUMIFS(ExpTax1,ExpDocDate,"&lt;="&amp;$E$3,ExpDocDate,"&gt;"&amp;$C$3),0)+IF($A45="BS-1710",-IF(IncTaxCount=2,SUMIFS(IncTax2,IncDocDate,"&lt;="&amp;$E$3,IncDocDate,"&gt;"&amp;$C$3),0)+IF(ExpTaxCount=2,SUMIFS(ExpTax2,ExpDocDate,"&lt;="&amp;$E$3,ExpDocDate,"&gt;"&amp;$C$3),0),0))</f>
        <v>0</v>
      </c>
      <c r="F45" s="29">
        <f t="shared" ca="1" si="1"/>
        <v>1179.304347826087</v>
      </c>
      <c r="G45" s="29" cm="1">
        <f t="array" aca="1" ref="G45" ca="1">IF(LEFT($A45,2)="IS",-SUMIFS(IncExcl,IncDocDate,"&lt;="&amp;$G$3,IncDocDate,"&gt;"&amp;$G$2,IncAccount,$A45)+SUMIFS(ExpExcl,ExpDocDate,"&lt;="&amp;$G$3,ExpDocDate,"&gt;"&amp;$G$2,ExpAccount,$A45),$C45-SUMIFS(IncExcl,IncDocDate,"&lt;="&amp;$G$3,IncDocDate,"&gt;"&amp;$C$3,IncAccount,$A45)+SUMIFS(ExpExcl,ExpDocDate,"&lt;="&amp;$G$3,ExpDocDate,"&gt;"&amp;$C$3,ExpAccount,$A45)+IF($A45="BS-1700",-SUMIFS(IncTax1,IncDocDate,"&lt;="&amp;$G$3,IncDocDate,"&gt;"&amp;$C$3)+SUMIFS(ExpTax1,ExpDocDate,"&lt;="&amp;$G$3,ExpDocDate,"&gt;"&amp;$C$3),0)+IF($A45="BS-1710",-IF(IncTaxCount=2,SUMIFS(IncTax2,IncDocDate,"&lt;="&amp;$G$3,IncDocDate,"&gt;"&amp;$C$3),0)+IF(ExpTaxCount=2,SUMIFS(ExpTax2,ExpDocDate,"&lt;="&amp;$G$3,ExpDocDate,"&gt;"&amp;$C$3),0),0))</f>
        <v>1179.304347826087</v>
      </c>
      <c r="H45" s="30" t="str">
        <f t="shared" si="3"/>
        <v>Account</v>
      </c>
    </row>
    <row r="46" spans="1:11" ht="16" customHeight="1" x14ac:dyDescent="0.25">
      <c r="A46" s="17" t="s">
        <v>292</v>
      </c>
      <c r="B46" s="4" t="s">
        <v>82</v>
      </c>
      <c r="E46" s="29" cm="1">
        <f t="array" aca="1" ref="E46" ca="1">IF(LEFT($A46,2)="IS",-SUMIFS(IncExcl,IncDocDate,"&lt;="&amp;$E$3,IncDocDate,"&gt;"&amp;$E$2,IncAccount,$A46)+SUMIFS(ExpExcl,ExpDocDate,"&lt;="&amp;$E$3,ExpDocDate,"&gt;"&amp;$E$2,ExpAccount,$A46),$C46-SUMIFS(IncExcl,IncDocDate,"&lt;="&amp;$E$3,IncDocDate,"&gt;"&amp;$C$3,IncAccount,$A46)+SUMIFS(ExpExcl,ExpDocDate,"&lt;="&amp;$E$3,ExpDocDate,"&gt;"&amp;$C$3,ExpAccount,$A46)+IF($A46="BS-1700",-SUMIFS(IncTax1,IncDocDate,"&lt;="&amp;$E$3,IncDocDate,"&gt;"&amp;$C$3)+SUMIFS(ExpTax1,ExpDocDate,"&lt;="&amp;$E$3,ExpDocDate,"&gt;"&amp;$C$3),0)+IF($A46="BS-1710",-IF(IncTaxCount=2,SUMIFS(IncTax2,IncDocDate,"&lt;="&amp;$E$3,IncDocDate,"&gt;"&amp;$C$3),0)+IF(ExpTaxCount=2,SUMIFS(ExpTax2,ExpDocDate,"&lt;="&amp;$E$3,ExpDocDate,"&gt;"&amp;$C$3),0),0))</f>
        <v>0</v>
      </c>
      <c r="F46" s="29">
        <f t="shared" ca="1" si="1"/>
        <v>27850</v>
      </c>
      <c r="G46" s="29" cm="1">
        <f t="array" aca="1" ref="G46" ca="1">IF(LEFT($A46,2)="IS",-SUMIFS(IncExcl,IncDocDate,"&lt;="&amp;$G$3,IncDocDate,"&gt;"&amp;$G$2,IncAccount,$A46)+SUMIFS(ExpExcl,ExpDocDate,"&lt;="&amp;$G$3,ExpDocDate,"&gt;"&amp;$G$2,ExpAccount,$A46),$C46-SUMIFS(IncExcl,IncDocDate,"&lt;="&amp;$G$3,IncDocDate,"&gt;"&amp;$C$3,IncAccount,$A46)+SUMIFS(ExpExcl,ExpDocDate,"&lt;="&amp;$G$3,ExpDocDate,"&gt;"&amp;$C$3,ExpAccount,$A46)+IF($A46="BS-1700",-SUMIFS(IncTax1,IncDocDate,"&lt;="&amp;$G$3,IncDocDate,"&gt;"&amp;$C$3)+SUMIFS(ExpTax1,ExpDocDate,"&lt;="&amp;$G$3,ExpDocDate,"&gt;"&amp;$C$3),0)+IF($A46="BS-1710",-IF(IncTaxCount=2,SUMIFS(IncTax2,IncDocDate,"&lt;="&amp;$G$3,IncDocDate,"&gt;"&amp;$C$3),0)+IF(ExpTaxCount=2,SUMIFS(ExpTax2,ExpDocDate,"&lt;="&amp;$G$3,ExpDocDate,"&gt;"&amp;$C$3),0),0))</f>
        <v>27850</v>
      </c>
      <c r="H46" s="30" t="str">
        <f t="shared" si="3"/>
        <v>Account</v>
      </c>
    </row>
    <row r="47" spans="1:11" ht="16" customHeight="1" x14ac:dyDescent="0.25">
      <c r="A47" s="17" t="s">
        <v>293</v>
      </c>
      <c r="B47" s="4" t="s">
        <v>69</v>
      </c>
      <c r="E47" s="29" cm="1">
        <f t="array" aca="1" ref="E47" ca="1">IF(LEFT($A47,2)="IS",-SUMIFS(IncExcl,IncDocDate,"&lt;="&amp;$E$3,IncDocDate,"&gt;"&amp;$E$2,IncAccount,$A47)+SUMIFS(ExpExcl,ExpDocDate,"&lt;="&amp;$E$3,ExpDocDate,"&gt;"&amp;$E$2,ExpAccount,$A47),$C47-SUMIFS(IncExcl,IncDocDate,"&lt;="&amp;$E$3,IncDocDate,"&gt;"&amp;$C$3,IncAccount,$A47)+SUMIFS(ExpExcl,ExpDocDate,"&lt;="&amp;$E$3,ExpDocDate,"&gt;"&amp;$C$3,ExpAccount,$A47)+IF($A47="BS-1700",-SUMIFS(IncTax1,IncDocDate,"&lt;="&amp;$E$3,IncDocDate,"&gt;"&amp;$C$3)+SUMIFS(ExpTax1,ExpDocDate,"&lt;="&amp;$E$3,ExpDocDate,"&gt;"&amp;$C$3),0)+IF($A47="BS-1710",-IF(IncTaxCount=2,SUMIFS(IncTax2,IncDocDate,"&lt;="&amp;$E$3,IncDocDate,"&gt;"&amp;$C$3),0)+IF(ExpTaxCount=2,SUMIFS(ExpTax2,ExpDocDate,"&lt;="&amp;$E$3,ExpDocDate,"&gt;"&amp;$C$3),0),0))</f>
        <v>0</v>
      </c>
      <c r="F47" s="29">
        <f t="shared" ca="1" si="1"/>
        <v>3476.521739130435</v>
      </c>
      <c r="G47" s="29" cm="1">
        <f t="array" aca="1" ref="G47" ca="1">IF(LEFT($A47,2)="IS",-SUMIFS(IncExcl,IncDocDate,"&lt;="&amp;$G$3,IncDocDate,"&gt;"&amp;$G$2,IncAccount,$A47)+SUMIFS(ExpExcl,ExpDocDate,"&lt;="&amp;$G$3,ExpDocDate,"&gt;"&amp;$G$2,ExpAccount,$A47),$C47-SUMIFS(IncExcl,IncDocDate,"&lt;="&amp;$G$3,IncDocDate,"&gt;"&amp;$C$3,IncAccount,$A47)+SUMIFS(ExpExcl,ExpDocDate,"&lt;="&amp;$G$3,ExpDocDate,"&gt;"&amp;$C$3,ExpAccount,$A47)+IF($A47="BS-1700",-SUMIFS(IncTax1,IncDocDate,"&lt;="&amp;$G$3,IncDocDate,"&gt;"&amp;$C$3)+SUMIFS(ExpTax1,ExpDocDate,"&lt;="&amp;$G$3,ExpDocDate,"&gt;"&amp;$C$3),0)+IF($A47="BS-1710",-IF(IncTaxCount=2,SUMIFS(IncTax2,IncDocDate,"&lt;="&amp;$G$3,IncDocDate,"&gt;"&amp;$C$3),0)+IF(ExpTaxCount=2,SUMIFS(ExpTax2,ExpDocDate,"&lt;="&amp;$G$3,ExpDocDate,"&gt;"&amp;$C$3),0),0))</f>
        <v>3476.521739130435</v>
      </c>
      <c r="H47" s="30" t="str">
        <f t="shared" si="3"/>
        <v>Account</v>
      </c>
    </row>
    <row r="48" spans="1:11" ht="16" customHeight="1" x14ac:dyDescent="0.25">
      <c r="A48" s="17" t="s">
        <v>294</v>
      </c>
      <c r="B48" s="4" t="s">
        <v>84</v>
      </c>
      <c r="E48" s="29" cm="1">
        <f t="array" aca="1" ref="E48" ca="1">IF(LEFT($A48,2)="IS",-SUMIFS(IncExcl,IncDocDate,"&lt;="&amp;$E$3,IncDocDate,"&gt;"&amp;$E$2,IncAccount,$A48)+SUMIFS(ExpExcl,ExpDocDate,"&lt;="&amp;$E$3,ExpDocDate,"&gt;"&amp;$E$2,ExpAccount,$A48),$C48-SUMIFS(IncExcl,IncDocDate,"&lt;="&amp;$E$3,IncDocDate,"&gt;"&amp;$C$3,IncAccount,$A48)+SUMIFS(ExpExcl,ExpDocDate,"&lt;="&amp;$E$3,ExpDocDate,"&gt;"&amp;$C$3,ExpAccount,$A48)+IF($A48="BS-1700",-SUMIFS(IncTax1,IncDocDate,"&lt;="&amp;$E$3,IncDocDate,"&gt;"&amp;$C$3)+SUMIFS(ExpTax1,ExpDocDate,"&lt;="&amp;$E$3,ExpDocDate,"&gt;"&amp;$C$3),0)+IF($A48="BS-1710",-IF(IncTaxCount=2,SUMIFS(IncTax2,IncDocDate,"&lt;="&amp;$E$3,IncDocDate,"&gt;"&amp;$C$3),0)+IF(ExpTaxCount=2,SUMIFS(ExpTax2,ExpDocDate,"&lt;="&amp;$E$3,ExpDocDate,"&gt;"&amp;$C$3),0),0))</f>
        <v>0</v>
      </c>
      <c r="F48" s="29">
        <f t="shared" ca="1" si="1"/>
        <v>2500</v>
      </c>
      <c r="G48" s="29" cm="1">
        <f t="array" aca="1" ref="G48" ca="1">IF(LEFT($A48,2)="IS",-SUMIFS(IncExcl,IncDocDate,"&lt;="&amp;$G$3,IncDocDate,"&gt;"&amp;$G$2,IncAccount,$A48)+SUMIFS(ExpExcl,ExpDocDate,"&lt;="&amp;$G$3,ExpDocDate,"&gt;"&amp;$G$2,ExpAccount,$A48),$C48-SUMIFS(IncExcl,IncDocDate,"&lt;="&amp;$G$3,IncDocDate,"&gt;"&amp;$C$3,IncAccount,$A48)+SUMIFS(ExpExcl,ExpDocDate,"&lt;="&amp;$G$3,ExpDocDate,"&gt;"&amp;$C$3,ExpAccount,$A48)+IF($A48="BS-1700",-SUMIFS(IncTax1,IncDocDate,"&lt;="&amp;$G$3,IncDocDate,"&gt;"&amp;$C$3)+SUMIFS(ExpTax1,ExpDocDate,"&lt;="&amp;$G$3,ExpDocDate,"&gt;"&amp;$C$3),0)+IF($A48="BS-1710",-IF(IncTaxCount=2,SUMIFS(IncTax2,IncDocDate,"&lt;="&amp;$G$3,IncDocDate,"&gt;"&amp;$C$3),0)+IF(ExpTaxCount=2,SUMIFS(ExpTax2,ExpDocDate,"&lt;="&amp;$G$3,ExpDocDate,"&gt;"&amp;$C$3),0),0))</f>
        <v>2500</v>
      </c>
      <c r="H48" s="30" t="str">
        <f t="shared" si="3"/>
        <v>Account</v>
      </c>
    </row>
    <row r="49" spans="1:8" ht="16" customHeight="1" x14ac:dyDescent="0.25">
      <c r="A49" s="17" t="s">
        <v>295</v>
      </c>
      <c r="B49" s="4" t="s">
        <v>70</v>
      </c>
      <c r="E49" s="29" cm="1">
        <f t="array" aca="1" ref="E49" ca="1">IF(LEFT($A49,2)="IS",-SUMIFS(IncExcl,IncDocDate,"&lt;="&amp;$E$3,IncDocDate,"&gt;"&amp;$E$2,IncAccount,$A49)+SUMIFS(ExpExcl,ExpDocDate,"&lt;="&amp;$E$3,ExpDocDate,"&gt;"&amp;$E$2,ExpAccount,$A49),$C49-SUMIFS(IncExcl,IncDocDate,"&lt;="&amp;$E$3,IncDocDate,"&gt;"&amp;$C$3,IncAccount,$A49)+SUMIFS(ExpExcl,ExpDocDate,"&lt;="&amp;$E$3,ExpDocDate,"&gt;"&amp;$C$3,ExpAccount,$A49)+IF($A49="BS-1700",-SUMIFS(IncTax1,IncDocDate,"&lt;="&amp;$E$3,IncDocDate,"&gt;"&amp;$C$3)+SUMIFS(ExpTax1,ExpDocDate,"&lt;="&amp;$E$3,ExpDocDate,"&gt;"&amp;$C$3),0)+IF($A49="BS-1710",-IF(IncTaxCount=2,SUMIFS(IncTax2,IncDocDate,"&lt;="&amp;$E$3,IncDocDate,"&gt;"&amp;$C$3),0)+IF(ExpTaxCount=2,SUMIFS(ExpTax2,ExpDocDate,"&lt;="&amp;$E$3,ExpDocDate,"&gt;"&amp;$C$3),0),0))</f>
        <v>0</v>
      </c>
      <c r="F49" s="29">
        <f t="shared" ca="1" si="1"/>
        <v>0</v>
      </c>
      <c r="G49" s="29" cm="1">
        <f t="array" ref="G49">IF(LEFT($A49,2)="IS",-SUMIFS(IncExcl,IncDocDate,"&lt;="&amp;$G$3,IncDocDate,"&gt;"&amp;$G$2,IncAccount,$A49)+SUMIFS(ExpExcl,ExpDocDate,"&lt;="&amp;$G$3,ExpDocDate,"&gt;"&amp;$G$2,ExpAccount,$A49),$C49-SUMIFS(IncExcl,IncDocDate,"&lt;="&amp;$G$3,IncDocDate,"&gt;"&amp;$C$3,IncAccount,$A49)+SUMIFS(ExpExcl,ExpDocDate,"&lt;="&amp;$G$3,ExpDocDate,"&gt;"&amp;$C$3,ExpAccount,$A49)+IF($A49="BS-1700",-SUMIFS(IncTax1,IncDocDate,"&lt;="&amp;$G$3,IncDocDate,"&gt;"&amp;$C$3)+SUMIFS(ExpTax1,ExpDocDate,"&lt;="&amp;$G$3,ExpDocDate,"&gt;"&amp;$C$3),0)+IF($A49="BS-1710",-IF(IncTaxCount=2,SUMIFS(IncTax2,IncDocDate,"&lt;="&amp;$G$3,IncDocDate,"&gt;"&amp;$C$3),0)+IF(ExpTaxCount=2,SUMIFS(ExpTax2,ExpDocDate,"&lt;="&amp;$G$3,ExpDocDate,"&gt;"&amp;$C$3),0),0))</f>
        <v>0</v>
      </c>
      <c r="H49" s="30" t="str">
        <f t="shared" si="3"/>
        <v>Account</v>
      </c>
    </row>
    <row r="50" spans="1:8" ht="16" customHeight="1" x14ac:dyDescent="0.25">
      <c r="A50" s="17" t="s">
        <v>296</v>
      </c>
      <c r="B50" s="4" t="s">
        <v>71</v>
      </c>
      <c r="E50" s="29" cm="1">
        <f t="array" aca="1" ref="E50" ca="1">IF(LEFT($A50,2)="IS",-SUMIFS(IncExcl,IncDocDate,"&lt;="&amp;$E$3,IncDocDate,"&gt;"&amp;$E$2,IncAccount,$A50)+SUMIFS(ExpExcl,ExpDocDate,"&lt;="&amp;$E$3,ExpDocDate,"&gt;"&amp;$E$2,ExpAccount,$A50),$C50-SUMIFS(IncExcl,IncDocDate,"&lt;="&amp;$E$3,IncDocDate,"&gt;"&amp;$C$3,IncAccount,$A50)+SUMIFS(ExpExcl,ExpDocDate,"&lt;="&amp;$E$3,ExpDocDate,"&gt;"&amp;$C$3,ExpAccount,$A50)+IF($A50="BS-1700",-SUMIFS(IncTax1,IncDocDate,"&lt;="&amp;$E$3,IncDocDate,"&gt;"&amp;$C$3)+SUMIFS(ExpTax1,ExpDocDate,"&lt;="&amp;$E$3,ExpDocDate,"&gt;"&amp;$C$3),0)+IF($A50="BS-1710",-IF(IncTaxCount=2,SUMIFS(IncTax2,IncDocDate,"&lt;="&amp;$E$3,IncDocDate,"&gt;"&amp;$C$3),0)+IF(ExpTaxCount=2,SUMIFS(ExpTax2,ExpDocDate,"&lt;="&amp;$E$3,ExpDocDate,"&gt;"&amp;$C$3),0),0))</f>
        <v>0</v>
      </c>
      <c r="F50" s="29">
        <f t="shared" ca="1" si="1"/>
        <v>3837.217391304348</v>
      </c>
      <c r="G50" s="29" cm="1">
        <f t="array" aca="1" ref="G50" ca="1">IF(LEFT($A50,2)="IS",-SUMIFS(IncExcl,IncDocDate,"&lt;="&amp;$G$3,IncDocDate,"&gt;"&amp;$G$2,IncAccount,$A50)+SUMIFS(ExpExcl,ExpDocDate,"&lt;="&amp;$G$3,ExpDocDate,"&gt;"&amp;$G$2,ExpAccount,$A50),$C50-SUMIFS(IncExcl,IncDocDate,"&lt;="&amp;$G$3,IncDocDate,"&gt;"&amp;$C$3,IncAccount,$A50)+SUMIFS(ExpExcl,ExpDocDate,"&lt;="&amp;$G$3,ExpDocDate,"&gt;"&amp;$C$3,ExpAccount,$A50)+IF($A50="BS-1700",-SUMIFS(IncTax1,IncDocDate,"&lt;="&amp;$G$3,IncDocDate,"&gt;"&amp;$C$3)+SUMIFS(ExpTax1,ExpDocDate,"&lt;="&amp;$G$3,ExpDocDate,"&gt;"&amp;$C$3),0)+IF($A50="BS-1710",-IF(IncTaxCount=2,SUMIFS(IncTax2,IncDocDate,"&lt;="&amp;$G$3,IncDocDate,"&gt;"&amp;$C$3),0)+IF(ExpTaxCount=2,SUMIFS(ExpTax2,ExpDocDate,"&lt;="&amp;$G$3,ExpDocDate,"&gt;"&amp;$C$3),0),0))</f>
        <v>3837.217391304348</v>
      </c>
      <c r="H50" s="30" t="str">
        <f t="shared" si="3"/>
        <v>Account</v>
      </c>
    </row>
    <row r="51" spans="1:8" ht="16" customHeight="1" x14ac:dyDescent="0.25">
      <c r="A51" s="17" t="s">
        <v>297</v>
      </c>
      <c r="B51" s="4" t="s">
        <v>72</v>
      </c>
      <c r="E51" s="29" cm="1">
        <f t="array" aca="1" ref="E51" ca="1">IF(LEFT($A51,2)="IS",-SUMIFS(IncExcl,IncDocDate,"&lt;="&amp;$E$3,IncDocDate,"&gt;"&amp;$E$2,IncAccount,$A51)+SUMIFS(ExpExcl,ExpDocDate,"&lt;="&amp;$E$3,ExpDocDate,"&gt;"&amp;$E$2,ExpAccount,$A51),$C51-SUMIFS(IncExcl,IncDocDate,"&lt;="&amp;$E$3,IncDocDate,"&gt;"&amp;$C$3,IncAccount,$A51)+SUMIFS(ExpExcl,ExpDocDate,"&lt;="&amp;$E$3,ExpDocDate,"&gt;"&amp;$C$3,ExpAccount,$A51)+IF($A51="BS-1700",-SUMIFS(IncTax1,IncDocDate,"&lt;="&amp;$E$3,IncDocDate,"&gt;"&amp;$C$3)+SUMIFS(ExpTax1,ExpDocDate,"&lt;="&amp;$E$3,ExpDocDate,"&gt;"&amp;$C$3),0)+IF($A51="BS-1710",-IF(IncTaxCount=2,SUMIFS(IncTax2,IncDocDate,"&lt;="&amp;$E$3,IncDocDate,"&gt;"&amp;$C$3),0)+IF(ExpTaxCount=2,SUMIFS(ExpTax2,ExpDocDate,"&lt;="&amp;$E$3,ExpDocDate,"&gt;"&amp;$C$3),0),0))</f>
        <v>0</v>
      </c>
      <c r="F51" s="29">
        <f t="shared" ca="1" si="1"/>
        <v>995.6521739130435</v>
      </c>
      <c r="G51" s="29" cm="1">
        <f t="array" aca="1" ref="G51" ca="1">IF(LEFT($A51,2)="IS",-SUMIFS(IncExcl,IncDocDate,"&lt;="&amp;$G$3,IncDocDate,"&gt;"&amp;$G$2,IncAccount,$A51)+SUMIFS(ExpExcl,ExpDocDate,"&lt;="&amp;$G$3,ExpDocDate,"&gt;"&amp;$G$2,ExpAccount,$A51),$C51-SUMIFS(IncExcl,IncDocDate,"&lt;="&amp;$G$3,IncDocDate,"&gt;"&amp;$C$3,IncAccount,$A51)+SUMIFS(ExpExcl,ExpDocDate,"&lt;="&amp;$G$3,ExpDocDate,"&gt;"&amp;$C$3,ExpAccount,$A51)+IF($A51="BS-1700",-SUMIFS(IncTax1,IncDocDate,"&lt;="&amp;$G$3,IncDocDate,"&gt;"&amp;$C$3)+SUMIFS(ExpTax1,ExpDocDate,"&lt;="&amp;$G$3,ExpDocDate,"&gt;"&amp;$C$3),0)+IF($A51="BS-1710",-IF(IncTaxCount=2,SUMIFS(IncTax2,IncDocDate,"&lt;="&amp;$G$3,IncDocDate,"&gt;"&amp;$C$3),0)+IF(ExpTaxCount=2,SUMIFS(ExpTax2,ExpDocDate,"&lt;="&amp;$G$3,ExpDocDate,"&gt;"&amp;$C$3),0),0))</f>
        <v>995.6521739130435</v>
      </c>
      <c r="H51" s="30" t="str">
        <f t="shared" si="3"/>
        <v>Account</v>
      </c>
    </row>
    <row r="52" spans="1:8" ht="16" customHeight="1" x14ac:dyDescent="0.25">
      <c r="A52" s="17" t="s">
        <v>298</v>
      </c>
      <c r="B52" s="4" t="s">
        <v>81</v>
      </c>
      <c r="E52" s="29" cm="1">
        <f t="array" aca="1" ref="E52" ca="1">IF(LEFT($A52,2)="IS",-SUMIFS(IncExcl,IncDocDate,"&lt;="&amp;$E$3,IncDocDate,"&gt;"&amp;$E$2,IncAccount,$A52)+SUMIFS(ExpExcl,ExpDocDate,"&lt;="&amp;$E$3,ExpDocDate,"&gt;"&amp;$E$2,ExpAccount,$A52),$C52-SUMIFS(IncExcl,IncDocDate,"&lt;="&amp;$E$3,IncDocDate,"&gt;"&amp;$C$3,IncAccount,$A52)+SUMIFS(ExpExcl,ExpDocDate,"&lt;="&amp;$E$3,ExpDocDate,"&gt;"&amp;$C$3,ExpAccount,$A52)+IF($A52="BS-1700",-SUMIFS(IncTax1,IncDocDate,"&lt;="&amp;$E$3,IncDocDate,"&gt;"&amp;$C$3)+SUMIFS(ExpTax1,ExpDocDate,"&lt;="&amp;$E$3,ExpDocDate,"&gt;"&amp;$C$3),0)+IF($A52="BS-1710",-IF(IncTaxCount=2,SUMIFS(IncTax2,IncDocDate,"&lt;="&amp;$E$3,IncDocDate,"&gt;"&amp;$C$3),0)+IF(ExpTaxCount=2,SUMIFS(ExpTax2,ExpDocDate,"&lt;="&amp;$E$3,ExpDocDate,"&gt;"&amp;$C$3),0),0))</f>
        <v>0</v>
      </c>
      <c r="F52" s="29">
        <f t="shared" ca="1" si="1"/>
        <v>143895.65217391303</v>
      </c>
      <c r="G52" s="29" cm="1">
        <f t="array" aca="1" ref="G52" ca="1">IF(LEFT($A52,2)="IS",-SUMIFS(IncExcl,IncDocDate,"&lt;="&amp;$G$3,IncDocDate,"&gt;"&amp;$G$2,IncAccount,$A52)+SUMIFS(ExpExcl,ExpDocDate,"&lt;="&amp;$G$3,ExpDocDate,"&gt;"&amp;$G$2,ExpAccount,$A52),$C52-SUMIFS(IncExcl,IncDocDate,"&lt;="&amp;$G$3,IncDocDate,"&gt;"&amp;$C$3,IncAccount,$A52)+SUMIFS(ExpExcl,ExpDocDate,"&lt;="&amp;$G$3,ExpDocDate,"&gt;"&amp;$C$3,ExpAccount,$A52)+IF($A52="BS-1700",-SUMIFS(IncTax1,IncDocDate,"&lt;="&amp;$G$3,IncDocDate,"&gt;"&amp;$C$3)+SUMIFS(ExpTax1,ExpDocDate,"&lt;="&amp;$G$3,ExpDocDate,"&gt;"&amp;$C$3),0)+IF($A52="BS-1710",-IF(IncTaxCount=2,SUMIFS(IncTax2,IncDocDate,"&lt;="&amp;$G$3,IncDocDate,"&gt;"&amp;$C$3),0)+IF(ExpTaxCount=2,SUMIFS(ExpTax2,ExpDocDate,"&lt;="&amp;$G$3,ExpDocDate,"&gt;"&amp;$C$3),0),0))</f>
        <v>143895.65217391303</v>
      </c>
      <c r="H52" s="30" t="str">
        <f t="shared" si="3"/>
        <v>Account</v>
      </c>
    </row>
    <row r="53" spans="1:8" ht="16" customHeight="1" x14ac:dyDescent="0.25">
      <c r="A53" s="17" t="s">
        <v>299</v>
      </c>
      <c r="B53" s="4" t="s">
        <v>73</v>
      </c>
      <c r="E53" s="29" cm="1">
        <f t="array" aca="1" ref="E53" ca="1">IF(LEFT($A53,2)="IS",-SUMIFS(IncExcl,IncDocDate,"&lt;="&amp;$E$3,IncDocDate,"&gt;"&amp;$E$2,IncAccount,$A53)+SUMIFS(ExpExcl,ExpDocDate,"&lt;="&amp;$E$3,ExpDocDate,"&gt;"&amp;$E$2,ExpAccount,$A53),$C53-SUMIFS(IncExcl,IncDocDate,"&lt;="&amp;$E$3,IncDocDate,"&gt;"&amp;$C$3,IncAccount,$A53)+SUMIFS(ExpExcl,ExpDocDate,"&lt;="&amp;$E$3,ExpDocDate,"&gt;"&amp;$C$3,ExpAccount,$A53)+IF($A53="BS-1700",-SUMIFS(IncTax1,IncDocDate,"&lt;="&amp;$E$3,IncDocDate,"&gt;"&amp;$C$3)+SUMIFS(ExpTax1,ExpDocDate,"&lt;="&amp;$E$3,ExpDocDate,"&gt;"&amp;$C$3),0)+IF($A53="BS-1710",-IF(IncTaxCount=2,SUMIFS(IncTax2,IncDocDate,"&lt;="&amp;$E$3,IncDocDate,"&gt;"&amp;$C$3),0)+IF(ExpTaxCount=2,SUMIFS(ExpTax2,ExpDocDate,"&lt;="&amp;$E$3,ExpDocDate,"&gt;"&amp;$C$3),0),0))</f>
        <v>0</v>
      </c>
      <c r="F53" s="29">
        <f t="shared" ca="1" si="1"/>
        <v>520</v>
      </c>
      <c r="G53" s="29" cm="1">
        <f t="array" aca="1" ref="G53" ca="1">IF(LEFT($A53,2)="IS",-SUMIFS(IncExcl,IncDocDate,"&lt;="&amp;$G$3,IncDocDate,"&gt;"&amp;$G$2,IncAccount,$A53)+SUMIFS(ExpExcl,ExpDocDate,"&lt;="&amp;$G$3,ExpDocDate,"&gt;"&amp;$G$2,ExpAccount,$A53),$C53-SUMIFS(IncExcl,IncDocDate,"&lt;="&amp;$G$3,IncDocDate,"&gt;"&amp;$C$3,IncAccount,$A53)+SUMIFS(ExpExcl,ExpDocDate,"&lt;="&amp;$G$3,ExpDocDate,"&gt;"&amp;$C$3,ExpAccount,$A53)+IF($A53="BS-1700",-SUMIFS(IncTax1,IncDocDate,"&lt;="&amp;$G$3,IncDocDate,"&gt;"&amp;$C$3)+SUMIFS(ExpTax1,ExpDocDate,"&lt;="&amp;$G$3,ExpDocDate,"&gt;"&amp;$C$3),0)+IF($A53="BS-1710",-IF(IncTaxCount=2,SUMIFS(IncTax2,IncDocDate,"&lt;="&amp;$G$3,IncDocDate,"&gt;"&amp;$C$3),0)+IF(ExpTaxCount=2,SUMIFS(ExpTax2,ExpDocDate,"&lt;="&amp;$G$3,ExpDocDate,"&gt;"&amp;$C$3),0),0))</f>
        <v>520</v>
      </c>
      <c r="H53" s="30" t="str">
        <f t="shared" si="3"/>
        <v>Account</v>
      </c>
    </row>
    <row r="54" spans="1:8" ht="16" customHeight="1" x14ac:dyDescent="0.25">
      <c r="A54" s="17" t="s">
        <v>300</v>
      </c>
      <c r="B54" s="4" t="s">
        <v>74</v>
      </c>
      <c r="E54" s="29" cm="1">
        <f t="array" aca="1" ref="E54" ca="1">IF(LEFT($A54,2)="IS",-SUMIFS(IncExcl,IncDocDate,"&lt;="&amp;$E$3,IncDocDate,"&gt;"&amp;$E$2,IncAccount,$A54)+SUMIFS(ExpExcl,ExpDocDate,"&lt;="&amp;$E$3,ExpDocDate,"&gt;"&amp;$E$2,ExpAccount,$A54),$C54-SUMIFS(IncExcl,IncDocDate,"&lt;="&amp;$E$3,IncDocDate,"&gt;"&amp;$C$3,IncAccount,$A54)+SUMIFS(ExpExcl,ExpDocDate,"&lt;="&amp;$E$3,ExpDocDate,"&gt;"&amp;$C$3,ExpAccount,$A54)+IF($A54="BS-1700",-SUMIFS(IncTax1,IncDocDate,"&lt;="&amp;$E$3,IncDocDate,"&gt;"&amp;$C$3)+SUMIFS(ExpTax1,ExpDocDate,"&lt;="&amp;$E$3,ExpDocDate,"&gt;"&amp;$C$3),0)+IF($A54="BS-1710",-IF(IncTaxCount=2,SUMIFS(IncTax2,IncDocDate,"&lt;="&amp;$E$3,IncDocDate,"&gt;"&amp;$C$3),0)+IF(ExpTaxCount=2,SUMIFS(ExpTax2,ExpDocDate,"&lt;="&amp;$E$3,ExpDocDate,"&gt;"&amp;$C$3),0),0))</f>
        <v>0</v>
      </c>
      <c r="F54" s="29">
        <f t="shared" ca="1" si="1"/>
        <v>5652.173913043478</v>
      </c>
      <c r="G54" s="29" cm="1">
        <f t="array" aca="1" ref="G54" ca="1">IF(LEFT($A54,2)="IS",-SUMIFS(IncExcl,IncDocDate,"&lt;="&amp;$G$3,IncDocDate,"&gt;"&amp;$G$2,IncAccount,$A54)+SUMIFS(ExpExcl,ExpDocDate,"&lt;="&amp;$G$3,ExpDocDate,"&gt;"&amp;$G$2,ExpAccount,$A54),$C54-SUMIFS(IncExcl,IncDocDate,"&lt;="&amp;$G$3,IncDocDate,"&gt;"&amp;$C$3,IncAccount,$A54)+SUMIFS(ExpExcl,ExpDocDate,"&lt;="&amp;$G$3,ExpDocDate,"&gt;"&amp;$C$3,ExpAccount,$A54)+IF($A54="BS-1700",-SUMIFS(IncTax1,IncDocDate,"&lt;="&amp;$G$3,IncDocDate,"&gt;"&amp;$C$3)+SUMIFS(ExpTax1,ExpDocDate,"&lt;="&amp;$G$3,ExpDocDate,"&gt;"&amp;$C$3),0)+IF($A54="BS-1710",-IF(IncTaxCount=2,SUMIFS(IncTax2,IncDocDate,"&lt;="&amp;$G$3,IncDocDate,"&gt;"&amp;$C$3),0)+IF(ExpTaxCount=2,SUMIFS(ExpTax2,ExpDocDate,"&lt;="&amp;$G$3,ExpDocDate,"&gt;"&amp;$C$3),0),0))</f>
        <v>5652.173913043478</v>
      </c>
      <c r="H54" s="30" t="str">
        <f t="shared" si="3"/>
        <v>Account</v>
      </c>
    </row>
    <row r="55" spans="1:8" ht="16" customHeight="1" x14ac:dyDescent="0.25">
      <c r="A55" s="17" t="s">
        <v>301</v>
      </c>
      <c r="B55" s="4" t="s">
        <v>75</v>
      </c>
      <c r="E55" s="29" cm="1">
        <f t="array" aca="1" ref="E55" ca="1">IF(LEFT($A55,2)="IS",-SUMIFS(IncExcl,IncDocDate,"&lt;="&amp;$E$3,IncDocDate,"&gt;"&amp;$E$2,IncAccount,$A55)+SUMIFS(ExpExcl,ExpDocDate,"&lt;="&amp;$E$3,ExpDocDate,"&gt;"&amp;$E$2,ExpAccount,$A55),$C55-SUMIFS(IncExcl,IncDocDate,"&lt;="&amp;$E$3,IncDocDate,"&gt;"&amp;$C$3,IncAccount,$A55)+SUMIFS(ExpExcl,ExpDocDate,"&lt;="&amp;$E$3,ExpDocDate,"&gt;"&amp;$C$3,ExpAccount,$A55)+IF($A55="BS-1700",-SUMIFS(IncTax1,IncDocDate,"&lt;="&amp;$E$3,IncDocDate,"&gt;"&amp;$C$3)+SUMIFS(ExpTax1,ExpDocDate,"&lt;="&amp;$E$3,ExpDocDate,"&gt;"&amp;$C$3),0)+IF($A55="BS-1710",-IF(IncTaxCount=2,SUMIFS(IncTax2,IncDocDate,"&lt;="&amp;$E$3,IncDocDate,"&gt;"&amp;$C$3),0)+IF(ExpTaxCount=2,SUMIFS(ExpTax2,ExpDocDate,"&lt;="&amp;$E$3,ExpDocDate,"&gt;"&amp;$C$3),0),0))</f>
        <v>0</v>
      </c>
      <c r="F55" s="29">
        <f t="shared" ca="1" si="1"/>
        <v>2491.304347826087</v>
      </c>
      <c r="G55" s="29" cm="1">
        <f t="array" aca="1" ref="G55" ca="1">IF(LEFT($A55,2)="IS",-SUMIFS(IncExcl,IncDocDate,"&lt;="&amp;$G$3,IncDocDate,"&gt;"&amp;$G$2,IncAccount,$A55)+SUMIFS(ExpExcl,ExpDocDate,"&lt;="&amp;$G$3,ExpDocDate,"&gt;"&amp;$G$2,ExpAccount,$A55),$C55-SUMIFS(IncExcl,IncDocDate,"&lt;="&amp;$G$3,IncDocDate,"&gt;"&amp;$C$3,IncAccount,$A55)+SUMIFS(ExpExcl,ExpDocDate,"&lt;="&amp;$G$3,ExpDocDate,"&gt;"&amp;$C$3,ExpAccount,$A55)+IF($A55="BS-1700",-SUMIFS(IncTax1,IncDocDate,"&lt;="&amp;$G$3,IncDocDate,"&gt;"&amp;$C$3)+SUMIFS(ExpTax1,ExpDocDate,"&lt;="&amp;$G$3,ExpDocDate,"&gt;"&amp;$C$3),0)+IF($A55="BS-1710",-IF(IncTaxCount=2,SUMIFS(IncTax2,IncDocDate,"&lt;="&amp;$G$3,IncDocDate,"&gt;"&amp;$C$3),0)+IF(ExpTaxCount=2,SUMIFS(ExpTax2,ExpDocDate,"&lt;="&amp;$G$3,ExpDocDate,"&gt;"&amp;$C$3),0),0))</f>
        <v>2491.304347826087</v>
      </c>
      <c r="H55" s="30" t="str">
        <f t="shared" si="3"/>
        <v>Account</v>
      </c>
    </row>
    <row r="56" spans="1:8" ht="16" customHeight="1" x14ac:dyDescent="0.25">
      <c r="A56" s="17" t="s">
        <v>302</v>
      </c>
      <c r="B56" s="4" t="s">
        <v>76</v>
      </c>
      <c r="E56" s="29" cm="1">
        <f t="array" aca="1" ref="E56" ca="1">IF(LEFT($A56,2)="IS",-SUMIFS(IncExcl,IncDocDate,"&lt;="&amp;$E$3,IncDocDate,"&gt;"&amp;$E$2,IncAccount,$A56)+SUMIFS(ExpExcl,ExpDocDate,"&lt;="&amp;$E$3,ExpDocDate,"&gt;"&amp;$E$2,ExpAccount,$A56),$C56-SUMIFS(IncExcl,IncDocDate,"&lt;="&amp;$E$3,IncDocDate,"&gt;"&amp;$C$3,IncAccount,$A56)+SUMIFS(ExpExcl,ExpDocDate,"&lt;="&amp;$E$3,ExpDocDate,"&gt;"&amp;$C$3,ExpAccount,$A56)+IF($A56="BS-1700",-SUMIFS(IncTax1,IncDocDate,"&lt;="&amp;$E$3,IncDocDate,"&gt;"&amp;$C$3)+SUMIFS(ExpTax1,ExpDocDate,"&lt;="&amp;$E$3,ExpDocDate,"&gt;"&amp;$C$3),0)+IF($A56="BS-1710",-IF(IncTaxCount=2,SUMIFS(IncTax2,IncDocDate,"&lt;="&amp;$E$3,IncDocDate,"&gt;"&amp;$C$3),0)+IF(ExpTaxCount=2,SUMIFS(ExpTax2,ExpDocDate,"&lt;="&amp;$E$3,ExpDocDate,"&gt;"&amp;$C$3),0),0))</f>
        <v>0</v>
      </c>
      <c r="F56" s="29">
        <f t="shared" ca="1" si="1"/>
        <v>5200</v>
      </c>
      <c r="G56" s="29" cm="1">
        <f t="array" aca="1" ref="G56" ca="1">IF(LEFT($A56,2)="IS",-SUMIFS(IncExcl,IncDocDate,"&lt;="&amp;$G$3,IncDocDate,"&gt;"&amp;$G$2,IncAccount,$A56)+SUMIFS(ExpExcl,ExpDocDate,"&lt;="&amp;$G$3,ExpDocDate,"&gt;"&amp;$G$2,ExpAccount,$A56),$C56-SUMIFS(IncExcl,IncDocDate,"&lt;="&amp;$G$3,IncDocDate,"&gt;"&amp;$C$3,IncAccount,$A56)+SUMIFS(ExpExcl,ExpDocDate,"&lt;="&amp;$G$3,ExpDocDate,"&gt;"&amp;$C$3,ExpAccount,$A56)+IF($A56="BS-1700",-SUMIFS(IncTax1,IncDocDate,"&lt;="&amp;$G$3,IncDocDate,"&gt;"&amp;$C$3)+SUMIFS(ExpTax1,ExpDocDate,"&lt;="&amp;$G$3,ExpDocDate,"&gt;"&amp;$C$3),0)+IF($A56="BS-1710",-IF(IncTaxCount=2,SUMIFS(IncTax2,IncDocDate,"&lt;="&amp;$G$3,IncDocDate,"&gt;"&amp;$C$3),0)+IF(ExpTaxCount=2,SUMIFS(ExpTax2,ExpDocDate,"&lt;="&amp;$G$3,ExpDocDate,"&gt;"&amp;$C$3),0),0))</f>
        <v>5200</v>
      </c>
      <c r="H56" s="30" t="str">
        <f t="shared" si="3"/>
        <v>Account</v>
      </c>
    </row>
    <row r="57" spans="1:8" ht="16" customHeight="1" x14ac:dyDescent="0.25">
      <c r="A57" s="17" t="s">
        <v>303</v>
      </c>
      <c r="B57" s="4" t="s">
        <v>77</v>
      </c>
      <c r="E57" s="29" cm="1">
        <f t="array" aca="1" ref="E57" ca="1">IF(LEFT($A57,2)="IS",-SUMIFS(IncExcl,IncDocDate,"&lt;="&amp;$E$3,IncDocDate,"&gt;"&amp;$E$2,IncAccount,$A57)+SUMIFS(ExpExcl,ExpDocDate,"&lt;="&amp;$E$3,ExpDocDate,"&gt;"&amp;$E$2,ExpAccount,$A57),$C57-SUMIFS(IncExcl,IncDocDate,"&lt;="&amp;$E$3,IncDocDate,"&gt;"&amp;$C$3,IncAccount,$A57)+SUMIFS(ExpExcl,ExpDocDate,"&lt;="&amp;$E$3,ExpDocDate,"&gt;"&amp;$C$3,ExpAccount,$A57)+IF($A57="BS-1700",-SUMIFS(IncTax1,IncDocDate,"&lt;="&amp;$E$3,IncDocDate,"&gt;"&amp;$C$3)+SUMIFS(ExpTax1,ExpDocDate,"&lt;="&amp;$E$3,ExpDocDate,"&gt;"&amp;$C$3),0)+IF($A57="BS-1710",-IF(IncTaxCount=2,SUMIFS(IncTax2,IncDocDate,"&lt;="&amp;$E$3,IncDocDate,"&gt;"&amp;$C$3),0)+IF(ExpTaxCount=2,SUMIFS(ExpTax2,ExpDocDate,"&lt;="&amp;$E$3,ExpDocDate,"&gt;"&amp;$C$3),0),0))</f>
        <v>0</v>
      </c>
      <c r="F57" s="29">
        <f t="shared" ca="1" si="1"/>
        <v>8860.8695652173938</v>
      </c>
      <c r="G57" s="29" cm="1">
        <f t="array" aca="1" ref="G57" ca="1">IF(LEFT($A57,2)="IS",-SUMIFS(IncExcl,IncDocDate,"&lt;="&amp;$G$3,IncDocDate,"&gt;"&amp;$G$2,IncAccount,$A57)+SUMIFS(ExpExcl,ExpDocDate,"&lt;="&amp;$G$3,ExpDocDate,"&gt;"&amp;$G$2,ExpAccount,$A57),$C57-SUMIFS(IncExcl,IncDocDate,"&lt;="&amp;$G$3,IncDocDate,"&gt;"&amp;$C$3,IncAccount,$A57)+SUMIFS(ExpExcl,ExpDocDate,"&lt;="&amp;$G$3,ExpDocDate,"&gt;"&amp;$C$3,ExpAccount,$A57)+IF($A57="BS-1700",-SUMIFS(IncTax1,IncDocDate,"&lt;="&amp;$G$3,IncDocDate,"&gt;"&amp;$C$3)+SUMIFS(ExpTax1,ExpDocDate,"&lt;="&amp;$G$3,ExpDocDate,"&gt;"&amp;$C$3),0)+IF($A57="BS-1710",-IF(IncTaxCount=2,SUMIFS(IncTax2,IncDocDate,"&lt;="&amp;$G$3,IncDocDate,"&gt;"&amp;$C$3),0)+IF(ExpTaxCount=2,SUMIFS(ExpTax2,ExpDocDate,"&lt;="&amp;$G$3,ExpDocDate,"&gt;"&amp;$C$3),0),0))</f>
        <v>8860.8695652173938</v>
      </c>
      <c r="H57" s="30" t="str">
        <f t="shared" si="3"/>
        <v>Account</v>
      </c>
    </row>
    <row r="58" spans="1:8" ht="16" customHeight="1" x14ac:dyDescent="0.25">
      <c r="A58" s="17" t="s">
        <v>304</v>
      </c>
      <c r="B58" s="4" t="s">
        <v>78</v>
      </c>
      <c r="E58" s="29" cm="1">
        <f t="array" aca="1" ref="E58" ca="1">IF(LEFT($A58,2)="IS",-SUMIFS(IncExcl,IncDocDate,"&lt;="&amp;$E$3,IncDocDate,"&gt;"&amp;$E$2,IncAccount,$A58)+SUMIFS(ExpExcl,ExpDocDate,"&lt;="&amp;$E$3,ExpDocDate,"&gt;"&amp;$E$2,ExpAccount,$A58),$C58-SUMIFS(IncExcl,IncDocDate,"&lt;="&amp;$E$3,IncDocDate,"&gt;"&amp;$C$3,IncAccount,$A58)+SUMIFS(ExpExcl,ExpDocDate,"&lt;="&amp;$E$3,ExpDocDate,"&gt;"&amp;$C$3,ExpAccount,$A58)+IF($A58="BS-1700",-SUMIFS(IncTax1,IncDocDate,"&lt;="&amp;$E$3,IncDocDate,"&gt;"&amp;$C$3)+SUMIFS(ExpTax1,ExpDocDate,"&lt;="&amp;$E$3,ExpDocDate,"&gt;"&amp;$C$3),0)+IF($A58="BS-1710",-IF(IncTaxCount=2,SUMIFS(IncTax2,IncDocDate,"&lt;="&amp;$E$3,IncDocDate,"&gt;"&amp;$C$3),0)+IF(ExpTaxCount=2,SUMIFS(ExpTax2,ExpDocDate,"&lt;="&amp;$E$3,ExpDocDate,"&gt;"&amp;$C$3),0),0))</f>
        <v>0</v>
      </c>
      <c r="F58" s="29">
        <f t="shared" ca="1" si="1"/>
        <v>4043.478260869565</v>
      </c>
      <c r="G58" s="29" cm="1">
        <f t="array" aca="1" ref="G58" ca="1">IF(LEFT($A58,2)="IS",-SUMIFS(IncExcl,IncDocDate,"&lt;="&amp;$G$3,IncDocDate,"&gt;"&amp;$G$2,IncAccount,$A58)+SUMIFS(ExpExcl,ExpDocDate,"&lt;="&amp;$G$3,ExpDocDate,"&gt;"&amp;$G$2,ExpAccount,$A58),$C58-SUMIFS(IncExcl,IncDocDate,"&lt;="&amp;$G$3,IncDocDate,"&gt;"&amp;$C$3,IncAccount,$A58)+SUMIFS(ExpExcl,ExpDocDate,"&lt;="&amp;$G$3,ExpDocDate,"&gt;"&amp;$C$3,ExpAccount,$A58)+IF($A58="BS-1700",-SUMIFS(IncTax1,IncDocDate,"&lt;="&amp;$G$3,IncDocDate,"&gt;"&amp;$C$3)+SUMIFS(ExpTax1,ExpDocDate,"&lt;="&amp;$G$3,ExpDocDate,"&gt;"&amp;$C$3),0)+IF($A58="BS-1710",-IF(IncTaxCount=2,SUMIFS(IncTax2,IncDocDate,"&lt;="&amp;$G$3,IncDocDate,"&gt;"&amp;$C$3),0)+IF(ExpTaxCount=2,SUMIFS(ExpTax2,ExpDocDate,"&lt;="&amp;$G$3,ExpDocDate,"&gt;"&amp;$C$3),0),0))</f>
        <v>4043.478260869565</v>
      </c>
      <c r="H58" s="30" t="str">
        <f t="shared" si="3"/>
        <v>Account</v>
      </c>
    </row>
    <row r="59" spans="1:8" ht="16" customHeight="1" x14ac:dyDescent="0.25">
      <c r="A59" s="17" t="s">
        <v>305</v>
      </c>
      <c r="B59" s="4" t="s">
        <v>79</v>
      </c>
      <c r="E59" s="29" cm="1">
        <f t="array" aca="1" ref="E59" ca="1">IF(LEFT($A59,2)="IS",-SUMIFS(IncExcl,IncDocDate,"&lt;="&amp;$E$3,IncDocDate,"&gt;"&amp;$E$2,IncAccount,$A59)+SUMIFS(ExpExcl,ExpDocDate,"&lt;="&amp;$E$3,ExpDocDate,"&gt;"&amp;$E$2,ExpAccount,$A59),$C59-SUMIFS(IncExcl,IncDocDate,"&lt;="&amp;$E$3,IncDocDate,"&gt;"&amp;$C$3,IncAccount,$A59)+SUMIFS(ExpExcl,ExpDocDate,"&lt;="&amp;$E$3,ExpDocDate,"&gt;"&amp;$C$3,ExpAccount,$A59)+IF($A59="BS-1700",-SUMIFS(IncTax1,IncDocDate,"&lt;="&amp;$E$3,IncDocDate,"&gt;"&amp;$C$3)+SUMIFS(ExpTax1,ExpDocDate,"&lt;="&amp;$E$3,ExpDocDate,"&gt;"&amp;$C$3),0)+IF($A59="BS-1710",-IF(IncTaxCount=2,SUMIFS(IncTax2,IncDocDate,"&lt;="&amp;$E$3,IncDocDate,"&gt;"&amp;$C$3),0)+IF(ExpTaxCount=2,SUMIFS(ExpTax2,ExpDocDate,"&lt;="&amp;$E$3,ExpDocDate,"&gt;"&amp;$C$3),0),0))</f>
        <v>0</v>
      </c>
      <c r="F59" s="29">
        <f t="shared" ca="1" si="1"/>
        <v>13704.347826086956</v>
      </c>
      <c r="G59" s="29" cm="1">
        <f t="array" aca="1" ref="G59" ca="1">IF(LEFT($A59,2)="IS",-SUMIFS(IncExcl,IncDocDate,"&lt;="&amp;$G$3,IncDocDate,"&gt;"&amp;$G$2,IncAccount,$A59)+SUMIFS(ExpExcl,ExpDocDate,"&lt;="&amp;$G$3,ExpDocDate,"&gt;"&amp;$G$2,ExpAccount,$A59),$C59-SUMIFS(IncExcl,IncDocDate,"&lt;="&amp;$G$3,IncDocDate,"&gt;"&amp;$C$3,IncAccount,$A59)+SUMIFS(ExpExcl,ExpDocDate,"&lt;="&amp;$G$3,ExpDocDate,"&gt;"&amp;$C$3,ExpAccount,$A59)+IF($A59="BS-1700",-SUMIFS(IncTax1,IncDocDate,"&lt;="&amp;$G$3,IncDocDate,"&gt;"&amp;$C$3)+SUMIFS(ExpTax1,ExpDocDate,"&lt;="&amp;$G$3,ExpDocDate,"&gt;"&amp;$C$3),0)+IF($A59="BS-1710",-IF(IncTaxCount=2,SUMIFS(IncTax2,IncDocDate,"&lt;="&amp;$G$3,IncDocDate,"&gt;"&amp;$C$3),0)+IF(ExpTaxCount=2,SUMIFS(ExpTax2,ExpDocDate,"&lt;="&amp;$G$3,ExpDocDate,"&gt;"&amp;$C$3),0),0))</f>
        <v>13704.347826086956</v>
      </c>
      <c r="H59" s="30" t="str">
        <f t="shared" si="3"/>
        <v>Account</v>
      </c>
    </row>
    <row r="60" spans="1:8" ht="16" customHeight="1" x14ac:dyDescent="0.25">
      <c r="A60" s="17" t="s">
        <v>306</v>
      </c>
      <c r="B60" s="4" t="s">
        <v>83</v>
      </c>
      <c r="E60" s="29" cm="1">
        <f t="array" aca="1" ref="E60" ca="1">IF(LEFT($A60,2)="IS",-SUMIFS(IncExcl,IncDocDate,"&lt;="&amp;$E$3,IncDocDate,"&gt;"&amp;$E$2,IncAccount,$A60)+SUMIFS(ExpExcl,ExpDocDate,"&lt;="&amp;$E$3,ExpDocDate,"&gt;"&amp;$E$2,ExpAccount,$A60),$C60-SUMIFS(IncExcl,IncDocDate,"&lt;="&amp;$E$3,IncDocDate,"&gt;"&amp;$C$3,IncAccount,$A60)+SUMIFS(ExpExcl,ExpDocDate,"&lt;="&amp;$E$3,ExpDocDate,"&gt;"&amp;$C$3,ExpAccount,$A60)+IF($A60="BS-1700",-SUMIFS(IncTax1,IncDocDate,"&lt;="&amp;$E$3,IncDocDate,"&gt;"&amp;$C$3)+SUMIFS(ExpTax1,ExpDocDate,"&lt;="&amp;$E$3,ExpDocDate,"&gt;"&amp;$C$3),0)+IF($A60="BS-1710",-IF(IncTaxCount=2,SUMIFS(IncTax2,IncDocDate,"&lt;="&amp;$E$3,IncDocDate,"&gt;"&amp;$C$3),0)+IF(ExpTaxCount=2,SUMIFS(ExpTax2,ExpDocDate,"&lt;="&amp;$E$3,ExpDocDate,"&gt;"&amp;$C$3),0),0))</f>
        <v>0</v>
      </c>
      <c r="F60" s="29">
        <f t="shared" ca="1" si="1"/>
        <v>0</v>
      </c>
      <c r="G60" s="29" cm="1">
        <f t="array" ref="G60">IF(LEFT($A60,2)="IS",-SUMIFS(IncExcl,IncDocDate,"&lt;="&amp;$G$3,IncDocDate,"&gt;"&amp;$G$2,IncAccount,$A60)+SUMIFS(ExpExcl,ExpDocDate,"&lt;="&amp;$G$3,ExpDocDate,"&gt;"&amp;$G$2,ExpAccount,$A60),$C60-SUMIFS(IncExcl,IncDocDate,"&lt;="&amp;$G$3,IncDocDate,"&gt;"&amp;$C$3,IncAccount,$A60)+SUMIFS(ExpExcl,ExpDocDate,"&lt;="&amp;$G$3,ExpDocDate,"&gt;"&amp;$C$3,ExpAccount,$A60)+IF($A60="BS-1700",-SUMIFS(IncTax1,IncDocDate,"&lt;="&amp;$G$3,IncDocDate,"&gt;"&amp;$C$3)+SUMIFS(ExpTax1,ExpDocDate,"&lt;="&amp;$G$3,ExpDocDate,"&gt;"&amp;$C$3),0)+IF($A60="BS-1710",-IF(IncTaxCount=2,SUMIFS(IncTax2,IncDocDate,"&lt;="&amp;$G$3,IncDocDate,"&gt;"&amp;$C$3),0)+IF(ExpTaxCount=2,SUMIFS(ExpTax2,ExpDocDate,"&lt;="&amp;$G$3,ExpDocDate,"&gt;"&amp;$C$3),0),0))</f>
        <v>0</v>
      </c>
      <c r="H60" s="30" t="str">
        <f t="shared" si="3"/>
        <v>Account</v>
      </c>
    </row>
    <row r="61" spans="1:8" ht="16" customHeight="1" x14ac:dyDescent="0.25">
      <c r="A61" s="17" t="s">
        <v>364</v>
      </c>
      <c r="B61" s="4" t="s">
        <v>365</v>
      </c>
      <c r="E61" s="29" cm="1">
        <f t="array" aca="1" ref="E61" ca="1">IF(LEFT($A61,2)="IS",-SUMIFS(IncExcl,IncDocDate,"&lt;="&amp;$E$3,IncDocDate,"&gt;"&amp;$E$2,IncAccount,$A61)+SUMIFS(ExpExcl,ExpDocDate,"&lt;="&amp;$E$3,ExpDocDate,"&gt;"&amp;$E$2,ExpAccount,$A61),$C61-SUMIFS(IncExcl,IncDocDate,"&lt;="&amp;$E$3,IncDocDate,"&gt;"&amp;$C$3,IncAccount,$A61)+SUMIFS(ExpExcl,ExpDocDate,"&lt;="&amp;$E$3,ExpDocDate,"&gt;"&amp;$C$3,ExpAccount,$A61)+IF($A61="BS-1700",-SUMIFS(IncTax1,IncDocDate,"&lt;="&amp;$E$3,IncDocDate,"&gt;"&amp;$C$3)+SUMIFS(ExpTax1,ExpDocDate,"&lt;="&amp;$E$3,ExpDocDate,"&gt;"&amp;$C$3),0)+IF($A61="BS-1710",-IF(IncTaxCount=2,SUMIFS(IncTax2,IncDocDate,"&lt;="&amp;$E$3,IncDocDate,"&gt;"&amp;$C$3),0)+IF(ExpTaxCount=2,SUMIFS(ExpTax2,ExpDocDate,"&lt;="&amp;$E$3,ExpDocDate,"&gt;"&amp;$C$3),0),0))</f>
        <v>0</v>
      </c>
      <c r="F61" s="29">
        <f t="shared" ca="1" si="1"/>
        <v>548600</v>
      </c>
      <c r="G61" s="29" cm="1">
        <f t="array" aca="1" ref="G61" ca="1">IF(LEFT($A61,2)="IS",-SUMIFS(IncExcl,IncDocDate,"&lt;="&amp;$G$3,IncDocDate,"&gt;"&amp;$G$2,IncAccount,$A61)+SUMIFS(ExpExcl,ExpDocDate,"&lt;="&amp;$G$3,ExpDocDate,"&gt;"&amp;$G$2,ExpAccount,$A61),$C61-SUMIFS(IncExcl,IncDocDate,"&lt;="&amp;$G$3,IncDocDate,"&gt;"&amp;$C$3,IncAccount,$A61)+SUMIFS(ExpExcl,ExpDocDate,"&lt;="&amp;$G$3,ExpDocDate,"&gt;"&amp;$C$3,ExpAccount,$A61)+IF($A61="BS-1700",-SUMIFS(IncTax1,IncDocDate,"&lt;="&amp;$G$3,IncDocDate,"&gt;"&amp;$C$3)+SUMIFS(ExpTax1,ExpDocDate,"&lt;="&amp;$G$3,ExpDocDate,"&gt;"&amp;$C$3),0)+IF($A61="BS-1710",-IF(IncTaxCount=2,SUMIFS(IncTax2,IncDocDate,"&lt;="&amp;$G$3,IncDocDate,"&gt;"&amp;$C$3),0)+IF(ExpTaxCount=2,SUMIFS(ExpTax2,ExpDocDate,"&lt;="&amp;$G$3,ExpDocDate,"&gt;"&amp;$C$3),0),0))</f>
        <v>548600</v>
      </c>
      <c r="H61" s="30" t="str">
        <f t="shared" si="3"/>
        <v>Account</v>
      </c>
    </row>
    <row r="62" spans="1:8" ht="16" customHeight="1" x14ac:dyDescent="0.25">
      <c r="A62" s="17" t="s">
        <v>366</v>
      </c>
      <c r="B62" s="4" t="s">
        <v>367</v>
      </c>
      <c r="E62" s="29" cm="1">
        <f t="array" aca="1" ref="E62" ca="1">IF(LEFT($A62,2)="IS",-SUMIFS(IncExcl,IncDocDate,"&lt;="&amp;$E$3,IncDocDate,"&gt;"&amp;$E$2,IncAccount,$A62)+SUMIFS(ExpExcl,ExpDocDate,"&lt;="&amp;$E$3,ExpDocDate,"&gt;"&amp;$E$2,ExpAccount,$A62),$C62-SUMIFS(IncExcl,IncDocDate,"&lt;="&amp;$E$3,IncDocDate,"&gt;"&amp;$C$3,IncAccount,$A62)+SUMIFS(ExpExcl,ExpDocDate,"&lt;="&amp;$E$3,ExpDocDate,"&gt;"&amp;$C$3,ExpAccount,$A62)+IF($A62="BS-1700",-SUMIFS(IncTax1,IncDocDate,"&lt;="&amp;$E$3,IncDocDate,"&gt;"&amp;$C$3)+SUMIFS(ExpTax1,ExpDocDate,"&lt;="&amp;$E$3,ExpDocDate,"&gt;"&amp;$C$3),0)+IF($A62="BS-1710",-IF(IncTaxCount=2,SUMIFS(IncTax2,IncDocDate,"&lt;="&amp;$E$3,IncDocDate,"&gt;"&amp;$C$3),0)+IF(ExpTaxCount=2,SUMIFS(ExpTax2,ExpDocDate,"&lt;="&amp;$E$3,ExpDocDate,"&gt;"&amp;$C$3),0),0))</f>
        <v>0</v>
      </c>
      <c r="F62" s="29">
        <f t="shared" ca="1" si="1"/>
        <v>685720</v>
      </c>
      <c r="G62" s="29" cm="1">
        <f t="array" aca="1" ref="G62" ca="1">IF(LEFT($A62,2)="IS",-SUMIFS(IncExcl,IncDocDate,"&lt;="&amp;$G$3,IncDocDate,"&gt;"&amp;$G$2,IncAccount,$A62)+SUMIFS(ExpExcl,ExpDocDate,"&lt;="&amp;$G$3,ExpDocDate,"&gt;"&amp;$G$2,ExpAccount,$A62),$C62-SUMIFS(IncExcl,IncDocDate,"&lt;="&amp;$G$3,IncDocDate,"&gt;"&amp;$C$3,IncAccount,$A62)+SUMIFS(ExpExcl,ExpDocDate,"&lt;="&amp;$G$3,ExpDocDate,"&gt;"&amp;$C$3,ExpAccount,$A62)+IF($A62="BS-1700",-SUMIFS(IncTax1,IncDocDate,"&lt;="&amp;$G$3,IncDocDate,"&gt;"&amp;$C$3)+SUMIFS(ExpTax1,ExpDocDate,"&lt;="&amp;$G$3,ExpDocDate,"&gt;"&amp;$C$3),0)+IF($A62="BS-1710",-IF(IncTaxCount=2,SUMIFS(IncTax2,IncDocDate,"&lt;="&amp;$G$3,IncDocDate,"&gt;"&amp;$C$3),0)+IF(ExpTaxCount=2,SUMIFS(ExpTax2,ExpDocDate,"&lt;="&amp;$G$3,ExpDocDate,"&gt;"&amp;$C$3),0),0))</f>
        <v>685720</v>
      </c>
      <c r="H62" s="30" t="str">
        <f t="shared" si="3"/>
        <v>Account</v>
      </c>
    </row>
    <row r="63" spans="1:8" ht="16" customHeight="1" x14ac:dyDescent="0.25">
      <c r="A63" s="17" t="s">
        <v>307</v>
      </c>
      <c r="B63" s="4" t="s">
        <v>105</v>
      </c>
      <c r="E63" s="29" cm="1">
        <f t="array" aca="1" ref="E63" ca="1">IF(LEFT($A63,2)="IS",-SUMIFS(IncExcl,IncDocDate,"&lt;="&amp;$E$3,IncDocDate,"&gt;"&amp;$E$2,IncAccount,$A63)+SUMIFS(ExpExcl,ExpDocDate,"&lt;="&amp;$E$3,ExpDocDate,"&gt;"&amp;$E$2,ExpAccount,$A63),$C63-SUMIFS(IncExcl,IncDocDate,"&lt;="&amp;$E$3,IncDocDate,"&gt;"&amp;$C$3,IncAccount,$A63)+SUMIFS(ExpExcl,ExpDocDate,"&lt;="&amp;$E$3,ExpDocDate,"&gt;"&amp;$C$3,ExpAccount,$A63)+IF($A63="BS-1700",-SUMIFS(IncTax1,IncDocDate,"&lt;="&amp;$E$3,IncDocDate,"&gt;"&amp;$C$3)+SUMIFS(ExpTax1,ExpDocDate,"&lt;="&amp;$E$3,ExpDocDate,"&gt;"&amp;$C$3),0)+IF($A63="BS-1710",-IF(IncTaxCount=2,SUMIFS(IncTax2,IncDocDate,"&lt;="&amp;$E$3,IncDocDate,"&gt;"&amp;$C$3),0)+IF(ExpTaxCount=2,SUMIFS(ExpTax2,ExpDocDate,"&lt;="&amp;$E$3,ExpDocDate,"&gt;"&amp;$C$3),0),0))</f>
        <v>0</v>
      </c>
      <c r="F63" s="29">
        <f t="shared" ca="1" si="1"/>
        <v>30422</v>
      </c>
      <c r="G63" s="29" cm="1">
        <f t="array" aca="1" ref="G63" ca="1">IF(LEFT($A63,2)="IS",-SUMIFS(IncExcl,IncDocDate,"&lt;="&amp;$G$3,IncDocDate,"&gt;"&amp;$G$2,IncAccount,$A63)+SUMIFS(ExpExcl,ExpDocDate,"&lt;="&amp;$G$3,ExpDocDate,"&gt;"&amp;$G$2,ExpAccount,$A63),$C63-SUMIFS(IncExcl,IncDocDate,"&lt;="&amp;$G$3,IncDocDate,"&gt;"&amp;$C$3,IncAccount,$A63)+SUMIFS(ExpExcl,ExpDocDate,"&lt;="&amp;$G$3,ExpDocDate,"&gt;"&amp;$C$3,ExpAccount,$A63)+IF($A63="BS-1700",-SUMIFS(IncTax1,IncDocDate,"&lt;="&amp;$G$3,IncDocDate,"&gt;"&amp;$C$3)+SUMIFS(ExpTax1,ExpDocDate,"&lt;="&amp;$G$3,ExpDocDate,"&gt;"&amp;$C$3),0)+IF($A63="BS-1710",-IF(IncTaxCount=2,SUMIFS(IncTax2,IncDocDate,"&lt;="&amp;$G$3,IncDocDate,"&gt;"&amp;$C$3),0)+IF(ExpTaxCount=2,SUMIFS(ExpTax2,ExpDocDate,"&lt;="&amp;$G$3,ExpDocDate,"&gt;"&amp;$C$3),0),0))</f>
        <v>30422</v>
      </c>
      <c r="H63" s="30" t="str">
        <f t="shared" si="3"/>
        <v>Account</v>
      </c>
    </row>
    <row r="64" spans="1:8" ht="16" customHeight="1" x14ac:dyDescent="0.25">
      <c r="A64" s="17" t="s">
        <v>308</v>
      </c>
      <c r="B64" s="4" t="s">
        <v>237</v>
      </c>
      <c r="E64" s="29" cm="1">
        <f t="array" aca="1" ref="E64" ca="1">IF(LEFT($A64,2)="IS",-SUMIFS(IncExcl,IncDocDate,"&lt;="&amp;$E$3,IncDocDate,"&gt;"&amp;$E$2,IncAccount,$A64)+SUMIFS(ExpExcl,ExpDocDate,"&lt;="&amp;$E$3,ExpDocDate,"&gt;"&amp;$E$2,ExpAccount,$A64),$C64-SUMIFS(IncExcl,IncDocDate,"&lt;="&amp;$E$3,IncDocDate,"&gt;"&amp;$C$3,IncAccount,$A64)+SUMIFS(ExpExcl,ExpDocDate,"&lt;="&amp;$E$3,ExpDocDate,"&gt;"&amp;$C$3,ExpAccount,$A64)+IF($A64="BS-1700",-SUMIFS(IncTax1,IncDocDate,"&lt;="&amp;$E$3,IncDocDate,"&gt;"&amp;$C$3)+SUMIFS(ExpTax1,ExpDocDate,"&lt;="&amp;$E$3,ExpDocDate,"&gt;"&amp;$C$3),0)+IF($A64="BS-1710",-IF(IncTaxCount=2,SUMIFS(IncTax2,IncDocDate,"&lt;="&amp;$E$3,IncDocDate,"&gt;"&amp;$C$3),0)+IF(ExpTaxCount=2,SUMIFS(ExpTax2,ExpDocDate,"&lt;="&amp;$E$3,ExpDocDate,"&gt;"&amp;$C$3),0),0))</f>
        <v>0</v>
      </c>
      <c r="F64" s="29">
        <f t="shared" ca="1" si="1"/>
        <v>14720</v>
      </c>
      <c r="G64" s="29" cm="1">
        <f t="array" aca="1" ref="G64" ca="1">IF(LEFT($A64,2)="IS",-SUMIFS(IncExcl,IncDocDate,"&lt;="&amp;$G$3,IncDocDate,"&gt;"&amp;$G$2,IncAccount,$A64)+SUMIFS(ExpExcl,ExpDocDate,"&lt;="&amp;$G$3,ExpDocDate,"&gt;"&amp;$G$2,ExpAccount,$A64),$C64-SUMIFS(IncExcl,IncDocDate,"&lt;="&amp;$G$3,IncDocDate,"&gt;"&amp;$C$3,IncAccount,$A64)+SUMIFS(ExpExcl,ExpDocDate,"&lt;="&amp;$G$3,ExpDocDate,"&gt;"&amp;$C$3,ExpAccount,$A64)+IF($A64="BS-1700",-SUMIFS(IncTax1,IncDocDate,"&lt;="&amp;$G$3,IncDocDate,"&gt;"&amp;$C$3)+SUMIFS(ExpTax1,ExpDocDate,"&lt;="&amp;$G$3,ExpDocDate,"&gt;"&amp;$C$3),0)+IF($A64="BS-1710",-IF(IncTaxCount=2,SUMIFS(IncTax2,IncDocDate,"&lt;="&amp;$G$3,IncDocDate,"&gt;"&amp;$C$3),0)+IF(ExpTaxCount=2,SUMIFS(ExpTax2,ExpDocDate,"&lt;="&amp;$G$3,ExpDocDate,"&gt;"&amp;$C$3),0),0))</f>
        <v>14720</v>
      </c>
      <c r="H64" s="30" t="str">
        <f t="shared" si="3"/>
        <v>Account</v>
      </c>
    </row>
    <row r="65" spans="1:13" ht="16" customHeight="1" x14ac:dyDescent="0.25">
      <c r="A65" s="17" t="s">
        <v>309</v>
      </c>
      <c r="B65" s="4" t="s">
        <v>85</v>
      </c>
      <c r="E65" s="29" cm="1">
        <f t="array" aca="1" ref="E65" ca="1">IF(LEFT($A65,2)="IS",-SUMIFS(IncExcl,IncDocDate,"&lt;="&amp;$E$3,IncDocDate,"&gt;"&amp;$E$2,IncAccount,$A65)+SUMIFS(ExpExcl,ExpDocDate,"&lt;="&amp;$E$3,ExpDocDate,"&gt;"&amp;$E$2,ExpAccount,$A65),$C65-SUMIFS(IncExcl,IncDocDate,"&lt;="&amp;$E$3,IncDocDate,"&gt;"&amp;$C$3,IncAccount,$A65)+SUMIFS(ExpExcl,ExpDocDate,"&lt;="&amp;$E$3,ExpDocDate,"&gt;"&amp;$C$3,ExpAccount,$A65)+IF($A65="BS-1700",-SUMIFS(IncTax1,IncDocDate,"&lt;="&amp;$E$3,IncDocDate,"&gt;"&amp;$C$3)+SUMIFS(ExpTax1,ExpDocDate,"&lt;="&amp;$E$3,ExpDocDate,"&gt;"&amp;$C$3),0)+IF($A65="BS-1710",-IF(IncTaxCount=2,SUMIFS(IncTax2,IncDocDate,"&lt;="&amp;$E$3,IncDocDate,"&gt;"&amp;$C$3),0)+IF(ExpTaxCount=2,SUMIFS(ExpTax2,ExpDocDate,"&lt;="&amp;$E$3,ExpDocDate,"&gt;"&amp;$C$3),0),0))</f>
        <v>0</v>
      </c>
      <c r="F65" s="29">
        <f t="shared" ca="1" si="1"/>
        <v>19367.239999999998</v>
      </c>
      <c r="G65" s="29" cm="1">
        <f t="array" aca="1" ref="G65" ca="1">IF(LEFT($A65,2)="IS",-SUMIFS(IncExcl,IncDocDate,"&lt;="&amp;$G$3,IncDocDate,"&gt;"&amp;$G$2,IncAccount,$A65)+SUMIFS(ExpExcl,ExpDocDate,"&lt;="&amp;$G$3,ExpDocDate,"&gt;"&amp;$G$2,ExpAccount,$A65),$C65-SUMIFS(IncExcl,IncDocDate,"&lt;="&amp;$G$3,IncDocDate,"&gt;"&amp;$C$3,IncAccount,$A65)+SUMIFS(ExpExcl,ExpDocDate,"&lt;="&amp;$G$3,ExpDocDate,"&gt;"&amp;$C$3,ExpAccount,$A65)+IF($A65="BS-1700",-SUMIFS(IncTax1,IncDocDate,"&lt;="&amp;$G$3,IncDocDate,"&gt;"&amp;$C$3)+SUMIFS(ExpTax1,ExpDocDate,"&lt;="&amp;$G$3,ExpDocDate,"&gt;"&amp;$C$3),0)+IF($A65="BS-1710",-IF(IncTaxCount=2,SUMIFS(IncTax2,IncDocDate,"&lt;="&amp;$G$3,IncDocDate,"&gt;"&amp;$C$3),0)+IF(ExpTaxCount=2,SUMIFS(ExpTax2,ExpDocDate,"&lt;="&amp;$G$3,ExpDocDate,"&gt;"&amp;$C$3),0),0))</f>
        <v>19367.239999999998</v>
      </c>
      <c r="H65" s="30" t="str">
        <f t="shared" si="3"/>
        <v>Group</v>
      </c>
    </row>
    <row r="66" spans="1:13" ht="16" customHeight="1" x14ac:dyDescent="0.25">
      <c r="A66" s="17" t="s">
        <v>310</v>
      </c>
      <c r="B66" s="4" t="s">
        <v>86</v>
      </c>
      <c r="E66" s="29" cm="1">
        <f t="array" aca="1" ref="E66" ca="1">IF(LEFT($A66,2)="IS",-SUMIFS(IncExcl,IncDocDate,"&lt;="&amp;$E$3,IncDocDate,"&gt;"&amp;$E$2,IncAccount,$A66)+SUMIFS(ExpExcl,ExpDocDate,"&lt;="&amp;$E$3,ExpDocDate,"&gt;"&amp;$E$2,ExpAccount,$A66),$C66-SUMIFS(IncExcl,IncDocDate,"&lt;="&amp;$E$3,IncDocDate,"&gt;"&amp;$C$3,IncAccount,$A66)+SUMIFS(ExpExcl,ExpDocDate,"&lt;="&amp;$E$3,ExpDocDate,"&gt;"&amp;$C$3,ExpAccount,$A66)+IF($A66="BS-1700",-SUMIFS(IncTax1,IncDocDate,"&lt;="&amp;$E$3,IncDocDate,"&gt;"&amp;$C$3)+SUMIFS(ExpTax1,ExpDocDate,"&lt;="&amp;$E$3,ExpDocDate,"&gt;"&amp;$C$3),0)+IF($A66="BS-1710",-IF(IncTaxCount=2,SUMIFS(IncTax2,IncDocDate,"&lt;="&amp;$E$3,IncDocDate,"&gt;"&amp;$C$3),0)+IF(ExpTaxCount=2,SUMIFS(ExpTax2,ExpDocDate,"&lt;="&amp;$E$3,ExpDocDate,"&gt;"&amp;$C$3),0),0))</f>
        <v>0</v>
      </c>
      <c r="F66" s="29">
        <f t="shared" ca="1" si="1"/>
        <v>70765</v>
      </c>
      <c r="G66" s="29" cm="1">
        <f t="array" aca="1" ref="G66" ca="1">IF(LEFT($A66,2)="IS",-SUMIFS(IncExcl,IncDocDate,"&lt;="&amp;$G$3,IncDocDate,"&gt;"&amp;$G$2,IncAccount,$A66)+SUMIFS(ExpExcl,ExpDocDate,"&lt;="&amp;$G$3,ExpDocDate,"&gt;"&amp;$G$2,ExpAccount,$A66),$C66-SUMIFS(IncExcl,IncDocDate,"&lt;="&amp;$G$3,IncDocDate,"&gt;"&amp;$C$3,IncAccount,$A66)+SUMIFS(ExpExcl,ExpDocDate,"&lt;="&amp;$G$3,ExpDocDate,"&gt;"&amp;$C$3,ExpAccount,$A66)+IF($A66="BS-1700",-SUMIFS(IncTax1,IncDocDate,"&lt;="&amp;$G$3,IncDocDate,"&gt;"&amp;$C$3)+SUMIFS(ExpTax1,ExpDocDate,"&lt;="&amp;$G$3,ExpDocDate,"&gt;"&amp;$C$3),0)+IF($A66="BS-1710",-IF(IncTaxCount=2,SUMIFS(IncTax2,IncDocDate,"&lt;="&amp;$G$3,IncDocDate,"&gt;"&amp;$C$3),0)+IF(ExpTaxCount=2,SUMIFS(ExpTax2,ExpDocDate,"&lt;="&amp;$G$3,ExpDocDate,"&gt;"&amp;$C$3),0),0))</f>
        <v>70765</v>
      </c>
      <c r="H66" s="30" t="str">
        <f t="shared" si="3"/>
        <v>Group</v>
      </c>
    </row>
    <row r="67" spans="1:13" ht="16" customHeight="1" x14ac:dyDescent="0.25">
      <c r="A67" s="17" t="s">
        <v>311</v>
      </c>
      <c r="B67" s="4" t="s">
        <v>96</v>
      </c>
      <c r="E67" s="29" cm="1">
        <f t="array" aca="1" ref="E67" ca="1">IF(LEFT($A67,2)="IS",-SUMIFS(IncExcl,IncDocDate,"&lt;="&amp;$E$3,IncDocDate,"&gt;"&amp;$E$2,IncAccount,$A67)+SUMIFS(ExpExcl,ExpDocDate,"&lt;="&amp;$E$3,ExpDocDate,"&gt;"&amp;$E$2,ExpAccount,$A67),$C67-SUMIFS(IncExcl,IncDocDate,"&lt;="&amp;$E$3,IncDocDate,"&gt;"&amp;$C$3,IncAccount,$A67)+SUMIFS(ExpExcl,ExpDocDate,"&lt;="&amp;$E$3,ExpDocDate,"&gt;"&amp;$C$3,ExpAccount,$A67)+IF($A67="BS-1700",-SUMIFS(IncTax1,IncDocDate,"&lt;="&amp;$E$3,IncDocDate,"&gt;"&amp;$C$3)+SUMIFS(ExpTax1,ExpDocDate,"&lt;="&amp;$E$3,ExpDocDate,"&gt;"&amp;$C$3),0)+IF($A67="BS-1710",-IF(IncTaxCount=2,SUMIFS(IncTax2,IncDocDate,"&lt;="&amp;$E$3,IncDocDate,"&gt;"&amp;$C$3),0)+IF(ExpTaxCount=2,SUMIFS(ExpTax2,ExpDocDate,"&lt;="&amp;$E$3,ExpDocDate,"&gt;"&amp;$C$3),0),0))</f>
        <v>0</v>
      </c>
      <c r="F67" s="29">
        <f t="shared" ca="1" si="1"/>
        <v>0</v>
      </c>
      <c r="G67" s="29" cm="1">
        <f t="array" ref="G67">IF(LEFT($A67,2)="IS",-SUMIFS(IncExcl,IncDocDate,"&lt;="&amp;$G$3,IncDocDate,"&gt;"&amp;$G$2,IncAccount,$A67)+SUMIFS(ExpExcl,ExpDocDate,"&lt;="&amp;$G$3,ExpDocDate,"&gt;"&amp;$G$2,ExpAccount,$A67),$C67-SUMIFS(IncExcl,IncDocDate,"&lt;="&amp;$G$3,IncDocDate,"&gt;"&amp;$C$3,IncAccount,$A67)+SUMIFS(ExpExcl,ExpDocDate,"&lt;="&amp;$G$3,ExpDocDate,"&gt;"&amp;$C$3,ExpAccount,$A67)+IF($A67="BS-1700",-SUMIFS(IncTax1,IncDocDate,"&lt;="&amp;$G$3,IncDocDate,"&gt;"&amp;$C$3)+SUMIFS(ExpTax1,ExpDocDate,"&lt;="&amp;$G$3,ExpDocDate,"&gt;"&amp;$C$3),0)+IF($A67="BS-1710",-IF(IncTaxCount=2,SUMIFS(IncTax2,IncDocDate,"&lt;="&amp;$G$3,IncDocDate,"&gt;"&amp;$C$3),0)+IF(ExpTaxCount=2,SUMIFS(ExpTax2,ExpDocDate,"&lt;="&amp;$G$3,ExpDocDate,"&gt;"&amp;$C$3),0),0))</f>
        <v>0</v>
      </c>
      <c r="H67" s="30" t="str">
        <f t="shared" si="3"/>
        <v>Group</v>
      </c>
    </row>
    <row r="68" spans="1:13" ht="16" customHeight="1" x14ac:dyDescent="0.25">
      <c r="A68" s="17" t="s">
        <v>312</v>
      </c>
      <c r="B68" s="4" t="s">
        <v>239</v>
      </c>
      <c r="E68" s="29" cm="1">
        <f t="array" aca="1" ref="E68" ca="1">IF(LEFT($A68,2)="IS",-SUMIFS(IncExcl,IncDocDate,"&lt;="&amp;$E$3,IncDocDate,"&gt;"&amp;$E$2,IncAccount,$A68)+SUMIFS(ExpExcl,ExpDocDate,"&lt;="&amp;$E$3,ExpDocDate,"&gt;"&amp;$E$2,ExpAccount,$A68),$C68-SUMIFS(IncExcl,IncDocDate,"&lt;="&amp;$E$3,IncDocDate,"&gt;"&amp;$C$3,IncAccount,$A68)+SUMIFS(ExpExcl,ExpDocDate,"&lt;="&amp;$E$3,ExpDocDate,"&gt;"&amp;$C$3,ExpAccount,$A68)+IF($A68="BS-1700",-SUMIFS(IncTax1,IncDocDate,"&lt;="&amp;$E$3,IncDocDate,"&gt;"&amp;$C$3)+SUMIFS(ExpTax1,ExpDocDate,"&lt;="&amp;$E$3,ExpDocDate,"&gt;"&amp;$C$3),0)+IF($A68="BS-1710",-IF(IncTaxCount=2,SUMIFS(IncTax2,IncDocDate,"&lt;="&amp;$E$3,IncDocDate,"&gt;"&amp;$C$3),0)+IF(ExpTaxCount=2,SUMIFS(ExpTax2,ExpDocDate,"&lt;="&amp;$E$3,ExpDocDate,"&gt;"&amp;$C$3),0),0))</f>
        <v>0</v>
      </c>
      <c r="F68" s="29">
        <f t="shared" ca="1" si="1"/>
        <v>0</v>
      </c>
      <c r="G68" s="29" cm="1">
        <f t="array" ref="G68">IF(LEFT($A68,2)="IS",-SUMIFS(IncExcl,IncDocDate,"&lt;="&amp;$G$3,IncDocDate,"&gt;"&amp;$G$2,IncAccount,$A68)+SUMIFS(ExpExcl,ExpDocDate,"&lt;="&amp;$G$3,ExpDocDate,"&gt;"&amp;$G$2,ExpAccount,$A68),$C68-SUMIFS(IncExcl,IncDocDate,"&lt;="&amp;$G$3,IncDocDate,"&gt;"&amp;$C$3,IncAccount,$A68)+SUMIFS(ExpExcl,ExpDocDate,"&lt;="&amp;$G$3,ExpDocDate,"&gt;"&amp;$C$3,ExpAccount,$A68)+IF($A68="BS-1700",-SUMIFS(IncTax1,IncDocDate,"&lt;="&amp;$G$3,IncDocDate,"&gt;"&amp;$C$3)+SUMIFS(ExpTax1,ExpDocDate,"&lt;="&amp;$G$3,ExpDocDate,"&gt;"&amp;$C$3),0)+IF($A68="BS-1710",-IF(IncTaxCount=2,SUMIFS(IncTax2,IncDocDate,"&lt;="&amp;$G$3,IncDocDate,"&gt;"&amp;$C$3),0)+IF(ExpTaxCount=2,SUMIFS(ExpTax2,ExpDocDate,"&lt;="&amp;$G$3,ExpDocDate,"&gt;"&amp;$C$3),0),0))</f>
        <v>0</v>
      </c>
      <c r="H68" s="30" t="str">
        <f t="shared" si="3"/>
        <v>Group</v>
      </c>
    </row>
    <row r="69" spans="1:13" ht="16" customHeight="1" x14ac:dyDescent="0.25">
      <c r="A69" s="17" t="s">
        <v>313</v>
      </c>
      <c r="B69" s="4" t="s">
        <v>240</v>
      </c>
      <c r="E69" s="29" cm="1">
        <f t="array" aca="1" ref="E69" ca="1">IF(LEFT($A69,2)="IS",-SUMIFS(IncExcl,IncDocDate,"&lt;="&amp;$E$3,IncDocDate,"&gt;"&amp;$E$2,IncAccount,$A69)+SUMIFS(ExpExcl,ExpDocDate,"&lt;="&amp;$E$3,ExpDocDate,"&gt;"&amp;$E$2,ExpAccount,$A69),$C69-SUMIFS(IncExcl,IncDocDate,"&lt;="&amp;$E$3,IncDocDate,"&gt;"&amp;$C$3,IncAccount,$A69)+SUMIFS(ExpExcl,ExpDocDate,"&lt;="&amp;$E$3,ExpDocDate,"&gt;"&amp;$C$3,ExpAccount,$A69)+IF($A69="BS-1700",-SUMIFS(IncTax1,IncDocDate,"&lt;="&amp;$E$3,IncDocDate,"&gt;"&amp;$C$3)+SUMIFS(ExpTax1,ExpDocDate,"&lt;="&amp;$E$3,ExpDocDate,"&gt;"&amp;$C$3),0)+IF($A69="BS-1710",-IF(IncTaxCount=2,SUMIFS(IncTax2,IncDocDate,"&lt;="&amp;$E$3,IncDocDate,"&gt;"&amp;$C$3),0)+IF(ExpTaxCount=2,SUMIFS(ExpTax2,ExpDocDate,"&lt;="&amp;$E$3,ExpDocDate,"&gt;"&amp;$C$3),0),0))</f>
        <v>0</v>
      </c>
      <c r="F69" s="29">
        <f t="shared" ca="1" si="1"/>
        <v>0</v>
      </c>
      <c r="G69" s="29" cm="1">
        <f t="array" ref="G69">IF(LEFT($A69,2)="IS",-SUMIFS(IncExcl,IncDocDate,"&lt;="&amp;$G$3,IncDocDate,"&gt;"&amp;$G$2,IncAccount,$A69)+SUMIFS(ExpExcl,ExpDocDate,"&lt;="&amp;$G$3,ExpDocDate,"&gt;"&amp;$G$2,ExpAccount,$A69),$C69-SUMIFS(IncExcl,IncDocDate,"&lt;="&amp;$G$3,IncDocDate,"&gt;"&amp;$C$3,IncAccount,$A69)+SUMIFS(ExpExcl,ExpDocDate,"&lt;="&amp;$G$3,ExpDocDate,"&gt;"&amp;$C$3,ExpAccount,$A69)+IF($A69="BS-1700",-SUMIFS(IncTax1,IncDocDate,"&lt;="&amp;$G$3,IncDocDate,"&gt;"&amp;$C$3)+SUMIFS(ExpTax1,ExpDocDate,"&lt;="&amp;$G$3,ExpDocDate,"&gt;"&amp;$C$3),0)+IF($A69="BS-1710",-IF(IncTaxCount=2,SUMIFS(IncTax2,IncDocDate,"&lt;="&amp;$G$3,IncDocDate,"&gt;"&amp;$C$3),0)+IF(ExpTaxCount=2,SUMIFS(ExpTax2,ExpDocDate,"&lt;="&amp;$G$3,ExpDocDate,"&gt;"&amp;$C$3),0),0))</f>
        <v>0</v>
      </c>
      <c r="H69" s="30" t="str">
        <f t="shared" si="3"/>
        <v>Group</v>
      </c>
    </row>
    <row r="70" spans="1:13" ht="16" customHeight="1" x14ac:dyDescent="0.25">
      <c r="A70" s="17" t="s">
        <v>314</v>
      </c>
      <c r="B70" s="4" t="s">
        <v>67</v>
      </c>
      <c r="E70" s="29" cm="1">
        <f t="array" aca="1" ref="E70" ca="1">IF(LEFT($A70,2)="IS",-SUMIFS(IncExcl,IncDocDate,"&lt;="&amp;$E$3,IncDocDate,"&gt;"&amp;$E$2,IncAccount,$A70)+SUMIFS(ExpExcl,ExpDocDate,"&lt;="&amp;$E$3,ExpDocDate,"&gt;"&amp;$E$2,ExpAccount,$A70),$C70-SUMIFS(IncExcl,IncDocDate,"&lt;="&amp;$E$3,IncDocDate,"&gt;"&amp;$C$3,IncAccount,$A70)+SUMIFS(ExpExcl,ExpDocDate,"&lt;="&amp;$E$3,ExpDocDate,"&gt;"&amp;$C$3,ExpAccount,$A70)+IF($A70="BS-1700",-SUMIFS(IncTax1,IncDocDate,"&lt;="&amp;$E$3,IncDocDate,"&gt;"&amp;$C$3)+SUMIFS(ExpTax1,ExpDocDate,"&lt;="&amp;$E$3,ExpDocDate,"&gt;"&amp;$C$3),0)+IF($A70="BS-1710",-IF(IncTaxCount=2,SUMIFS(IncTax2,IncDocDate,"&lt;="&amp;$E$3,IncDocDate,"&gt;"&amp;$C$3),0)+IF(ExpTaxCount=2,SUMIFS(ExpTax2,ExpDocDate,"&lt;="&amp;$E$3,ExpDocDate,"&gt;"&amp;$C$3),0),0))</f>
        <v>0</v>
      </c>
      <c r="F70" s="29">
        <f t="shared" ca="1" si="1"/>
        <v>-1929.8500000000001</v>
      </c>
      <c r="G70" s="29" cm="1">
        <f t="array" aca="1" ref="G70" ca="1">IF(LEFT($A70,2)="IS",-SUMIFS(IncExcl,IncDocDate,"&lt;="&amp;$G$3,IncDocDate,"&gt;"&amp;$G$2,IncAccount,$A70)+SUMIFS(ExpExcl,ExpDocDate,"&lt;="&amp;$G$3,ExpDocDate,"&gt;"&amp;$G$2,ExpAccount,$A70),$C70-SUMIFS(IncExcl,IncDocDate,"&lt;="&amp;$G$3,IncDocDate,"&gt;"&amp;$C$3,IncAccount,$A70)+SUMIFS(ExpExcl,ExpDocDate,"&lt;="&amp;$G$3,ExpDocDate,"&gt;"&amp;$C$3,ExpAccount,$A70)+IF($A70="BS-1700",-SUMIFS(IncTax1,IncDocDate,"&lt;="&amp;$G$3,IncDocDate,"&gt;"&amp;$C$3)+SUMIFS(ExpTax1,ExpDocDate,"&lt;="&amp;$G$3,ExpDocDate,"&gt;"&amp;$C$3),0)+IF($A70="BS-1710",-IF(IncTaxCount=2,SUMIFS(IncTax2,IncDocDate,"&lt;="&amp;$G$3,IncDocDate,"&gt;"&amp;$C$3),0)+IF(ExpTaxCount=2,SUMIFS(ExpTax2,ExpDocDate,"&lt;="&amp;$G$3,ExpDocDate,"&gt;"&amp;$C$3),0),0))</f>
        <v>-1929.8500000000001</v>
      </c>
      <c r="H70" s="30" t="str">
        <f t="shared" si="3"/>
        <v>Group</v>
      </c>
    </row>
    <row r="71" spans="1:13" ht="16" customHeight="1" x14ac:dyDescent="0.25">
      <c r="A71" s="17" t="s">
        <v>315</v>
      </c>
      <c r="B71" s="4" t="s">
        <v>238</v>
      </c>
      <c r="E71" s="29" cm="1">
        <f t="array" aca="1" ref="E71" ca="1">IF(LEFT($A71,2)="IS",-SUMIFS(IncExcl,IncDocDate,"&lt;="&amp;$E$3,IncDocDate,"&gt;"&amp;$E$2,IncAccount,$A71)+SUMIFS(ExpExcl,ExpDocDate,"&lt;="&amp;$E$3,ExpDocDate,"&gt;"&amp;$E$2,ExpAccount,$A71),$C71-SUMIFS(IncExcl,IncDocDate,"&lt;="&amp;$E$3,IncDocDate,"&gt;"&amp;$C$3,IncAccount,$A71)+SUMIFS(ExpExcl,ExpDocDate,"&lt;="&amp;$E$3,ExpDocDate,"&gt;"&amp;$C$3,ExpAccount,$A71)+IF($A71="BS-1700",-SUMIFS(IncTax1,IncDocDate,"&lt;="&amp;$E$3,IncDocDate,"&gt;"&amp;$C$3)+SUMIFS(ExpTax1,ExpDocDate,"&lt;="&amp;$E$3,ExpDocDate,"&gt;"&amp;$C$3),0)+IF($A71="BS-1710",-IF(IncTaxCount=2,SUMIFS(IncTax2,IncDocDate,"&lt;="&amp;$E$3,IncDocDate,"&gt;"&amp;$C$3),0)+IF(ExpTaxCount=2,SUMIFS(ExpTax2,ExpDocDate,"&lt;="&amp;$E$3,ExpDocDate,"&gt;"&amp;$C$3),0),0))</f>
        <v>0</v>
      </c>
      <c r="F71" s="29">
        <f t="shared" ref="F71" ca="1" si="4">G71-E71</f>
        <v>50000</v>
      </c>
      <c r="G71" s="29" cm="1">
        <f t="array" aca="1" ref="G71" ca="1">IF(LEFT($A71,2)="IS",-SUMIFS(IncExcl,IncDocDate,"&lt;="&amp;$G$3,IncDocDate,"&gt;"&amp;$G$2,IncAccount,$A71)+SUMIFS(ExpExcl,ExpDocDate,"&lt;="&amp;$G$3,ExpDocDate,"&gt;"&amp;$G$2,ExpAccount,$A71),$C71-SUMIFS(IncExcl,IncDocDate,"&lt;="&amp;$G$3,IncDocDate,"&gt;"&amp;$C$3,IncAccount,$A71)+SUMIFS(ExpExcl,ExpDocDate,"&lt;="&amp;$G$3,ExpDocDate,"&gt;"&amp;$C$3,ExpAccount,$A71)+IF($A71="BS-1700",-SUMIFS(IncTax1,IncDocDate,"&lt;="&amp;$G$3,IncDocDate,"&gt;"&amp;$C$3)+SUMIFS(ExpTax1,ExpDocDate,"&lt;="&amp;$G$3,ExpDocDate,"&gt;"&amp;$C$3),0)+IF($A71="BS-1710",-IF(IncTaxCount=2,SUMIFS(IncTax2,IncDocDate,"&lt;="&amp;$G$3,IncDocDate,"&gt;"&amp;$C$3),0)+IF(ExpTaxCount=2,SUMIFS(ExpTax2,ExpDocDate,"&lt;="&amp;$G$3,ExpDocDate,"&gt;"&amp;$C$3),0),0))</f>
        <v>50000</v>
      </c>
      <c r="H71" s="30" t="str">
        <f t="shared" si="3"/>
        <v>Group</v>
      </c>
    </row>
    <row r="72" spans="1:13" s="47" customFormat="1" ht="16" customHeight="1" x14ac:dyDescent="0.25">
      <c r="A72" s="46" t="s">
        <v>587</v>
      </c>
      <c r="C72" s="48"/>
      <c r="E72" s="48"/>
      <c r="F72" s="48"/>
      <c r="G72" s="48"/>
      <c r="H72" s="49"/>
      <c r="J72" s="49"/>
    </row>
    <row r="73" spans="1:13" ht="16" customHeight="1" x14ac:dyDescent="0.25">
      <c r="J73" s="50"/>
    </row>
    <row r="74" spans="1:13" ht="16" customHeight="1" x14ac:dyDescent="0.25">
      <c r="A74" s="51" t="s">
        <v>101</v>
      </c>
      <c r="J74" s="30"/>
      <c r="K74" s="30"/>
      <c r="L74" s="30"/>
    </row>
    <row r="75" spans="1:13" ht="16" customHeight="1" x14ac:dyDescent="0.25">
      <c r="A75" s="17" t="str">
        <f ca="1">"BS-B"&amp;H75</f>
        <v>BS-BB1</v>
      </c>
      <c r="B75" s="4" t="str">
        <f ca="1">IF(ISNA(VLOOKUP($H75,BankAll,2,0))=TRUE,"Bank Account",VLOOKUP($H75,BankAll,2,0))</f>
        <v>B1 Bank Account</v>
      </c>
      <c r="C75" s="52">
        <f ca="1">SUMIFS(IncPayAmount,IncPayDate,"&lt;"&amp;Setup!$D$8,IncPayDate,"&lt;&gt;""",IncBank,$H75)-SUMIFS(ExpIncl,ExpPayDate,"&lt;"&amp;Setup!$D$8,ExpPayDate,"&lt;&gt;""",ExpBank,$H75)</f>
        <v>45250.5</v>
      </c>
      <c r="E75" s="29">
        <f ca="1">SUMIFS(IncPayAmount,IncPayDate,"&lt;="&amp;$E$3,IncPayDate,"&lt;&gt;""",IncBank,$H75)-SUMIFS(ExpIncl,ExpPayDate,"&lt;="&amp;$E$3,ExpPayDate,"&lt;&gt;""",ExpBank,$H75)</f>
        <v>45250.5</v>
      </c>
      <c r="F75" s="29">
        <f ca="1">G75-E75</f>
        <v>295326.44000000041</v>
      </c>
      <c r="G75" s="29">
        <f ca="1">SUMIFS(IncPayAmount,IncPayDate,"&lt;="&amp;$G$3,IncPayDate,"&lt;&gt;""",IncBank,$H75)-SUMIFS(ExpIncl,ExpPayDate,"&lt;="&amp;$G$3,ExpPayDate,"&lt;&gt;""",ExpBank,$H75)</f>
        <v>340576.94000000041</v>
      </c>
      <c r="H75" s="19" t="str">
        <f ca="1">OFFSET(Setup!$A$24,1+ROW($A75)-ROW($A$75),0,1,1)</f>
        <v>B1</v>
      </c>
      <c r="K75" s="50"/>
      <c r="L75" s="50"/>
      <c r="M75" s="50"/>
    </row>
    <row r="76" spans="1:13" ht="16" customHeight="1" x14ac:dyDescent="0.25">
      <c r="A76" s="17" t="str">
        <f t="shared" ref="A76" ca="1" si="5">"BS-B"&amp;H76</f>
        <v>BS-BB2</v>
      </c>
      <c r="B76" s="4" t="str">
        <f ca="1">IF(ISNA(VLOOKUP($H76,BankAll,2,0))=TRUE,"Bank Account",VLOOKUP($H76,BankAll,2,0))</f>
        <v>B2 Bank Account</v>
      </c>
      <c r="C76" s="52">
        <f ca="1">SUMIFS(IncPayAmount,IncPayDate,"&lt;"&amp;Setup!$D$8,IncPayDate,"&lt;&gt;""",IncBank,$H76)-SUMIFS(ExpIncl,ExpPayDate,"&lt;"&amp;Setup!$D$8,ExpPayDate,"&lt;&gt;""",ExpBank,$H76)</f>
        <v>61500</v>
      </c>
      <c r="E76" s="29">
        <f ca="1">SUMIFS(IncPayAmount,IncPayDate,"&lt;="&amp;$E$3,IncPayDate,"&lt;&gt;""",IncBank,$H76)-SUMIFS(ExpIncl,ExpPayDate,"&lt;="&amp;$E$3,ExpPayDate,"&lt;&gt;""",ExpBank,$H76)</f>
        <v>61500</v>
      </c>
      <c r="F76" s="29">
        <f t="shared" ref="F76" ca="1" si="6">G76-E76</f>
        <v>-26719.349999999977</v>
      </c>
      <c r="G76" s="29">
        <f ca="1">SUMIFS(IncPayAmount,IncPayDate,"&lt;="&amp;$G$3,IncPayDate,"&lt;&gt;""",IncBank,$H76)-SUMIFS(ExpIncl,ExpPayDate,"&lt;="&amp;$G$3,ExpPayDate,"&lt;&gt;""",ExpBank,$H76)</f>
        <v>34780.650000000023</v>
      </c>
      <c r="H76" s="19" t="str">
        <f ca="1">OFFSET(Setup!$A$24,1+ROW($A76)-ROW($A$75),0,1,1)</f>
        <v>B2</v>
      </c>
      <c r="K76" s="50"/>
      <c r="L76" s="50"/>
      <c r="M76" s="50"/>
    </row>
    <row r="77" spans="1:13" ht="16" customHeight="1" x14ac:dyDescent="0.25">
      <c r="A77" s="17" t="str">
        <f t="shared" ref="A77" ca="1" si="7">"BS-B"&amp;H77</f>
        <v>BS-BB3</v>
      </c>
      <c r="B77" s="4" t="str">
        <f ca="1">IF(ISNA(VLOOKUP($H77,BankAll,2,0))=TRUE,"Bank Account",VLOOKUP($H77,BankAll,2,0))</f>
        <v>B3 Bank Account</v>
      </c>
      <c r="C77" s="52">
        <f ca="1">SUMIFS(IncPayAmount,IncPayDate,"&lt;"&amp;Setup!$D$8,IncPayDate,"&lt;&gt;""",IncBank,$H77)-SUMIFS(ExpIncl,ExpPayDate,"&lt;"&amp;Setup!$D$8,ExpPayDate,"&lt;&gt;""",ExpBank,$H77)</f>
        <v>0</v>
      </c>
      <c r="E77" s="29">
        <f ca="1">SUMIFS(IncPayAmount,IncPayDate,"&lt;="&amp;$E$3,IncPayDate,"&lt;&gt;""",IncBank,$H77)-SUMIFS(ExpIncl,ExpPayDate,"&lt;="&amp;$E$3,ExpPayDate,"&lt;&gt;""",ExpBank,$H77)</f>
        <v>0</v>
      </c>
      <c r="F77" s="29">
        <f t="shared" ref="F77" ca="1" si="8">G77-E77</f>
        <v>9457</v>
      </c>
      <c r="G77" s="29">
        <f ca="1">SUMIFS(IncPayAmount,IncPayDate,"&lt;="&amp;$G$3,IncPayDate,"&lt;&gt;""",IncBank,$H77)-SUMIFS(ExpIncl,ExpPayDate,"&lt;="&amp;$G$3,ExpPayDate,"&lt;&gt;""",ExpBank,$H77)</f>
        <v>9457</v>
      </c>
      <c r="H77" s="19" t="str">
        <f ca="1">OFFSET(Setup!$A$24,1+ROW($A77)-ROW($A$75),0,1,1)</f>
        <v>B3</v>
      </c>
      <c r="K77" s="50"/>
      <c r="L77" s="50"/>
      <c r="M77" s="50"/>
    </row>
    <row r="78" spans="1:13" ht="16" customHeight="1" x14ac:dyDescent="0.25">
      <c r="A78" s="17" t="str">
        <f t="shared" ref="A78" ca="1" si="9">"BS-B"&amp;H78</f>
        <v>BS-BPC</v>
      </c>
      <c r="B78" s="4" t="str">
        <f ca="1">IF(ISNA(VLOOKUP($H78,BankAll,2,0))=TRUE,"Bank Account",VLOOKUP($H78,BankAll,2,0))</f>
        <v>PC Petty Cash</v>
      </c>
      <c r="C78" s="52">
        <f ca="1">SUMIFS(IncPayAmount,IncPayDate,"&lt;"&amp;Setup!$D$8,IncPayDate,"&lt;&gt;""",IncBank,$H78)-SUMIFS(ExpIncl,ExpPayDate,"&lt;"&amp;Setup!$D$8,ExpPayDate,"&lt;&gt;""",ExpBank,$H78)</f>
        <v>1000</v>
      </c>
      <c r="E78" s="29">
        <f ca="1">SUMIFS(IncPayAmount,IncPayDate,"&lt;="&amp;$E$3,IncPayDate,"&lt;&gt;""",IncBank,$H78)-SUMIFS(ExpIncl,ExpPayDate,"&lt;="&amp;$E$3,ExpPayDate,"&lt;&gt;""",ExpBank,$H78)</f>
        <v>1000</v>
      </c>
      <c r="F78" s="29">
        <f t="shared" ref="F78" ca="1" si="10">G78-E78</f>
        <v>-5</v>
      </c>
      <c r="G78" s="29">
        <f ca="1">SUMIFS(IncPayAmount,IncPayDate,"&lt;="&amp;$G$3,IncPayDate,"&lt;&gt;""",IncBank,$H78)-SUMIFS(ExpIncl,ExpPayDate,"&lt;="&amp;$G$3,ExpPayDate,"&lt;&gt;""",ExpBank,$H78)</f>
        <v>995</v>
      </c>
      <c r="H78" s="19" t="str">
        <f ca="1">OFFSET(Setup!$A$24,1+ROW($A78)-ROW($A$75),0,1,1)</f>
        <v>PC</v>
      </c>
      <c r="K78" s="50"/>
      <c r="L78" s="50"/>
      <c r="M78" s="50"/>
    </row>
    <row r="79" spans="1:13" ht="16" customHeight="1" x14ac:dyDescent="0.25">
      <c r="A79" s="17" t="str">
        <f t="shared" ref="A79" ca="1" si="11">"BS-B"&amp;H79</f>
        <v>BS-BJC</v>
      </c>
      <c r="B79" s="4" t="str">
        <f ca="1">IF(ISNA(VLOOKUP($H79,BankAll,2,0))=TRUE,"Bank Account",VLOOKUP($H79,BankAll,2,0))</f>
        <v>GL Journal Control</v>
      </c>
      <c r="C79" s="52">
        <f ca="1">SUMIFS(IncPayAmount,IncPayDate,"&lt;"&amp;Setup!$D$8,IncPayDate,"&lt;&gt;""",IncBank,$H79)-SUMIFS(ExpIncl,ExpPayDate,"&lt;"&amp;Setup!$D$8,ExpPayDate,"&lt;&gt;""",ExpBank,$H79)</f>
        <v>0</v>
      </c>
      <c r="E79" s="29">
        <f ca="1">SUMIFS(IncPayAmount,IncPayDate,"&lt;="&amp;$E$3,IncPayDate,"&lt;&gt;""",IncBank,$H79)-SUMIFS(ExpIncl,ExpPayDate,"&lt;="&amp;$E$3,ExpPayDate,"&lt;&gt;""",ExpBank,$H79)</f>
        <v>0</v>
      </c>
      <c r="F79" s="29">
        <f t="shared" ref="F79" ca="1" si="12">G79-E79</f>
        <v>0</v>
      </c>
      <c r="G79" s="29">
        <f ca="1">SUMIFS(IncPayAmount,IncPayDate,"&lt;="&amp;$G$3,IncPayDate,"&lt;&gt;""",IncBank,$H79)-SUMIFS(ExpIncl,ExpPayDate,"&lt;="&amp;$G$3,ExpPayDate,"&lt;&gt;""",ExpBank,$H79)</f>
        <v>0</v>
      </c>
      <c r="H79" s="19" t="str">
        <f ca="1">OFFSET(Setup!$A$24,1+ROW($A79)-ROW($A$75),0,1,1)</f>
        <v>JC</v>
      </c>
      <c r="K79" s="50"/>
      <c r="L79" s="50"/>
      <c r="M79" s="50"/>
    </row>
    <row r="80" spans="1:13" ht="16" customHeight="1" x14ac:dyDescent="0.25">
      <c r="A80" s="17" t="s">
        <v>267</v>
      </c>
      <c r="B80" s="4" t="s">
        <v>106</v>
      </c>
      <c r="C80" s="52">
        <f ca="1">SUMIFS(IncIncl,IncDocDate,"&lt;"&amp;Setup!$D$8)-SUMIFS(IncPayAmount,IncDocDate,"&lt;"&amp;Setup!$D$8,IncPayDate,"&lt;"&amp;Setup!$D$8)</f>
        <v>146376</v>
      </c>
      <c r="E80" s="29">
        <f ca="1">SUMIFS(IncIncl,IncDocDate,"&lt;="&amp;$E$3)-SUMIFS(IncPayAmount,IncDocDate,"&lt;="&amp;$E$3,IncPayDate,"&lt;="&amp;$E$3)</f>
        <v>146376</v>
      </c>
      <c r="F80" s="29">
        <f ca="1">G80-E80</f>
        <v>-53316</v>
      </c>
      <c r="G80" s="29">
        <f>SUMIFS(IncIncl,IncDocDate,"&lt;="&amp;$G$3)-SUMIFS(IncPayAmount,IncDocDate,"&lt;="&amp;$G$3,IncPayDate,"&lt;="&amp;$G$3)</f>
        <v>93060</v>
      </c>
      <c r="K80" s="30"/>
      <c r="L80" s="30"/>
      <c r="M80" s="30"/>
    </row>
    <row r="81" spans="1:10" ht="16" customHeight="1" x14ac:dyDescent="0.25">
      <c r="A81" s="17" t="s">
        <v>272</v>
      </c>
      <c r="B81" s="4" t="s">
        <v>107</v>
      </c>
      <c r="C81" s="52">
        <f ca="1">-SUMIFS(ExpIncl,ExpDocDate,"&lt;"&amp;Setup!$D$8,ExpPayDate,"&gt;="&amp;Setup!$D$8)-SUMIFS(ExpIncl,ExpDocDate,"&lt;"&amp;Setup!$D$8,ExpPayDate,"")</f>
        <v>-45153</v>
      </c>
      <c r="E81" s="29">
        <f ca="1">-SUMIFS(ExpIncl,ExpDocDate,"&lt;="&amp;$E$3,ExpPayDate,"&gt;"&amp;$E$3)-SUMIFS(ExpIncl,ExpDocDate,"&lt;="&amp;$E$3,ExpPayDate,"")</f>
        <v>-45153</v>
      </c>
      <c r="F81" s="29">
        <f ca="1">G81-E81</f>
        <v>-15886</v>
      </c>
      <c r="G81" s="29">
        <f>-SUMIFS(ExpIncl,ExpDocDate,"&lt;="&amp;$G$3,ExpPayDate,"&gt;"&amp;$G$3)-SUMIFS(ExpIncl,ExpDocDate,"&lt;="&amp;$G$3,ExpPayDate,"")</f>
        <v>-61039</v>
      </c>
    </row>
    <row r="82" spans="1:10" ht="16" customHeight="1" x14ac:dyDescent="0.25">
      <c r="A82" s="17" t="s">
        <v>273</v>
      </c>
      <c r="B82" s="4" t="s">
        <v>97</v>
      </c>
      <c r="C82" s="45">
        <v>-432643.5</v>
      </c>
      <c r="E82" s="29">
        <f ca="1">$C$82-SUMIFS(IncExcl,IncDocDate,"&lt;="&amp;$E$2,IncDocDate,"&gt;"&amp;$C$3,IncAccount,"&gt;=IS-0000",IncAccount,"&lt;=IS-9999")+SUMIFS(ExpExcl,ExpDocDate,"&lt;="&amp;$E$2,ExpDocDate,"&gt;"&amp;$C$3,ExpAccount,"&gt;=IS-0000",ExpAccount,"&lt;=IS-9999")</f>
        <v>-432643.5</v>
      </c>
      <c r="F82" s="29">
        <f ca="1">G82-E82</f>
        <v>0</v>
      </c>
      <c r="G82" s="29">
        <f ca="1">$C$82-SUMIFS(IncExcl,IncDocDate,"&lt;="&amp;$G$2,IncDocDate,"&gt;"&amp;$C$3,IncAccount,"&gt;=IS-0000",IncAccount,"&lt;=IS-9999")+SUMIFS(ExpExcl,ExpDocDate,"&lt;="&amp;$G$2,ExpDocDate,"&gt;"&amp;$C$3,ExpAccount,"&gt;=IS-0000",ExpAccount,"&lt;=IS-9999")</f>
        <v>-432643.5</v>
      </c>
      <c r="I82" s="53"/>
      <c r="J82" s="53"/>
    </row>
    <row r="84" spans="1:10" s="55" customFormat="1" ht="16" customHeight="1" thickBot="1" x14ac:dyDescent="0.3">
      <c r="A84" s="54"/>
      <c r="C84" s="56">
        <f ca="1">ROUND(SUM(C5:C83),2)</f>
        <v>0</v>
      </c>
      <c r="E84" s="56">
        <f ca="1">ROUND(SUM(E5:E83),2)</f>
        <v>0</v>
      </c>
      <c r="F84" s="56">
        <f ca="1">ROUND(SUM(F5:F83),2)</f>
        <v>0</v>
      </c>
      <c r="G84" s="56">
        <f ca="1">ROUND(SUM(G5:G83),2)</f>
        <v>0</v>
      </c>
      <c r="H84" s="57"/>
    </row>
    <row r="86" spans="1:10" ht="16" customHeight="1" x14ac:dyDescent="0.25">
      <c r="A86" s="51" t="s">
        <v>434</v>
      </c>
      <c r="B86" s="51"/>
      <c r="C86" s="58"/>
    </row>
    <row r="87" spans="1:10" ht="16" customHeight="1" x14ac:dyDescent="0.25">
      <c r="A87" s="17" t="s">
        <v>435</v>
      </c>
      <c r="B87" s="17"/>
      <c r="C87" s="58"/>
    </row>
    <row r="88" spans="1:10" ht="16" customHeight="1" x14ac:dyDescent="0.25">
      <c r="A88" s="17" t="s">
        <v>436</v>
      </c>
      <c r="B88" s="17"/>
      <c r="C88" s="58"/>
    </row>
    <row r="89" spans="1:10" ht="16" customHeight="1" x14ac:dyDescent="0.25">
      <c r="A89" s="17" t="s">
        <v>437</v>
      </c>
      <c r="B89" s="17"/>
      <c r="C89" s="58"/>
    </row>
    <row r="90" spans="1:10" ht="16" customHeight="1" x14ac:dyDescent="0.25">
      <c r="A90" s="17" t="s">
        <v>438</v>
      </c>
    </row>
    <row r="91" spans="1:10" ht="16" customHeight="1" x14ac:dyDescent="0.25">
      <c r="A91" s="17" t="s">
        <v>439</v>
      </c>
    </row>
    <row r="92" spans="1:10" ht="16" customHeight="1" x14ac:dyDescent="0.25">
      <c r="A92" s="17" t="s">
        <v>440</v>
      </c>
    </row>
    <row r="93" spans="1:10" ht="16" customHeight="1" x14ac:dyDescent="0.25">
      <c r="A93" s="17" t="s">
        <v>473</v>
      </c>
    </row>
  </sheetData>
  <phoneticPr fontId="2" type="noConversion"/>
  <conditionalFormatting sqref="G3">
    <cfRule type="expression" dxfId="51" priority="5" stopIfTrue="1">
      <formula>ISNA(MATCH(G3,Months,0))</formula>
    </cfRule>
  </conditionalFormatting>
  <conditionalFormatting sqref="A4:A35 A37:A72">
    <cfRule type="expression" dxfId="50" priority="2">
      <formula>OR($H4="Error!",$H4="Double!")</formula>
    </cfRule>
  </conditionalFormatting>
  <conditionalFormatting sqref="A36">
    <cfRule type="expression" dxfId="49" priority="1">
      <formula>OR($H36="Error!",$H36="Double!")</formula>
    </cfRule>
  </conditionalFormatting>
  <dataValidations count="1">
    <dataValidation type="list" allowBlank="1" showInputMessage="1" showErrorMessage="1" errorTitle="Invalid Month" error="Select one of the reporting periods from the list box." sqref="G3" xr:uid="{00000000-0002-0000-0600-000000000000}">
      <formula1>Months</formula1>
    </dataValidation>
  </dataValidations>
  <pageMargins left="0.59055118110236227" right="0.59055118110236227" top="0.59055118110236227" bottom="0.59055118110236227" header="0.39370078740157483" footer="0.39370078740157483"/>
  <pageSetup paperSize="9" scale="62" orientation="portrait" r:id="rId1"/>
  <headerFooter alignWithMargins="0">
    <oddFooter>Page &amp;P of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S79"/>
  <sheetViews>
    <sheetView zoomScale="95" zoomScaleNormal="95" workbookViewId="0">
      <pane ySplit="4" topLeftCell="A5" activePane="bottomLeft" state="frozen"/>
      <selection pane="bottomLeft" activeCell="A4" sqref="A4"/>
    </sheetView>
  </sheetViews>
  <sheetFormatPr defaultColWidth="9.08984375" defaultRowHeight="16" customHeight="1" x14ac:dyDescent="0.25"/>
  <cols>
    <col min="1" max="1" width="11.6328125" style="17" customWidth="1"/>
    <col min="2" max="2" width="11.6328125" style="10" customWidth="1"/>
    <col min="3" max="3" width="25.6328125" style="17" customWidth="1"/>
    <col min="4" max="4" width="25.6328125" style="4" customWidth="1"/>
    <col min="5" max="5" width="15.81640625" style="29" customWidth="1"/>
    <col min="6" max="7" width="8.81640625" style="63" customWidth="1"/>
    <col min="8" max="8" width="8.6328125" style="63" customWidth="1"/>
    <col min="9" max="9" width="14.6328125" style="30" customWidth="1"/>
    <col min="10" max="10" width="15.81640625" style="63" customWidth="1"/>
    <col min="11" max="11" width="11.6328125" style="10" customWidth="1"/>
    <col min="12" max="12" width="15.81640625" style="63" customWidth="1"/>
    <col min="13" max="16" width="15.81640625" style="29" customWidth="1"/>
    <col min="17" max="17" width="7.6328125" style="63" customWidth="1"/>
    <col min="18" max="18" width="8.6328125" style="30" customWidth="1"/>
    <col min="19" max="19" width="12.6328125" style="4" customWidth="1"/>
    <col min="20" max="16384" width="9.08984375" style="4"/>
  </cols>
  <sheetData>
    <row r="1" spans="1:19" ht="16" customHeight="1" x14ac:dyDescent="0.3">
      <c r="A1" s="25" t="str">
        <f>IF(ISBLANK(Setup!$C$4),"Example Limited",Setup!$C$4)</f>
        <v>Example (Pty) Limited</v>
      </c>
      <c r="B1" s="59"/>
      <c r="F1" s="4"/>
      <c r="G1" s="4"/>
      <c r="H1" s="4"/>
      <c r="I1" s="4"/>
      <c r="J1" s="29"/>
      <c r="K1" s="60"/>
      <c r="L1" s="61" t="s">
        <v>422</v>
      </c>
      <c r="M1" s="62"/>
    </row>
    <row r="2" spans="1:19" ht="16" customHeight="1" x14ac:dyDescent="0.25">
      <c r="A2" s="23" t="s">
        <v>675</v>
      </c>
      <c r="B2" s="64"/>
      <c r="F2" s="4"/>
      <c r="G2" s="4"/>
      <c r="H2" s="4"/>
      <c r="I2" s="4"/>
      <c r="J2" s="29"/>
      <c r="K2" s="60"/>
      <c r="L2" s="65">
        <v>44255</v>
      </c>
      <c r="M2" s="32">
        <f ca="1">IF(ISBLANK(L2),TODAY(),L2)</f>
        <v>44255</v>
      </c>
    </row>
    <row r="3" spans="1:19" s="6" customFormat="1" ht="16" customHeight="1" x14ac:dyDescent="0.25">
      <c r="A3" s="7" t="s">
        <v>350</v>
      </c>
      <c r="B3" s="64"/>
      <c r="C3" s="23"/>
      <c r="E3" s="66">
        <f>SUBTOTAL(109,Income[[#Data],[Tax Inclusive Amount]])</f>
        <v>2503207.9499999997</v>
      </c>
      <c r="F3" s="67"/>
      <c r="G3" s="67"/>
      <c r="H3" s="67"/>
      <c r="I3" s="8"/>
      <c r="J3" s="66">
        <f>SUBTOTAL(109,Income[[#Data],[Payment Amount]])</f>
        <v>2471297.9499999997</v>
      </c>
      <c r="K3" s="64"/>
      <c r="L3" s="66">
        <f ca="1">SUBTOTAL(109,Income[[#Data],[Outstanding Balance]])</f>
        <v>93060</v>
      </c>
      <c r="M3" s="66">
        <f ca="1">SUBTOTAL(109,Income[[#Data],[Exclusive Amount]])</f>
        <v>2226447.1760869562</v>
      </c>
      <c r="N3" s="66">
        <f ca="1">SUBTOTAL(109,Income[[#Data],[Sales Tax 1 Amount]])</f>
        <v>276760.77391304349</v>
      </c>
      <c r="O3" s="66">
        <f ca="1">SUBTOTAL(109,Income[[#Data],[Sales Tax 2 Amount]])</f>
        <v>0</v>
      </c>
      <c r="P3" s="66">
        <f>SUBTOTAL(109,Income[[#Data],[Inclusive Amount]])</f>
        <v>2503207.9499999997</v>
      </c>
      <c r="Q3" s="66"/>
      <c r="R3" s="8"/>
    </row>
    <row r="4" spans="1:19" s="74" customFormat="1" ht="25" x14ac:dyDescent="0.25">
      <c r="A4" s="68" t="s">
        <v>90</v>
      </c>
      <c r="B4" s="203" t="s">
        <v>88</v>
      </c>
      <c r="C4" s="68" t="s">
        <v>89</v>
      </c>
      <c r="D4" s="70" t="s">
        <v>61</v>
      </c>
      <c r="E4" s="71" t="s">
        <v>92</v>
      </c>
      <c r="F4" s="71" t="s">
        <v>718</v>
      </c>
      <c r="G4" s="71" t="s">
        <v>719</v>
      </c>
      <c r="H4" s="71" t="s">
        <v>161</v>
      </c>
      <c r="I4" s="69" t="s">
        <v>472</v>
      </c>
      <c r="J4" s="71" t="s">
        <v>420</v>
      </c>
      <c r="K4" s="203" t="s">
        <v>91</v>
      </c>
      <c r="L4" s="72" t="s">
        <v>421</v>
      </c>
      <c r="M4" s="73" t="s">
        <v>94</v>
      </c>
      <c r="N4" s="73" t="s">
        <v>716</v>
      </c>
      <c r="O4" s="73" t="s">
        <v>717</v>
      </c>
      <c r="P4" s="73" t="s">
        <v>129</v>
      </c>
      <c r="Q4" s="73" t="s">
        <v>423</v>
      </c>
      <c r="R4" s="73" t="s">
        <v>162</v>
      </c>
    </row>
    <row r="5" spans="1:19" ht="16" customHeight="1" x14ac:dyDescent="0.25">
      <c r="A5" s="17" t="s">
        <v>442</v>
      </c>
      <c r="B5" s="10">
        <v>43871</v>
      </c>
      <c r="C5" s="17" t="s">
        <v>132</v>
      </c>
      <c r="D5" s="4" t="s">
        <v>475</v>
      </c>
      <c r="E5" s="29">
        <v>35796</v>
      </c>
      <c r="F5" s="63" t="s">
        <v>93</v>
      </c>
      <c r="G5" s="63" t="s">
        <v>108</v>
      </c>
      <c r="H5" s="63" t="s">
        <v>145</v>
      </c>
      <c r="I5" s="30" t="s">
        <v>275</v>
      </c>
      <c r="J5" s="63">
        <v>35796</v>
      </c>
      <c r="K5" s="10">
        <v>43891</v>
      </c>
      <c r="L5" s="63" cm="1">
        <f t="array" aca="1" ref="L5" ca="1">IF($Q5="N",0,SUMIFS(IncIncl,IncDocDate,"&lt;="&amp;$M$2,IncInvoice,$A5)-SUMIFS(IncPayAmount,IncDocDate,"&lt;="&amp;$M$2,IncPayDate,"&lt;="&amp;$M$2,IncInvoice,$A5))</f>
        <v>0</v>
      </c>
      <c r="M5" s="29" cm="1">
        <f t="array" aca="1" ref="M5" ca="1">P5-IF(IncTaxCount=2,SUM($N5:$O5),$N5:$N5)</f>
        <v>31126.956521739128</v>
      </c>
      <c r="N5" s="29">
        <f ca="1">$P5/(1+IF(ISERROR($F5),0,IF(ISNA(MATCH($F5,TaxCode,0)),0,OFFSET(Setup!$D$15,MATCH($F5,TaxCode,0),0,1,1)))+IF(ISERROR($G5),0,IF(ISNA(MATCH($G5,TaxCode,0)),0,OFFSET(Setup!$D$15,MATCH($G5,TaxCode,0),0,1,1))))*IF(ISERROR($F5),0,IF(ISNA(MATCH($F5,TaxCode,0)),0,OFFSET(Setup!$D$15,MATCH($F5,TaxCode,0),0,1,1)))</f>
        <v>4669.04347826087</v>
      </c>
      <c r="O5" s="29">
        <f ca="1">$P5/(1+IF(ISERROR($F5),0,IF(ISNA(MATCH($F5,TaxCode,0)),0,OFFSET(Setup!$D$15,MATCH($F5,TaxCode,0),0,1,1)))+IF(ISERROR($G5),0,IF(ISNA(MATCH($G5,TaxCode,0)),0,OFFSET(Setup!$D$15,MATCH($G5,TaxCode,0),0,1,1))))*IF(ISERROR($G5),0,IF(ISNA(MATCH($G5,TaxCode,0)),0,OFFSET(Setup!$D$15,MATCH($G5,TaxCode,0),0,1,1)))</f>
        <v>0</v>
      </c>
      <c r="P5" s="29">
        <f t="shared" ref="P5:P36" si="0">E5</f>
        <v>35796</v>
      </c>
      <c r="Q5" s="63" t="str">
        <f t="shared" ref="Q5:Q36" si="1">IF(ISNA(MATCH($A5,IncInvoice,0)),"N",IF(MATCH($A5,IncInvoice,0)=ROW($A5)-4,"Y","N"))</f>
        <v>Y</v>
      </c>
      <c r="R5" s="63" t="str">
        <f t="shared" ref="R5:R36" ca="1" si="2">IF(AND(ISBLANK(K5)=FALSE,K5&lt;B5),"E1",IF(AND(ISBLANK(I5)=FALSE,ISNA(MATCH($I5,AccountNo,0))),"E2",IF(AND(ISBLANK(H5)=FALSE,ISNA(MATCH($H5,BankCode,0))),"E3","-")))</f>
        <v>-</v>
      </c>
    </row>
    <row r="6" spans="1:19" ht="16" customHeight="1" x14ac:dyDescent="0.25">
      <c r="A6" s="17" t="s">
        <v>443</v>
      </c>
      <c r="B6" s="10">
        <v>43879</v>
      </c>
      <c r="C6" s="17" t="s">
        <v>137</v>
      </c>
      <c r="D6" s="4" t="s">
        <v>475</v>
      </c>
      <c r="E6" s="29">
        <v>110579.99999999999</v>
      </c>
      <c r="F6" s="63" t="s">
        <v>93</v>
      </c>
      <c r="G6" s="63" t="s">
        <v>108</v>
      </c>
      <c r="H6" s="63" t="s">
        <v>145</v>
      </c>
      <c r="I6" s="30" t="s">
        <v>275</v>
      </c>
      <c r="J6" s="63">
        <v>110579.99999999999</v>
      </c>
      <c r="K6" s="10">
        <v>43900</v>
      </c>
      <c r="L6" s="63" cm="1">
        <f t="array" aca="1" ref="L6" ca="1">IF($Q6="N",0,SUMIFS(IncIncl,IncDocDate,"&lt;="&amp;$M$2,IncInvoice,$A6)-SUMIFS(IncPayAmount,IncDocDate,"&lt;="&amp;$M$2,IncPayDate,"&lt;="&amp;$M$2,IncInvoice,$A6))</f>
        <v>0</v>
      </c>
      <c r="M6" s="29" cm="1">
        <f t="array" aca="1" ref="M6" ca="1">P6-IF(IncTaxCount=2,SUM($N6:$O6),$N6:$N6)</f>
        <v>96156.521739130418</v>
      </c>
      <c r="N6" s="29">
        <f ca="1">$P6/(1+IF(ISERROR($F6),0,IF(ISNA(MATCH($F6,TaxCode,0)),0,OFFSET(Setup!$D$15,MATCH($F6,TaxCode,0),0,1,1)))+IF(ISERROR($G6),0,IF(ISNA(MATCH($G6,TaxCode,0)),0,OFFSET(Setup!$D$15,MATCH($G6,TaxCode,0),0,1,1))))*IF(ISERROR($F6),0,IF(ISNA(MATCH($F6,TaxCode,0)),0,OFFSET(Setup!$D$15,MATCH($F6,TaxCode,0),0,1,1)))</f>
        <v>14423.478260869564</v>
      </c>
      <c r="O6" s="29">
        <f ca="1">$P6/(1+IF(ISERROR($F6),0,IF(ISNA(MATCH($F6,TaxCode,0)),0,OFFSET(Setup!$D$15,MATCH($F6,TaxCode,0),0,1,1)))+IF(ISERROR($G6),0,IF(ISNA(MATCH($G6,TaxCode,0)),0,OFFSET(Setup!$D$15,MATCH($G6,TaxCode,0),0,1,1))))*IF(ISERROR($G6),0,IF(ISNA(MATCH($G6,TaxCode,0)),0,OFFSET(Setup!$D$15,MATCH($G6,TaxCode,0),0,1,1)))</f>
        <v>0</v>
      </c>
      <c r="P6" s="29">
        <f t="shared" si="0"/>
        <v>110579.99999999999</v>
      </c>
      <c r="Q6" s="63" t="str">
        <f t="shared" si="1"/>
        <v>Y</v>
      </c>
      <c r="R6" s="63" t="str">
        <f t="shared" ca="1" si="2"/>
        <v>-</v>
      </c>
      <c r="S6" s="60"/>
    </row>
    <row r="7" spans="1:19" ht="16" customHeight="1" x14ac:dyDescent="0.25">
      <c r="A7" s="17" t="s">
        <v>471</v>
      </c>
      <c r="B7" s="10">
        <v>43889</v>
      </c>
      <c r="C7" s="17" t="s">
        <v>66</v>
      </c>
      <c r="D7" s="4" t="s">
        <v>130</v>
      </c>
      <c r="E7" s="29">
        <v>45250.5</v>
      </c>
      <c r="F7" s="63" t="s">
        <v>108</v>
      </c>
      <c r="G7" s="63" t="s">
        <v>108</v>
      </c>
      <c r="H7" s="63" t="s">
        <v>145</v>
      </c>
      <c r="I7" s="30" t="s">
        <v>275</v>
      </c>
      <c r="J7" s="63">
        <v>45250.5</v>
      </c>
      <c r="K7" s="10">
        <v>43889</v>
      </c>
      <c r="L7" s="63" cm="1">
        <f t="array" aca="1" ref="L7" ca="1">IF($Q7="N",0,SUMIFS(IncIncl,IncDocDate,"&lt;="&amp;$M$2,IncInvoice,$A7)-SUMIFS(IncPayAmount,IncDocDate,"&lt;="&amp;$M$2,IncPayDate,"&lt;="&amp;$M$2,IncInvoice,$A7))</f>
        <v>0</v>
      </c>
      <c r="M7" s="29" cm="1">
        <f t="array" aca="1" ref="M7" ca="1">P7-IF(IncTaxCount=2,SUM($N7:$O7),$N7:$N7)</f>
        <v>45250.5</v>
      </c>
      <c r="N7" s="29">
        <f ca="1">$P7/(1+IF(ISERROR($F7),0,IF(ISNA(MATCH($F7,TaxCode,0)),0,OFFSET(Setup!$D$15,MATCH($F7,TaxCode,0),0,1,1)))+IF(ISERROR($G7),0,IF(ISNA(MATCH($G7,TaxCode,0)),0,OFFSET(Setup!$D$15,MATCH($G7,TaxCode,0),0,1,1))))*IF(ISERROR($F7),0,IF(ISNA(MATCH($F7,TaxCode,0)),0,OFFSET(Setup!$D$15,MATCH($F7,TaxCode,0),0,1,1)))</f>
        <v>0</v>
      </c>
      <c r="O7" s="29">
        <f ca="1">$P7/(1+IF(ISERROR($F7),0,IF(ISNA(MATCH($F7,TaxCode,0)),0,OFFSET(Setup!$D$15,MATCH($F7,TaxCode,0),0,1,1)))+IF(ISERROR($G7),0,IF(ISNA(MATCH($G7,TaxCode,0)),0,OFFSET(Setup!$D$15,MATCH($G7,TaxCode,0),0,1,1))))*IF(ISERROR($G7),0,IF(ISNA(MATCH($G7,TaxCode,0)),0,OFFSET(Setup!$D$15,MATCH($G7,TaxCode,0),0,1,1)))</f>
        <v>0</v>
      </c>
      <c r="P7" s="29">
        <f t="shared" si="0"/>
        <v>45250.5</v>
      </c>
      <c r="Q7" s="63" t="str">
        <f t="shared" si="1"/>
        <v>Y</v>
      </c>
      <c r="R7" s="63" t="str">
        <f t="shared" ca="1" si="2"/>
        <v>-</v>
      </c>
    </row>
    <row r="8" spans="1:19" ht="16" customHeight="1" x14ac:dyDescent="0.25">
      <c r="A8" s="17" t="s">
        <v>471</v>
      </c>
      <c r="B8" s="10">
        <v>43889</v>
      </c>
      <c r="C8" s="17" t="s">
        <v>66</v>
      </c>
      <c r="D8" s="4" t="s">
        <v>130</v>
      </c>
      <c r="E8" s="29">
        <v>61500</v>
      </c>
      <c r="F8" s="63" t="s">
        <v>108</v>
      </c>
      <c r="G8" s="63" t="s">
        <v>108</v>
      </c>
      <c r="H8" s="63" t="s">
        <v>147</v>
      </c>
      <c r="I8" s="30" t="s">
        <v>275</v>
      </c>
      <c r="J8" s="63">
        <v>61500</v>
      </c>
      <c r="K8" s="10">
        <v>43889</v>
      </c>
      <c r="L8" s="63" cm="1">
        <f t="array" ref="L8">IF($Q8="N",0,SUMIFS(IncIncl,IncDocDate,"&lt;="&amp;$M$2,IncInvoice,$A8)-SUMIFS(IncPayAmount,IncDocDate,"&lt;="&amp;$M$2,IncPayDate,"&lt;="&amp;$M$2,IncInvoice,$A8))</f>
        <v>0</v>
      </c>
      <c r="M8" s="29" cm="1">
        <f t="array" aca="1" ref="M8" ca="1">P8-IF(IncTaxCount=2,SUM($N8:$O8),$N8:$N8)</f>
        <v>61500</v>
      </c>
      <c r="N8" s="29">
        <f ca="1">$P8/(1+IF(ISERROR($F8),0,IF(ISNA(MATCH($F8,TaxCode,0)),0,OFFSET(Setup!$D$15,MATCH($F8,TaxCode,0),0,1,1)))+IF(ISERROR($G8),0,IF(ISNA(MATCH($G8,TaxCode,0)),0,OFFSET(Setup!$D$15,MATCH($G8,TaxCode,0),0,1,1))))*IF(ISERROR($F8),0,IF(ISNA(MATCH($F8,TaxCode,0)),0,OFFSET(Setup!$D$15,MATCH($F8,TaxCode,0),0,1,1)))</f>
        <v>0</v>
      </c>
      <c r="O8" s="29">
        <f ca="1">$P8/(1+IF(ISERROR($F8),0,IF(ISNA(MATCH($F8,TaxCode,0)),0,OFFSET(Setup!$D$15,MATCH($F8,TaxCode,0),0,1,1)))+IF(ISERROR($G8),0,IF(ISNA(MATCH($G8,TaxCode,0)),0,OFFSET(Setup!$D$15,MATCH($G8,TaxCode,0),0,1,1))))*IF(ISERROR($G8),0,IF(ISNA(MATCH($G8,TaxCode,0)),0,OFFSET(Setup!$D$15,MATCH($G8,TaxCode,0),0,1,1)))</f>
        <v>0</v>
      </c>
      <c r="P8" s="29">
        <f t="shared" si="0"/>
        <v>61500</v>
      </c>
      <c r="Q8" s="63" t="str">
        <f t="shared" si="1"/>
        <v>N</v>
      </c>
      <c r="R8" s="63" t="str">
        <f t="shared" ca="1" si="2"/>
        <v>-</v>
      </c>
    </row>
    <row r="9" spans="1:19" ht="16" customHeight="1" x14ac:dyDescent="0.25">
      <c r="A9" s="17" t="s">
        <v>471</v>
      </c>
      <c r="B9" s="10">
        <v>43889</v>
      </c>
      <c r="C9" s="17" t="s">
        <v>66</v>
      </c>
      <c r="D9" s="4" t="s">
        <v>130</v>
      </c>
      <c r="E9" s="29">
        <v>0</v>
      </c>
      <c r="F9" s="63" t="s">
        <v>108</v>
      </c>
      <c r="G9" s="63" t="s">
        <v>108</v>
      </c>
      <c r="H9" s="63" t="s">
        <v>149</v>
      </c>
      <c r="I9" s="30" t="s">
        <v>275</v>
      </c>
      <c r="J9" s="63">
        <v>0</v>
      </c>
      <c r="K9" s="10">
        <v>43889</v>
      </c>
      <c r="L9" s="63" cm="1">
        <f t="array" ref="L9">IF($Q9="N",0,SUMIFS(IncIncl,IncDocDate,"&lt;="&amp;$M$2,IncInvoice,$A9)-SUMIFS(IncPayAmount,IncDocDate,"&lt;="&amp;$M$2,IncPayDate,"&lt;="&amp;$M$2,IncInvoice,$A9))</f>
        <v>0</v>
      </c>
      <c r="M9" s="29" cm="1">
        <f t="array" aca="1" ref="M9" ca="1">P9-IF(IncTaxCount=2,SUM($N9:$O9),$N9:$N9)</f>
        <v>0</v>
      </c>
      <c r="N9" s="29">
        <f ca="1">$P9/(1+IF(ISERROR($F9),0,IF(ISNA(MATCH($F9,TaxCode,0)),0,OFFSET(Setup!$D$15,MATCH($F9,TaxCode,0),0,1,1)))+IF(ISERROR($G9),0,IF(ISNA(MATCH($G9,TaxCode,0)),0,OFFSET(Setup!$D$15,MATCH($G9,TaxCode,0),0,1,1))))*IF(ISERROR($F9),0,IF(ISNA(MATCH($F9,TaxCode,0)),0,OFFSET(Setup!$D$15,MATCH($F9,TaxCode,0),0,1,1)))</f>
        <v>0</v>
      </c>
      <c r="O9" s="29">
        <f ca="1">$P9/(1+IF(ISERROR($F9),0,IF(ISNA(MATCH($F9,TaxCode,0)),0,OFFSET(Setup!$D$15,MATCH($F9,TaxCode,0),0,1,1)))+IF(ISERROR($G9),0,IF(ISNA(MATCH($G9,TaxCode,0)),0,OFFSET(Setup!$D$15,MATCH($G9,TaxCode,0),0,1,1))))*IF(ISERROR($G9),0,IF(ISNA(MATCH($G9,TaxCode,0)),0,OFFSET(Setup!$D$15,MATCH($G9,TaxCode,0),0,1,1)))</f>
        <v>0</v>
      </c>
      <c r="P9" s="29">
        <f t="shared" si="0"/>
        <v>0</v>
      </c>
      <c r="Q9" s="63" t="str">
        <f t="shared" si="1"/>
        <v>N</v>
      </c>
      <c r="R9" s="63" t="str">
        <f t="shared" ca="1" si="2"/>
        <v>-</v>
      </c>
      <c r="S9" s="60"/>
    </row>
    <row r="10" spans="1:19" ht="16" customHeight="1" x14ac:dyDescent="0.25">
      <c r="A10" s="17" t="s">
        <v>471</v>
      </c>
      <c r="B10" s="10">
        <v>43889</v>
      </c>
      <c r="C10" s="17" t="s">
        <v>66</v>
      </c>
      <c r="D10" s="4" t="s">
        <v>130</v>
      </c>
      <c r="E10" s="29">
        <v>1000</v>
      </c>
      <c r="F10" s="63" t="s">
        <v>108</v>
      </c>
      <c r="G10" s="63" t="s">
        <v>108</v>
      </c>
      <c r="H10" s="63" t="s">
        <v>151</v>
      </c>
      <c r="I10" s="30" t="s">
        <v>275</v>
      </c>
      <c r="J10" s="63">
        <v>1000</v>
      </c>
      <c r="K10" s="10">
        <v>43889</v>
      </c>
      <c r="L10" s="63" cm="1">
        <f t="array" ref="L10">IF($Q10="N",0,SUMIFS(IncIncl,IncDocDate,"&lt;="&amp;$M$2,IncInvoice,$A10)-SUMIFS(IncPayAmount,IncDocDate,"&lt;="&amp;$M$2,IncPayDate,"&lt;="&amp;$M$2,IncInvoice,$A10))</f>
        <v>0</v>
      </c>
      <c r="M10" s="29" cm="1">
        <f t="array" aca="1" ref="M10" ca="1">P10-IF(IncTaxCount=2,SUM($N10:$O10),$N10:$N10)</f>
        <v>1000</v>
      </c>
      <c r="N10" s="29">
        <f ca="1">$P10/(1+IF(ISERROR($F10),0,IF(ISNA(MATCH($F10,TaxCode,0)),0,OFFSET(Setup!$D$15,MATCH($F10,TaxCode,0),0,1,1)))+IF(ISERROR($G10),0,IF(ISNA(MATCH($G10,TaxCode,0)),0,OFFSET(Setup!$D$15,MATCH($G10,TaxCode,0),0,1,1))))*IF(ISERROR($F10),0,IF(ISNA(MATCH($F10,TaxCode,0)),0,OFFSET(Setup!$D$15,MATCH($F10,TaxCode,0),0,1,1)))</f>
        <v>0</v>
      </c>
      <c r="O10" s="29">
        <f ca="1">$P10/(1+IF(ISERROR($F10),0,IF(ISNA(MATCH($F10,TaxCode,0)),0,OFFSET(Setup!$D$15,MATCH($F10,TaxCode,0),0,1,1)))+IF(ISERROR($G10),0,IF(ISNA(MATCH($G10,TaxCode,0)),0,OFFSET(Setup!$D$15,MATCH($G10,TaxCode,0),0,1,1))))*IF(ISERROR($G10),0,IF(ISNA(MATCH($G10,TaxCode,0)),0,OFFSET(Setup!$D$15,MATCH($G10,TaxCode,0),0,1,1)))</f>
        <v>0</v>
      </c>
      <c r="P10" s="29">
        <f t="shared" si="0"/>
        <v>1000</v>
      </c>
      <c r="Q10" s="63" t="str">
        <f t="shared" si="1"/>
        <v>N</v>
      </c>
      <c r="R10" s="63" t="str">
        <f t="shared" ca="1" si="2"/>
        <v>-</v>
      </c>
    </row>
    <row r="11" spans="1:19" ht="16" customHeight="1" x14ac:dyDescent="0.25">
      <c r="A11" s="17" t="s">
        <v>481</v>
      </c>
      <c r="B11" s="10">
        <v>43891</v>
      </c>
      <c r="C11" s="17" t="s">
        <v>165</v>
      </c>
      <c r="D11" s="4" t="s">
        <v>480</v>
      </c>
      <c r="E11" s="29">
        <v>150.01</v>
      </c>
      <c r="F11" s="63" t="s">
        <v>108</v>
      </c>
      <c r="G11" s="63" t="s">
        <v>108</v>
      </c>
      <c r="H11" s="63" t="s">
        <v>147</v>
      </c>
      <c r="I11" s="30" t="s">
        <v>314</v>
      </c>
      <c r="J11" s="63">
        <v>150.01</v>
      </c>
      <c r="K11" s="10">
        <v>43891</v>
      </c>
      <c r="L11" s="63" cm="1">
        <f t="array" aca="1" ref="L11" ca="1">IF($Q11="N",0,SUMIFS(IncIncl,IncDocDate,"&lt;="&amp;$M$2,IncInvoice,$A11)-SUMIFS(IncPayAmount,IncDocDate,"&lt;="&amp;$M$2,IncPayDate,"&lt;="&amp;$M$2,IncInvoice,$A11))</f>
        <v>0</v>
      </c>
      <c r="M11" s="29" cm="1">
        <f t="array" aca="1" ref="M11" ca="1">P11-IF(IncTaxCount=2,SUM($N11:$O11),$N11:$N11)</f>
        <v>150.01</v>
      </c>
      <c r="N11" s="29">
        <f ca="1">$P11/(1+IF(ISERROR($F11),0,IF(ISNA(MATCH($F11,TaxCode,0)),0,OFFSET(Setup!$D$15,MATCH($F11,TaxCode,0),0,1,1)))+IF(ISERROR($G11),0,IF(ISNA(MATCH($G11,TaxCode,0)),0,OFFSET(Setup!$D$15,MATCH($G11,TaxCode,0),0,1,1))))*IF(ISERROR($F11),0,IF(ISNA(MATCH($F11,TaxCode,0)),0,OFFSET(Setup!$D$15,MATCH($F11,TaxCode,0),0,1,1)))</f>
        <v>0</v>
      </c>
      <c r="O11" s="29">
        <f ca="1">$P11/(1+IF(ISERROR($F11),0,IF(ISNA(MATCH($F11,TaxCode,0)),0,OFFSET(Setup!$D$15,MATCH($F11,TaxCode,0),0,1,1)))+IF(ISERROR($G11),0,IF(ISNA(MATCH($G11,TaxCode,0)),0,OFFSET(Setup!$D$15,MATCH($G11,TaxCode,0),0,1,1))))*IF(ISERROR($G11),0,IF(ISNA(MATCH($G11,TaxCode,0)),0,OFFSET(Setup!$D$15,MATCH($G11,TaxCode,0),0,1,1)))</f>
        <v>0</v>
      </c>
      <c r="P11" s="29">
        <f t="shared" si="0"/>
        <v>150.01</v>
      </c>
      <c r="Q11" s="63" t="str">
        <f t="shared" si="1"/>
        <v>Y</v>
      </c>
      <c r="R11" s="63" t="str">
        <f t="shared" ca="1" si="2"/>
        <v>-</v>
      </c>
    </row>
    <row r="12" spans="1:19" ht="16" customHeight="1" x14ac:dyDescent="0.25">
      <c r="A12" s="17" t="s">
        <v>478</v>
      </c>
      <c r="B12" s="10">
        <v>43897</v>
      </c>
      <c r="C12" s="17" t="s">
        <v>479</v>
      </c>
      <c r="D12" s="4" t="s">
        <v>441</v>
      </c>
      <c r="E12" s="29">
        <v>1710</v>
      </c>
      <c r="F12" s="63" t="s">
        <v>93</v>
      </c>
      <c r="G12" s="63" t="s">
        <v>108</v>
      </c>
      <c r="H12" s="63" t="s">
        <v>145</v>
      </c>
      <c r="I12" s="30" t="s">
        <v>318</v>
      </c>
      <c r="J12" s="63">
        <v>1710</v>
      </c>
      <c r="K12" s="10">
        <v>43897</v>
      </c>
      <c r="L12" s="63" cm="1">
        <f t="array" aca="1" ref="L12" ca="1">IF($Q12="N",0,SUMIFS(IncIncl,IncDocDate,"&lt;="&amp;$M$2,IncInvoice,$A12)-SUMIFS(IncPayAmount,IncDocDate,"&lt;="&amp;$M$2,IncPayDate,"&lt;="&amp;$M$2,IncInvoice,$A12))</f>
        <v>0</v>
      </c>
      <c r="M12" s="29" cm="1">
        <f t="array" aca="1" ref="M12" ca="1">P12-IF(IncTaxCount=2,SUM($N12:$O12),$N12:$N12)</f>
        <v>1486.9565217391305</v>
      </c>
      <c r="N12" s="29">
        <f ca="1">$P12/(1+IF(ISERROR($F12),0,IF(ISNA(MATCH($F12,TaxCode,0)),0,OFFSET(Setup!$D$15,MATCH($F12,TaxCode,0),0,1,1)))+IF(ISERROR($G12),0,IF(ISNA(MATCH($G12,TaxCode,0)),0,OFFSET(Setup!$D$15,MATCH($G12,TaxCode,0),0,1,1))))*IF(ISERROR($F12),0,IF(ISNA(MATCH($F12,TaxCode,0)),0,OFFSET(Setup!$D$15,MATCH($F12,TaxCode,0),0,1,1)))</f>
        <v>223.04347826086956</v>
      </c>
      <c r="O12" s="29">
        <f ca="1">$P12/(1+IF(ISERROR($F12),0,IF(ISNA(MATCH($F12,TaxCode,0)),0,OFFSET(Setup!$D$15,MATCH($F12,TaxCode,0),0,1,1)))+IF(ISERROR($G12),0,IF(ISNA(MATCH($G12,TaxCode,0)),0,OFFSET(Setup!$D$15,MATCH($G12,TaxCode,0),0,1,1))))*IF(ISERROR($G12),0,IF(ISNA(MATCH($G12,TaxCode,0)),0,OFFSET(Setup!$D$15,MATCH($G12,TaxCode,0),0,1,1)))</f>
        <v>0</v>
      </c>
      <c r="P12" s="29">
        <f t="shared" si="0"/>
        <v>1710</v>
      </c>
      <c r="Q12" s="63" t="str">
        <f t="shared" si="1"/>
        <v>Y</v>
      </c>
      <c r="R12" s="63" t="str">
        <f t="shared" ca="1" si="2"/>
        <v>-</v>
      </c>
    </row>
    <row r="13" spans="1:19" ht="16" customHeight="1" x14ac:dyDescent="0.25">
      <c r="A13" s="17" t="s">
        <v>444</v>
      </c>
      <c r="B13" s="10">
        <v>43904</v>
      </c>
      <c r="C13" s="17" t="s">
        <v>139</v>
      </c>
      <c r="D13" s="4" t="s">
        <v>475</v>
      </c>
      <c r="E13" s="29">
        <v>12880</v>
      </c>
      <c r="F13" s="63" t="s">
        <v>108</v>
      </c>
      <c r="G13" s="63" t="s">
        <v>108</v>
      </c>
      <c r="H13" s="63" t="s">
        <v>145</v>
      </c>
      <c r="I13" s="30" t="s">
        <v>317</v>
      </c>
      <c r="J13" s="63">
        <v>12880</v>
      </c>
      <c r="K13" s="10">
        <v>43934</v>
      </c>
      <c r="L13" s="63" cm="1">
        <f t="array" aca="1" ref="L13" ca="1">IF($Q13="N",0,SUMIFS(IncIncl,IncDocDate,"&lt;="&amp;$M$2,IncInvoice,$A13)-SUMIFS(IncPayAmount,IncDocDate,"&lt;="&amp;$M$2,IncPayDate,"&lt;="&amp;$M$2,IncInvoice,$A13))</f>
        <v>0</v>
      </c>
      <c r="M13" s="29" cm="1">
        <f t="array" aca="1" ref="M13" ca="1">P13-IF(IncTaxCount=2,SUM($N13:$O13),$N13:$N13)</f>
        <v>12880</v>
      </c>
      <c r="N13" s="29">
        <f ca="1">$P13/(1+IF(ISERROR($F13),0,IF(ISNA(MATCH($F13,TaxCode,0)),0,OFFSET(Setup!$D$15,MATCH($F13,TaxCode,0),0,1,1)))+IF(ISERROR($G13),0,IF(ISNA(MATCH($G13,TaxCode,0)),0,OFFSET(Setup!$D$15,MATCH($G13,TaxCode,0),0,1,1))))*IF(ISERROR($F13),0,IF(ISNA(MATCH($F13,TaxCode,0)),0,OFFSET(Setup!$D$15,MATCH($F13,TaxCode,0),0,1,1)))</f>
        <v>0</v>
      </c>
      <c r="O13" s="29">
        <f ca="1">$P13/(1+IF(ISERROR($F13),0,IF(ISNA(MATCH($F13,TaxCode,0)),0,OFFSET(Setup!$D$15,MATCH($F13,TaxCode,0),0,1,1)))+IF(ISERROR($G13),0,IF(ISNA(MATCH($G13,TaxCode,0)),0,OFFSET(Setup!$D$15,MATCH($G13,TaxCode,0),0,1,1))))*IF(ISERROR($G13),0,IF(ISNA(MATCH($G13,TaxCode,0)),0,OFFSET(Setup!$D$15,MATCH($G13,TaxCode,0),0,1,1)))</f>
        <v>0</v>
      </c>
      <c r="P13" s="29">
        <f t="shared" si="0"/>
        <v>12880</v>
      </c>
      <c r="Q13" s="63" t="str">
        <f t="shared" si="1"/>
        <v>Y</v>
      </c>
      <c r="R13" s="63" t="str">
        <f t="shared" ca="1" si="2"/>
        <v>-</v>
      </c>
    </row>
    <row r="14" spans="1:19" ht="16" customHeight="1" x14ac:dyDescent="0.25">
      <c r="A14" s="17" t="s">
        <v>445</v>
      </c>
      <c r="B14" s="10">
        <v>43909</v>
      </c>
      <c r="C14" s="17" t="s">
        <v>164</v>
      </c>
      <c r="D14" s="4" t="s">
        <v>475</v>
      </c>
      <c r="E14" s="29">
        <v>125018.1</v>
      </c>
      <c r="F14" s="63" t="s">
        <v>93</v>
      </c>
      <c r="G14" s="63" t="s">
        <v>108</v>
      </c>
      <c r="H14" s="63" t="s">
        <v>145</v>
      </c>
      <c r="I14" s="30" t="s">
        <v>317</v>
      </c>
      <c r="J14" s="63">
        <v>125018.1</v>
      </c>
      <c r="K14" s="10">
        <v>43931</v>
      </c>
      <c r="L14" s="63" cm="1">
        <f t="array" aca="1" ref="L14" ca="1">IF($Q14="N",0,SUMIFS(IncIncl,IncDocDate,"&lt;="&amp;$M$2,IncInvoice,$A14)-SUMIFS(IncPayAmount,IncDocDate,"&lt;="&amp;$M$2,IncPayDate,"&lt;="&amp;$M$2,IncInvoice,$A14))</f>
        <v>0</v>
      </c>
      <c r="M14" s="29" cm="1">
        <f t="array" aca="1" ref="M14" ca="1">P14-IF(IncTaxCount=2,SUM($N14:$O14),$N14:$N14)</f>
        <v>108711.39130434784</v>
      </c>
      <c r="N14" s="29">
        <f ca="1">$P14/(1+IF(ISERROR($F14),0,IF(ISNA(MATCH($F14,TaxCode,0)),0,OFFSET(Setup!$D$15,MATCH($F14,TaxCode,0),0,1,1)))+IF(ISERROR($G14),0,IF(ISNA(MATCH($G14,TaxCode,0)),0,OFFSET(Setup!$D$15,MATCH($G14,TaxCode,0),0,1,1))))*IF(ISERROR($F14),0,IF(ISNA(MATCH($F14,TaxCode,0)),0,OFFSET(Setup!$D$15,MATCH($F14,TaxCode,0),0,1,1)))</f>
        <v>16306.708695652174</v>
      </c>
      <c r="O14" s="29">
        <f ca="1">$P14/(1+IF(ISERROR($F14),0,IF(ISNA(MATCH($F14,TaxCode,0)),0,OFFSET(Setup!$D$15,MATCH($F14,TaxCode,0),0,1,1)))+IF(ISERROR($G14),0,IF(ISNA(MATCH($G14,TaxCode,0)),0,OFFSET(Setup!$D$15,MATCH($G14,TaxCode,0),0,1,1))))*IF(ISERROR($G14),0,IF(ISNA(MATCH($G14,TaxCode,0)),0,OFFSET(Setup!$D$15,MATCH($G14,TaxCode,0),0,1,1)))</f>
        <v>0</v>
      </c>
      <c r="P14" s="29">
        <f t="shared" si="0"/>
        <v>125018.1</v>
      </c>
      <c r="Q14" s="63" t="str">
        <f t="shared" si="1"/>
        <v>Y</v>
      </c>
      <c r="R14" s="63" t="str">
        <f t="shared" ca="1" si="2"/>
        <v>-</v>
      </c>
    </row>
    <row r="15" spans="1:19" ht="16" customHeight="1" x14ac:dyDescent="0.25">
      <c r="A15" s="17" t="s">
        <v>496</v>
      </c>
      <c r="B15" s="10">
        <v>43915</v>
      </c>
      <c r="C15" s="17" t="s">
        <v>476</v>
      </c>
      <c r="D15" s="4" t="s">
        <v>474</v>
      </c>
      <c r="E15" s="29">
        <v>12500</v>
      </c>
      <c r="F15" s="63" t="s">
        <v>108</v>
      </c>
      <c r="G15" s="63" t="s">
        <v>108</v>
      </c>
      <c r="H15" s="63" t="s">
        <v>147</v>
      </c>
      <c r="I15" s="30" t="s">
        <v>316</v>
      </c>
      <c r="J15" s="63">
        <v>12500</v>
      </c>
      <c r="K15" s="10">
        <v>43926</v>
      </c>
      <c r="L15" s="63" cm="1">
        <f t="array" aca="1" ref="L15" ca="1">IF($Q15="N",0,SUMIFS(IncIncl,IncDocDate,"&lt;="&amp;$M$2,IncInvoice,$A15)-SUMIFS(IncPayAmount,IncDocDate,"&lt;="&amp;$M$2,IncPayDate,"&lt;="&amp;$M$2,IncInvoice,$A15))</f>
        <v>0</v>
      </c>
      <c r="M15" s="29" cm="1">
        <f t="array" aca="1" ref="M15" ca="1">P15-IF(IncTaxCount=2,SUM($N15:$O15),$N15:$N15)</f>
        <v>12500</v>
      </c>
      <c r="N15" s="29">
        <f ca="1">$P15/(1+IF(ISERROR($F15),0,IF(ISNA(MATCH($F15,TaxCode,0)),0,OFFSET(Setup!$D$15,MATCH($F15,TaxCode,0),0,1,1)))+IF(ISERROR($G15),0,IF(ISNA(MATCH($G15,TaxCode,0)),0,OFFSET(Setup!$D$15,MATCH($G15,TaxCode,0),0,1,1))))*IF(ISERROR($F15),0,IF(ISNA(MATCH($F15,TaxCode,0)),0,OFFSET(Setup!$D$15,MATCH($F15,TaxCode,0),0,1,1)))</f>
        <v>0</v>
      </c>
      <c r="O15" s="29">
        <f ca="1">$P15/(1+IF(ISERROR($F15),0,IF(ISNA(MATCH($F15,TaxCode,0)),0,OFFSET(Setup!$D$15,MATCH($F15,TaxCode,0),0,1,1)))+IF(ISERROR($G15),0,IF(ISNA(MATCH($G15,TaxCode,0)),0,OFFSET(Setup!$D$15,MATCH($G15,TaxCode,0),0,1,1))))*IF(ISERROR($G15),0,IF(ISNA(MATCH($G15,TaxCode,0)),0,OFFSET(Setup!$D$15,MATCH($G15,TaxCode,0),0,1,1)))</f>
        <v>0</v>
      </c>
      <c r="P15" s="29">
        <f t="shared" si="0"/>
        <v>12500</v>
      </c>
      <c r="Q15" s="63" t="str">
        <f t="shared" si="1"/>
        <v>Y</v>
      </c>
      <c r="R15" s="63" t="str">
        <f t="shared" ca="1" si="2"/>
        <v>-</v>
      </c>
    </row>
    <row r="16" spans="1:19" ht="16" customHeight="1" x14ac:dyDescent="0.25">
      <c r="A16" s="17" t="s">
        <v>482</v>
      </c>
      <c r="B16" s="10">
        <v>43922</v>
      </c>
      <c r="C16" s="17" t="s">
        <v>165</v>
      </c>
      <c r="D16" s="4" t="s">
        <v>480</v>
      </c>
      <c r="E16" s="29">
        <v>120.65</v>
      </c>
      <c r="F16" s="63" t="s">
        <v>108</v>
      </c>
      <c r="G16" s="63" t="s">
        <v>108</v>
      </c>
      <c r="H16" s="63" t="s">
        <v>147</v>
      </c>
      <c r="I16" s="30" t="s">
        <v>314</v>
      </c>
      <c r="J16" s="63">
        <v>120.65</v>
      </c>
      <c r="K16" s="10">
        <v>43922</v>
      </c>
      <c r="L16" s="63" cm="1">
        <f t="array" aca="1" ref="L16" ca="1">IF($Q16="N",0,SUMIFS(IncIncl,IncDocDate,"&lt;="&amp;$M$2,IncInvoice,$A16)-SUMIFS(IncPayAmount,IncDocDate,"&lt;="&amp;$M$2,IncPayDate,"&lt;="&amp;$M$2,IncInvoice,$A16))</f>
        <v>0</v>
      </c>
      <c r="M16" s="29" cm="1">
        <f t="array" aca="1" ref="M16" ca="1">P16-IF(IncTaxCount=2,SUM($N16:$O16),$N16:$N16)</f>
        <v>120.65</v>
      </c>
      <c r="N16" s="29">
        <f ca="1">$P16/(1+IF(ISERROR($F16),0,IF(ISNA(MATCH($F16,TaxCode,0)),0,OFFSET(Setup!$D$15,MATCH($F16,TaxCode,0),0,1,1)))+IF(ISERROR($G16),0,IF(ISNA(MATCH($G16,TaxCode,0)),0,OFFSET(Setup!$D$15,MATCH($G16,TaxCode,0),0,1,1))))*IF(ISERROR($F16),0,IF(ISNA(MATCH($F16,TaxCode,0)),0,OFFSET(Setup!$D$15,MATCH($F16,TaxCode,0),0,1,1)))</f>
        <v>0</v>
      </c>
      <c r="O16" s="29">
        <f ca="1">$P16/(1+IF(ISERROR($F16),0,IF(ISNA(MATCH($F16,TaxCode,0)),0,OFFSET(Setup!$D$15,MATCH($F16,TaxCode,0),0,1,1)))+IF(ISERROR($G16),0,IF(ISNA(MATCH($G16,TaxCode,0)),0,OFFSET(Setup!$D$15,MATCH($G16,TaxCode,0),0,1,1))))*IF(ISERROR($G16),0,IF(ISNA(MATCH($G16,TaxCode,0)),0,OFFSET(Setup!$D$15,MATCH($G16,TaxCode,0),0,1,1)))</f>
        <v>0</v>
      </c>
      <c r="P16" s="29">
        <f t="shared" si="0"/>
        <v>120.65</v>
      </c>
      <c r="Q16" s="63" t="str">
        <f t="shared" si="1"/>
        <v>Y</v>
      </c>
      <c r="R16" s="63" t="str">
        <f t="shared" ca="1" si="2"/>
        <v>-</v>
      </c>
    </row>
    <row r="17" spans="1:18" ht="16" customHeight="1" x14ac:dyDescent="0.25">
      <c r="A17" s="17" t="s">
        <v>485</v>
      </c>
      <c r="B17" s="10">
        <v>43928</v>
      </c>
      <c r="C17" s="17" t="s">
        <v>479</v>
      </c>
      <c r="D17" s="4" t="s">
        <v>441</v>
      </c>
      <c r="E17" s="29">
        <v>1380</v>
      </c>
      <c r="F17" s="63" t="s">
        <v>93</v>
      </c>
      <c r="G17" s="63" t="s">
        <v>108</v>
      </c>
      <c r="H17" s="63" t="s">
        <v>145</v>
      </c>
      <c r="I17" s="30" t="s">
        <v>318</v>
      </c>
      <c r="J17" s="63">
        <v>1380</v>
      </c>
      <c r="K17" s="10">
        <v>43928</v>
      </c>
      <c r="L17" s="63" cm="1">
        <f t="array" aca="1" ref="L17" ca="1">IF($Q17="N",0,SUMIFS(IncIncl,IncDocDate,"&lt;="&amp;$M$2,IncInvoice,$A17)-SUMIFS(IncPayAmount,IncDocDate,"&lt;="&amp;$M$2,IncPayDate,"&lt;="&amp;$M$2,IncInvoice,$A17))</f>
        <v>0</v>
      </c>
      <c r="M17" s="29" cm="1">
        <f t="array" aca="1" ref="M17" ca="1">P17-IF(IncTaxCount=2,SUM($N17:$O17),$N17:$N17)</f>
        <v>1200</v>
      </c>
      <c r="N17" s="29">
        <f ca="1">$P17/(1+IF(ISERROR($F17),0,IF(ISNA(MATCH($F17,TaxCode,0)),0,OFFSET(Setup!$D$15,MATCH($F17,TaxCode,0),0,1,1)))+IF(ISERROR($G17),0,IF(ISNA(MATCH($G17,TaxCode,0)),0,OFFSET(Setup!$D$15,MATCH($G17,TaxCode,0),0,1,1))))*IF(ISERROR($F17),0,IF(ISNA(MATCH($F17,TaxCode,0)),0,OFFSET(Setup!$D$15,MATCH($F17,TaxCode,0),0,1,1)))</f>
        <v>180</v>
      </c>
      <c r="O17" s="29">
        <f ca="1">$P17/(1+IF(ISERROR($F17),0,IF(ISNA(MATCH($F17,TaxCode,0)),0,OFFSET(Setup!$D$15,MATCH($F17,TaxCode,0),0,1,1)))+IF(ISERROR($G17),0,IF(ISNA(MATCH($G17,TaxCode,0)),0,OFFSET(Setup!$D$15,MATCH($G17,TaxCode,0),0,1,1))))*IF(ISERROR($G17),0,IF(ISNA(MATCH($G17,TaxCode,0)),0,OFFSET(Setup!$D$15,MATCH($G17,TaxCode,0),0,1,1)))</f>
        <v>0</v>
      </c>
      <c r="P17" s="29">
        <f t="shared" si="0"/>
        <v>1380</v>
      </c>
      <c r="Q17" s="63" t="str">
        <f t="shared" si="1"/>
        <v>Y</v>
      </c>
      <c r="R17" s="63" t="str">
        <f t="shared" ca="1" si="2"/>
        <v>-</v>
      </c>
    </row>
    <row r="18" spans="1:18" ht="16" customHeight="1" x14ac:dyDescent="0.25">
      <c r="A18" s="17" t="s">
        <v>446</v>
      </c>
      <c r="B18" s="10">
        <v>43930</v>
      </c>
      <c r="C18" s="17" t="s">
        <v>141</v>
      </c>
      <c r="D18" s="4" t="s">
        <v>475</v>
      </c>
      <c r="E18" s="29">
        <v>137482.5</v>
      </c>
      <c r="F18" s="63" t="s">
        <v>93</v>
      </c>
      <c r="G18" s="63" t="s">
        <v>108</v>
      </c>
      <c r="H18" s="63" t="s">
        <v>145</v>
      </c>
      <c r="I18" s="30" t="s">
        <v>317</v>
      </c>
      <c r="J18" s="63">
        <v>137482.5</v>
      </c>
      <c r="K18" s="10">
        <v>43960</v>
      </c>
      <c r="L18" s="63" cm="1">
        <f t="array" aca="1" ref="L18" ca="1">IF($Q18="N",0,SUMIFS(IncIncl,IncDocDate,"&lt;="&amp;$M$2,IncInvoice,$A18)-SUMIFS(IncPayAmount,IncDocDate,"&lt;="&amp;$M$2,IncPayDate,"&lt;="&amp;$M$2,IncInvoice,$A18))</f>
        <v>0</v>
      </c>
      <c r="M18" s="29" cm="1">
        <f t="array" aca="1" ref="M18" ca="1">P18-IF(IncTaxCount=2,SUM($N18:$O18),$N18:$N18)</f>
        <v>119550</v>
      </c>
      <c r="N18" s="29">
        <f ca="1">$P18/(1+IF(ISERROR($F18),0,IF(ISNA(MATCH($F18,TaxCode,0)),0,OFFSET(Setup!$D$15,MATCH($F18,TaxCode,0),0,1,1)))+IF(ISERROR($G18),0,IF(ISNA(MATCH($G18,TaxCode,0)),0,OFFSET(Setup!$D$15,MATCH($G18,TaxCode,0),0,1,1))))*IF(ISERROR($F18),0,IF(ISNA(MATCH($F18,TaxCode,0)),0,OFFSET(Setup!$D$15,MATCH($F18,TaxCode,0),0,1,1)))</f>
        <v>17932.5</v>
      </c>
      <c r="O18" s="29">
        <f ca="1">$P18/(1+IF(ISERROR($F18),0,IF(ISNA(MATCH($F18,TaxCode,0)),0,OFFSET(Setup!$D$15,MATCH($F18,TaxCode,0),0,1,1)))+IF(ISERROR($G18),0,IF(ISNA(MATCH($G18,TaxCode,0)),0,OFFSET(Setup!$D$15,MATCH($G18,TaxCode,0),0,1,1))))*IF(ISERROR($G18),0,IF(ISNA(MATCH($G18,TaxCode,0)),0,OFFSET(Setup!$D$15,MATCH($G18,TaxCode,0),0,1,1)))</f>
        <v>0</v>
      </c>
      <c r="P18" s="29">
        <f t="shared" si="0"/>
        <v>137482.5</v>
      </c>
      <c r="Q18" s="63" t="str">
        <f t="shared" si="1"/>
        <v>Y</v>
      </c>
      <c r="R18" s="63" t="str">
        <f t="shared" ca="1" si="2"/>
        <v>-</v>
      </c>
    </row>
    <row r="19" spans="1:18" ht="16" customHeight="1" x14ac:dyDescent="0.25">
      <c r="A19" s="17" t="s">
        <v>447</v>
      </c>
      <c r="B19" s="10">
        <v>43943</v>
      </c>
      <c r="C19" s="17" t="s">
        <v>132</v>
      </c>
      <c r="D19" s="4" t="s">
        <v>475</v>
      </c>
      <c r="E19" s="29">
        <v>20033</v>
      </c>
      <c r="F19" s="63" t="s">
        <v>93</v>
      </c>
      <c r="G19" s="63" t="s">
        <v>108</v>
      </c>
      <c r="H19" s="63" t="s">
        <v>145</v>
      </c>
      <c r="I19" s="30" t="s">
        <v>317</v>
      </c>
      <c r="J19" s="63">
        <v>20033</v>
      </c>
      <c r="K19" s="10">
        <v>43960</v>
      </c>
      <c r="L19" s="63" cm="1">
        <f t="array" aca="1" ref="L19" ca="1">IF($Q19="N",0,SUMIFS(IncIncl,IncDocDate,"&lt;="&amp;$M$2,IncInvoice,$A19)-SUMIFS(IncPayAmount,IncDocDate,"&lt;="&amp;$M$2,IncPayDate,"&lt;="&amp;$M$2,IncInvoice,$A19))</f>
        <v>0</v>
      </c>
      <c r="M19" s="29" cm="1">
        <f t="array" aca="1" ref="M19" ca="1">P19-IF(IncTaxCount=2,SUM($N19:$O19),$N19:$N19)</f>
        <v>17420</v>
      </c>
      <c r="N19" s="29">
        <f ca="1">$P19/(1+IF(ISERROR($F19),0,IF(ISNA(MATCH($F19,TaxCode,0)),0,OFFSET(Setup!$D$15,MATCH($F19,TaxCode,0),0,1,1)))+IF(ISERROR($G19),0,IF(ISNA(MATCH($G19,TaxCode,0)),0,OFFSET(Setup!$D$15,MATCH($G19,TaxCode,0),0,1,1))))*IF(ISERROR($F19),0,IF(ISNA(MATCH($F19,TaxCode,0)),0,OFFSET(Setup!$D$15,MATCH($F19,TaxCode,0),0,1,1)))</f>
        <v>2613</v>
      </c>
      <c r="O19" s="29">
        <f ca="1">$P19/(1+IF(ISERROR($F19),0,IF(ISNA(MATCH($F19,TaxCode,0)),0,OFFSET(Setup!$D$15,MATCH($F19,TaxCode,0),0,1,1)))+IF(ISERROR($G19),0,IF(ISNA(MATCH($G19,TaxCode,0)),0,OFFSET(Setup!$D$15,MATCH($G19,TaxCode,0),0,1,1))))*IF(ISERROR($G19),0,IF(ISNA(MATCH($G19,TaxCode,0)),0,OFFSET(Setup!$D$15,MATCH($G19,TaxCode,0),0,1,1)))</f>
        <v>0</v>
      </c>
      <c r="P19" s="29">
        <f t="shared" si="0"/>
        <v>20033</v>
      </c>
      <c r="Q19" s="63" t="str">
        <f t="shared" si="1"/>
        <v>Y</v>
      </c>
      <c r="R19" s="63" t="str">
        <f t="shared" ca="1" si="2"/>
        <v>-</v>
      </c>
    </row>
    <row r="20" spans="1:18" ht="16" customHeight="1" x14ac:dyDescent="0.25">
      <c r="A20" s="17" t="s">
        <v>486</v>
      </c>
      <c r="B20" s="10">
        <v>43946</v>
      </c>
      <c r="C20" s="17" t="s">
        <v>476</v>
      </c>
      <c r="D20" s="4" t="s">
        <v>474</v>
      </c>
      <c r="E20" s="29">
        <v>10300</v>
      </c>
      <c r="F20" s="63" t="s">
        <v>108</v>
      </c>
      <c r="G20" s="63" t="s">
        <v>108</v>
      </c>
      <c r="H20" s="63" t="s">
        <v>147</v>
      </c>
      <c r="I20" s="30" t="s">
        <v>316</v>
      </c>
      <c r="J20" s="63">
        <v>10300</v>
      </c>
      <c r="K20" s="10">
        <v>43956</v>
      </c>
      <c r="L20" s="63" cm="1">
        <f t="array" aca="1" ref="L20" ca="1">IF($Q20="N",0,SUMIFS(IncIncl,IncDocDate,"&lt;="&amp;$M$2,IncInvoice,$A20)-SUMIFS(IncPayAmount,IncDocDate,"&lt;="&amp;$M$2,IncPayDate,"&lt;="&amp;$M$2,IncInvoice,$A20))</f>
        <v>0</v>
      </c>
      <c r="M20" s="29" cm="1">
        <f t="array" aca="1" ref="M20" ca="1">P20-IF(IncTaxCount=2,SUM($N20:$O20),$N20:$N20)</f>
        <v>10300</v>
      </c>
      <c r="N20" s="29">
        <f ca="1">$P20/(1+IF(ISERROR($F20),0,IF(ISNA(MATCH($F20,TaxCode,0)),0,OFFSET(Setup!$D$15,MATCH($F20,TaxCode,0),0,1,1)))+IF(ISERROR($G20),0,IF(ISNA(MATCH($G20,TaxCode,0)),0,OFFSET(Setup!$D$15,MATCH($G20,TaxCode,0),0,1,1))))*IF(ISERROR($F20),0,IF(ISNA(MATCH($F20,TaxCode,0)),0,OFFSET(Setup!$D$15,MATCH($F20,TaxCode,0),0,1,1)))</f>
        <v>0</v>
      </c>
      <c r="O20" s="29">
        <f ca="1">$P20/(1+IF(ISERROR($F20),0,IF(ISNA(MATCH($F20,TaxCode,0)),0,OFFSET(Setup!$D$15,MATCH($F20,TaxCode,0),0,1,1)))+IF(ISERROR($G20),0,IF(ISNA(MATCH($G20,TaxCode,0)),0,OFFSET(Setup!$D$15,MATCH($G20,TaxCode,0),0,1,1))))*IF(ISERROR($G20),0,IF(ISNA(MATCH($G20,TaxCode,0)),0,OFFSET(Setup!$D$15,MATCH($G20,TaxCode,0),0,1,1)))</f>
        <v>0</v>
      </c>
      <c r="P20" s="29">
        <f t="shared" si="0"/>
        <v>10300</v>
      </c>
      <c r="Q20" s="63" t="str">
        <f t="shared" si="1"/>
        <v>Y</v>
      </c>
      <c r="R20" s="63" t="str">
        <f t="shared" ca="1" si="2"/>
        <v>-</v>
      </c>
    </row>
    <row r="21" spans="1:18" ht="16" customHeight="1" x14ac:dyDescent="0.25">
      <c r="A21" s="17" t="s">
        <v>483</v>
      </c>
      <c r="B21" s="10">
        <v>43952</v>
      </c>
      <c r="C21" s="17" t="s">
        <v>165</v>
      </c>
      <c r="D21" s="4" t="s">
        <v>480</v>
      </c>
      <c r="E21" s="29">
        <v>160.22999999999999</v>
      </c>
      <c r="F21" s="63" t="s">
        <v>108</v>
      </c>
      <c r="G21" s="63" t="s">
        <v>108</v>
      </c>
      <c r="H21" s="63" t="s">
        <v>147</v>
      </c>
      <c r="I21" s="30" t="s">
        <v>314</v>
      </c>
      <c r="J21" s="63">
        <v>160.22999999999999</v>
      </c>
      <c r="K21" s="10">
        <v>43952</v>
      </c>
      <c r="L21" s="63" cm="1">
        <f t="array" aca="1" ref="L21" ca="1">IF($Q21="N",0,SUMIFS(IncIncl,IncDocDate,"&lt;="&amp;$M$2,IncInvoice,$A21)-SUMIFS(IncPayAmount,IncDocDate,"&lt;="&amp;$M$2,IncPayDate,"&lt;="&amp;$M$2,IncInvoice,$A21))</f>
        <v>0</v>
      </c>
      <c r="M21" s="29" cm="1">
        <f t="array" aca="1" ref="M21" ca="1">P21-IF(IncTaxCount=2,SUM($N21:$O21),$N21:$N21)</f>
        <v>160.22999999999999</v>
      </c>
      <c r="N21" s="29">
        <f ca="1">$P21/(1+IF(ISERROR($F21),0,IF(ISNA(MATCH($F21,TaxCode,0)),0,OFFSET(Setup!$D$15,MATCH($F21,TaxCode,0),0,1,1)))+IF(ISERROR($G21),0,IF(ISNA(MATCH($G21,TaxCode,0)),0,OFFSET(Setup!$D$15,MATCH($G21,TaxCode,0),0,1,1))))*IF(ISERROR($F21),0,IF(ISNA(MATCH($F21,TaxCode,0)),0,OFFSET(Setup!$D$15,MATCH($F21,TaxCode,0),0,1,1)))</f>
        <v>0</v>
      </c>
      <c r="O21" s="29">
        <f ca="1">$P21/(1+IF(ISERROR($F21),0,IF(ISNA(MATCH($F21,TaxCode,0)),0,OFFSET(Setup!$D$15,MATCH($F21,TaxCode,0),0,1,1)))+IF(ISERROR($G21),0,IF(ISNA(MATCH($G21,TaxCode,0)),0,OFFSET(Setup!$D$15,MATCH($G21,TaxCode,0),0,1,1))))*IF(ISERROR($G21),0,IF(ISNA(MATCH($G21,TaxCode,0)),0,OFFSET(Setup!$D$15,MATCH($G21,TaxCode,0),0,1,1)))</f>
        <v>0</v>
      </c>
      <c r="P21" s="29">
        <f t="shared" si="0"/>
        <v>160.22999999999999</v>
      </c>
      <c r="Q21" s="63" t="str">
        <f t="shared" si="1"/>
        <v>Y</v>
      </c>
      <c r="R21" s="63" t="str">
        <f t="shared" ca="1" si="2"/>
        <v>-</v>
      </c>
    </row>
    <row r="22" spans="1:18" ht="16" customHeight="1" x14ac:dyDescent="0.25">
      <c r="A22" s="17" t="s">
        <v>448</v>
      </c>
      <c r="B22" s="10">
        <v>43956</v>
      </c>
      <c r="C22" s="17" t="s">
        <v>140</v>
      </c>
      <c r="D22" s="4" t="s">
        <v>475</v>
      </c>
      <c r="E22" s="29">
        <v>106949.99999999999</v>
      </c>
      <c r="F22" s="63" t="s">
        <v>93</v>
      </c>
      <c r="G22" s="63" t="s">
        <v>108</v>
      </c>
      <c r="H22" s="63" t="s">
        <v>145</v>
      </c>
      <c r="I22" s="30" t="s">
        <v>317</v>
      </c>
      <c r="J22" s="63">
        <v>106949.99999999999</v>
      </c>
      <c r="K22" s="10">
        <v>43961</v>
      </c>
      <c r="L22" s="63" cm="1">
        <f t="array" aca="1" ref="L22" ca="1">IF($Q22="N",0,SUMIFS(IncIncl,IncDocDate,"&lt;="&amp;$M$2,IncInvoice,$A22)-SUMIFS(IncPayAmount,IncDocDate,"&lt;="&amp;$M$2,IncPayDate,"&lt;="&amp;$M$2,IncInvoice,$A22))</f>
        <v>0</v>
      </c>
      <c r="M22" s="29" cm="1">
        <f t="array" aca="1" ref="M22" ca="1">P22-IF(IncTaxCount=2,SUM($N22:$O22),$N22:$N22)</f>
        <v>92999.999999999985</v>
      </c>
      <c r="N22" s="29">
        <f ca="1">$P22/(1+IF(ISERROR($F22),0,IF(ISNA(MATCH($F22,TaxCode,0)),0,OFFSET(Setup!$D$15,MATCH($F22,TaxCode,0),0,1,1)))+IF(ISERROR($G22),0,IF(ISNA(MATCH($G22,TaxCode,0)),0,OFFSET(Setup!$D$15,MATCH($G22,TaxCode,0),0,1,1))))*IF(ISERROR($F22),0,IF(ISNA(MATCH($F22,TaxCode,0)),0,OFFSET(Setup!$D$15,MATCH($F22,TaxCode,0),0,1,1)))</f>
        <v>13950</v>
      </c>
      <c r="O22" s="29">
        <f ca="1">$P22/(1+IF(ISERROR($F22),0,IF(ISNA(MATCH($F22,TaxCode,0)),0,OFFSET(Setup!$D$15,MATCH($F22,TaxCode,0),0,1,1)))+IF(ISERROR($G22),0,IF(ISNA(MATCH($G22,TaxCode,0)),0,OFFSET(Setup!$D$15,MATCH($G22,TaxCode,0),0,1,1))))*IF(ISERROR($G22),0,IF(ISNA(MATCH($G22,TaxCode,0)),0,OFFSET(Setup!$D$15,MATCH($G22,TaxCode,0),0,1,1)))</f>
        <v>0</v>
      </c>
      <c r="P22" s="29">
        <f t="shared" si="0"/>
        <v>106949.99999999999</v>
      </c>
      <c r="Q22" s="63" t="str">
        <f t="shared" si="1"/>
        <v>Y</v>
      </c>
      <c r="R22" s="63" t="str">
        <f t="shared" ca="1" si="2"/>
        <v>-</v>
      </c>
    </row>
    <row r="23" spans="1:18" ht="16" customHeight="1" x14ac:dyDescent="0.25">
      <c r="A23" s="17" t="s">
        <v>449</v>
      </c>
      <c r="B23" s="10">
        <v>43958</v>
      </c>
      <c r="C23" s="17" t="s">
        <v>138</v>
      </c>
      <c r="D23" s="4" t="s">
        <v>475</v>
      </c>
      <c r="E23" s="29">
        <v>9464.5</v>
      </c>
      <c r="F23" s="63" t="s">
        <v>93</v>
      </c>
      <c r="G23" s="63" t="s">
        <v>108</v>
      </c>
      <c r="H23" s="63" t="s">
        <v>145</v>
      </c>
      <c r="I23" s="30" t="s">
        <v>317</v>
      </c>
      <c r="J23" s="63">
        <v>9464.5</v>
      </c>
      <c r="K23" s="10">
        <v>43988</v>
      </c>
      <c r="L23" s="63" cm="1">
        <f t="array" aca="1" ref="L23" ca="1">IF($Q23="N",0,SUMIFS(IncIncl,IncDocDate,"&lt;="&amp;$M$2,IncInvoice,$A23)-SUMIFS(IncPayAmount,IncDocDate,"&lt;="&amp;$M$2,IncPayDate,"&lt;="&amp;$M$2,IncInvoice,$A23))</f>
        <v>0</v>
      </c>
      <c r="M23" s="29" cm="1">
        <f t="array" aca="1" ref="M23" ca="1">P23-IF(IncTaxCount=2,SUM($N23:$O23),$N23:$N23)</f>
        <v>8230</v>
      </c>
      <c r="N23" s="29">
        <f ca="1">$P23/(1+IF(ISERROR($F23),0,IF(ISNA(MATCH($F23,TaxCode,0)),0,OFFSET(Setup!$D$15,MATCH($F23,TaxCode,0),0,1,1)))+IF(ISERROR($G23),0,IF(ISNA(MATCH($G23,TaxCode,0)),0,OFFSET(Setup!$D$15,MATCH($G23,TaxCode,0),0,1,1))))*IF(ISERROR($F23),0,IF(ISNA(MATCH($F23,TaxCode,0)),0,OFFSET(Setup!$D$15,MATCH($F23,TaxCode,0),0,1,1)))</f>
        <v>1234.5</v>
      </c>
      <c r="O23" s="29">
        <f ca="1">$P23/(1+IF(ISERROR($F23),0,IF(ISNA(MATCH($F23,TaxCode,0)),0,OFFSET(Setup!$D$15,MATCH($F23,TaxCode,0),0,1,1)))+IF(ISERROR($G23),0,IF(ISNA(MATCH($G23,TaxCode,0)),0,OFFSET(Setup!$D$15,MATCH($G23,TaxCode,0),0,1,1))))*IF(ISERROR($G23),0,IF(ISNA(MATCH($G23,TaxCode,0)),0,OFFSET(Setup!$D$15,MATCH($G23,TaxCode,0),0,1,1)))</f>
        <v>0</v>
      </c>
      <c r="P23" s="29">
        <f t="shared" si="0"/>
        <v>9464.5</v>
      </c>
      <c r="Q23" s="63" t="str">
        <f t="shared" si="1"/>
        <v>Y</v>
      </c>
      <c r="R23" s="63" t="str">
        <f t="shared" ca="1" si="2"/>
        <v>-</v>
      </c>
    </row>
    <row r="24" spans="1:18" ht="16" customHeight="1" x14ac:dyDescent="0.25">
      <c r="A24" s="17" t="s">
        <v>487</v>
      </c>
      <c r="B24" s="10">
        <v>43958</v>
      </c>
      <c r="C24" s="17" t="s">
        <v>479</v>
      </c>
      <c r="D24" s="4" t="s">
        <v>441</v>
      </c>
      <c r="E24" s="29">
        <v>1609.9999999999998</v>
      </c>
      <c r="F24" s="63" t="s">
        <v>93</v>
      </c>
      <c r="G24" s="63" t="s">
        <v>108</v>
      </c>
      <c r="H24" s="63" t="s">
        <v>145</v>
      </c>
      <c r="I24" s="30" t="s">
        <v>318</v>
      </c>
      <c r="J24" s="63">
        <v>1609.9999999999998</v>
      </c>
      <c r="K24" s="10">
        <v>43958</v>
      </c>
      <c r="L24" s="63" cm="1">
        <f t="array" aca="1" ref="L24" ca="1">IF($Q24="N",0,SUMIFS(IncIncl,IncDocDate,"&lt;="&amp;$M$2,IncInvoice,$A24)-SUMIFS(IncPayAmount,IncDocDate,"&lt;="&amp;$M$2,IncPayDate,"&lt;="&amp;$M$2,IncInvoice,$A24))</f>
        <v>0</v>
      </c>
      <c r="M24" s="29" cm="1">
        <f t="array" aca="1" ref="M24" ca="1">P24-IF(IncTaxCount=2,SUM($N24:$O24),$N24:$N24)</f>
        <v>1399.9999999999998</v>
      </c>
      <c r="N24" s="29">
        <f ca="1">$P24/(1+IF(ISERROR($F24),0,IF(ISNA(MATCH($F24,TaxCode,0)),0,OFFSET(Setup!$D$15,MATCH($F24,TaxCode,0),0,1,1)))+IF(ISERROR($G24),0,IF(ISNA(MATCH($G24,TaxCode,0)),0,OFFSET(Setup!$D$15,MATCH($G24,TaxCode,0),0,1,1))))*IF(ISERROR($F24),0,IF(ISNA(MATCH($F24,TaxCode,0)),0,OFFSET(Setup!$D$15,MATCH($F24,TaxCode,0),0,1,1)))</f>
        <v>210</v>
      </c>
      <c r="O24" s="29">
        <f ca="1">$P24/(1+IF(ISERROR($F24),0,IF(ISNA(MATCH($F24,TaxCode,0)),0,OFFSET(Setup!$D$15,MATCH($F24,TaxCode,0),0,1,1)))+IF(ISERROR($G24),0,IF(ISNA(MATCH($G24,TaxCode,0)),0,OFFSET(Setup!$D$15,MATCH($G24,TaxCode,0),0,1,1))))*IF(ISERROR($G24),0,IF(ISNA(MATCH($G24,TaxCode,0)),0,OFFSET(Setup!$D$15,MATCH($G24,TaxCode,0),0,1,1)))</f>
        <v>0</v>
      </c>
      <c r="P24" s="29">
        <f t="shared" si="0"/>
        <v>1609.9999999999998</v>
      </c>
      <c r="Q24" s="63" t="str">
        <f t="shared" si="1"/>
        <v>Y</v>
      </c>
      <c r="R24" s="63" t="str">
        <f t="shared" ca="1" si="2"/>
        <v>-</v>
      </c>
    </row>
    <row r="25" spans="1:18" ht="16" customHeight="1" x14ac:dyDescent="0.25">
      <c r="A25" s="17" t="s">
        <v>450</v>
      </c>
      <c r="B25" s="10">
        <v>43961</v>
      </c>
      <c r="C25" s="17" t="s">
        <v>138</v>
      </c>
      <c r="D25" s="4" t="s">
        <v>475</v>
      </c>
      <c r="E25" s="29">
        <v>26219.999999999996</v>
      </c>
      <c r="F25" s="63" t="s">
        <v>93</v>
      </c>
      <c r="G25" s="63" t="s">
        <v>108</v>
      </c>
      <c r="H25" s="63" t="s">
        <v>145</v>
      </c>
      <c r="I25" s="30" t="s">
        <v>317</v>
      </c>
      <c r="J25" s="63">
        <v>26219.999999999996</v>
      </c>
      <c r="K25" s="10">
        <v>43991</v>
      </c>
      <c r="L25" s="63" cm="1">
        <f t="array" aca="1" ref="L25" ca="1">IF($Q25="N",0,SUMIFS(IncIncl,IncDocDate,"&lt;="&amp;$M$2,IncInvoice,$A25)-SUMIFS(IncPayAmount,IncDocDate,"&lt;="&amp;$M$2,IncPayDate,"&lt;="&amp;$M$2,IncInvoice,$A25))</f>
        <v>0</v>
      </c>
      <c r="M25" s="29" cm="1">
        <f t="array" aca="1" ref="M25" ca="1">P25-IF(IncTaxCount=2,SUM($N25:$O25),$N25:$N25)</f>
        <v>22799.999999999996</v>
      </c>
      <c r="N25" s="29">
        <f ca="1">$P25/(1+IF(ISERROR($F25),0,IF(ISNA(MATCH($F25,TaxCode,0)),0,OFFSET(Setup!$D$15,MATCH($F25,TaxCode,0),0,1,1)))+IF(ISERROR($G25),0,IF(ISNA(MATCH($G25,TaxCode,0)),0,OFFSET(Setup!$D$15,MATCH($G25,TaxCode,0),0,1,1))))*IF(ISERROR($F25),0,IF(ISNA(MATCH($F25,TaxCode,0)),0,OFFSET(Setup!$D$15,MATCH($F25,TaxCode,0),0,1,1)))</f>
        <v>3420</v>
      </c>
      <c r="O25" s="29">
        <f ca="1">$P25/(1+IF(ISERROR($F25),0,IF(ISNA(MATCH($F25,TaxCode,0)),0,OFFSET(Setup!$D$15,MATCH($F25,TaxCode,0),0,1,1)))+IF(ISERROR($G25),0,IF(ISNA(MATCH($G25,TaxCode,0)),0,OFFSET(Setup!$D$15,MATCH($G25,TaxCode,0),0,1,1))))*IF(ISERROR($G25),0,IF(ISNA(MATCH($G25,TaxCode,0)),0,OFFSET(Setup!$D$15,MATCH($G25,TaxCode,0),0,1,1)))</f>
        <v>0</v>
      </c>
      <c r="P25" s="29">
        <f t="shared" si="0"/>
        <v>26219.999999999996</v>
      </c>
      <c r="Q25" s="63" t="str">
        <f t="shared" si="1"/>
        <v>Y</v>
      </c>
      <c r="R25" s="63" t="str">
        <f t="shared" ca="1" si="2"/>
        <v>-</v>
      </c>
    </row>
    <row r="26" spans="1:18" ht="16" customHeight="1" x14ac:dyDescent="0.25">
      <c r="A26" s="17" t="s">
        <v>484</v>
      </c>
      <c r="B26" s="10">
        <v>43976</v>
      </c>
      <c r="C26" s="17" t="s">
        <v>476</v>
      </c>
      <c r="D26" s="4" t="s">
        <v>474</v>
      </c>
      <c r="E26" s="29">
        <v>15200</v>
      </c>
      <c r="F26" s="63" t="s">
        <v>108</v>
      </c>
      <c r="G26" s="63" t="s">
        <v>108</v>
      </c>
      <c r="H26" s="63" t="s">
        <v>147</v>
      </c>
      <c r="I26" s="30" t="s">
        <v>316</v>
      </c>
      <c r="J26" s="63">
        <v>15200</v>
      </c>
      <c r="K26" s="10">
        <v>43987</v>
      </c>
      <c r="L26" s="63" cm="1">
        <f t="array" aca="1" ref="L26" ca="1">IF($Q26="N",0,SUMIFS(IncIncl,IncDocDate,"&lt;="&amp;$M$2,IncInvoice,$A26)-SUMIFS(IncPayAmount,IncDocDate,"&lt;="&amp;$M$2,IncPayDate,"&lt;="&amp;$M$2,IncInvoice,$A26))</f>
        <v>0</v>
      </c>
      <c r="M26" s="29" cm="1">
        <f t="array" aca="1" ref="M26" ca="1">P26-IF(IncTaxCount=2,SUM($N26:$O26),$N26:$N26)</f>
        <v>15200</v>
      </c>
      <c r="N26" s="29">
        <f ca="1">$P26/(1+IF(ISERROR($F26),0,IF(ISNA(MATCH($F26,TaxCode,0)),0,OFFSET(Setup!$D$15,MATCH($F26,TaxCode,0),0,1,1)))+IF(ISERROR($G26),0,IF(ISNA(MATCH($G26,TaxCode,0)),0,OFFSET(Setup!$D$15,MATCH($G26,TaxCode,0),0,1,1))))*IF(ISERROR($F26),0,IF(ISNA(MATCH($F26,TaxCode,0)),0,OFFSET(Setup!$D$15,MATCH($F26,TaxCode,0),0,1,1)))</f>
        <v>0</v>
      </c>
      <c r="O26" s="29">
        <f ca="1">$P26/(1+IF(ISERROR($F26),0,IF(ISNA(MATCH($F26,TaxCode,0)),0,OFFSET(Setup!$D$15,MATCH($F26,TaxCode,0),0,1,1)))+IF(ISERROR($G26),0,IF(ISNA(MATCH($G26,TaxCode,0)),0,OFFSET(Setup!$D$15,MATCH($G26,TaxCode,0),0,1,1))))*IF(ISERROR($G26),0,IF(ISNA(MATCH($G26,TaxCode,0)),0,OFFSET(Setup!$D$15,MATCH($G26,TaxCode,0),0,1,1)))</f>
        <v>0</v>
      </c>
      <c r="P26" s="29">
        <f t="shared" si="0"/>
        <v>15200</v>
      </c>
      <c r="Q26" s="63" t="str">
        <f t="shared" si="1"/>
        <v>Y</v>
      </c>
      <c r="R26" s="63" t="str">
        <f t="shared" ca="1" si="2"/>
        <v>-</v>
      </c>
    </row>
    <row r="27" spans="1:18" ht="16" customHeight="1" x14ac:dyDescent="0.25">
      <c r="A27" s="17" t="s">
        <v>451</v>
      </c>
      <c r="B27" s="10">
        <v>43982</v>
      </c>
      <c r="C27" s="17" t="s">
        <v>137</v>
      </c>
      <c r="D27" s="4" t="s">
        <v>475</v>
      </c>
      <c r="E27" s="29">
        <v>67907.5</v>
      </c>
      <c r="F27" s="63" t="s">
        <v>93</v>
      </c>
      <c r="G27" s="63" t="s">
        <v>108</v>
      </c>
      <c r="H27" s="63" t="s">
        <v>145</v>
      </c>
      <c r="I27" s="30" t="s">
        <v>317</v>
      </c>
      <c r="J27" s="63">
        <v>67907.5</v>
      </c>
      <c r="K27" s="10">
        <v>44012</v>
      </c>
      <c r="L27" s="63" cm="1">
        <f t="array" aca="1" ref="L27" ca="1">IF($Q27="N",0,SUMIFS(IncIncl,IncDocDate,"&lt;="&amp;$M$2,IncInvoice,$A27)-SUMIFS(IncPayAmount,IncDocDate,"&lt;="&amp;$M$2,IncPayDate,"&lt;="&amp;$M$2,IncInvoice,$A27))</f>
        <v>0</v>
      </c>
      <c r="M27" s="29" cm="1">
        <f t="array" aca="1" ref="M27" ca="1">P27-IF(IncTaxCount=2,SUM($N27:$O27),$N27:$N27)</f>
        <v>59050</v>
      </c>
      <c r="N27" s="29">
        <f ca="1">$P27/(1+IF(ISERROR($F27),0,IF(ISNA(MATCH($F27,TaxCode,0)),0,OFFSET(Setup!$D$15,MATCH($F27,TaxCode,0),0,1,1)))+IF(ISERROR($G27),0,IF(ISNA(MATCH($G27,TaxCode,0)),0,OFFSET(Setup!$D$15,MATCH($G27,TaxCode,0),0,1,1))))*IF(ISERROR($F27),0,IF(ISNA(MATCH($F27,TaxCode,0)),0,OFFSET(Setup!$D$15,MATCH($F27,TaxCode,0),0,1,1)))</f>
        <v>8857.5</v>
      </c>
      <c r="O27" s="29">
        <f ca="1">$P27/(1+IF(ISERROR($F27),0,IF(ISNA(MATCH($F27,TaxCode,0)),0,OFFSET(Setup!$D$15,MATCH($F27,TaxCode,0),0,1,1)))+IF(ISERROR($G27),0,IF(ISNA(MATCH($G27,TaxCode,0)),0,OFFSET(Setup!$D$15,MATCH($G27,TaxCode,0),0,1,1))))*IF(ISERROR($G27),0,IF(ISNA(MATCH($G27,TaxCode,0)),0,OFFSET(Setup!$D$15,MATCH($G27,TaxCode,0),0,1,1)))</f>
        <v>0</v>
      </c>
      <c r="P27" s="29">
        <f t="shared" si="0"/>
        <v>67907.5</v>
      </c>
      <c r="Q27" s="63" t="str">
        <f t="shared" si="1"/>
        <v>Y</v>
      </c>
      <c r="R27" s="63" t="str">
        <f t="shared" ca="1" si="2"/>
        <v>-</v>
      </c>
    </row>
    <row r="28" spans="1:18" ht="16" customHeight="1" x14ac:dyDescent="0.25">
      <c r="A28" s="17" t="s">
        <v>488</v>
      </c>
      <c r="B28" s="10">
        <v>43983</v>
      </c>
      <c r="C28" s="17" t="s">
        <v>165</v>
      </c>
      <c r="D28" s="4" t="s">
        <v>480</v>
      </c>
      <c r="E28" s="29">
        <v>170.21</v>
      </c>
      <c r="F28" s="63" t="s">
        <v>108</v>
      </c>
      <c r="G28" s="63" t="s">
        <v>108</v>
      </c>
      <c r="H28" s="63" t="s">
        <v>147</v>
      </c>
      <c r="I28" s="30" t="s">
        <v>314</v>
      </c>
      <c r="J28" s="63">
        <v>170.21</v>
      </c>
      <c r="K28" s="10">
        <v>43983</v>
      </c>
      <c r="L28" s="63" cm="1">
        <f t="array" aca="1" ref="L28" ca="1">IF($Q28="N",0,SUMIFS(IncIncl,IncDocDate,"&lt;="&amp;$M$2,IncInvoice,$A28)-SUMIFS(IncPayAmount,IncDocDate,"&lt;="&amp;$M$2,IncPayDate,"&lt;="&amp;$M$2,IncInvoice,$A28))</f>
        <v>0</v>
      </c>
      <c r="M28" s="29" cm="1">
        <f t="array" aca="1" ref="M28" ca="1">P28-IF(IncTaxCount=2,SUM($N28:$O28),$N28:$N28)</f>
        <v>170.21</v>
      </c>
      <c r="N28" s="29">
        <f ca="1">$P28/(1+IF(ISERROR($F28),0,IF(ISNA(MATCH($F28,TaxCode,0)),0,OFFSET(Setup!$D$15,MATCH($F28,TaxCode,0),0,1,1)))+IF(ISERROR($G28),0,IF(ISNA(MATCH($G28,TaxCode,0)),0,OFFSET(Setup!$D$15,MATCH($G28,TaxCode,0),0,1,1))))*IF(ISERROR($F28),0,IF(ISNA(MATCH($F28,TaxCode,0)),0,OFFSET(Setup!$D$15,MATCH($F28,TaxCode,0),0,1,1)))</f>
        <v>0</v>
      </c>
      <c r="O28" s="29">
        <f ca="1">$P28/(1+IF(ISERROR($F28),0,IF(ISNA(MATCH($F28,TaxCode,0)),0,OFFSET(Setup!$D$15,MATCH($F28,TaxCode,0),0,1,1)))+IF(ISERROR($G28),0,IF(ISNA(MATCH($G28,TaxCode,0)),0,OFFSET(Setup!$D$15,MATCH($G28,TaxCode,0),0,1,1))))*IF(ISERROR($G28),0,IF(ISNA(MATCH($G28,TaxCode,0)),0,OFFSET(Setup!$D$15,MATCH($G28,TaxCode,0),0,1,1)))</f>
        <v>0</v>
      </c>
      <c r="P28" s="29">
        <f t="shared" si="0"/>
        <v>170.21</v>
      </c>
      <c r="Q28" s="63" t="str">
        <f t="shared" si="1"/>
        <v>Y</v>
      </c>
      <c r="R28" s="63" t="str">
        <f t="shared" ca="1" si="2"/>
        <v>-</v>
      </c>
    </row>
    <row r="29" spans="1:18" ht="16" customHeight="1" x14ac:dyDescent="0.25">
      <c r="A29" s="17" t="s">
        <v>497</v>
      </c>
      <c r="B29" s="10">
        <v>43989</v>
      </c>
      <c r="C29" s="17" t="s">
        <v>479</v>
      </c>
      <c r="D29" s="4" t="s">
        <v>441</v>
      </c>
      <c r="E29" s="29">
        <v>1839.9999999999998</v>
      </c>
      <c r="F29" s="63" t="s">
        <v>93</v>
      </c>
      <c r="G29" s="63" t="s">
        <v>108</v>
      </c>
      <c r="H29" s="63" t="s">
        <v>145</v>
      </c>
      <c r="I29" s="30" t="s">
        <v>318</v>
      </c>
      <c r="J29" s="63">
        <v>1839.9999999999998</v>
      </c>
      <c r="K29" s="10">
        <v>43989</v>
      </c>
      <c r="L29" s="63" cm="1">
        <f t="array" aca="1" ref="L29" ca="1">IF($Q29="N",0,SUMIFS(IncIncl,IncDocDate,"&lt;="&amp;$M$2,IncInvoice,$A29)-SUMIFS(IncPayAmount,IncDocDate,"&lt;="&amp;$M$2,IncPayDate,"&lt;="&amp;$M$2,IncInvoice,$A29))</f>
        <v>0</v>
      </c>
      <c r="M29" s="29" cm="1">
        <f t="array" aca="1" ref="M29" ca="1">P29-IF(IncTaxCount=2,SUM($N29:$O29),$N29:$N29)</f>
        <v>1599.9999999999998</v>
      </c>
      <c r="N29" s="29">
        <f ca="1">$P29/(1+IF(ISERROR($F29),0,IF(ISNA(MATCH($F29,TaxCode,0)),0,OFFSET(Setup!$D$15,MATCH($F29,TaxCode,0),0,1,1)))+IF(ISERROR($G29),0,IF(ISNA(MATCH($G29,TaxCode,0)),0,OFFSET(Setup!$D$15,MATCH($G29,TaxCode,0),0,1,1))))*IF(ISERROR($F29),0,IF(ISNA(MATCH($F29,TaxCode,0)),0,OFFSET(Setup!$D$15,MATCH($F29,TaxCode,0),0,1,1)))</f>
        <v>240</v>
      </c>
      <c r="O29" s="29">
        <f ca="1">$P29/(1+IF(ISERROR($F29),0,IF(ISNA(MATCH($F29,TaxCode,0)),0,OFFSET(Setup!$D$15,MATCH($F29,TaxCode,0),0,1,1)))+IF(ISERROR($G29),0,IF(ISNA(MATCH($G29,TaxCode,0)),0,OFFSET(Setup!$D$15,MATCH($G29,TaxCode,0),0,1,1))))*IF(ISERROR($G29),0,IF(ISNA(MATCH($G29,TaxCode,0)),0,OFFSET(Setup!$D$15,MATCH($G29,TaxCode,0),0,1,1)))</f>
        <v>0</v>
      </c>
      <c r="P29" s="29">
        <f t="shared" si="0"/>
        <v>1839.9999999999998</v>
      </c>
      <c r="Q29" s="63" t="str">
        <f t="shared" si="1"/>
        <v>Y</v>
      </c>
      <c r="R29" s="63" t="str">
        <f t="shared" ca="1" si="2"/>
        <v>-</v>
      </c>
    </row>
    <row r="30" spans="1:18" ht="16" customHeight="1" x14ac:dyDescent="0.25">
      <c r="A30" s="17" t="s">
        <v>489</v>
      </c>
      <c r="B30" s="10">
        <v>44007</v>
      </c>
      <c r="C30" s="17" t="s">
        <v>476</v>
      </c>
      <c r="D30" s="4" t="s">
        <v>474</v>
      </c>
      <c r="E30" s="29">
        <v>9500</v>
      </c>
      <c r="F30" s="63" t="s">
        <v>108</v>
      </c>
      <c r="G30" s="63" t="s">
        <v>108</v>
      </c>
      <c r="H30" s="63" t="s">
        <v>147</v>
      </c>
      <c r="I30" s="30" t="s">
        <v>316</v>
      </c>
      <c r="J30" s="63">
        <v>9500</v>
      </c>
      <c r="K30" s="10">
        <v>44017</v>
      </c>
      <c r="L30" s="63" cm="1">
        <f t="array" aca="1" ref="L30" ca="1">IF($Q30="N",0,SUMIFS(IncIncl,IncDocDate,"&lt;="&amp;$M$2,IncInvoice,$A30)-SUMIFS(IncPayAmount,IncDocDate,"&lt;="&amp;$M$2,IncPayDate,"&lt;="&amp;$M$2,IncInvoice,$A30))</f>
        <v>0</v>
      </c>
      <c r="M30" s="29" cm="1">
        <f t="array" aca="1" ref="M30" ca="1">P30-IF(IncTaxCount=2,SUM($N30:$O30),$N30:$N30)</f>
        <v>9500</v>
      </c>
      <c r="N30" s="29">
        <f ca="1">$P30/(1+IF(ISERROR($F30),0,IF(ISNA(MATCH($F30,TaxCode,0)),0,OFFSET(Setup!$D$15,MATCH($F30,TaxCode,0),0,1,1)))+IF(ISERROR($G30),0,IF(ISNA(MATCH($G30,TaxCode,0)),0,OFFSET(Setup!$D$15,MATCH($G30,TaxCode,0),0,1,1))))*IF(ISERROR($F30),0,IF(ISNA(MATCH($F30,TaxCode,0)),0,OFFSET(Setup!$D$15,MATCH($F30,TaxCode,0),0,1,1)))</f>
        <v>0</v>
      </c>
      <c r="O30" s="29">
        <f ca="1">$P30/(1+IF(ISERROR($F30),0,IF(ISNA(MATCH($F30,TaxCode,0)),0,OFFSET(Setup!$D$15,MATCH($F30,TaxCode,0),0,1,1)))+IF(ISERROR($G30),0,IF(ISNA(MATCH($G30,TaxCode,0)),0,OFFSET(Setup!$D$15,MATCH($G30,TaxCode,0),0,1,1))))*IF(ISERROR($G30),0,IF(ISNA(MATCH($G30,TaxCode,0)),0,OFFSET(Setup!$D$15,MATCH($G30,TaxCode,0),0,1,1)))</f>
        <v>0</v>
      </c>
      <c r="P30" s="29">
        <f t="shared" si="0"/>
        <v>9500</v>
      </c>
      <c r="Q30" s="63" t="str">
        <f t="shared" si="1"/>
        <v>Y</v>
      </c>
      <c r="R30" s="63" t="str">
        <f t="shared" ca="1" si="2"/>
        <v>-</v>
      </c>
    </row>
    <row r="31" spans="1:18" ht="16" customHeight="1" x14ac:dyDescent="0.25">
      <c r="A31" s="17" t="s">
        <v>452</v>
      </c>
      <c r="B31" s="10">
        <v>44008</v>
      </c>
      <c r="C31" s="17" t="s">
        <v>132</v>
      </c>
      <c r="D31" s="4" t="s">
        <v>475</v>
      </c>
      <c r="E31" s="29">
        <v>154100</v>
      </c>
      <c r="F31" s="63" t="s">
        <v>93</v>
      </c>
      <c r="G31" s="63" t="s">
        <v>108</v>
      </c>
      <c r="H31" s="63" t="s">
        <v>145</v>
      </c>
      <c r="I31" s="30" t="s">
        <v>317</v>
      </c>
      <c r="J31" s="63">
        <v>154100</v>
      </c>
      <c r="K31" s="10">
        <v>44038</v>
      </c>
      <c r="L31" s="63" cm="1">
        <f t="array" aca="1" ref="L31" ca="1">IF($Q31="N",0,SUMIFS(IncIncl,IncDocDate,"&lt;="&amp;$M$2,IncInvoice,$A31)-SUMIFS(IncPayAmount,IncDocDate,"&lt;="&amp;$M$2,IncPayDate,"&lt;="&amp;$M$2,IncInvoice,$A31))</f>
        <v>0</v>
      </c>
      <c r="M31" s="29" cm="1">
        <f t="array" aca="1" ref="M31" ca="1">P31-IF(IncTaxCount=2,SUM($N31:$O31),$N31:$N31)</f>
        <v>134000</v>
      </c>
      <c r="N31" s="29">
        <f ca="1">$P31/(1+IF(ISERROR($F31),0,IF(ISNA(MATCH($F31,TaxCode,0)),0,OFFSET(Setup!$D$15,MATCH($F31,TaxCode,0),0,1,1)))+IF(ISERROR($G31),0,IF(ISNA(MATCH($G31,TaxCode,0)),0,OFFSET(Setup!$D$15,MATCH($G31,TaxCode,0),0,1,1))))*IF(ISERROR($F31),0,IF(ISNA(MATCH($F31,TaxCode,0)),0,OFFSET(Setup!$D$15,MATCH($F31,TaxCode,0),0,1,1)))</f>
        <v>20100</v>
      </c>
      <c r="O31" s="29">
        <f ca="1">$P31/(1+IF(ISERROR($F31),0,IF(ISNA(MATCH($F31,TaxCode,0)),0,OFFSET(Setup!$D$15,MATCH($F31,TaxCode,0),0,1,1)))+IF(ISERROR($G31),0,IF(ISNA(MATCH($G31,TaxCode,0)),0,OFFSET(Setup!$D$15,MATCH($G31,TaxCode,0),0,1,1))))*IF(ISERROR($G31),0,IF(ISNA(MATCH($G31,TaxCode,0)),0,OFFSET(Setup!$D$15,MATCH($G31,TaxCode,0),0,1,1)))</f>
        <v>0</v>
      </c>
      <c r="P31" s="29">
        <f t="shared" si="0"/>
        <v>154100</v>
      </c>
      <c r="Q31" s="63" t="str">
        <f t="shared" si="1"/>
        <v>Y</v>
      </c>
      <c r="R31" s="63" t="str">
        <f t="shared" ca="1" si="2"/>
        <v>-</v>
      </c>
    </row>
    <row r="32" spans="1:18" ht="16" customHeight="1" x14ac:dyDescent="0.25">
      <c r="A32" s="17" t="s">
        <v>453</v>
      </c>
      <c r="B32" s="10">
        <v>44011</v>
      </c>
      <c r="C32" s="17" t="s">
        <v>141</v>
      </c>
      <c r="D32" s="4" t="s">
        <v>475</v>
      </c>
      <c r="E32" s="29">
        <v>14420.999999999998</v>
      </c>
      <c r="F32" s="63" t="s">
        <v>93</v>
      </c>
      <c r="G32" s="63" t="s">
        <v>108</v>
      </c>
      <c r="H32" s="63" t="s">
        <v>145</v>
      </c>
      <c r="I32" s="30" t="s">
        <v>317</v>
      </c>
      <c r="J32" s="63">
        <v>14420.999999999998</v>
      </c>
      <c r="K32" s="10">
        <v>44028</v>
      </c>
      <c r="L32" s="63" cm="1">
        <f t="array" aca="1" ref="L32" ca="1">IF($Q32="N",0,SUMIFS(IncIncl,IncDocDate,"&lt;="&amp;$M$2,IncInvoice,$A32)-SUMIFS(IncPayAmount,IncDocDate,"&lt;="&amp;$M$2,IncPayDate,"&lt;="&amp;$M$2,IncInvoice,$A32))</f>
        <v>0</v>
      </c>
      <c r="M32" s="29" cm="1">
        <f t="array" aca="1" ref="M32" ca="1">P32-IF(IncTaxCount=2,SUM($N32:$O32),$N32:$N32)</f>
        <v>12539.999999999998</v>
      </c>
      <c r="N32" s="29">
        <f ca="1">$P32/(1+IF(ISERROR($F32),0,IF(ISNA(MATCH($F32,TaxCode,0)),0,OFFSET(Setup!$D$15,MATCH($F32,TaxCode,0),0,1,1)))+IF(ISERROR($G32),0,IF(ISNA(MATCH($G32,TaxCode,0)),0,OFFSET(Setup!$D$15,MATCH($G32,TaxCode,0),0,1,1))))*IF(ISERROR($F32),0,IF(ISNA(MATCH($F32,TaxCode,0)),0,OFFSET(Setup!$D$15,MATCH($F32,TaxCode,0),0,1,1)))</f>
        <v>1881</v>
      </c>
      <c r="O32" s="29">
        <f ca="1">$P32/(1+IF(ISERROR($F32),0,IF(ISNA(MATCH($F32,TaxCode,0)),0,OFFSET(Setup!$D$15,MATCH($F32,TaxCode,0),0,1,1)))+IF(ISERROR($G32),0,IF(ISNA(MATCH($G32,TaxCode,0)),0,OFFSET(Setup!$D$15,MATCH($G32,TaxCode,0),0,1,1))))*IF(ISERROR($G32),0,IF(ISNA(MATCH($G32,TaxCode,0)),0,OFFSET(Setup!$D$15,MATCH($G32,TaxCode,0),0,1,1)))</f>
        <v>0</v>
      </c>
      <c r="P32" s="29">
        <f t="shared" si="0"/>
        <v>14420.999999999998</v>
      </c>
      <c r="Q32" s="63" t="str">
        <f t="shared" si="1"/>
        <v>Y</v>
      </c>
      <c r="R32" s="63" t="str">
        <f t="shared" ca="1" si="2"/>
        <v>-</v>
      </c>
    </row>
    <row r="33" spans="1:18" ht="16" customHeight="1" x14ac:dyDescent="0.25">
      <c r="A33" s="17" t="s">
        <v>498</v>
      </c>
      <c r="B33" s="10">
        <v>44013</v>
      </c>
      <c r="C33" s="17" t="s">
        <v>165</v>
      </c>
      <c r="D33" s="4" t="s">
        <v>480</v>
      </c>
      <c r="E33" s="29">
        <v>165.23</v>
      </c>
      <c r="F33" s="63" t="s">
        <v>108</v>
      </c>
      <c r="G33" s="63" t="s">
        <v>108</v>
      </c>
      <c r="H33" s="63" t="s">
        <v>147</v>
      </c>
      <c r="I33" s="30" t="s">
        <v>314</v>
      </c>
      <c r="J33" s="63">
        <v>165.23</v>
      </c>
      <c r="K33" s="10">
        <v>44013</v>
      </c>
      <c r="L33" s="63" cm="1">
        <f t="array" aca="1" ref="L33" ca="1">IF($Q33="N",0,SUMIFS(IncIncl,IncDocDate,"&lt;="&amp;$M$2,IncInvoice,$A33)-SUMIFS(IncPayAmount,IncDocDate,"&lt;="&amp;$M$2,IncPayDate,"&lt;="&amp;$M$2,IncInvoice,$A33))</f>
        <v>0</v>
      </c>
      <c r="M33" s="29" cm="1">
        <f t="array" aca="1" ref="M33" ca="1">P33-IF(IncTaxCount=2,SUM($N33:$O33),$N33:$N33)</f>
        <v>165.23</v>
      </c>
      <c r="N33" s="29">
        <f ca="1">$P33/(1+IF(ISERROR($F33),0,IF(ISNA(MATCH($F33,TaxCode,0)),0,OFFSET(Setup!$D$15,MATCH($F33,TaxCode,0),0,1,1)))+IF(ISERROR($G33),0,IF(ISNA(MATCH($G33,TaxCode,0)),0,OFFSET(Setup!$D$15,MATCH($G33,TaxCode,0),0,1,1))))*IF(ISERROR($F33),0,IF(ISNA(MATCH($F33,TaxCode,0)),0,OFFSET(Setup!$D$15,MATCH($F33,TaxCode,0),0,1,1)))</f>
        <v>0</v>
      </c>
      <c r="O33" s="29">
        <f ca="1">$P33/(1+IF(ISERROR($F33),0,IF(ISNA(MATCH($F33,TaxCode,0)),0,OFFSET(Setup!$D$15,MATCH($F33,TaxCode,0),0,1,1)))+IF(ISERROR($G33),0,IF(ISNA(MATCH($G33,TaxCode,0)),0,OFFSET(Setup!$D$15,MATCH($G33,TaxCode,0),0,1,1))))*IF(ISERROR($G33),0,IF(ISNA(MATCH($G33,TaxCode,0)),0,OFFSET(Setup!$D$15,MATCH($G33,TaxCode,0),0,1,1)))</f>
        <v>0</v>
      </c>
      <c r="P33" s="29">
        <f t="shared" si="0"/>
        <v>165.23</v>
      </c>
      <c r="Q33" s="63" t="str">
        <f t="shared" si="1"/>
        <v>Y</v>
      </c>
      <c r="R33" s="63" t="str">
        <f t="shared" ca="1" si="2"/>
        <v>-</v>
      </c>
    </row>
    <row r="34" spans="1:18" ht="16" customHeight="1" x14ac:dyDescent="0.25">
      <c r="A34" s="17" t="s">
        <v>490</v>
      </c>
      <c r="B34" s="10">
        <v>44019</v>
      </c>
      <c r="C34" s="17" t="s">
        <v>479</v>
      </c>
      <c r="D34" s="4" t="s">
        <v>441</v>
      </c>
      <c r="E34" s="29">
        <v>2415</v>
      </c>
      <c r="F34" s="63" t="s">
        <v>93</v>
      </c>
      <c r="G34" s="63" t="s">
        <v>108</v>
      </c>
      <c r="H34" s="63" t="s">
        <v>145</v>
      </c>
      <c r="I34" s="30" t="s">
        <v>318</v>
      </c>
      <c r="J34" s="63">
        <v>2415</v>
      </c>
      <c r="K34" s="10">
        <v>44019</v>
      </c>
      <c r="L34" s="63" cm="1">
        <f t="array" aca="1" ref="L34" ca="1">IF($Q34="N",0,SUMIFS(IncIncl,IncDocDate,"&lt;="&amp;$M$2,IncInvoice,$A34)-SUMIFS(IncPayAmount,IncDocDate,"&lt;="&amp;$M$2,IncPayDate,"&lt;="&amp;$M$2,IncInvoice,$A34))</f>
        <v>0</v>
      </c>
      <c r="M34" s="29" cm="1">
        <f t="array" aca="1" ref="M34" ca="1">P34-IF(IncTaxCount=2,SUM($N34:$O34),$N34:$N34)</f>
        <v>2100</v>
      </c>
      <c r="N34" s="29">
        <f ca="1">$P34/(1+IF(ISERROR($F34),0,IF(ISNA(MATCH($F34,TaxCode,0)),0,OFFSET(Setup!$D$15,MATCH($F34,TaxCode,0),0,1,1)))+IF(ISERROR($G34),0,IF(ISNA(MATCH($G34,TaxCode,0)),0,OFFSET(Setup!$D$15,MATCH($G34,TaxCode,0),0,1,1))))*IF(ISERROR($F34),0,IF(ISNA(MATCH($F34,TaxCode,0)),0,OFFSET(Setup!$D$15,MATCH($F34,TaxCode,0),0,1,1)))</f>
        <v>315</v>
      </c>
      <c r="O34" s="29">
        <f ca="1">$P34/(1+IF(ISERROR($F34),0,IF(ISNA(MATCH($F34,TaxCode,0)),0,OFFSET(Setup!$D$15,MATCH($F34,TaxCode,0),0,1,1)))+IF(ISERROR($G34),0,IF(ISNA(MATCH($G34,TaxCode,0)),0,OFFSET(Setup!$D$15,MATCH($G34,TaxCode,0),0,1,1))))*IF(ISERROR($G34),0,IF(ISNA(MATCH($G34,TaxCode,0)),0,OFFSET(Setup!$D$15,MATCH($G34,TaxCode,0),0,1,1)))</f>
        <v>0</v>
      </c>
      <c r="P34" s="29">
        <f t="shared" si="0"/>
        <v>2415</v>
      </c>
      <c r="Q34" s="63" t="str">
        <f t="shared" si="1"/>
        <v>Y</v>
      </c>
      <c r="R34" s="63" t="str">
        <f t="shared" ca="1" si="2"/>
        <v>-</v>
      </c>
    </row>
    <row r="35" spans="1:18" ht="16" customHeight="1" x14ac:dyDescent="0.25">
      <c r="A35" s="17" t="s">
        <v>454</v>
      </c>
      <c r="B35" s="10">
        <v>44023</v>
      </c>
      <c r="C35" s="17" t="s">
        <v>131</v>
      </c>
      <c r="D35" s="4" t="s">
        <v>475</v>
      </c>
      <c r="E35" s="29">
        <v>135700</v>
      </c>
      <c r="F35" s="63" t="s">
        <v>93</v>
      </c>
      <c r="G35" s="63" t="s">
        <v>108</v>
      </c>
      <c r="H35" s="63" t="s">
        <v>145</v>
      </c>
      <c r="I35" s="30" t="s">
        <v>317</v>
      </c>
      <c r="J35" s="63">
        <v>135700</v>
      </c>
      <c r="K35" s="10">
        <v>44028</v>
      </c>
      <c r="L35" s="63" cm="1">
        <f t="array" aca="1" ref="L35" ca="1">IF($Q35="N",0,SUMIFS(IncIncl,IncDocDate,"&lt;="&amp;$M$2,IncInvoice,$A35)-SUMIFS(IncPayAmount,IncDocDate,"&lt;="&amp;$M$2,IncPayDate,"&lt;="&amp;$M$2,IncInvoice,$A35))</f>
        <v>0</v>
      </c>
      <c r="M35" s="29" cm="1">
        <f t="array" aca="1" ref="M35" ca="1">P35-IF(IncTaxCount=2,SUM($N35:$O35),$N35:$N35)</f>
        <v>118000</v>
      </c>
      <c r="N35" s="29">
        <f ca="1">$P35/(1+IF(ISERROR($F35),0,IF(ISNA(MATCH($F35,TaxCode,0)),0,OFFSET(Setup!$D$15,MATCH($F35,TaxCode,0),0,1,1)))+IF(ISERROR($G35),0,IF(ISNA(MATCH($G35,TaxCode,0)),0,OFFSET(Setup!$D$15,MATCH($G35,TaxCode,0),0,1,1))))*IF(ISERROR($F35),0,IF(ISNA(MATCH($F35,TaxCode,0)),0,OFFSET(Setup!$D$15,MATCH($F35,TaxCode,0),0,1,1)))</f>
        <v>17700</v>
      </c>
      <c r="O35" s="29">
        <f ca="1">$P35/(1+IF(ISERROR($F35),0,IF(ISNA(MATCH($F35,TaxCode,0)),0,OFFSET(Setup!$D$15,MATCH($F35,TaxCode,0),0,1,1)))+IF(ISERROR($G35),0,IF(ISNA(MATCH($G35,TaxCode,0)),0,OFFSET(Setup!$D$15,MATCH($G35,TaxCode,0),0,1,1))))*IF(ISERROR($G35),0,IF(ISNA(MATCH($G35,TaxCode,0)),0,OFFSET(Setup!$D$15,MATCH($G35,TaxCode,0),0,1,1)))</f>
        <v>0</v>
      </c>
      <c r="P35" s="29">
        <f t="shared" si="0"/>
        <v>135700</v>
      </c>
      <c r="Q35" s="63" t="str">
        <f t="shared" si="1"/>
        <v>Y</v>
      </c>
      <c r="R35" s="63" t="str">
        <f t="shared" ca="1" si="2"/>
        <v>-</v>
      </c>
    </row>
    <row r="36" spans="1:18" ht="16" customHeight="1" x14ac:dyDescent="0.25">
      <c r="A36" s="17" t="s">
        <v>455</v>
      </c>
      <c r="B36" s="10">
        <v>44034</v>
      </c>
      <c r="C36" s="17" t="s">
        <v>136</v>
      </c>
      <c r="D36" s="4" t="s">
        <v>475</v>
      </c>
      <c r="E36" s="29">
        <v>17480</v>
      </c>
      <c r="F36" s="63" t="s">
        <v>93</v>
      </c>
      <c r="G36" s="63" t="s">
        <v>108</v>
      </c>
      <c r="H36" s="63" t="s">
        <v>145</v>
      </c>
      <c r="I36" s="30" t="s">
        <v>317</v>
      </c>
      <c r="J36" s="63">
        <v>17480</v>
      </c>
      <c r="K36" s="10">
        <v>44064</v>
      </c>
      <c r="L36" s="63" cm="1">
        <f t="array" aca="1" ref="L36" ca="1">IF($Q36="N",0,SUMIFS(IncIncl,IncDocDate,"&lt;="&amp;$M$2,IncInvoice,$A36)-SUMIFS(IncPayAmount,IncDocDate,"&lt;="&amp;$M$2,IncPayDate,"&lt;="&amp;$M$2,IncInvoice,$A36))</f>
        <v>0</v>
      </c>
      <c r="M36" s="29" cm="1">
        <f t="array" aca="1" ref="M36" ca="1">P36-IF(IncTaxCount=2,SUM($N36:$O36),$N36:$N36)</f>
        <v>15200</v>
      </c>
      <c r="N36" s="29">
        <f ca="1">$P36/(1+IF(ISERROR($F36),0,IF(ISNA(MATCH($F36,TaxCode,0)),0,OFFSET(Setup!$D$15,MATCH($F36,TaxCode,0),0,1,1)))+IF(ISERROR($G36),0,IF(ISNA(MATCH($G36,TaxCode,0)),0,OFFSET(Setup!$D$15,MATCH($G36,TaxCode,0),0,1,1))))*IF(ISERROR($F36),0,IF(ISNA(MATCH($F36,TaxCode,0)),0,OFFSET(Setup!$D$15,MATCH($F36,TaxCode,0),0,1,1)))</f>
        <v>2280</v>
      </c>
      <c r="O36" s="29">
        <f ca="1">$P36/(1+IF(ISERROR($F36),0,IF(ISNA(MATCH($F36,TaxCode,0)),0,OFFSET(Setup!$D$15,MATCH($F36,TaxCode,0),0,1,1)))+IF(ISERROR($G36),0,IF(ISNA(MATCH($G36,TaxCode,0)),0,OFFSET(Setup!$D$15,MATCH($G36,TaxCode,0),0,1,1))))*IF(ISERROR($G36),0,IF(ISNA(MATCH($G36,TaxCode,0)),0,OFFSET(Setup!$D$15,MATCH($G36,TaxCode,0),0,1,1)))</f>
        <v>0</v>
      </c>
      <c r="P36" s="29">
        <f t="shared" si="0"/>
        <v>17480</v>
      </c>
      <c r="Q36" s="63" t="str">
        <f t="shared" si="1"/>
        <v>Y</v>
      </c>
      <c r="R36" s="63" t="str">
        <f t="shared" ca="1" si="2"/>
        <v>-</v>
      </c>
    </row>
    <row r="37" spans="1:18" ht="16" customHeight="1" x14ac:dyDescent="0.25">
      <c r="A37" s="17" t="s">
        <v>499</v>
      </c>
      <c r="B37" s="10">
        <v>44037</v>
      </c>
      <c r="C37" s="17" t="s">
        <v>476</v>
      </c>
      <c r="D37" s="4" t="s">
        <v>474</v>
      </c>
      <c r="E37" s="29">
        <v>22300</v>
      </c>
      <c r="F37" s="63" t="s">
        <v>108</v>
      </c>
      <c r="G37" s="63" t="s">
        <v>108</v>
      </c>
      <c r="H37" s="63" t="s">
        <v>147</v>
      </c>
      <c r="I37" s="30" t="s">
        <v>316</v>
      </c>
      <c r="J37" s="63">
        <v>22300</v>
      </c>
      <c r="K37" s="10">
        <v>44048</v>
      </c>
      <c r="L37" s="63" cm="1">
        <f t="array" aca="1" ref="L37" ca="1">IF($Q37="N",0,SUMIFS(IncIncl,IncDocDate,"&lt;="&amp;$M$2,IncInvoice,$A37)-SUMIFS(IncPayAmount,IncDocDate,"&lt;="&amp;$M$2,IncPayDate,"&lt;="&amp;$M$2,IncInvoice,$A37))</f>
        <v>0</v>
      </c>
      <c r="M37" s="29" cm="1">
        <f t="array" aca="1" ref="M37" ca="1">P37-IF(IncTaxCount=2,SUM($N37:$O37),$N37:$N37)</f>
        <v>22300</v>
      </c>
      <c r="N37" s="29">
        <f ca="1">$P37/(1+IF(ISERROR($F37),0,IF(ISNA(MATCH($F37,TaxCode,0)),0,OFFSET(Setup!$D$15,MATCH($F37,TaxCode,0),0,1,1)))+IF(ISERROR($G37),0,IF(ISNA(MATCH($G37,TaxCode,0)),0,OFFSET(Setup!$D$15,MATCH($G37,TaxCode,0),0,1,1))))*IF(ISERROR($F37),0,IF(ISNA(MATCH($F37,TaxCode,0)),0,OFFSET(Setup!$D$15,MATCH($F37,TaxCode,0),0,1,1)))</f>
        <v>0</v>
      </c>
      <c r="O37" s="29">
        <f ca="1">$P37/(1+IF(ISERROR($F37),0,IF(ISNA(MATCH($F37,TaxCode,0)),0,OFFSET(Setup!$D$15,MATCH($F37,TaxCode,0),0,1,1)))+IF(ISERROR($G37),0,IF(ISNA(MATCH($G37,TaxCode,0)),0,OFFSET(Setup!$D$15,MATCH($G37,TaxCode,0),0,1,1))))*IF(ISERROR($G37),0,IF(ISNA(MATCH($G37,TaxCode,0)),0,OFFSET(Setup!$D$15,MATCH($G37,TaxCode,0),0,1,1)))</f>
        <v>0</v>
      </c>
      <c r="P37" s="29">
        <f t="shared" ref="P37:P68" si="3">E37</f>
        <v>22300</v>
      </c>
      <c r="Q37" s="63" t="str">
        <f t="shared" ref="Q37:Q68" si="4">IF(ISNA(MATCH($A37,IncInvoice,0)),"N",IF(MATCH($A37,IncInvoice,0)=ROW($A37)-4,"Y","N"))</f>
        <v>Y</v>
      </c>
      <c r="R37" s="63" t="str">
        <f t="shared" ref="R37:R68" ca="1" si="5">IF(AND(ISBLANK(K37)=FALSE,K37&lt;B37),"E1",IF(AND(ISBLANK(I37)=FALSE,ISNA(MATCH($I37,AccountNo,0))),"E2",IF(AND(ISBLANK(H37)=FALSE,ISNA(MATCH($H37,BankCode,0))),"E3","-")))</f>
        <v>-</v>
      </c>
    </row>
    <row r="38" spans="1:18" ht="16" customHeight="1" x14ac:dyDescent="0.25">
      <c r="A38" s="17" t="s">
        <v>491</v>
      </c>
      <c r="B38" s="10">
        <v>44044</v>
      </c>
      <c r="C38" s="17" t="s">
        <v>165</v>
      </c>
      <c r="D38" s="4" t="s">
        <v>480</v>
      </c>
      <c r="E38" s="29">
        <v>166.24</v>
      </c>
      <c r="F38" s="63" t="s">
        <v>108</v>
      </c>
      <c r="G38" s="63" t="s">
        <v>108</v>
      </c>
      <c r="H38" s="63" t="s">
        <v>147</v>
      </c>
      <c r="I38" s="30" t="s">
        <v>314</v>
      </c>
      <c r="J38" s="63">
        <v>166.24</v>
      </c>
      <c r="K38" s="10">
        <v>44044</v>
      </c>
      <c r="L38" s="63" cm="1">
        <f t="array" aca="1" ref="L38" ca="1">IF($Q38="N",0,SUMIFS(IncIncl,IncDocDate,"&lt;="&amp;$M$2,IncInvoice,$A38)-SUMIFS(IncPayAmount,IncDocDate,"&lt;="&amp;$M$2,IncPayDate,"&lt;="&amp;$M$2,IncInvoice,$A38))</f>
        <v>0</v>
      </c>
      <c r="M38" s="29" cm="1">
        <f t="array" aca="1" ref="M38" ca="1">P38-IF(IncTaxCount=2,SUM($N38:$O38),$N38:$N38)</f>
        <v>166.24</v>
      </c>
      <c r="N38" s="29">
        <f ca="1">$P38/(1+IF(ISERROR($F38),0,IF(ISNA(MATCH($F38,TaxCode,0)),0,OFFSET(Setup!$D$15,MATCH($F38,TaxCode,0),0,1,1)))+IF(ISERROR($G38),0,IF(ISNA(MATCH($G38,TaxCode,0)),0,OFFSET(Setup!$D$15,MATCH($G38,TaxCode,0),0,1,1))))*IF(ISERROR($F38),0,IF(ISNA(MATCH($F38,TaxCode,0)),0,OFFSET(Setup!$D$15,MATCH($F38,TaxCode,0),0,1,1)))</f>
        <v>0</v>
      </c>
      <c r="O38" s="29">
        <f ca="1">$P38/(1+IF(ISERROR($F38),0,IF(ISNA(MATCH($F38,TaxCode,0)),0,OFFSET(Setup!$D$15,MATCH($F38,TaxCode,0),0,1,1)))+IF(ISERROR($G38),0,IF(ISNA(MATCH($G38,TaxCode,0)),0,OFFSET(Setup!$D$15,MATCH($G38,TaxCode,0),0,1,1))))*IF(ISERROR($G38),0,IF(ISNA(MATCH($G38,TaxCode,0)),0,OFFSET(Setup!$D$15,MATCH($G38,TaxCode,0),0,1,1)))</f>
        <v>0</v>
      </c>
      <c r="P38" s="29">
        <f t="shared" si="3"/>
        <v>166.24</v>
      </c>
      <c r="Q38" s="63" t="str">
        <f t="shared" si="4"/>
        <v>Y</v>
      </c>
      <c r="R38" s="63" t="str">
        <f t="shared" ca="1" si="5"/>
        <v>-</v>
      </c>
    </row>
    <row r="39" spans="1:18" ht="16" customHeight="1" x14ac:dyDescent="0.25">
      <c r="A39" s="17" t="s">
        <v>500</v>
      </c>
      <c r="B39" s="10">
        <v>44050</v>
      </c>
      <c r="C39" s="17" t="s">
        <v>479</v>
      </c>
      <c r="D39" s="4" t="s">
        <v>441</v>
      </c>
      <c r="E39" s="29">
        <v>2185</v>
      </c>
      <c r="F39" s="63" t="s">
        <v>93</v>
      </c>
      <c r="G39" s="63" t="s">
        <v>108</v>
      </c>
      <c r="H39" s="63" t="s">
        <v>145</v>
      </c>
      <c r="I39" s="30" t="s">
        <v>318</v>
      </c>
      <c r="J39" s="63">
        <v>2185</v>
      </c>
      <c r="K39" s="10">
        <v>44050</v>
      </c>
      <c r="L39" s="63" cm="1">
        <f t="array" aca="1" ref="L39" ca="1">IF($Q39="N",0,SUMIFS(IncIncl,IncDocDate,"&lt;="&amp;$M$2,IncInvoice,$A39)-SUMIFS(IncPayAmount,IncDocDate,"&lt;="&amp;$M$2,IncPayDate,"&lt;="&amp;$M$2,IncInvoice,$A39))</f>
        <v>0</v>
      </c>
      <c r="M39" s="29" cm="1">
        <f t="array" aca="1" ref="M39" ca="1">P39-IF(IncTaxCount=2,SUM($N39:$O39),$N39:$N39)</f>
        <v>1900</v>
      </c>
      <c r="N39" s="29">
        <f ca="1">$P39/(1+IF(ISERROR($F39),0,IF(ISNA(MATCH($F39,TaxCode,0)),0,OFFSET(Setup!$D$15,MATCH($F39,TaxCode,0),0,1,1)))+IF(ISERROR($G39),0,IF(ISNA(MATCH($G39,TaxCode,0)),0,OFFSET(Setup!$D$15,MATCH($G39,TaxCode,0),0,1,1))))*IF(ISERROR($F39),0,IF(ISNA(MATCH($F39,TaxCode,0)),0,OFFSET(Setup!$D$15,MATCH($F39,TaxCode,0),0,1,1)))</f>
        <v>285</v>
      </c>
      <c r="O39" s="29">
        <f ca="1">$P39/(1+IF(ISERROR($F39),0,IF(ISNA(MATCH($F39,TaxCode,0)),0,OFFSET(Setup!$D$15,MATCH($F39,TaxCode,0),0,1,1)))+IF(ISERROR($G39),0,IF(ISNA(MATCH($G39,TaxCode,0)),0,OFFSET(Setup!$D$15,MATCH($G39,TaxCode,0),0,1,1))))*IF(ISERROR($G39),0,IF(ISNA(MATCH($G39,TaxCode,0)),0,OFFSET(Setup!$D$15,MATCH($G39,TaxCode,0),0,1,1)))</f>
        <v>0</v>
      </c>
      <c r="P39" s="29">
        <f t="shared" si="3"/>
        <v>2185</v>
      </c>
      <c r="Q39" s="63" t="str">
        <f t="shared" si="4"/>
        <v>Y</v>
      </c>
      <c r="R39" s="63" t="str">
        <f t="shared" ca="1" si="5"/>
        <v>-</v>
      </c>
    </row>
    <row r="40" spans="1:18" ht="16" customHeight="1" x14ac:dyDescent="0.25">
      <c r="A40" s="17" t="s">
        <v>456</v>
      </c>
      <c r="B40" s="10">
        <v>44056</v>
      </c>
      <c r="C40" s="17" t="s">
        <v>142</v>
      </c>
      <c r="D40" s="4" t="s">
        <v>475</v>
      </c>
      <c r="E40" s="29">
        <v>132250</v>
      </c>
      <c r="F40" s="63" t="s">
        <v>93</v>
      </c>
      <c r="G40" s="63" t="s">
        <v>108</v>
      </c>
      <c r="H40" s="63" t="s">
        <v>145</v>
      </c>
      <c r="I40" s="30" t="s">
        <v>317</v>
      </c>
      <c r="J40" s="63">
        <v>132250</v>
      </c>
      <c r="K40" s="10">
        <v>44086</v>
      </c>
      <c r="L40" s="63" cm="1">
        <f t="array" aca="1" ref="L40" ca="1">IF($Q40="N",0,SUMIFS(IncIncl,IncDocDate,"&lt;="&amp;$M$2,IncInvoice,$A40)-SUMIFS(IncPayAmount,IncDocDate,"&lt;="&amp;$M$2,IncPayDate,"&lt;="&amp;$M$2,IncInvoice,$A40))</f>
        <v>0</v>
      </c>
      <c r="M40" s="29" cm="1">
        <f t="array" aca="1" ref="M40" ca="1">P40-IF(IncTaxCount=2,SUM($N40:$O40),$N40:$N40)</f>
        <v>115000</v>
      </c>
      <c r="N40" s="29">
        <f ca="1">$P40/(1+IF(ISERROR($F40),0,IF(ISNA(MATCH($F40,TaxCode,0)),0,OFFSET(Setup!$D$15,MATCH($F40,TaxCode,0),0,1,1)))+IF(ISERROR($G40),0,IF(ISNA(MATCH($G40,TaxCode,0)),0,OFFSET(Setup!$D$15,MATCH($G40,TaxCode,0),0,1,1))))*IF(ISERROR($F40),0,IF(ISNA(MATCH($F40,TaxCode,0)),0,OFFSET(Setup!$D$15,MATCH($F40,TaxCode,0),0,1,1)))</f>
        <v>17250</v>
      </c>
      <c r="O40" s="29">
        <f ca="1">$P40/(1+IF(ISERROR($F40),0,IF(ISNA(MATCH($F40,TaxCode,0)),0,OFFSET(Setup!$D$15,MATCH($F40,TaxCode,0),0,1,1)))+IF(ISERROR($G40),0,IF(ISNA(MATCH($G40,TaxCode,0)),0,OFFSET(Setup!$D$15,MATCH($G40,TaxCode,0),0,1,1))))*IF(ISERROR($G40),0,IF(ISNA(MATCH($G40,TaxCode,0)),0,OFFSET(Setup!$D$15,MATCH($G40,TaxCode,0),0,1,1)))</f>
        <v>0</v>
      </c>
      <c r="P40" s="29">
        <f t="shared" si="3"/>
        <v>132250</v>
      </c>
      <c r="Q40" s="63" t="str">
        <f t="shared" si="4"/>
        <v>Y</v>
      </c>
      <c r="R40" s="63" t="str">
        <f t="shared" ca="1" si="5"/>
        <v>-</v>
      </c>
    </row>
    <row r="41" spans="1:18" ht="16" customHeight="1" x14ac:dyDescent="0.25">
      <c r="A41" s="17" t="s">
        <v>457</v>
      </c>
      <c r="B41" s="10">
        <v>44060</v>
      </c>
      <c r="C41" s="17" t="s">
        <v>135</v>
      </c>
      <c r="D41" s="4" t="s">
        <v>475</v>
      </c>
      <c r="E41" s="29">
        <v>14915.499999999998</v>
      </c>
      <c r="F41" s="63" t="s">
        <v>93</v>
      </c>
      <c r="G41" s="63" t="s">
        <v>108</v>
      </c>
      <c r="H41" s="63" t="s">
        <v>145</v>
      </c>
      <c r="I41" s="30" t="s">
        <v>317</v>
      </c>
      <c r="J41" s="63">
        <v>14915.499999999998</v>
      </c>
      <c r="K41" s="10">
        <v>44090</v>
      </c>
      <c r="L41" s="63" cm="1">
        <f t="array" aca="1" ref="L41" ca="1">IF($Q41="N",0,SUMIFS(IncIncl,IncDocDate,"&lt;="&amp;$M$2,IncInvoice,$A41)-SUMIFS(IncPayAmount,IncDocDate,"&lt;="&amp;$M$2,IncPayDate,"&lt;="&amp;$M$2,IncInvoice,$A41))</f>
        <v>0</v>
      </c>
      <c r="M41" s="29" cm="1">
        <f t="array" aca="1" ref="M41" ca="1">P41-IF(IncTaxCount=2,SUM($N41:$O41),$N41:$N41)</f>
        <v>12969.999999999998</v>
      </c>
      <c r="N41" s="29">
        <f ca="1">$P41/(1+IF(ISERROR($F41),0,IF(ISNA(MATCH($F41,TaxCode,0)),0,OFFSET(Setup!$D$15,MATCH($F41,TaxCode,0),0,1,1)))+IF(ISERROR($G41),0,IF(ISNA(MATCH($G41,TaxCode,0)),0,OFFSET(Setup!$D$15,MATCH($G41,TaxCode,0),0,1,1))))*IF(ISERROR($F41),0,IF(ISNA(MATCH($F41,TaxCode,0)),0,OFFSET(Setup!$D$15,MATCH($F41,TaxCode,0),0,1,1)))</f>
        <v>1945.5</v>
      </c>
      <c r="O41" s="29">
        <f ca="1">$P41/(1+IF(ISERROR($F41),0,IF(ISNA(MATCH($F41,TaxCode,0)),0,OFFSET(Setup!$D$15,MATCH($F41,TaxCode,0),0,1,1)))+IF(ISERROR($G41),0,IF(ISNA(MATCH($G41,TaxCode,0)),0,OFFSET(Setup!$D$15,MATCH($G41,TaxCode,0),0,1,1))))*IF(ISERROR($G41),0,IF(ISNA(MATCH($G41,TaxCode,0)),0,OFFSET(Setup!$D$15,MATCH($G41,TaxCode,0),0,1,1)))</f>
        <v>0</v>
      </c>
      <c r="P41" s="29">
        <f t="shared" si="3"/>
        <v>14915.499999999998</v>
      </c>
      <c r="Q41" s="63" t="str">
        <f t="shared" si="4"/>
        <v>Y</v>
      </c>
      <c r="R41" s="63" t="str">
        <f t="shared" ca="1" si="5"/>
        <v>-</v>
      </c>
    </row>
    <row r="42" spans="1:18" ht="16" customHeight="1" x14ac:dyDescent="0.25">
      <c r="A42" s="17" t="s">
        <v>492</v>
      </c>
      <c r="B42" s="10">
        <v>44068</v>
      </c>
      <c r="C42" s="17" t="s">
        <v>476</v>
      </c>
      <c r="D42" s="4" t="s">
        <v>474</v>
      </c>
      <c r="E42" s="29">
        <v>21400</v>
      </c>
      <c r="F42" s="63" t="s">
        <v>108</v>
      </c>
      <c r="G42" s="63" t="s">
        <v>108</v>
      </c>
      <c r="H42" s="63" t="s">
        <v>147</v>
      </c>
      <c r="I42" s="30" t="s">
        <v>316</v>
      </c>
      <c r="J42" s="63">
        <v>21400</v>
      </c>
      <c r="K42" s="10">
        <v>44079</v>
      </c>
      <c r="L42" s="63" cm="1">
        <f t="array" aca="1" ref="L42" ca="1">IF($Q42="N",0,SUMIFS(IncIncl,IncDocDate,"&lt;="&amp;$M$2,IncInvoice,$A42)-SUMIFS(IncPayAmount,IncDocDate,"&lt;="&amp;$M$2,IncPayDate,"&lt;="&amp;$M$2,IncInvoice,$A42))</f>
        <v>0</v>
      </c>
      <c r="M42" s="29" cm="1">
        <f t="array" aca="1" ref="M42" ca="1">P42-IF(IncTaxCount=2,SUM($N42:$O42),$N42:$N42)</f>
        <v>21400</v>
      </c>
      <c r="N42" s="29">
        <f ca="1">$P42/(1+IF(ISERROR($F42),0,IF(ISNA(MATCH($F42,TaxCode,0)),0,OFFSET(Setup!$D$15,MATCH($F42,TaxCode,0),0,1,1)))+IF(ISERROR($G42),0,IF(ISNA(MATCH($G42,TaxCode,0)),0,OFFSET(Setup!$D$15,MATCH($G42,TaxCode,0),0,1,1))))*IF(ISERROR($F42),0,IF(ISNA(MATCH($F42,TaxCode,0)),0,OFFSET(Setup!$D$15,MATCH($F42,TaxCode,0),0,1,1)))</f>
        <v>0</v>
      </c>
      <c r="O42" s="29">
        <f ca="1">$P42/(1+IF(ISERROR($F42),0,IF(ISNA(MATCH($F42,TaxCode,0)),0,OFFSET(Setup!$D$15,MATCH($F42,TaxCode,0),0,1,1)))+IF(ISERROR($G42),0,IF(ISNA(MATCH($G42,TaxCode,0)),0,OFFSET(Setup!$D$15,MATCH($G42,TaxCode,0),0,1,1))))*IF(ISERROR($G42),0,IF(ISNA(MATCH($G42,TaxCode,0)),0,OFFSET(Setup!$D$15,MATCH($G42,TaxCode,0),0,1,1)))</f>
        <v>0</v>
      </c>
      <c r="P42" s="29">
        <f t="shared" si="3"/>
        <v>21400</v>
      </c>
      <c r="Q42" s="63" t="str">
        <f t="shared" si="4"/>
        <v>Y</v>
      </c>
      <c r="R42" s="63" t="str">
        <f t="shared" ca="1" si="5"/>
        <v>-</v>
      </c>
    </row>
    <row r="43" spans="1:18" ht="16" customHeight="1" x14ac:dyDescent="0.25">
      <c r="A43" s="17" t="s">
        <v>501</v>
      </c>
      <c r="B43" s="10">
        <v>44075</v>
      </c>
      <c r="C43" s="17" t="s">
        <v>165</v>
      </c>
      <c r="D43" s="4" t="s">
        <v>480</v>
      </c>
      <c r="E43" s="29">
        <v>164.21</v>
      </c>
      <c r="F43" s="63" t="s">
        <v>108</v>
      </c>
      <c r="G43" s="63" t="s">
        <v>108</v>
      </c>
      <c r="H43" s="63" t="s">
        <v>147</v>
      </c>
      <c r="I43" s="30" t="s">
        <v>314</v>
      </c>
      <c r="J43" s="63">
        <v>164.21</v>
      </c>
      <c r="K43" s="10">
        <v>44075</v>
      </c>
      <c r="L43" s="63" cm="1">
        <f t="array" aca="1" ref="L43" ca="1">IF($Q43="N",0,SUMIFS(IncIncl,IncDocDate,"&lt;="&amp;$M$2,IncInvoice,$A43)-SUMIFS(IncPayAmount,IncDocDate,"&lt;="&amp;$M$2,IncPayDate,"&lt;="&amp;$M$2,IncInvoice,$A43))</f>
        <v>0</v>
      </c>
      <c r="M43" s="29" cm="1">
        <f t="array" aca="1" ref="M43" ca="1">P43-IF(IncTaxCount=2,SUM($N43:$O43),$N43:$N43)</f>
        <v>164.21</v>
      </c>
      <c r="N43" s="29">
        <f ca="1">$P43/(1+IF(ISERROR($F43),0,IF(ISNA(MATCH($F43,TaxCode,0)),0,OFFSET(Setup!$D$15,MATCH($F43,TaxCode,0),0,1,1)))+IF(ISERROR($G43),0,IF(ISNA(MATCH($G43,TaxCode,0)),0,OFFSET(Setup!$D$15,MATCH($G43,TaxCode,0),0,1,1))))*IF(ISERROR($F43),0,IF(ISNA(MATCH($F43,TaxCode,0)),0,OFFSET(Setup!$D$15,MATCH($F43,TaxCode,0),0,1,1)))</f>
        <v>0</v>
      </c>
      <c r="O43" s="29">
        <f ca="1">$P43/(1+IF(ISERROR($F43),0,IF(ISNA(MATCH($F43,TaxCode,0)),0,OFFSET(Setup!$D$15,MATCH($F43,TaxCode,0),0,1,1)))+IF(ISERROR($G43),0,IF(ISNA(MATCH($G43,TaxCode,0)),0,OFFSET(Setup!$D$15,MATCH($G43,TaxCode,0),0,1,1))))*IF(ISERROR($G43),0,IF(ISNA(MATCH($G43,TaxCode,0)),0,OFFSET(Setup!$D$15,MATCH($G43,TaxCode,0),0,1,1)))</f>
        <v>0</v>
      </c>
      <c r="P43" s="29">
        <f t="shared" si="3"/>
        <v>164.21</v>
      </c>
      <c r="Q43" s="63" t="str">
        <f t="shared" si="4"/>
        <v>Y</v>
      </c>
      <c r="R43" s="63" t="str">
        <f t="shared" ca="1" si="5"/>
        <v>-</v>
      </c>
    </row>
    <row r="44" spans="1:18" ht="16" customHeight="1" x14ac:dyDescent="0.25">
      <c r="A44" s="17" t="s">
        <v>493</v>
      </c>
      <c r="B44" s="10">
        <v>44081</v>
      </c>
      <c r="C44" s="17" t="s">
        <v>479</v>
      </c>
      <c r="D44" s="4" t="s">
        <v>441</v>
      </c>
      <c r="E44" s="29">
        <v>2070</v>
      </c>
      <c r="F44" s="63" t="s">
        <v>93</v>
      </c>
      <c r="G44" s="63" t="s">
        <v>108</v>
      </c>
      <c r="H44" s="63" t="s">
        <v>145</v>
      </c>
      <c r="I44" s="30" t="s">
        <v>318</v>
      </c>
      <c r="J44" s="63">
        <v>2070</v>
      </c>
      <c r="K44" s="10">
        <v>44081</v>
      </c>
      <c r="L44" s="63" cm="1">
        <f t="array" aca="1" ref="L44" ca="1">IF($Q44="N",0,SUMIFS(IncIncl,IncDocDate,"&lt;="&amp;$M$2,IncInvoice,$A44)-SUMIFS(IncPayAmount,IncDocDate,"&lt;="&amp;$M$2,IncPayDate,"&lt;="&amp;$M$2,IncInvoice,$A44))</f>
        <v>0</v>
      </c>
      <c r="M44" s="29" cm="1">
        <f t="array" aca="1" ref="M44" ca="1">P44-IF(IncTaxCount=2,SUM($N44:$O44),$N44:$N44)</f>
        <v>1800</v>
      </c>
      <c r="N44" s="29">
        <f ca="1">$P44/(1+IF(ISERROR($F44),0,IF(ISNA(MATCH($F44,TaxCode,0)),0,OFFSET(Setup!$D$15,MATCH($F44,TaxCode,0),0,1,1)))+IF(ISERROR($G44),0,IF(ISNA(MATCH($G44,TaxCode,0)),0,OFFSET(Setup!$D$15,MATCH($G44,TaxCode,0),0,1,1))))*IF(ISERROR($F44),0,IF(ISNA(MATCH($F44,TaxCode,0)),0,OFFSET(Setup!$D$15,MATCH($F44,TaxCode,0),0,1,1)))</f>
        <v>270</v>
      </c>
      <c r="O44" s="29">
        <f ca="1">$P44/(1+IF(ISERROR($F44),0,IF(ISNA(MATCH($F44,TaxCode,0)),0,OFFSET(Setup!$D$15,MATCH($F44,TaxCode,0),0,1,1)))+IF(ISERROR($G44),0,IF(ISNA(MATCH($G44,TaxCode,0)),0,OFFSET(Setup!$D$15,MATCH($G44,TaxCode,0),0,1,1))))*IF(ISERROR($G44),0,IF(ISNA(MATCH($G44,TaxCode,0)),0,OFFSET(Setup!$D$15,MATCH($G44,TaxCode,0),0,1,1)))</f>
        <v>0</v>
      </c>
      <c r="P44" s="29">
        <f t="shared" si="3"/>
        <v>2070</v>
      </c>
      <c r="Q44" s="63" t="str">
        <f t="shared" si="4"/>
        <v>Y</v>
      </c>
      <c r="R44" s="63" t="str">
        <f t="shared" ca="1" si="5"/>
        <v>-</v>
      </c>
    </row>
    <row r="45" spans="1:18" ht="16" customHeight="1" x14ac:dyDescent="0.25">
      <c r="A45" s="17" t="s">
        <v>458</v>
      </c>
      <c r="B45" s="10">
        <v>44086</v>
      </c>
      <c r="C45" s="17" t="s">
        <v>138</v>
      </c>
      <c r="D45" s="4" t="s">
        <v>475</v>
      </c>
      <c r="E45" s="29">
        <v>55199.999999999993</v>
      </c>
      <c r="F45" s="63" t="s">
        <v>93</v>
      </c>
      <c r="G45" s="63" t="s">
        <v>108</v>
      </c>
      <c r="H45" s="63" t="s">
        <v>145</v>
      </c>
      <c r="I45" s="30" t="s">
        <v>317</v>
      </c>
      <c r="J45" s="63">
        <v>55199.999999999993</v>
      </c>
      <c r="K45" s="10">
        <v>44104</v>
      </c>
      <c r="L45" s="63" cm="1">
        <f t="array" aca="1" ref="L45" ca="1">IF($Q45="N",0,SUMIFS(IncIncl,IncDocDate,"&lt;="&amp;$M$2,IncInvoice,$A45)-SUMIFS(IncPayAmount,IncDocDate,"&lt;="&amp;$M$2,IncPayDate,"&lt;="&amp;$M$2,IncInvoice,$A45))</f>
        <v>0</v>
      </c>
      <c r="M45" s="29" cm="1">
        <f t="array" aca="1" ref="M45" ca="1">P45-IF(IncTaxCount=2,SUM($N45:$O45),$N45:$N45)</f>
        <v>47999.999999999993</v>
      </c>
      <c r="N45" s="29">
        <f ca="1">$P45/(1+IF(ISERROR($F45),0,IF(ISNA(MATCH($F45,TaxCode,0)),0,OFFSET(Setup!$D$15,MATCH($F45,TaxCode,0),0,1,1)))+IF(ISERROR($G45),0,IF(ISNA(MATCH($G45,TaxCode,0)),0,OFFSET(Setup!$D$15,MATCH($G45,TaxCode,0),0,1,1))))*IF(ISERROR($F45),0,IF(ISNA(MATCH($F45,TaxCode,0)),0,OFFSET(Setup!$D$15,MATCH($F45,TaxCode,0),0,1,1)))</f>
        <v>7200</v>
      </c>
      <c r="O45" s="29">
        <f ca="1">$P45/(1+IF(ISERROR($F45),0,IF(ISNA(MATCH($F45,TaxCode,0)),0,OFFSET(Setup!$D$15,MATCH($F45,TaxCode,0),0,1,1)))+IF(ISERROR($G45),0,IF(ISNA(MATCH($G45,TaxCode,0)),0,OFFSET(Setup!$D$15,MATCH($G45,TaxCode,0),0,1,1))))*IF(ISERROR($G45),0,IF(ISNA(MATCH($G45,TaxCode,0)),0,OFFSET(Setup!$D$15,MATCH($G45,TaxCode,0),0,1,1)))</f>
        <v>0</v>
      </c>
      <c r="P45" s="29">
        <f t="shared" si="3"/>
        <v>55199.999999999993</v>
      </c>
      <c r="Q45" s="63" t="str">
        <f t="shared" si="4"/>
        <v>Y</v>
      </c>
      <c r="R45" s="63" t="str">
        <f t="shared" ca="1" si="5"/>
        <v>-</v>
      </c>
    </row>
    <row r="46" spans="1:18" ht="16" customHeight="1" x14ac:dyDescent="0.25">
      <c r="A46" s="17" t="s">
        <v>459</v>
      </c>
      <c r="B46" s="10">
        <v>44091</v>
      </c>
      <c r="C46" s="17" t="s">
        <v>134</v>
      </c>
      <c r="D46" s="4" t="s">
        <v>475</v>
      </c>
      <c r="E46" s="29">
        <v>130179.99999999999</v>
      </c>
      <c r="F46" s="63" t="s">
        <v>93</v>
      </c>
      <c r="G46" s="63" t="s">
        <v>108</v>
      </c>
      <c r="H46" s="63" t="s">
        <v>145</v>
      </c>
      <c r="I46" s="30" t="s">
        <v>317</v>
      </c>
      <c r="J46" s="63">
        <v>130179.99999999999</v>
      </c>
      <c r="K46" s="10">
        <v>44108</v>
      </c>
      <c r="L46" s="63" cm="1">
        <f t="array" aca="1" ref="L46" ca="1">IF($Q46="N",0,SUMIFS(IncIncl,IncDocDate,"&lt;="&amp;$M$2,IncInvoice,$A46)-SUMIFS(IncPayAmount,IncDocDate,"&lt;="&amp;$M$2,IncPayDate,"&lt;="&amp;$M$2,IncInvoice,$A46))</f>
        <v>0</v>
      </c>
      <c r="M46" s="29" cm="1">
        <f t="array" aca="1" ref="M46" ca="1">P46-IF(IncTaxCount=2,SUM($N46:$O46),$N46:$N46)</f>
        <v>113199.99999999999</v>
      </c>
      <c r="N46" s="29">
        <f ca="1">$P46/(1+IF(ISERROR($F46),0,IF(ISNA(MATCH($F46,TaxCode,0)),0,OFFSET(Setup!$D$15,MATCH($F46,TaxCode,0),0,1,1)))+IF(ISERROR($G46),0,IF(ISNA(MATCH($G46,TaxCode,0)),0,OFFSET(Setup!$D$15,MATCH($G46,TaxCode,0),0,1,1))))*IF(ISERROR($F46),0,IF(ISNA(MATCH($F46,TaxCode,0)),0,OFFSET(Setup!$D$15,MATCH($F46,TaxCode,0),0,1,1)))</f>
        <v>16980</v>
      </c>
      <c r="O46" s="29">
        <f ca="1">$P46/(1+IF(ISERROR($F46),0,IF(ISNA(MATCH($F46,TaxCode,0)),0,OFFSET(Setup!$D$15,MATCH($F46,TaxCode,0),0,1,1)))+IF(ISERROR($G46),0,IF(ISNA(MATCH($G46,TaxCode,0)),0,OFFSET(Setup!$D$15,MATCH($G46,TaxCode,0),0,1,1))))*IF(ISERROR($G46),0,IF(ISNA(MATCH($G46,TaxCode,0)),0,OFFSET(Setup!$D$15,MATCH($G46,TaxCode,0),0,1,1)))</f>
        <v>0</v>
      </c>
      <c r="P46" s="29">
        <f t="shared" si="3"/>
        <v>130179.99999999999</v>
      </c>
      <c r="Q46" s="63" t="str">
        <f t="shared" si="4"/>
        <v>Y</v>
      </c>
      <c r="R46" s="63" t="str">
        <f t="shared" ca="1" si="5"/>
        <v>-</v>
      </c>
    </row>
    <row r="47" spans="1:18" ht="16" customHeight="1" x14ac:dyDescent="0.25">
      <c r="A47" s="17" t="s">
        <v>502</v>
      </c>
      <c r="B47" s="10">
        <v>44099</v>
      </c>
      <c r="C47" s="17" t="s">
        <v>476</v>
      </c>
      <c r="D47" s="4" t="s">
        <v>474</v>
      </c>
      <c r="E47" s="29">
        <v>15100</v>
      </c>
      <c r="F47" s="63" t="s">
        <v>108</v>
      </c>
      <c r="G47" s="63" t="s">
        <v>108</v>
      </c>
      <c r="H47" s="63" t="s">
        <v>147</v>
      </c>
      <c r="I47" s="30" t="s">
        <v>316</v>
      </c>
      <c r="J47" s="63">
        <v>15100</v>
      </c>
      <c r="K47" s="10">
        <v>44109</v>
      </c>
      <c r="L47" s="63" cm="1">
        <f t="array" aca="1" ref="L47" ca="1">IF($Q47="N",0,SUMIFS(IncIncl,IncDocDate,"&lt;="&amp;$M$2,IncInvoice,$A47)-SUMIFS(IncPayAmount,IncDocDate,"&lt;="&amp;$M$2,IncPayDate,"&lt;="&amp;$M$2,IncInvoice,$A47))</f>
        <v>0</v>
      </c>
      <c r="M47" s="29" cm="1">
        <f t="array" aca="1" ref="M47" ca="1">P47-IF(IncTaxCount=2,SUM($N47:$O47),$N47:$N47)</f>
        <v>15100</v>
      </c>
      <c r="N47" s="29">
        <f ca="1">$P47/(1+IF(ISERROR($F47),0,IF(ISNA(MATCH($F47,TaxCode,0)),0,OFFSET(Setup!$D$15,MATCH($F47,TaxCode,0),0,1,1)))+IF(ISERROR($G47),0,IF(ISNA(MATCH($G47,TaxCode,0)),0,OFFSET(Setup!$D$15,MATCH($G47,TaxCode,0),0,1,1))))*IF(ISERROR($F47),0,IF(ISNA(MATCH($F47,TaxCode,0)),0,OFFSET(Setup!$D$15,MATCH($F47,TaxCode,0),0,1,1)))</f>
        <v>0</v>
      </c>
      <c r="O47" s="29">
        <f ca="1">$P47/(1+IF(ISERROR($F47),0,IF(ISNA(MATCH($F47,TaxCode,0)),0,OFFSET(Setup!$D$15,MATCH($F47,TaxCode,0),0,1,1)))+IF(ISERROR($G47),0,IF(ISNA(MATCH($G47,TaxCode,0)),0,OFFSET(Setup!$D$15,MATCH($G47,TaxCode,0),0,1,1))))*IF(ISERROR($G47),0,IF(ISNA(MATCH($G47,TaxCode,0)),0,OFFSET(Setup!$D$15,MATCH($G47,TaxCode,0),0,1,1)))</f>
        <v>0</v>
      </c>
      <c r="P47" s="29">
        <f t="shared" si="3"/>
        <v>15100</v>
      </c>
      <c r="Q47" s="63" t="str">
        <f t="shared" si="4"/>
        <v>Y</v>
      </c>
      <c r="R47" s="63" t="str">
        <f t="shared" ca="1" si="5"/>
        <v>-</v>
      </c>
    </row>
    <row r="48" spans="1:18" ht="16" customHeight="1" x14ac:dyDescent="0.25">
      <c r="A48" s="17" t="s">
        <v>494</v>
      </c>
      <c r="B48" s="10">
        <v>44105</v>
      </c>
      <c r="C48" s="17" t="s">
        <v>165</v>
      </c>
      <c r="D48" s="4" t="s">
        <v>480</v>
      </c>
      <c r="E48" s="29">
        <v>165.89</v>
      </c>
      <c r="F48" s="63" t="s">
        <v>108</v>
      </c>
      <c r="G48" s="63" t="s">
        <v>108</v>
      </c>
      <c r="H48" s="63" t="s">
        <v>147</v>
      </c>
      <c r="I48" s="30" t="s">
        <v>314</v>
      </c>
      <c r="J48" s="63">
        <v>165.89</v>
      </c>
      <c r="K48" s="10">
        <v>44105</v>
      </c>
      <c r="L48" s="63" cm="1">
        <f t="array" aca="1" ref="L48" ca="1">IF($Q48="N",0,SUMIFS(IncIncl,IncDocDate,"&lt;="&amp;$M$2,IncInvoice,$A48)-SUMIFS(IncPayAmount,IncDocDate,"&lt;="&amp;$M$2,IncPayDate,"&lt;="&amp;$M$2,IncInvoice,$A48))</f>
        <v>0</v>
      </c>
      <c r="M48" s="29" cm="1">
        <f t="array" aca="1" ref="M48" ca="1">P48-IF(IncTaxCount=2,SUM($N48:$O48),$N48:$N48)</f>
        <v>165.89</v>
      </c>
      <c r="N48" s="29">
        <f ca="1">$P48/(1+IF(ISERROR($F48),0,IF(ISNA(MATCH($F48,TaxCode,0)),0,OFFSET(Setup!$D$15,MATCH($F48,TaxCode,0),0,1,1)))+IF(ISERROR($G48),0,IF(ISNA(MATCH($G48,TaxCode,0)),0,OFFSET(Setup!$D$15,MATCH($G48,TaxCode,0),0,1,1))))*IF(ISERROR($F48),0,IF(ISNA(MATCH($F48,TaxCode,0)),0,OFFSET(Setup!$D$15,MATCH($F48,TaxCode,0),0,1,1)))</f>
        <v>0</v>
      </c>
      <c r="O48" s="29">
        <f ca="1">$P48/(1+IF(ISERROR($F48),0,IF(ISNA(MATCH($F48,TaxCode,0)),0,OFFSET(Setup!$D$15,MATCH($F48,TaxCode,0),0,1,1)))+IF(ISERROR($G48),0,IF(ISNA(MATCH($G48,TaxCode,0)),0,OFFSET(Setup!$D$15,MATCH($G48,TaxCode,0),0,1,1))))*IF(ISERROR($G48),0,IF(ISNA(MATCH($G48,TaxCode,0)),0,OFFSET(Setup!$D$15,MATCH($G48,TaxCode,0),0,1,1)))</f>
        <v>0</v>
      </c>
      <c r="P48" s="29">
        <f t="shared" si="3"/>
        <v>165.89</v>
      </c>
      <c r="Q48" s="63" t="str">
        <f t="shared" si="4"/>
        <v>Y</v>
      </c>
      <c r="R48" s="63" t="str">
        <f t="shared" ca="1" si="5"/>
        <v>-</v>
      </c>
    </row>
    <row r="49" spans="1:18" ht="16" customHeight="1" x14ac:dyDescent="0.25">
      <c r="A49" s="17" t="s">
        <v>503</v>
      </c>
      <c r="B49" s="10">
        <v>44111</v>
      </c>
      <c r="C49" s="17" t="s">
        <v>479</v>
      </c>
      <c r="D49" s="4" t="s">
        <v>441</v>
      </c>
      <c r="E49" s="29">
        <v>2530</v>
      </c>
      <c r="F49" s="63" t="s">
        <v>93</v>
      </c>
      <c r="G49" s="63" t="s">
        <v>108</v>
      </c>
      <c r="H49" s="63" t="s">
        <v>145</v>
      </c>
      <c r="I49" s="30" t="s">
        <v>318</v>
      </c>
      <c r="J49" s="63">
        <v>2530</v>
      </c>
      <c r="K49" s="10">
        <v>44111</v>
      </c>
      <c r="L49" s="63" cm="1">
        <f t="array" aca="1" ref="L49" ca="1">IF($Q49="N",0,SUMIFS(IncIncl,IncDocDate,"&lt;="&amp;$M$2,IncInvoice,$A49)-SUMIFS(IncPayAmount,IncDocDate,"&lt;="&amp;$M$2,IncPayDate,"&lt;="&amp;$M$2,IncInvoice,$A49))</f>
        <v>0</v>
      </c>
      <c r="M49" s="29" cm="1">
        <f t="array" aca="1" ref="M49" ca="1">P49-IF(IncTaxCount=2,SUM($N49:$O49),$N49:$N49)</f>
        <v>2200</v>
      </c>
      <c r="N49" s="29">
        <f ca="1">$P49/(1+IF(ISERROR($F49),0,IF(ISNA(MATCH($F49,TaxCode,0)),0,OFFSET(Setup!$D$15,MATCH($F49,TaxCode,0),0,1,1)))+IF(ISERROR($G49),0,IF(ISNA(MATCH($G49,TaxCode,0)),0,OFFSET(Setup!$D$15,MATCH($G49,TaxCode,0),0,1,1))))*IF(ISERROR($F49),0,IF(ISNA(MATCH($F49,TaxCode,0)),0,OFFSET(Setup!$D$15,MATCH($F49,TaxCode,0),0,1,1)))</f>
        <v>330</v>
      </c>
      <c r="O49" s="29">
        <f ca="1">$P49/(1+IF(ISERROR($F49),0,IF(ISNA(MATCH($F49,TaxCode,0)),0,OFFSET(Setup!$D$15,MATCH($F49,TaxCode,0),0,1,1)))+IF(ISERROR($G49),0,IF(ISNA(MATCH($G49,TaxCode,0)),0,OFFSET(Setup!$D$15,MATCH($G49,TaxCode,0),0,1,1))))*IF(ISERROR($G49),0,IF(ISNA(MATCH($G49,TaxCode,0)),0,OFFSET(Setup!$D$15,MATCH($G49,TaxCode,0),0,1,1)))</f>
        <v>0</v>
      </c>
      <c r="P49" s="29">
        <f t="shared" si="3"/>
        <v>2530</v>
      </c>
      <c r="Q49" s="63" t="str">
        <f t="shared" si="4"/>
        <v>Y</v>
      </c>
      <c r="R49" s="63" t="str">
        <f t="shared" ca="1" si="5"/>
        <v>-</v>
      </c>
    </row>
    <row r="50" spans="1:18" ht="16" customHeight="1" x14ac:dyDescent="0.25">
      <c r="A50" s="17" t="s">
        <v>460</v>
      </c>
      <c r="B50" s="10">
        <v>44112</v>
      </c>
      <c r="C50" s="17" t="s">
        <v>142</v>
      </c>
      <c r="D50" s="4" t="s">
        <v>475</v>
      </c>
      <c r="E50" s="29">
        <v>25564.499999999996</v>
      </c>
      <c r="F50" s="63" t="s">
        <v>93</v>
      </c>
      <c r="G50" s="63" t="s">
        <v>108</v>
      </c>
      <c r="H50" s="63" t="s">
        <v>145</v>
      </c>
      <c r="I50" s="30" t="s">
        <v>317</v>
      </c>
      <c r="J50" s="63">
        <v>25564.499999999996</v>
      </c>
      <c r="K50" s="10">
        <v>44117</v>
      </c>
      <c r="L50" s="63" cm="1">
        <f t="array" aca="1" ref="L50" ca="1">IF($Q50="N",0,SUMIFS(IncIncl,IncDocDate,"&lt;="&amp;$M$2,IncInvoice,$A50)-SUMIFS(IncPayAmount,IncDocDate,"&lt;="&amp;$M$2,IncPayDate,"&lt;="&amp;$M$2,IncInvoice,$A50))</f>
        <v>0</v>
      </c>
      <c r="M50" s="29" cm="1">
        <f t="array" aca="1" ref="M50" ca="1">P50-IF(IncTaxCount=2,SUM($N50:$O50),$N50:$N50)</f>
        <v>22229.999999999996</v>
      </c>
      <c r="N50" s="29">
        <f ca="1">$P50/(1+IF(ISERROR($F50),0,IF(ISNA(MATCH($F50,TaxCode,0)),0,OFFSET(Setup!$D$15,MATCH($F50,TaxCode,0),0,1,1)))+IF(ISERROR($G50),0,IF(ISNA(MATCH($G50,TaxCode,0)),0,OFFSET(Setup!$D$15,MATCH($G50,TaxCode,0),0,1,1))))*IF(ISERROR($F50),0,IF(ISNA(MATCH($F50,TaxCode,0)),0,OFFSET(Setup!$D$15,MATCH($F50,TaxCode,0),0,1,1)))</f>
        <v>3334.5</v>
      </c>
      <c r="O50" s="29">
        <f ca="1">$P50/(1+IF(ISERROR($F50),0,IF(ISNA(MATCH($F50,TaxCode,0)),0,OFFSET(Setup!$D$15,MATCH($F50,TaxCode,0),0,1,1)))+IF(ISERROR($G50),0,IF(ISNA(MATCH($G50,TaxCode,0)),0,OFFSET(Setup!$D$15,MATCH($G50,TaxCode,0),0,1,1))))*IF(ISERROR($G50),0,IF(ISNA(MATCH($G50,TaxCode,0)),0,OFFSET(Setup!$D$15,MATCH($G50,TaxCode,0),0,1,1)))</f>
        <v>0</v>
      </c>
      <c r="P50" s="29">
        <f t="shared" si="3"/>
        <v>25564.499999999996</v>
      </c>
      <c r="Q50" s="63" t="str">
        <f t="shared" si="4"/>
        <v>Y</v>
      </c>
      <c r="R50" s="63" t="str">
        <f t="shared" ca="1" si="5"/>
        <v>-</v>
      </c>
    </row>
    <row r="51" spans="1:18" ht="16" customHeight="1" x14ac:dyDescent="0.25">
      <c r="A51" s="17" t="s">
        <v>461</v>
      </c>
      <c r="B51" s="10">
        <v>44112</v>
      </c>
      <c r="C51" s="17" t="s">
        <v>140</v>
      </c>
      <c r="D51" s="4" t="s">
        <v>475</v>
      </c>
      <c r="E51" s="29">
        <v>33120</v>
      </c>
      <c r="F51" s="63" t="s">
        <v>93</v>
      </c>
      <c r="G51" s="63" t="s">
        <v>108</v>
      </c>
      <c r="H51" s="63" t="s">
        <v>145</v>
      </c>
      <c r="I51" s="30" t="s">
        <v>317</v>
      </c>
      <c r="J51" s="63">
        <v>33120</v>
      </c>
      <c r="K51" s="10">
        <v>44117</v>
      </c>
      <c r="L51" s="63" cm="1">
        <f t="array" aca="1" ref="L51" ca="1">IF($Q51="N",0,SUMIFS(IncIncl,IncDocDate,"&lt;="&amp;$M$2,IncInvoice,$A51)-SUMIFS(IncPayAmount,IncDocDate,"&lt;="&amp;$M$2,IncPayDate,"&lt;="&amp;$M$2,IncInvoice,$A51))</f>
        <v>0</v>
      </c>
      <c r="M51" s="29" cm="1">
        <f t="array" aca="1" ref="M51" ca="1">P51-IF(IncTaxCount=2,SUM($N51:$O51),$N51:$N51)</f>
        <v>28800</v>
      </c>
      <c r="N51" s="29">
        <f ca="1">$P51/(1+IF(ISERROR($F51),0,IF(ISNA(MATCH($F51,TaxCode,0)),0,OFFSET(Setup!$D$15,MATCH($F51,TaxCode,0),0,1,1)))+IF(ISERROR($G51),0,IF(ISNA(MATCH($G51,TaxCode,0)),0,OFFSET(Setup!$D$15,MATCH($G51,TaxCode,0),0,1,1))))*IF(ISERROR($F51),0,IF(ISNA(MATCH($F51,TaxCode,0)),0,OFFSET(Setup!$D$15,MATCH($F51,TaxCode,0),0,1,1)))</f>
        <v>4320</v>
      </c>
      <c r="O51" s="29">
        <f ca="1">$P51/(1+IF(ISERROR($F51),0,IF(ISNA(MATCH($F51,TaxCode,0)),0,OFFSET(Setup!$D$15,MATCH($F51,TaxCode,0),0,1,1)))+IF(ISERROR($G51),0,IF(ISNA(MATCH($G51,TaxCode,0)),0,OFFSET(Setup!$D$15,MATCH($G51,TaxCode,0),0,1,1))))*IF(ISERROR($G51),0,IF(ISNA(MATCH($G51,TaxCode,0)),0,OFFSET(Setup!$D$15,MATCH($G51,TaxCode,0),0,1,1)))</f>
        <v>0</v>
      </c>
      <c r="P51" s="29">
        <f t="shared" si="3"/>
        <v>33120</v>
      </c>
      <c r="Q51" s="63" t="str">
        <f t="shared" si="4"/>
        <v>Y</v>
      </c>
      <c r="R51" s="63" t="str">
        <f t="shared" ca="1" si="5"/>
        <v>-</v>
      </c>
    </row>
    <row r="52" spans="1:18" ht="16" customHeight="1" x14ac:dyDescent="0.25">
      <c r="A52" s="17" t="s">
        <v>495</v>
      </c>
      <c r="B52" s="10">
        <v>44129</v>
      </c>
      <c r="C52" s="17" t="s">
        <v>476</v>
      </c>
      <c r="D52" s="4" t="s">
        <v>474</v>
      </c>
      <c r="E52" s="29">
        <v>18400</v>
      </c>
      <c r="F52" s="63" t="s">
        <v>108</v>
      </c>
      <c r="G52" s="63" t="s">
        <v>108</v>
      </c>
      <c r="H52" s="63" t="s">
        <v>147</v>
      </c>
      <c r="I52" s="30" t="s">
        <v>316</v>
      </c>
      <c r="J52" s="63">
        <v>18400</v>
      </c>
      <c r="K52" s="10">
        <v>44140</v>
      </c>
      <c r="L52" s="63" cm="1">
        <f t="array" aca="1" ref="L52" ca="1">IF($Q52="N",0,SUMIFS(IncIncl,IncDocDate,"&lt;="&amp;$M$2,IncInvoice,$A52)-SUMIFS(IncPayAmount,IncDocDate,"&lt;="&amp;$M$2,IncPayDate,"&lt;="&amp;$M$2,IncInvoice,$A52))</f>
        <v>0</v>
      </c>
      <c r="M52" s="29" cm="1">
        <f t="array" aca="1" ref="M52" ca="1">P52-IF(IncTaxCount=2,SUM($N52:$O52),$N52:$N52)</f>
        <v>18400</v>
      </c>
      <c r="N52" s="29">
        <f ca="1">$P52/(1+IF(ISERROR($F52),0,IF(ISNA(MATCH($F52,TaxCode,0)),0,OFFSET(Setup!$D$15,MATCH($F52,TaxCode,0),0,1,1)))+IF(ISERROR($G52),0,IF(ISNA(MATCH($G52,TaxCode,0)),0,OFFSET(Setup!$D$15,MATCH($G52,TaxCode,0),0,1,1))))*IF(ISERROR($F52),0,IF(ISNA(MATCH($F52,TaxCode,0)),0,OFFSET(Setup!$D$15,MATCH($F52,TaxCode,0),0,1,1)))</f>
        <v>0</v>
      </c>
      <c r="O52" s="29">
        <f ca="1">$P52/(1+IF(ISERROR($F52),0,IF(ISNA(MATCH($F52,TaxCode,0)),0,OFFSET(Setup!$D$15,MATCH($F52,TaxCode,0),0,1,1)))+IF(ISERROR($G52),0,IF(ISNA(MATCH($G52,TaxCode,0)),0,OFFSET(Setup!$D$15,MATCH($G52,TaxCode,0),0,1,1))))*IF(ISERROR($G52),0,IF(ISNA(MATCH($G52,TaxCode,0)),0,OFFSET(Setup!$D$15,MATCH($G52,TaxCode,0),0,1,1)))</f>
        <v>0</v>
      </c>
      <c r="P52" s="29">
        <f t="shared" si="3"/>
        <v>18400</v>
      </c>
      <c r="Q52" s="63" t="str">
        <f t="shared" si="4"/>
        <v>Y</v>
      </c>
      <c r="R52" s="63" t="str">
        <f t="shared" ca="1" si="5"/>
        <v>-</v>
      </c>
    </row>
    <row r="53" spans="1:18" ht="16" customHeight="1" x14ac:dyDescent="0.25">
      <c r="A53" s="17" t="s">
        <v>462</v>
      </c>
      <c r="B53" s="10">
        <v>44135</v>
      </c>
      <c r="C53" s="17" t="s">
        <v>135</v>
      </c>
      <c r="D53" s="4" t="s">
        <v>475</v>
      </c>
      <c r="E53" s="29">
        <v>144325</v>
      </c>
      <c r="F53" s="63" t="s">
        <v>93</v>
      </c>
      <c r="G53" s="63" t="s">
        <v>108</v>
      </c>
      <c r="H53" s="63" t="s">
        <v>145</v>
      </c>
      <c r="I53" s="30" t="s">
        <v>317</v>
      </c>
      <c r="J53" s="63">
        <v>72000</v>
      </c>
      <c r="K53" s="10">
        <v>44165</v>
      </c>
      <c r="L53" s="63" cm="1">
        <f t="array" aca="1" ref="L53" ca="1">IF($Q53="N",0,SUMIFS(IncIncl,IncDocDate,"&lt;="&amp;$M$2,IncInvoice,$A53)-SUMIFS(IncPayAmount,IncDocDate,"&lt;="&amp;$M$2,IncPayDate,"&lt;="&amp;$M$2,IncInvoice,$A53))</f>
        <v>0</v>
      </c>
      <c r="M53" s="29" cm="1">
        <f t="array" aca="1" ref="M53" ca="1">P53-IF(IncTaxCount=2,SUM($N53:$O53),$N53:$N53)</f>
        <v>125500</v>
      </c>
      <c r="N53" s="29">
        <f ca="1">$P53/(1+IF(ISERROR($F53),0,IF(ISNA(MATCH($F53,TaxCode,0)),0,OFFSET(Setup!$D$15,MATCH($F53,TaxCode,0),0,1,1)))+IF(ISERROR($G53),0,IF(ISNA(MATCH($G53,TaxCode,0)),0,OFFSET(Setup!$D$15,MATCH($G53,TaxCode,0),0,1,1))))*IF(ISERROR($F53),0,IF(ISNA(MATCH($F53,TaxCode,0)),0,OFFSET(Setup!$D$15,MATCH($F53,TaxCode,0),0,1,1)))</f>
        <v>18825</v>
      </c>
      <c r="O53" s="29">
        <f ca="1">$P53/(1+IF(ISERROR($F53),0,IF(ISNA(MATCH($F53,TaxCode,0)),0,OFFSET(Setup!$D$15,MATCH($F53,TaxCode,0),0,1,1)))+IF(ISERROR($G53),0,IF(ISNA(MATCH($G53,TaxCode,0)),0,OFFSET(Setup!$D$15,MATCH($G53,TaxCode,0),0,1,1))))*IF(ISERROR($G53),0,IF(ISNA(MATCH($G53,TaxCode,0)),0,OFFSET(Setup!$D$15,MATCH($G53,TaxCode,0),0,1,1)))</f>
        <v>0</v>
      </c>
      <c r="P53" s="29">
        <f t="shared" si="3"/>
        <v>144325</v>
      </c>
      <c r="Q53" s="63" t="str">
        <f t="shared" si="4"/>
        <v>Y</v>
      </c>
      <c r="R53" s="63" t="str">
        <f t="shared" ca="1" si="5"/>
        <v>-</v>
      </c>
    </row>
    <row r="54" spans="1:18" ht="16" customHeight="1" x14ac:dyDescent="0.25">
      <c r="A54" s="17" t="s">
        <v>462</v>
      </c>
      <c r="B54" s="10">
        <v>44135</v>
      </c>
      <c r="C54" s="17" t="s">
        <v>135</v>
      </c>
      <c r="D54" s="4" t="s">
        <v>475</v>
      </c>
      <c r="E54" s="29">
        <v>0</v>
      </c>
      <c r="F54" s="63" t="s">
        <v>93</v>
      </c>
      <c r="G54" s="63" t="s">
        <v>108</v>
      </c>
      <c r="H54" s="63" t="s">
        <v>145</v>
      </c>
      <c r="I54" s="30" t="s">
        <v>317</v>
      </c>
      <c r="J54" s="63">
        <v>72325</v>
      </c>
      <c r="K54" s="10">
        <v>44206</v>
      </c>
      <c r="L54" s="63" cm="1">
        <f t="array" ref="L54">IF($Q54="N",0,SUMIFS(IncIncl,IncDocDate,"&lt;="&amp;$M$2,IncInvoice,$A54)-SUMIFS(IncPayAmount,IncDocDate,"&lt;="&amp;$M$2,IncPayDate,"&lt;="&amp;$M$2,IncInvoice,$A54))</f>
        <v>0</v>
      </c>
      <c r="M54" s="29" cm="1">
        <f t="array" aca="1" ref="M54" ca="1">P54-IF(IncTaxCount=2,SUM($N54:$O54),$N54:$N54)</f>
        <v>0</v>
      </c>
      <c r="N54" s="29">
        <f ca="1">$P54/(1+IF(ISERROR($F54),0,IF(ISNA(MATCH($F54,TaxCode,0)),0,OFFSET(Setup!$D$15,MATCH($F54,TaxCode,0),0,1,1)))+IF(ISERROR($G54),0,IF(ISNA(MATCH($G54,TaxCode,0)),0,OFFSET(Setup!$D$15,MATCH($G54,TaxCode,0),0,1,1))))*IF(ISERROR($F54),0,IF(ISNA(MATCH($F54,TaxCode,0)),0,OFFSET(Setup!$D$15,MATCH($F54,TaxCode,0),0,1,1)))</f>
        <v>0</v>
      </c>
      <c r="O54" s="29">
        <f ca="1">$P54/(1+IF(ISERROR($F54),0,IF(ISNA(MATCH($F54,TaxCode,0)),0,OFFSET(Setup!$D$15,MATCH($F54,TaxCode,0),0,1,1)))+IF(ISERROR($G54),0,IF(ISNA(MATCH($G54,TaxCode,0)),0,OFFSET(Setup!$D$15,MATCH($G54,TaxCode,0),0,1,1))))*IF(ISERROR($G54),0,IF(ISNA(MATCH($G54,TaxCode,0)),0,OFFSET(Setup!$D$15,MATCH($G54,TaxCode,0),0,1,1)))</f>
        <v>0</v>
      </c>
      <c r="P54" s="29">
        <f t="shared" si="3"/>
        <v>0</v>
      </c>
      <c r="Q54" s="63" t="str">
        <f t="shared" si="4"/>
        <v>N</v>
      </c>
      <c r="R54" s="63" t="str">
        <f t="shared" ca="1" si="5"/>
        <v>-</v>
      </c>
    </row>
    <row r="55" spans="1:18" ht="16" customHeight="1" x14ac:dyDescent="0.25">
      <c r="A55" s="17" t="s">
        <v>513</v>
      </c>
      <c r="B55" s="10">
        <v>44136</v>
      </c>
      <c r="C55" s="17" t="s">
        <v>165</v>
      </c>
      <c r="D55" s="4" t="s">
        <v>480</v>
      </c>
      <c r="E55" s="29">
        <v>167.25</v>
      </c>
      <c r="F55" s="63" t="s">
        <v>108</v>
      </c>
      <c r="G55" s="63" t="s">
        <v>108</v>
      </c>
      <c r="H55" s="63" t="s">
        <v>147</v>
      </c>
      <c r="I55" s="30" t="s">
        <v>314</v>
      </c>
      <c r="J55" s="63">
        <v>167.25</v>
      </c>
      <c r="K55" s="10">
        <v>44136</v>
      </c>
      <c r="L55" s="63" cm="1">
        <f t="array" aca="1" ref="L55" ca="1">IF($Q55="N",0,SUMIFS(IncIncl,IncDocDate,"&lt;="&amp;$M$2,IncInvoice,$A55)-SUMIFS(IncPayAmount,IncDocDate,"&lt;="&amp;$M$2,IncPayDate,"&lt;="&amp;$M$2,IncInvoice,$A55))</f>
        <v>0</v>
      </c>
      <c r="M55" s="29" cm="1">
        <f t="array" aca="1" ref="M55" ca="1">P55-IF(IncTaxCount=2,SUM($N55:$O55),$N55:$N55)</f>
        <v>167.25</v>
      </c>
      <c r="N55" s="29">
        <f ca="1">$P55/(1+IF(ISERROR($F55),0,IF(ISNA(MATCH($F55,TaxCode,0)),0,OFFSET(Setup!$D$15,MATCH($F55,TaxCode,0),0,1,1)))+IF(ISERROR($G55),0,IF(ISNA(MATCH($G55,TaxCode,0)),0,OFFSET(Setup!$D$15,MATCH($G55,TaxCode,0),0,1,1))))*IF(ISERROR($F55),0,IF(ISNA(MATCH($F55,TaxCode,0)),0,OFFSET(Setup!$D$15,MATCH($F55,TaxCode,0),0,1,1)))</f>
        <v>0</v>
      </c>
      <c r="O55" s="29">
        <f ca="1">$P55/(1+IF(ISERROR($F55),0,IF(ISNA(MATCH($F55,TaxCode,0)),0,OFFSET(Setup!$D$15,MATCH($F55,TaxCode,0),0,1,1)))+IF(ISERROR($G55),0,IF(ISNA(MATCH($G55,TaxCode,0)),0,OFFSET(Setup!$D$15,MATCH($G55,TaxCode,0),0,1,1))))*IF(ISERROR($G55),0,IF(ISNA(MATCH($G55,TaxCode,0)),0,OFFSET(Setup!$D$15,MATCH($G55,TaxCode,0),0,1,1)))</f>
        <v>0</v>
      </c>
      <c r="P55" s="29">
        <f t="shared" si="3"/>
        <v>167.25</v>
      </c>
      <c r="Q55" s="63" t="str">
        <f t="shared" si="4"/>
        <v>Y</v>
      </c>
      <c r="R55" s="63" t="str">
        <f t="shared" ca="1" si="5"/>
        <v>-</v>
      </c>
    </row>
    <row r="56" spans="1:18" ht="16" customHeight="1" x14ac:dyDescent="0.25">
      <c r="A56" s="17" t="s">
        <v>463</v>
      </c>
      <c r="B56" s="10">
        <v>44138</v>
      </c>
      <c r="C56" s="17" t="s">
        <v>131</v>
      </c>
      <c r="D56" s="4" t="s">
        <v>475</v>
      </c>
      <c r="E56" s="29">
        <v>3587.9999999999995</v>
      </c>
      <c r="F56" s="63" t="s">
        <v>93</v>
      </c>
      <c r="G56" s="63" t="s">
        <v>108</v>
      </c>
      <c r="H56" s="63" t="s">
        <v>145</v>
      </c>
      <c r="I56" s="30" t="s">
        <v>317</v>
      </c>
      <c r="J56" s="63">
        <v>3588</v>
      </c>
      <c r="K56" s="10">
        <v>44168</v>
      </c>
      <c r="L56" s="63" cm="1">
        <f t="array" aca="1" ref="L56" ca="1">IF($Q56="N",0,SUMIFS(IncIncl,IncDocDate,"&lt;="&amp;$M$2,IncInvoice,$A56)-SUMIFS(IncPayAmount,IncDocDate,"&lt;="&amp;$M$2,IncPayDate,"&lt;="&amp;$M$2,IncInvoice,$A56))</f>
        <v>-4.5474735088646412E-13</v>
      </c>
      <c r="M56" s="29" cm="1">
        <f t="array" aca="1" ref="M56" ca="1">P56-IF(IncTaxCount=2,SUM($N56:$O56),$N56:$N56)</f>
        <v>3119.9999999999995</v>
      </c>
      <c r="N56" s="29">
        <f ca="1">$P56/(1+IF(ISERROR($F56),0,IF(ISNA(MATCH($F56,TaxCode,0)),0,OFFSET(Setup!$D$15,MATCH($F56,TaxCode,0),0,1,1)))+IF(ISERROR($G56),0,IF(ISNA(MATCH($G56,TaxCode,0)),0,OFFSET(Setup!$D$15,MATCH($G56,TaxCode,0),0,1,1))))*IF(ISERROR($F56),0,IF(ISNA(MATCH($F56,TaxCode,0)),0,OFFSET(Setup!$D$15,MATCH($F56,TaxCode,0),0,1,1)))</f>
        <v>468</v>
      </c>
      <c r="O56" s="29">
        <f ca="1">$P56/(1+IF(ISERROR($F56),0,IF(ISNA(MATCH($F56,TaxCode,0)),0,OFFSET(Setup!$D$15,MATCH($F56,TaxCode,0),0,1,1)))+IF(ISERROR($G56),0,IF(ISNA(MATCH($G56,TaxCode,0)),0,OFFSET(Setup!$D$15,MATCH($G56,TaxCode,0),0,1,1))))*IF(ISERROR($G56),0,IF(ISNA(MATCH($G56,TaxCode,0)),0,OFFSET(Setup!$D$15,MATCH($G56,TaxCode,0),0,1,1)))</f>
        <v>0</v>
      </c>
      <c r="P56" s="29">
        <f t="shared" si="3"/>
        <v>3587.9999999999995</v>
      </c>
      <c r="Q56" s="63" t="str">
        <f t="shared" si="4"/>
        <v>Y</v>
      </c>
      <c r="R56" s="63" t="str">
        <f t="shared" ca="1" si="5"/>
        <v>-</v>
      </c>
    </row>
    <row r="57" spans="1:18" ht="16" customHeight="1" x14ac:dyDescent="0.25">
      <c r="A57" s="17" t="s">
        <v>514</v>
      </c>
      <c r="B57" s="10">
        <v>44142</v>
      </c>
      <c r="C57" s="17" t="s">
        <v>479</v>
      </c>
      <c r="D57" s="4" t="s">
        <v>441</v>
      </c>
      <c r="E57" s="29">
        <v>2760</v>
      </c>
      <c r="F57" s="63" t="s">
        <v>93</v>
      </c>
      <c r="G57" s="63" t="s">
        <v>108</v>
      </c>
      <c r="H57" s="63" t="s">
        <v>145</v>
      </c>
      <c r="I57" s="30" t="s">
        <v>318</v>
      </c>
      <c r="J57" s="63">
        <v>2760</v>
      </c>
      <c r="K57" s="10">
        <v>44142</v>
      </c>
      <c r="L57" s="63" cm="1">
        <f t="array" aca="1" ref="L57" ca="1">IF($Q57="N",0,SUMIFS(IncIncl,IncDocDate,"&lt;="&amp;$M$2,IncInvoice,$A57)-SUMIFS(IncPayAmount,IncDocDate,"&lt;="&amp;$M$2,IncPayDate,"&lt;="&amp;$M$2,IncInvoice,$A57))</f>
        <v>0</v>
      </c>
      <c r="M57" s="29" cm="1">
        <f t="array" aca="1" ref="M57" ca="1">P57-IF(IncTaxCount=2,SUM($N57:$O57),$N57:$N57)</f>
        <v>2400</v>
      </c>
      <c r="N57" s="29">
        <f ca="1">$P57/(1+IF(ISERROR($F57),0,IF(ISNA(MATCH($F57,TaxCode,0)),0,OFFSET(Setup!$D$15,MATCH($F57,TaxCode,0),0,1,1)))+IF(ISERROR($G57),0,IF(ISNA(MATCH($G57,TaxCode,0)),0,OFFSET(Setup!$D$15,MATCH($G57,TaxCode,0),0,1,1))))*IF(ISERROR($F57),0,IF(ISNA(MATCH($F57,TaxCode,0)),0,OFFSET(Setup!$D$15,MATCH($F57,TaxCode,0),0,1,1)))</f>
        <v>360</v>
      </c>
      <c r="O57" s="29">
        <f ca="1">$P57/(1+IF(ISERROR($F57),0,IF(ISNA(MATCH($F57,TaxCode,0)),0,OFFSET(Setup!$D$15,MATCH($F57,TaxCode,0),0,1,1)))+IF(ISERROR($G57),0,IF(ISNA(MATCH($G57,TaxCode,0)),0,OFFSET(Setup!$D$15,MATCH($G57,TaxCode,0),0,1,1))))*IF(ISERROR($G57),0,IF(ISNA(MATCH($G57,TaxCode,0)),0,OFFSET(Setup!$D$15,MATCH($G57,TaxCode,0),0,1,1)))</f>
        <v>0</v>
      </c>
      <c r="P57" s="29">
        <f t="shared" si="3"/>
        <v>2760</v>
      </c>
      <c r="Q57" s="63" t="str">
        <f t="shared" si="4"/>
        <v>Y</v>
      </c>
      <c r="R57" s="63" t="str">
        <f t="shared" ca="1" si="5"/>
        <v>-</v>
      </c>
    </row>
    <row r="58" spans="1:18" ht="16" customHeight="1" x14ac:dyDescent="0.25">
      <c r="A58" s="17" t="s">
        <v>515</v>
      </c>
      <c r="B58" s="10">
        <v>44160</v>
      </c>
      <c r="C58" s="17" t="s">
        <v>476</v>
      </c>
      <c r="D58" s="4" t="s">
        <v>474</v>
      </c>
      <c r="E58" s="29">
        <v>22150</v>
      </c>
      <c r="F58" s="63" t="s">
        <v>108</v>
      </c>
      <c r="G58" s="63" t="s">
        <v>108</v>
      </c>
      <c r="H58" s="63" t="s">
        <v>147</v>
      </c>
      <c r="I58" s="30" t="s">
        <v>316</v>
      </c>
      <c r="J58" s="63">
        <v>22150</v>
      </c>
      <c r="K58" s="10">
        <v>44170</v>
      </c>
      <c r="L58" s="63" cm="1">
        <f t="array" aca="1" ref="L58" ca="1">IF($Q58="N",0,SUMIFS(IncIncl,IncDocDate,"&lt;="&amp;$M$2,IncInvoice,$A58)-SUMIFS(IncPayAmount,IncDocDate,"&lt;="&amp;$M$2,IncPayDate,"&lt;="&amp;$M$2,IncInvoice,$A58))</f>
        <v>0</v>
      </c>
      <c r="M58" s="29" cm="1">
        <f t="array" aca="1" ref="M58" ca="1">P58-IF(IncTaxCount=2,SUM($N58:$O58),$N58:$N58)</f>
        <v>22150</v>
      </c>
      <c r="N58" s="29">
        <f ca="1">$P58/(1+IF(ISERROR($F58),0,IF(ISNA(MATCH($F58,TaxCode,0)),0,OFFSET(Setup!$D$15,MATCH($F58,TaxCode,0),0,1,1)))+IF(ISERROR($G58),0,IF(ISNA(MATCH($G58,TaxCode,0)),0,OFFSET(Setup!$D$15,MATCH($G58,TaxCode,0),0,1,1))))*IF(ISERROR($F58),0,IF(ISNA(MATCH($F58,TaxCode,0)),0,OFFSET(Setup!$D$15,MATCH($F58,TaxCode,0),0,1,1)))</f>
        <v>0</v>
      </c>
      <c r="O58" s="29">
        <f ca="1">$P58/(1+IF(ISERROR($F58),0,IF(ISNA(MATCH($F58,TaxCode,0)),0,OFFSET(Setup!$D$15,MATCH($F58,TaxCode,0),0,1,1)))+IF(ISERROR($G58),0,IF(ISNA(MATCH($G58,TaxCode,0)),0,OFFSET(Setup!$D$15,MATCH($G58,TaxCode,0),0,1,1))))*IF(ISERROR($G58),0,IF(ISNA(MATCH($G58,TaxCode,0)),0,OFFSET(Setup!$D$15,MATCH($G58,TaxCode,0),0,1,1)))</f>
        <v>0</v>
      </c>
      <c r="P58" s="29">
        <f t="shared" si="3"/>
        <v>22150</v>
      </c>
      <c r="Q58" s="63" t="str">
        <f t="shared" si="4"/>
        <v>Y</v>
      </c>
      <c r="R58" s="63" t="str">
        <f t="shared" ca="1" si="5"/>
        <v>-</v>
      </c>
    </row>
    <row r="59" spans="1:18" ht="16" customHeight="1" x14ac:dyDescent="0.25">
      <c r="A59" s="17" t="s">
        <v>464</v>
      </c>
      <c r="B59" s="10">
        <v>44164</v>
      </c>
      <c r="C59" s="17" t="s">
        <v>137</v>
      </c>
      <c r="D59" s="4" t="s">
        <v>475</v>
      </c>
      <c r="E59" s="29">
        <v>15179.999999999998</v>
      </c>
      <c r="F59" s="63" t="s">
        <v>93</v>
      </c>
      <c r="G59" s="63" t="s">
        <v>108</v>
      </c>
      <c r="H59" s="63" t="s">
        <v>145</v>
      </c>
      <c r="I59" s="30" t="s">
        <v>317</v>
      </c>
      <c r="J59" s="63">
        <v>15180</v>
      </c>
      <c r="K59" s="10">
        <v>44186</v>
      </c>
      <c r="L59" s="63" cm="1">
        <f t="array" aca="1" ref="L59" ca="1">IF($Q59="N",0,SUMIFS(IncIncl,IncDocDate,"&lt;="&amp;$M$2,IncInvoice,$A59)-SUMIFS(IncPayAmount,IncDocDate,"&lt;="&amp;$M$2,IncPayDate,"&lt;="&amp;$M$2,IncInvoice,$A59))</f>
        <v>-1.8189894035458565E-12</v>
      </c>
      <c r="M59" s="29" cm="1">
        <f t="array" aca="1" ref="M59" ca="1">P59-IF(IncTaxCount=2,SUM($N59:$O59),$N59:$N59)</f>
        <v>13199.999999999998</v>
      </c>
      <c r="N59" s="29">
        <f ca="1">$P59/(1+IF(ISERROR($F59),0,IF(ISNA(MATCH($F59,TaxCode,0)),0,OFFSET(Setup!$D$15,MATCH($F59,TaxCode,0),0,1,1)))+IF(ISERROR($G59),0,IF(ISNA(MATCH($G59,TaxCode,0)),0,OFFSET(Setup!$D$15,MATCH($G59,TaxCode,0),0,1,1))))*IF(ISERROR($F59),0,IF(ISNA(MATCH($F59,TaxCode,0)),0,OFFSET(Setup!$D$15,MATCH($F59,TaxCode,0),0,1,1)))</f>
        <v>1980</v>
      </c>
      <c r="O59" s="29">
        <f ca="1">$P59/(1+IF(ISERROR($F59),0,IF(ISNA(MATCH($F59,TaxCode,0)),0,OFFSET(Setup!$D$15,MATCH($F59,TaxCode,0),0,1,1)))+IF(ISERROR($G59),0,IF(ISNA(MATCH($G59,TaxCode,0)),0,OFFSET(Setup!$D$15,MATCH($G59,TaxCode,0),0,1,1))))*IF(ISERROR($G59),0,IF(ISNA(MATCH($G59,TaxCode,0)),0,OFFSET(Setup!$D$15,MATCH($G59,TaxCode,0),0,1,1)))</f>
        <v>0</v>
      </c>
      <c r="P59" s="29">
        <f t="shared" si="3"/>
        <v>15179.999999999998</v>
      </c>
      <c r="Q59" s="63" t="str">
        <f t="shared" si="4"/>
        <v>Y</v>
      </c>
      <c r="R59" s="63" t="str">
        <f t="shared" ca="1" si="5"/>
        <v>-</v>
      </c>
    </row>
    <row r="60" spans="1:18" ht="16" customHeight="1" x14ac:dyDescent="0.25">
      <c r="A60" s="17" t="s">
        <v>465</v>
      </c>
      <c r="B60" s="10">
        <v>44164</v>
      </c>
      <c r="C60" s="17" t="s">
        <v>133</v>
      </c>
      <c r="D60" s="4" t="s">
        <v>475</v>
      </c>
      <c r="E60" s="29">
        <v>132250</v>
      </c>
      <c r="F60" s="63" t="s">
        <v>93</v>
      </c>
      <c r="G60" s="63" t="s">
        <v>108</v>
      </c>
      <c r="H60" s="63" t="s">
        <v>145</v>
      </c>
      <c r="I60" s="30" t="s">
        <v>317</v>
      </c>
      <c r="J60" s="63">
        <v>132250</v>
      </c>
      <c r="K60" s="10">
        <v>44194</v>
      </c>
      <c r="L60" s="63" cm="1">
        <f t="array" aca="1" ref="L60" ca="1">IF($Q60="N",0,SUMIFS(IncIncl,IncDocDate,"&lt;="&amp;$M$2,IncInvoice,$A60)-SUMIFS(IncPayAmount,IncDocDate,"&lt;="&amp;$M$2,IncPayDate,"&lt;="&amp;$M$2,IncInvoice,$A60))</f>
        <v>0</v>
      </c>
      <c r="M60" s="29" cm="1">
        <f t="array" aca="1" ref="M60" ca="1">P60-IF(IncTaxCount=2,SUM($N60:$O60),$N60:$N60)</f>
        <v>115000</v>
      </c>
      <c r="N60" s="29">
        <f ca="1">$P60/(1+IF(ISERROR($F60),0,IF(ISNA(MATCH($F60,TaxCode,0)),0,OFFSET(Setup!$D$15,MATCH($F60,TaxCode,0),0,1,1)))+IF(ISERROR($G60),0,IF(ISNA(MATCH($G60,TaxCode,0)),0,OFFSET(Setup!$D$15,MATCH($G60,TaxCode,0),0,1,1))))*IF(ISERROR($F60),0,IF(ISNA(MATCH($F60,TaxCode,0)),0,OFFSET(Setup!$D$15,MATCH($F60,TaxCode,0),0,1,1)))</f>
        <v>17250</v>
      </c>
      <c r="O60" s="29">
        <f ca="1">$P60/(1+IF(ISERROR($F60),0,IF(ISNA(MATCH($F60,TaxCode,0)),0,OFFSET(Setup!$D$15,MATCH($F60,TaxCode,0),0,1,1)))+IF(ISERROR($G60),0,IF(ISNA(MATCH($G60,TaxCode,0)),0,OFFSET(Setup!$D$15,MATCH($G60,TaxCode,0),0,1,1))))*IF(ISERROR($G60),0,IF(ISNA(MATCH($G60,TaxCode,0)),0,OFFSET(Setup!$D$15,MATCH($G60,TaxCode,0),0,1,1)))</f>
        <v>0</v>
      </c>
      <c r="P60" s="29">
        <f t="shared" si="3"/>
        <v>132250</v>
      </c>
      <c r="Q60" s="63" t="str">
        <f t="shared" si="4"/>
        <v>Y</v>
      </c>
      <c r="R60" s="63" t="str">
        <f t="shared" ca="1" si="5"/>
        <v>-</v>
      </c>
    </row>
    <row r="61" spans="1:18" ht="16" customHeight="1" x14ac:dyDescent="0.25">
      <c r="A61" s="17" t="s">
        <v>516</v>
      </c>
      <c r="B61" s="10">
        <v>44166</v>
      </c>
      <c r="C61" s="17" t="s">
        <v>165</v>
      </c>
      <c r="D61" s="4" t="s">
        <v>480</v>
      </c>
      <c r="E61" s="29">
        <v>166.45</v>
      </c>
      <c r="F61" s="63" t="s">
        <v>108</v>
      </c>
      <c r="G61" s="63" t="s">
        <v>108</v>
      </c>
      <c r="H61" s="63" t="s">
        <v>147</v>
      </c>
      <c r="I61" s="30" t="s">
        <v>314</v>
      </c>
      <c r="J61" s="63">
        <v>166.45</v>
      </c>
      <c r="K61" s="10">
        <v>44166</v>
      </c>
      <c r="L61" s="63" cm="1">
        <f t="array" aca="1" ref="L61" ca="1">IF($Q61="N",0,SUMIFS(IncIncl,IncDocDate,"&lt;="&amp;$M$2,IncInvoice,$A61)-SUMIFS(IncPayAmount,IncDocDate,"&lt;="&amp;$M$2,IncPayDate,"&lt;="&amp;$M$2,IncInvoice,$A61))</f>
        <v>0</v>
      </c>
      <c r="M61" s="29" cm="1">
        <f t="array" aca="1" ref="M61" ca="1">P61-IF(IncTaxCount=2,SUM($N61:$O61),$N61:$N61)</f>
        <v>166.45</v>
      </c>
      <c r="N61" s="29">
        <f ca="1">$P61/(1+IF(ISERROR($F61),0,IF(ISNA(MATCH($F61,TaxCode,0)),0,OFFSET(Setup!$D$15,MATCH($F61,TaxCode,0),0,1,1)))+IF(ISERROR($G61),0,IF(ISNA(MATCH($G61,TaxCode,0)),0,OFFSET(Setup!$D$15,MATCH($G61,TaxCode,0),0,1,1))))*IF(ISERROR($F61),0,IF(ISNA(MATCH($F61,TaxCode,0)),0,OFFSET(Setup!$D$15,MATCH($F61,TaxCode,0),0,1,1)))</f>
        <v>0</v>
      </c>
      <c r="O61" s="29">
        <f ca="1">$P61/(1+IF(ISERROR($F61),0,IF(ISNA(MATCH($F61,TaxCode,0)),0,OFFSET(Setup!$D$15,MATCH($F61,TaxCode,0),0,1,1)))+IF(ISERROR($G61),0,IF(ISNA(MATCH($G61,TaxCode,0)),0,OFFSET(Setup!$D$15,MATCH($G61,TaxCode,0),0,1,1))))*IF(ISERROR($G61),0,IF(ISNA(MATCH($G61,TaxCode,0)),0,OFFSET(Setup!$D$15,MATCH($G61,TaxCode,0),0,1,1)))</f>
        <v>0</v>
      </c>
      <c r="P61" s="29">
        <f t="shared" si="3"/>
        <v>166.45</v>
      </c>
      <c r="Q61" s="63" t="str">
        <f t="shared" si="4"/>
        <v>Y</v>
      </c>
      <c r="R61" s="63" t="str">
        <f t="shared" ca="1" si="5"/>
        <v>-</v>
      </c>
    </row>
    <row r="62" spans="1:18" ht="16" customHeight="1" x14ac:dyDescent="0.25">
      <c r="A62" s="17" t="s">
        <v>517</v>
      </c>
      <c r="B62" s="10">
        <v>44172</v>
      </c>
      <c r="C62" s="17" t="s">
        <v>479</v>
      </c>
      <c r="D62" s="4" t="s">
        <v>441</v>
      </c>
      <c r="E62" s="29">
        <v>1770.9999999999998</v>
      </c>
      <c r="F62" s="63" t="s">
        <v>93</v>
      </c>
      <c r="G62" s="63" t="s">
        <v>108</v>
      </c>
      <c r="H62" s="63" t="s">
        <v>145</v>
      </c>
      <c r="I62" s="30" t="s">
        <v>318</v>
      </c>
      <c r="J62" s="63">
        <v>1770.9999999999998</v>
      </c>
      <c r="K62" s="10">
        <v>44172</v>
      </c>
      <c r="L62" s="63" cm="1">
        <f t="array" aca="1" ref="L62" ca="1">IF($Q62="N",0,SUMIFS(IncIncl,IncDocDate,"&lt;="&amp;$M$2,IncInvoice,$A62)-SUMIFS(IncPayAmount,IncDocDate,"&lt;="&amp;$M$2,IncPayDate,"&lt;="&amp;$M$2,IncInvoice,$A62))</f>
        <v>0</v>
      </c>
      <c r="M62" s="29" cm="1">
        <f t="array" aca="1" ref="M62" ca="1">P62-IF(IncTaxCount=2,SUM($N62:$O62),$N62:$N62)</f>
        <v>1539.9999999999998</v>
      </c>
      <c r="N62" s="29">
        <f ca="1">$P62/(1+IF(ISERROR($F62),0,IF(ISNA(MATCH($F62,TaxCode,0)),0,OFFSET(Setup!$D$15,MATCH($F62,TaxCode,0),0,1,1)))+IF(ISERROR($G62),0,IF(ISNA(MATCH($G62,TaxCode,0)),0,OFFSET(Setup!$D$15,MATCH($G62,TaxCode,0),0,1,1))))*IF(ISERROR($F62),0,IF(ISNA(MATCH($F62,TaxCode,0)),0,OFFSET(Setup!$D$15,MATCH($F62,TaxCode,0),0,1,1)))</f>
        <v>231</v>
      </c>
      <c r="O62" s="29">
        <f ca="1">$P62/(1+IF(ISERROR($F62),0,IF(ISNA(MATCH($F62,TaxCode,0)),0,OFFSET(Setup!$D$15,MATCH($F62,TaxCode,0),0,1,1)))+IF(ISERROR($G62),0,IF(ISNA(MATCH($G62,TaxCode,0)),0,OFFSET(Setup!$D$15,MATCH($G62,TaxCode,0),0,1,1))))*IF(ISERROR($G62),0,IF(ISNA(MATCH($G62,TaxCode,0)),0,OFFSET(Setup!$D$15,MATCH($G62,TaxCode,0),0,1,1)))</f>
        <v>0</v>
      </c>
      <c r="P62" s="29">
        <f t="shared" si="3"/>
        <v>1770.9999999999998</v>
      </c>
      <c r="Q62" s="63" t="str">
        <f t="shared" si="4"/>
        <v>Y</v>
      </c>
      <c r="R62" s="63" t="str">
        <f t="shared" ca="1" si="5"/>
        <v>-</v>
      </c>
    </row>
    <row r="63" spans="1:18" ht="16" customHeight="1" x14ac:dyDescent="0.25">
      <c r="A63" s="17" t="s">
        <v>466</v>
      </c>
      <c r="B63" s="10">
        <v>44177</v>
      </c>
      <c r="C63" s="17" t="s">
        <v>138</v>
      </c>
      <c r="D63" s="4" t="s">
        <v>475</v>
      </c>
      <c r="E63" s="29">
        <v>115000</v>
      </c>
      <c r="F63" s="63" t="s">
        <v>93</v>
      </c>
      <c r="G63" s="63" t="s">
        <v>108</v>
      </c>
      <c r="H63" s="63" t="s">
        <v>145</v>
      </c>
      <c r="I63" s="30" t="s">
        <v>317</v>
      </c>
      <c r="J63" s="63">
        <v>115000</v>
      </c>
      <c r="K63" s="10">
        <v>44198</v>
      </c>
      <c r="L63" s="63" cm="1">
        <f t="array" aca="1" ref="L63" ca="1">IF($Q63="N",0,SUMIFS(IncIncl,IncDocDate,"&lt;="&amp;$M$2,IncInvoice,$A63)-SUMIFS(IncPayAmount,IncDocDate,"&lt;="&amp;$M$2,IncPayDate,"&lt;="&amp;$M$2,IncInvoice,$A63))</f>
        <v>0</v>
      </c>
      <c r="M63" s="29" cm="1">
        <f t="array" aca="1" ref="M63" ca="1">P63-IF(IncTaxCount=2,SUM($N63:$O63),$N63:$N63)</f>
        <v>100000</v>
      </c>
      <c r="N63" s="29">
        <f ca="1">$P63/(1+IF(ISERROR($F63),0,IF(ISNA(MATCH($F63,TaxCode,0)),0,OFFSET(Setup!$D$15,MATCH($F63,TaxCode,0),0,1,1)))+IF(ISERROR($G63),0,IF(ISNA(MATCH($G63,TaxCode,0)),0,OFFSET(Setup!$D$15,MATCH($G63,TaxCode,0),0,1,1))))*IF(ISERROR($F63),0,IF(ISNA(MATCH($F63,TaxCode,0)),0,OFFSET(Setup!$D$15,MATCH($F63,TaxCode,0),0,1,1)))</f>
        <v>15000.000000000002</v>
      </c>
      <c r="O63" s="29">
        <f ca="1">$P63/(1+IF(ISERROR($F63),0,IF(ISNA(MATCH($F63,TaxCode,0)),0,OFFSET(Setup!$D$15,MATCH($F63,TaxCode,0),0,1,1)))+IF(ISERROR($G63),0,IF(ISNA(MATCH($G63,TaxCode,0)),0,OFFSET(Setup!$D$15,MATCH($G63,TaxCode,0),0,1,1))))*IF(ISERROR($G63),0,IF(ISNA(MATCH($G63,TaxCode,0)),0,OFFSET(Setup!$D$15,MATCH($G63,TaxCode,0),0,1,1)))</f>
        <v>0</v>
      </c>
      <c r="P63" s="29">
        <f t="shared" si="3"/>
        <v>115000</v>
      </c>
      <c r="Q63" s="63" t="str">
        <f t="shared" si="4"/>
        <v>Y</v>
      </c>
      <c r="R63" s="63" t="str">
        <f t="shared" ca="1" si="5"/>
        <v>-</v>
      </c>
    </row>
    <row r="64" spans="1:18" ht="16" customHeight="1" x14ac:dyDescent="0.25">
      <c r="A64" s="17" t="s">
        <v>467</v>
      </c>
      <c r="B64" s="10">
        <v>44190</v>
      </c>
      <c r="C64" s="17" t="s">
        <v>139</v>
      </c>
      <c r="D64" s="4" t="s">
        <v>475</v>
      </c>
      <c r="E64" s="29">
        <v>13045</v>
      </c>
      <c r="F64" s="63" t="s">
        <v>108</v>
      </c>
      <c r="G64" s="63" t="s">
        <v>108</v>
      </c>
      <c r="H64" s="63" t="s">
        <v>145</v>
      </c>
      <c r="I64" s="30" t="s">
        <v>317</v>
      </c>
      <c r="J64" s="63">
        <v>13045</v>
      </c>
      <c r="K64" s="10">
        <v>44207</v>
      </c>
      <c r="L64" s="63" cm="1">
        <f t="array" aca="1" ref="L64" ca="1">IF($Q64="N",0,SUMIFS(IncIncl,IncDocDate,"&lt;="&amp;$M$2,IncInvoice,$A64)-SUMIFS(IncPayAmount,IncDocDate,"&lt;="&amp;$M$2,IncPayDate,"&lt;="&amp;$M$2,IncInvoice,$A64))</f>
        <v>0</v>
      </c>
      <c r="M64" s="29" cm="1">
        <f t="array" aca="1" ref="M64" ca="1">P64-IF(IncTaxCount=2,SUM($N64:$O64),$N64:$N64)</f>
        <v>13045</v>
      </c>
      <c r="N64" s="29">
        <f ca="1">$P64/(1+IF(ISERROR($F64),0,IF(ISNA(MATCH($F64,TaxCode,0)),0,OFFSET(Setup!$D$15,MATCH($F64,TaxCode,0),0,1,1)))+IF(ISERROR($G64),0,IF(ISNA(MATCH($G64,TaxCode,0)),0,OFFSET(Setup!$D$15,MATCH($G64,TaxCode,0),0,1,1))))*IF(ISERROR($F64),0,IF(ISNA(MATCH($F64,TaxCode,0)),0,OFFSET(Setup!$D$15,MATCH($F64,TaxCode,0),0,1,1)))</f>
        <v>0</v>
      </c>
      <c r="O64" s="29">
        <f ca="1">$P64/(1+IF(ISERROR($F64),0,IF(ISNA(MATCH($F64,TaxCode,0)),0,OFFSET(Setup!$D$15,MATCH($F64,TaxCode,0),0,1,1)))+IF(ISERROR($G64),0,IF(ISNA(MATCH($G64,TaxCode,0)),0,OFFSET(Setup!$D$15,MATCH($G64,TaxCode,0),0,1,1))))*IF(ISERROR($G64),0,IF(ISNA(MATCH($G64,TaxCode,0)),0,OFFSET(Setup!$D$15,MATCH($G64,TaxCode,0),0,1,1)))</f>
        <v>0</v>
      </c>
      <c r="P64" s="29">
        <f t="shared" si="3"/>
        <v>13045</v>
      </c>
      <c r="Q64" s="63" t="str">
        <f t="shared" si="4"/>
        <v>Y</v>
      </c>
      <c r="R64" s="63" t="str">
        <f t="shared" ca="1" si="5"/>
        <v>-</v>
      </c>
    </row>
    <row r="65" spans="1:18" ht="16" customHeight="1" x14ac:dyDescent="0.25">
      <c r="A65" s="17" t="s">
        <v>518</v>
      </c>
      <c r="B65" s="10">
        <v>44190</v>
      </c>
      <c r="C65" s="17" t="s">
        <v>476</v>
      </c>
      <c r="D65" s="4" t="s">
        <v>474</v>
      </c>
      <c r="E65" s="29">
        <v>10320</v>
      </c>
      <c r="F65" s="63" t="s">
        <v>108</v>
      </c>
      <c r="G65" s="63" t="s">
        <v>108</v>
      </c>
      <c r="H65" s="63" t="s">
        <v>147</v>
      </c>
      <c r="I65" s="30" t="s">
        <v>316</v>
      </c>
      <c r="J65" s="63">
        <v>10320</v>
      </c>
      <c r="K65" s="10">
        <v>44201</v>
      </c>
      <c r="L65" s="63" cm="1">
        <f t="array" aca="1" ref="L65" ca="1">IF($Q65="N",0,SUMIFS(IncIncl,IncDocDate,"&lt;="&amp;$M$2,IncInvoice,$A65)-SUMIFS(IncPayAmount,IncDocDate,"&lt;="&amp;$M$2,IncPayDate,"&lt;="&amp;$M$2,IncInvoice,$A65))</f>
        <v>0</v>
      </c>
      <c r="M65" s="29" cm="1">
        <f t="array" aca="1" ref="M65" ca="1">P65-IF(IncTaxCount=2,SUM($N65:$O65),$N65:$N65)</f>
        <v>10320</v>
      </c>
      <c r="N65" s="29">
        <f ca="1">$P65/(1+IF(ISERROR($F65),0,IF(ISNA(MATCH($F65,TaxCode,0)),0,OFFSET(Setup!$D$15,MATCH($F65,TaxCode,0),0,1,1)))+IF(ISERROR($G65),0,IF(ISNA(MATCH($G65,TaxCode,0)),0,OFFSET(Setup!$D$15,MATCH($G65,TaxCode,0),0,1,1))))*IF(ISERROR($F65),0,IF(ISNA(MATCH($F65,TaxCode,0)),0,OFFSET(Setup!$D$15,MATCH($F65,TaxCode,0),0,1,1)))</f>
        <v>0</v>
      </c>
      <c r="O65" s="29">
        <f ca="1">$P65/(1+IF(ISERROR($F65),0,IF(ISNA(MATCH($F65,TaxCode,0)),0,OFFSET(Setup!$D$15,MATCH($F65,TaxCode,0),0,1,1)))+IF(ISERROR($G65),0,IF(ISNA(MATCH($G65,TaxCode,0)),0,OFFSET(Setup!$D$15,MATCH($G65,TaxCode,0),0,1,1))))*IF(ISERROR($G65),0,IF(ISNA(MATCH($G65,TaxCode,0)),0,OFFSET(Setup!$D$15,MATCH($G65,TaxCode,0),0,1,1)))</f>
        <v>0</v>
      </c>
      <c r="P65" s="29">
        <f t="shared" si="3"/>
        <v>10320</v>
      </c>
      <c r="Q65" s="63" t="str">
        <f t="shared" si="4"/>
        <v>Y</v>
      </c>
      <c r="R65" s="63" t="str">
        <f t="shared" ca="1" si="5"/>
        <v>-</v>
      </c>
    </row>
    <row r="66" spans="1:18" ht="16" customHeight="1" x14ac:dyDescent="0.25">
      <c r="A66" s="17" t="s">
        <v>519</v>
      </c>
      <c r="B66" s="10">
        <v>44197</v>
      </c>
      <c r="C66" s="17" t="s">
        <v>165</v>
      </c>
      <c r="D66" s="4" t="s">
        <v>480</v>
      </c>
      <c r="E66" s="29">
        <v>166.23</v>
      </c>
      <c r="F66" s="63" t="s">
        <v>108</v>
      </c>
      <c r="G66" s="63" t="s">
        <v>108</v>
      </c>
      <c r="H66" s="63" t="s">
        <v>147</v>
      </c>
      <c r="I66" s="30" t="s">
        <v>314</v>
      </c>
      <c r="J66" s="63">
        <v>166.23</v>
      </c>
      <c r="K66" s="10">
        <v>44197</v>
      </c>
      <c r="L66" s="63" cm="1">
        <f t="array" aca="1" ref="L66" ca="1">IF($Q66="N",0,SUMIFS(IncIncl,IncDocDate,"&lt;="&amp;$M$2,IncInvoice,$A66)-SUMIFS(IncPayAmount,IncDocDate,"&lt;="&amp;$M$2,IncPayDate,"&lt;="&amp;$M$2,IncInvoice,$A66))</f>
        <v>0</v>
      </c>
      <c r="M66" s="29" cm="1">
        <f t="array" aca="1" ref="M66" ca="1">P66-IF(IncTaxCount=2,SUM($N66:$O66),$N66:$N66)</f>
        <v>166.23</v>
      </c>
      <c r="N66" s="29">
        <f ca="1">$P66/(1+IF(ISERROR($F66),0,IF(ISNA(MATCH($F66,TaxCode,0)),0,OFFSET(Setup!$D$15,MATCH($F66,TaxCode,0),0,1,1)))+IF(ISERROR($G66),0,IF(ISNA(MATCH($G66,TaxCode,0)),0,OFFSET(Setup!$D$15,MATCH($G66,TaxCode,0),0,1,1))))*IF(ISERROR($F66),0,IF(ISNA(MATCH($F66,TaxCode,0)),0,OFFSET(Setup!$D$15,MATCH($F66,TaxCode,0),0,1,1)))</f>
        <v>0</v>
      </c>
      <c r="O66" s="29">
        <f ca="1">$P66/(1+IF(ISERROR($F66),0,IF(ISNA(MATCH($F66,TaxCode,0)),0,OFFSET(Setup!$D$15,MATCH($F66,TaxCode,0),0,1,1)))+IF(ISERROR($G66),0,IF(ISNA(MATCH($G66,TaxCode,0)),0,OFFSET(Setup!$D$15,MATCH($G66,TaxCode,0),0,1,1))))*IF(ISERROR($G66),0,IF(ISNA(MATCH($G66,TaxCode,0)),0,OFFSET(Setup!$D$15,MATCH($G66,TaxCode,0),0,1,1)))</f>
        <v>0</v>
      </c>
      <c r="P66" s="29">
        <f t="shared" si="3"/>
        <v>166.23</v>
      </c>
      <c r="Q66" s="63" t="str">
        <f t="shared" si="4"/>
        <v>Y</v>
      </c>
      <c r="R66" s="63" t="str">
        <f t="shared" ca="1" si="5"/>
        <v>-</v>
      </c>
    </row>
    <row r="67" spans="1:18" ht="16" customHeight="1" x14ac:dyDescent="0.25">
      <c r="A67" s="17" t="s">
        <v>531</v>
      </c>
      <c r="B67" s="10">
        <v>44201</v>
      </c>
      <c r="C67" s="17" t="s">
        <v>139</v>
      </c>
      <c r="D67" s="4" t="s">
        <v>532</v>
      </c>
      <c r="E67" s="29">
        <v>-1150</v>
      </c>
      <c r="F67" s="63" t="s">
        <v>108</v>
      </c>
      <c r="G67" s="63" t="s">
        <v>108</v>
      </c>
      <c r="H67" s="63" t="s">
        <v>145</v>
      </c>
      <c r="I67" s="30" t="s">
        <v>317</v>
      </c>
      <c r="J67" s="63">
        <v>-1150</v>
      </c>
      <c r="K67" s="10">
        <v>44207</v>
      </c>
      <c r="L67" s="63" cm="1">
        <f t="array" aca="1" ref="L67" ca="1">IF($Q67="N",0,SUMIFS(IncIncl,IncDocDate,"&lt;="&amp;$M$2,IncInvoice,$A67)-SUMIFS(IncPayAmount,IncDocDate,"&lt;="&amp;$M$2,IncPayDate,"&lt;="&amp;$M$2,IncInvoice,$A67))</f>
        <v>0</v>
      </c>
      <c r="M67" s="29" cm="1">
        <f t="array" aca="1" ref="M67" ca="1">P67-IF(IncTaxCount=2,SUM($N67:$O67),$N67:$N67)</f>
        <v>-1150</v>
      </c>
      <c r="N67" s="29">
        <f ca="1">$P67/(1+IF(ISERROR($F67),0,IF(ISNA(MATCH($F67,TaxCode,0)),0,OFFSET(Setup!$D$15,MATCH($F67,TaxCode,0),0,1,1)))+IF(ISERROR($G67),0,IF(ISNA(MATCH($G67,TaxCode,0)),0,OFFSET(Setup!$D$15,MATCH($G67,TaxCode,0),0,1,1))))*IF(ISERROR($F67),0,IF(ISNA(MATCH($F67,TaxCode,0)),0,OFFSET(Setup!$D$15,MATCH($F67,TaxCode,0),0,1,1)))</f>
        <v>0</v>
      </c>
      <c r="O67" s="29">
        <f ca="1">$P67/(1+IF(ISERROR($F67),0,IF(ISNA(MATCH($F67,TaxCode,0)),0,OFFSET(Setup!$D$15,MATCH($F67,TaxCode,0),0,1,1)))+IF(ISERROR($G67),0,IF(ISNA(MATCH($G67,TaxCode,0)),0,OFFSET(Setup!$D$15,MATCH($G67,TaxCode,0),0,1,1))))*IF(ISERROR($G67),0,IF(ISNA(MATCH($G67,TaxCode,0)),0,OFFSET(Setup!$D$15,MATCH($G67,TaxCode,0),0,1,1)))</f>
        <v>0</v>
      </c>
      <c r="P67" s="29">
        <f t="shared" si="3"/>
        <v>-1150</v>
      </c>
      <c r="Q67" s="63" t="str">
        <f t="shared" si="4"/>
        <v>Y</v>
      </c>
      <c r="R67" s="63" t="str">
        <f t="shared" ca="1" si="5"/>
        <v>-</v>
      </c>
    </row>
    <row r="68" spans="1:18" ht="16" customHeight="1" x14ac:dyDescent="0.25">
      <c r="A68" s="17" t="s">
        <v>520</v>
      </c>
      <c r="B68" s="10">
        <v>44203</v>
      </c>
      <c r="C68" s="17" t="s">
        <v>479</v>
      </c>
      <c r="D68" s="4" t="s">
        <v>441</v>
      </c>
      <c r="E68" s="29">
        <v>2300</v>
      </c>
      <c r="F68" s="63" t="s">
        <v>93</v>
      </c>
      <c r="G68" s="63" t="s">
        <v>108</v>
      </c>
      <c r="H68" s="63" t="s">
        <v>145</v>
      </c>
      <c r="I68" s="30" t="s">
        <v>318</v>
      </c>
      <c r="J68" s="63">
        <v>2300</v>
      </c>
      <c r="K68" s="10">
        <v>44203</v>
      </c>
      <c r="L68" s="63" cm="1">
        <f t="array" aca="1" ref="L68" ca="1">IF($Q68="N",0,SUMIFS(IncIncl,IncDocDate,"&lt;="&amp;$M$2,IncInvoice,$A68)-SUMIFS(IncPayAmount,IncDocDate,"&lt;="&amp;$M$2,IncPayDate,"&lt;="&amp;$M$2,IncInvoice,$A68))</f>
        <v>0</v>
      </c>
      <c r="M68" s="29" cm="1">
        <f t="array" aca="1" ref="M68" ca="1">P68-IF(IncTaxCount=2,SUM($N68:$O68),$N68:$N68)</f>
        <v>2000</v>
      </c>
      <c r="N68" s="29">
        <f ca="1">$P68/(1+IF(ISERROR($F68),0,IF(ISNA(MATCH($F68,TaxCode,0)),0,OFFSET(Setup!$D$15,MATCH($F68,TaxCode,0),0,1,1)))+IF(ISERROR($G68),0,IF(ISNA(MATCH($G68,TaxCode,0)),0,OFFSET(Setup!$D$15,MATCH($G68,TaxCode,0),0,1,1))))*IF(ISERROR($F68),0,IF(ISNA(MATCH($F68,TaxCode,0)),0,OFFSET(Setup!$D$15,MATCH($F68,TaxCode,0),0,1,1)))</f>
        <v>300</v>
      </c>
      <c r="O68" s="29">
        <f ca="1">$P68/(1+IF(ISERROR($F68),0,IF(ISNA(MATCH($F68,TaxCode,0)),0,OFFSET(Setup!$D$15,MATCH($F68,TaxCode,0),0,1,1)))+IF(ISERROR($G68),0,IF(ISNA(MATCH($G68,TaxCode,0)),0,OFFSET(Setup!$D$15,MATCH($G68,TaxCode,0),0,1,1))))*IF(ISERROR($G68),0,IF(ISNA(MATCH($G68,TaxCode,0)),0,OFFSET(Setup!$D$15,MATCH($G68,TaxCode,0),0,1,1)))</f>
        <v>0</v>
      </c>
      <c r="P68" s="29">
        <f t="shared" si="3"/>
        <v>2300</v>
      </c>
      <c r="Q68" s="63" t="str">
        <f t="shared" si="4"/>
        <v>Y</v>
      </c>
      <c r="R68" s="63" t="str">
        <f t="shared" ca="1" si="5"/>
        <v>-</v>
      </c>
    </row>
    <row r="69" spans="1:18" ht="16" customHeight="1" x14ac:dyDescent="0.25">
      <c r="A69" s="17" t="s">
        <v>519</v>
      </c>
      <c r="B69" s="10">
        <v>44206</v>
      </c>
      <c r="C69" s="17" t="s">
        <v>165</v>
      </c>
      <c r="D69" s="4" t="s">
        <v>527</v>
      </c>
      <c r="E69" s="29">
        <v>50000</v>
      </c>
      <c r="F69" s="63" t="s">
        <v>108</v>
      </c>
      <c r="G69" s="63" t="s">
        <v>108</v>
      </c>
      <c r="H69" s="63" t="s">
        <v>147</v>
      </c>
      <c r="I69" s="30" t="s">
        <v>403</v>
      </c>
      <c r="J69" s="63">
        <v>50000</v>
      </c>
      <c r="K69" s="10">
        <v>44206</v>
      </c>
      <c r="L69" s="63" cm="1">
        <f t="array" ref="L69">IF($Q69="N",0,SUMIFS(IncIncl,IncDocDate,"&lt;="&amp;$M$2,IncInvoice,$A69)-SUMIFS(IncPayAmount,IncDocDate,"&lt;="&amp;$M$2,IncPayDate,"&lt;="&amp;$M$2,IncInvoice,$A69))</f>
        <v>0</v>
      </c>
      <c r="M69" s="29" cm="1">
        <f t="array" aca="1" ref="M69" ca="1">P69-IF(IncTaxCount=2,SUM($N69:$O69),$N69:$N69)</f>
        <v>50000</v>
      </c>
      <c r="N69" s="29">
        <f ca="1">$P69/(1+IF(ISERROR($F69),0,IF(ISNA(MATCH($F69,TaxCode,0)),0,OFFSET(Setup!$D$15,MATCH($F69,TaxCode,0),0,1,1)))+IF(ISERROR($G69),0,IF(ISNA(MATCH($G69,TaxCode,0)),0,OFFSET(Setup!$D$15,MATCH($G69,TaxCode,0),0,1,1))))*IF(ISERROR($F69),0,IF(ISNA(MATCH($F69,TaxCode,0)),0,OFFSET(Setup!$D$15,MATCH($F69,TaxCode,0),0,1,1)))</f>
        <v>0</v>
      </c>
      <c r="O69" s="29">
        <f ca="1">$P69/(1+IF(ISERROR($F69),0,IF(ISNA(MATCH($F69,TaxCode,0)),0,OFFSET(Setup!$D$15,MATCH($F69,TaxCode,0),0,1,1)))+IF(ISERROR($G69),0,IF(ISNA(MATCH($G69,TaxCode,0)),0,OFFSET(Setup!$D$15,MATCH($G69,TaxCode,0),0,1,1))))*IF(ISERROR($G69),0,IF(ISNA(MATCH($G69,TaxCode,0)),0,OFFSET(Setup!$D$15,MATCH($G69,TaxCode,0),0,1,1)))</f>
        <v>0</v>
      </c>
      <c r="P69" s="29">
        <f t="shared" ref="P69:P79" si="6">E69</f>
        <v>50000</v>
      </c>
      <c r="Q69" s="63" t="str">
        <f t="shared" ref="Q69:Q79" si="7">IF(ISNA(MATCH($A69,IncInvoice,0)),"N",IF(MATCH($A69,IncInvoice,0)=ROW($A69)-4,"Y","N"))</f>
        <v>N</v>
      </c>
      <c r="R69" s="63" t="str">
        <f t="shared" ref="R69:R79" ca="1" si="8">IF(AND(ISBLANK(K69)=FALSE,K69&lt;B69),"E1",IF(AND(ISBLANK(I69)=FALSE,ISNA(MATCH($I69,AccountNo,0))),"E2",IF(AND(ISBLANK(H69)=FALSE,ISNA(MATCH($H69,BankCode,0))),"E3","-")))</f>
        <v>-</v>
      </c>
    </row>
    <row r="70" spans="1:18" ht="16" customHeight="1" x14ac:dyDescent="0.25">
      <c r="A70" s="17" t="s">
        <v>468</v>
      </c>
      <c r="B70" s="10">
        <v>44215</v>
      </c>
      <c r="C70" s="17" t="s">
        <v>131</v>
      </c>
      <c r="D70" s="4" t="s">
        <v>475</v>
      </c>
      <c r="E70" s="29">
        <v>16606</v>
      </c>
      <c r="F70" s="63" t="s">
        <v>93</v>
      </c>
      <c r="G70" s="63" t="s">
        <v>108</v>
      </c>
      <c r="H70" s="63" t="s">
        <v>145</v>
      </c>
      <c r="I70" s="30" t="s">
        <v>317</v>
      </c>
      <c r="J70" s="63">
        <v>16606</v>
      </c>
      <c r="K70" s="10">
        <v>44227</v>
      </c>
      <c r="L70" s="63" cm="1">
        <f t="array" aca="1" ref="L70" ca="1">IF($Q70="N",0,SUMIFS(IncIncl,IncDocDate,"&lt;="&amp;$M$2,IncInvoice,$A70)-SUMIFS(IncPayAmount,IncDocDate,"&lt;="&amp;$M$2,IncPayDate,"&lt;="&amp;$M$2,IncInvoice,$A70))</f>
        <v>0</v>
      </c>
      <c r="M70" s="29" cm="1">
        <f t="array" aca="1" ref="M70" ca="1">P70-IF(IncTaxCount=2,SUM($N70:$O70),$N70:$N70)</f>
        <v>14440</v>
      </c>
      <c r="N70" s="29">
        <f ca="1">$P70/(1+IF(ISERROR($F70),0,IF(ISNA(MATCH($F70,TaxCode,0)),0,OFFSET(Setup!$D$15,MATCH($F70,TaxCode,0),0,1,1)))+IF(ISERROR($G70),0,IF(ISNA(MATCH($G70,TaxCode,0)),0,OFFSET(Setup!$D$15,MATCH($G70,TaxCode,0),0,1,1))))*IF(ISERROR($F70),0,IF(ISNA(MATCH($F70,TaxCode,0)),0,OFFSET(Setup!$D$15,MATCH($F70,TaxCode,0),0,1,1)))</f>
        <v>2166</v>
      </c>
      <c r="O70" s="29">
        <f ca="1">$P70/(1+IF(ISERROR($F70),0,IF(ISNA(MATCH($F70,TaxCode,0)),0,OFFSET(Setup!$D$15,MATCH($F70,TaxCode,0),0,1,1)))+IF(ISERROR($G70),0,IF(ISNA(MATCH($G70,TaxCode,0)),0,OFFSET(Setup!$D$15,MATCH($G70,TaxCode,0),0,1,1))))*IF(ISERROR($G70),0,IF(ISNA(MATCH($G70,TaxCode,0)),0,OFFSET(Setup!$D$15,MATCH($G70,TaxCode,0),0,1,1)))</f>
        <v>0</v>
      </c>
      <c r="P70" s="29">
        <f t="shared" si="6"/>
        <v>16606</v>
      </c>
      <c r="Q70" s="63" t="str">
        <f t="shared" si="7"/>
        <v>Y</v>
      </c>
      <c r="R70" s="63" t="str">
        <f t="shared" ca="1" si="8"/>
        <v>-</v>
      </c>
    </row>
    <row r="71" spans="1:18" ht="16" customHeight="1" x14ac:dyDescent="0.25">
      <c r="A71" s="17" t="s">
        <v>469</v>
      </c>
      <c r="B71" s="10">
        <v>44216</v>
      </c>
      <c r="C71" s="17" t="s">
        <v>140</v>
      </c>
      <c r="D71" s="4" t="s">
        <v>475</v>
      </c>
      <c r="E71" s="29">
        <v>141910</v>
      </c>
      <c r="F71" s="63" t="s">
        <v>93</v>
      </c>
      <c r="G71" s="63" t="s">
        <v>108</v>
      </c>
      <c r="H71" s="63" t="s">
        <v>145</v>
      </c>
      <c r="I71" s="30" t="s">
        <v>317</v>
      </c>
      <c r="J71" s="63">
        <v>110000</v>
      </c>
      <c r="K71" s="10">
        <v>44253</v>
      </c>
      <c r="L71" s="63" cm="1">
        <f t="array" aca="1" ref="L71" ca="1">IF($Q71="N",0,SUMIFS(IncIncl,IncDocDate,"&lt;="&amp;$M$2,IncInvoice,$A71)-SUMIFS(IncPayAmount,IncDocDate,"&lt;="&amp;$M$2,IncPayDate,"&lt;="&amp;$M$2,IncInvoice,$A71))</f>
        <v>31910</v>
      </c>
      <c r="M71" s="29" cm="1">
        <f t="array" aca="1" ref="M71" ca="1">P71-IF(IncTaxCount=2,SUM($N71:$O71),$N71:$N71)</f>
        <v>123400</v>
      </c>
      <c r="N71" s="29">
        <f ca="1">$P71/(1+IF(ISERROR($F71),0,IF(ISNA(MATCH($F71,TaxCode,0)),0,OFFSET(Setup!$D$15,MATCH($F71,TaxCode,0),0,1,1)))+IF(ISERROR($G71),0,IF(ISNA(MATCH($G71,TaxCode,0)),0,OFFSET(Setup!$D$15,MATCH($G71,TaxCode,0),0,1,1))))*IF(ISERROR($F71),0,IF(ISNA(MATCH($F71,TaxCode,0)),0,OFFSET(Setup!$D$15,MATCH($F71,TaxCode,0),0,1,1)))</f>
        <v>18510</v>
      </c>
      <c r="O71" s="29">
        <f ca="1">$P71/(1+IF(ISERROR($F71),0,IF(ISNA(MATCH($F71,TaxCode,0)),0,OFFSET(Setup!$D$15,MATCH($F71,TaxCode,0),0,1,1)))+IF(ISERROR($G71),0,IF(ISNA(MATCH($G71,TaxCode,0)),0,OFFSET(Setup!$D$15,MATCH($G71,TaxCode,0),0,1,1))))*IF(ISERROR($G71),0,IF(ISNA(MATCH($G71,TaxCode,0)),0,OFFSET(Setup!$D$15,MATCH($G71,TaxCode,0),0,1,1)))</f>
        <v>0</v>
      </c>
      <c r="P71" s="29">
        <f t="shared" si="6"/>
        <v>141910</v>
      </c>
      <c r="Q71" s="63" t="str">
        <f t="shared" si="7"/>
        <v>Y</v>
      </c>
      <c r="R71" s="63" t="str">
        <f t="shared" ca="1" si="8"/>
        <v>-</v>
      </c>
    </row>
    <row r="72" spans="1:18" ht="16" customHeight="1" x14ac:dyDescent="0.25">
      <c r="A72" s="17" t="s">
        <v>469</v>
      </c>
      <c r="B72" s="10">
        <v>44216</v>
      </c>
      <c r="C72" s="17" t="s">
        <v>140</v>
      </c>
      <c r="D72" s="4" t="s">
        <v>475</v>
      </c>
      <c r="E72" s="29">
        <v>0</v>
      </c>
      <c r="F72" s="63" t="s">
        <v>93</v>
      </c>
      <c r="G72" s="63" t="s">
        <v>108</v>
      </c>
      <c r="H72" s="63" t="s">
        <v>145</v>
      </c>
      <c r="I72" s="30" t="s">
        <v>317</v>
      </c>
      <c r="L72" s="63" cm="1">
        <f t="array" ref="L72">IF($Q72="N",0,SUMIFS(IncIncl,IncDocDate,"&lt;="&amp;$M$2,IncInvoice,$A72)-SUMIFS(IncPayAmount,IncDocDate,"&lt;="&amp;$M$2,IncPayDate,"&lt;="&amp;$M$2,IncInvoice,$A72))</f>
        <v>0</v>
      </c>
      <c r="M72" s="29" cm="1">
        <f t="array" aca="1" ref="M72" ca="1">P72-IF(IncTaxCount=2,SUM($N72:$O72),$N72:$N72)</f>
        <v>0</v>
      </c>
      <c r="N72" s="29">
        <f ca="1">$P72/(1+IF(ISERROR($F72),0,IF(ISNA(MATCH($F72,TaxCode,0)),0,OFFSET(Setup!$D$15,MATCH($F72,TaxCode,0),0,1,1)))+IF(ISERROR($G72),0,IF(ISNA(MATCH($G72,TaxCode,0)),0,OFFSET(Setup!$D$15,MATCH($G72,TaxCode,0),0,1,1))))*IF(ISERROR($F72),0,IF(ISNA(MATCH($F72,TaxCode,0)),0,OFFSET(Setup!$D$15,MATCH($F72,TaxCode,0),0,1,1)))</f>
        <v>0</v>
      </c>
      <c r="O72" s="29">
        <f ca="1">$P72/(1+IF(ISERROR($F72),0,IF(ISNA(MATCH($F72,TaxCode,0)),0,OFFSET(Setup!$D$15,MATCH($F72,TaxCode,0),0,1,1)))+IF(ISERROR($G72),0,IF(ISNA(MATCH($G72,TaxCode,0)),0,OFFSET(Setup!$D$15,MATCH($G72,TaxCode,0),0,1,1))))*IF(ISERROR($G72),0,IF(ISNA(MATCH($G72,TaxCode,0)),0,OFFSET(Setup!$D$15,MATCH($G72,TaxCode,0),0,1,1)))</f>
        <v>0</v>
      </c>
      <c r="P72" s="29">
        <f t="shared" si="6"/>
        <v>0</v>
      </c>
      <c r="Q72" s="63" t="str">
        <f t="shared" si="7"/>
        <v>N</v>
      </c>
      <c r="R72" s="63" t="str">
        <f t="shared" ca="1" si="8"/>
        <v>-</v>
      </c>
    </row>
    <row r="73" spans="1:18" ht="16" customHeight="1" x14ac:dyDescent="0.25">
      <c r="A73" s="17" t="s">
        <v>521</v>
      </c>
      <c r="B73" s="10">
        <v>44221</v>
      </c>
      <c r="C73" s="17" t="s">
        <v>476</v>
      </c>
      <c r="D73" s="4" t="s">
        <v>474</v>
      </c>
      <c r="E73" s="29">
        <v>15400</v>
      </c>
      <c r="F73" s="63" t="s">
        <v>108</v>
      </c>
      <c r="G73" s="63" t="s">
        <v>108</v>
      </c>
      <c r="H73" s="63" t="s">
        <v>147</v>
      </c>
      <c r="I73" s="30" t="s">
        <v>316</v>
      </c>
      <c r="J73" s="63">
        <v>15400</v>
      </c>
      <c r="K73" s="10">
        <v>44232</v>
      </c>
      <c r="L73" s="63" cm="1">
        <f t="array" aca="1" ref="L73" ca="1">IF($Q73="N",0,SUMIFS(IncIncl,IncDocDate,"&lt;="&amp;$M$2,IncInvoice,$A73)-SUMIFS(IncPayAmount,IncDocDate,"&lt;="&amp;$M$2,IncPayDate,"&lt;="&amp;$M$2,IncInvoice,$A73))</f>
        <v>0</v>
      </c>
      <c r="M73" s="29" cm="1">
        <f t="array" aca="1" ref="M73" ca="1">P73-IF(IncTaxCount=2,SUM($N73:$O73),$N73:$N73)</f>
        <v>15400</v>
      </c>
      <c r="N73" s="29">
        <f ca="1">$P73/(1+IF(ISERROR($F73),0,IF(ISNA(MATCH($F73,TaxCode,0)),0,OFFSET(Setup!$D$15,MATCH($F73,TaxCode,0),0,1,1)))+IF(ISERROR($G73),0,IF(ISNA(MATCH($G73,TaxCode,0)),0,OFFSET(Setup!$D$15,MATCH($G73,TaxCode,0),0,1,1))))*IF(ISERROR($F73),0,IF(ISNA(MATCH($F73,TaxCode,0)),0,OFFSET(Setup!$D$15,MATCH($F73,TaxCode,0),0,1,1)))</f>
        <v>0</v>
      </c>
      <c r="O73" s="29">
        <f ca="1">$P73/(1+IF(ISERROR($F73),0,IF(ISNA(MATCH($F73,TaxCode,0)),0,OFFSET(Setup!$D$15,MATCH($F73,TaxCode,0),0,1,1)))+IF(ISERROR($G73),0,IF(ISNA(MATCH($G73,TaxCode,0)),0,OFFSET(Setup!$D$15,MATCH($G73,TaxCode,0),0,1,1))))*IF(ISERROR($G73),0,IF(ISNA(MATCH($G73,TaxCode,0)),0,OFFSET(Setup!$D$15,MATCH($G73,TaxCode,0),0,1,1)))</f>
        <v>0</v>
      </c>
      <c r="P73" s="29">
        <f t="shared" si="6"/>
        <v>15400</v>
      </c>
      <c r="Q73" s="63" t="str">
        <f t="shared" si="7"/>
        <v>Y</v>
      </c>
      <c r="R73" s="63" t="str">
        <f t="shared" ca="1" si="8"/>
        <v>-</v>
      </c>
    </row>
    <row r="74" spans="1:18" ht="16" customHeight="1" x14ac:dyDescent="0.25">
      <c r="A74" s="17" t="s">
        <v>522</v>
      </c>
      <c r="B74" s="10">
        <v>44228</v>
      </c>
      <c r="C74" s="17" t="s">
        <v>165</v>
      </c>
      <c r="D74" s="4" t="s">
        <v>480</v>
      </c>
      <c r="E74" s="29">
        <v>167.25</v>
      </c>
      <c r="F74" s="63" t="s">
        <v>108</v>
      </c>
      <c r="G74" s="63" t="s">
        <v>108</v>
      </c>
      <c r="H74" s="63" t="s">
        <v>147</v>
      </c>
      <c r="I74" s="30" t="s">
        <v>314</v>
      </c>
      <c r="J74" s="63">
        <v>167.25</v>
      </c>
      <c r="K74" s="10">
        <v>44228</v>
      </c>
      <c r="L74" s="63" cm="1">
        <f t="array" aca="1" ref="L74" ca="1">IF($Q74="N",0,SUMIFS(IncIncl,IncDocDate,"&lt;="&amp;$M$2,IncInvoice,$A74)-SUMIFS(IncPayAmount,IncDocDate,"&lt;="&amp;$M$2,IncPayDate,"&lt;="&amp;$M$2,IncInvoice,$A74))</f>
        <v>0</v>
      </c>
      <c r="M74" s="29" cm="1">
        <f t="array" aca="1" ref="M74" ca="1">P74-IF(IncTaxCount=2,SUM($N74:$O74),$N74:$N74)</f>
        <v>167.25</v>
      </c>
      <c r="N74" s="29">
        <f ca="1">$P74/(1+IF(ISERROR($F74),0,IF(ISNA(MATCH($F74,TaxCode,0)),0,OFFSET(Setup!$D$15,MATCH($F74,TaxCode,0),0,1,1)))+IF(ISERROR($G74),0,IF(ISNA(MATCH($G74,TaxCode,0)),0,OFFSET(Setup!$D$15,MATCH($G74,TaxCode,0),0,1,1))))*IF(ISERROR($F74),0,IF(ISNA(MATCH($F74,TaxCode,0)),0,OFFSET(Setup!$D$15,MATCH($F74,TaxCode,0),0,1,1)))</f>
        <v>0</v>
      </c>
      <c r="O74" s="29">
        <f ca="1">$P74/(1+IF(ISERROR($F74),0,IF(ISNA(MATCH($F74,TaxCode,0)),0,OFFSET(Setup!$D$15,MATCH($F74,TaxCode,0),0,1,1)))+IF(ISERROR($G74),0,IF(ISNA(MATCH($G74,TaxCode,0)),0,OFFSET(Setup!$D$15,MATCH($G74,TaxCode,0),0,1,1))))*IF(ISERROR($G74),0,IF(ISNA(MATCH($G74,TaxCode,0)),0,OFFSET(Setup!$D$15,MATCH($G74,TaxCode,0),0,1,1)))</f>
        <v>0</v>
      </c>
      <c r="P74" s="29">
        <f t="shared" si="6"/>
        <v>167.25</v>
      </c>
      <c r="Q74" s="63" t="str">
        <f t="shared" si="7"/>
        <v>Y</v>
      </c>
      <c r="R74" s="63" t="str">
        <f t="shared" ca="1" si="8"/>
        <v>-</v>
      </c>
    </row>
    <row r="75" spans="1:18" ht="16" customHeight="1" x14ac:dyDescent="0.25">
      <c r="A75" s="17" t="s">
        <v>523</v>
      </c>
      <c r="B75" s="10">
        <v>44234</v>
      </c>
      <c r="C75" s="17" t="s">
        <v>479</v>
      </c>
      <c r="D75" s="4" t="s">
        <v>441</v>
      </c>
      <c r="E75" s="29">
        <v>3104.9999999999995</v>
      </c>
      <c r="F75" s="63" t="s">
        <v>93</v>
      </c>
      <c r="G75" s="63" t="s">
        <v>108</v>
      </c>
      <c r="H75" s="63" t="s">
        <v>145</v>
      </c>
      <c r="I75" s="30" t="s">
        <v>318</v>
      </c>
      <c r="J75" s="63">
        <v>3104.9999999999995</v>
      </c>
      <c r="K75" s="10">
        <v>44234</v>
      </c>
      <c r="L75" s="63" cm="1">
        <f t="array" aca="1" ref="L75" ca="1">IF($Q75="N",0,SUMIFS(IncIncl,IncDocDate,"&lt;="&amp;$M$2,IncInvoice,$A75)-SUMIFS(IncPayAmount,IncDocDate,"&lt;="&amp;$M$2,IncPayDate,"&lt;="&amp;$M$2,IncInvoice,$A75))</f>
        <v>0</v>
      </c>
      <c r="M75" s="29" cm="1">
        <f t="array" aca="1" ref="M75" ca="1">P75-IF(IncTaxCount=2,SUM($N75:$O75),$N75:$N75)</f>
        <v>2699.9999999999995</v>
      </c>
      <c r="N75" s="29">
        <f ca="1">$P75/(1+IF(ISERROR($F75),0,IF(ISNA(MATCH($F75,TaxCode,0)),0,OFFSET(Setup!$D$15,MATCH($F75,TaxCode,0),0,1,1)))+IF(ISERROR($G75),0,IF(ISNA(MATCH($G75,TaxCode,0)),0,OFFSET(Setup!$D$15,MATCH($G75,TaxCode,0),0,1,1))))*IF(ISERROR($F75),0,IF(ISNA(MATCH($F75,TaxCode,0)),0,OFFSET(Setup!$D$15,MATCH($F75,TaxCode,0),0,1,1)))</f>
        <v>405</v>
      </c>
      <c r="O75" s="29">
        <f ca="1">$P75/(1+IF(ISERROR($F75),0,IF(ISNA(MATCH($F75,TaxCode,0)),0,OFFSET(Setup!$D$15,MATCH($F75,TaxCode,0),0,1,1)))+IF(ISERROR($G75),0,IF(ISNA(MATCH($G75,TaxCode,0)),0,OFFSET(Setup!$D$15,MATCH($G75,TaxCode,0),0,1,1))))*IF(ISERROR($G75),0,IF(ISNA(MATCH($G75,TaxCode,0)),0,OFFSET(Setup!$D$15,MATCH($G75,TaxCode,0),0,1,1)))</f>
        <v>0</v>
      </c>
      <c r="P75" s="29">
        <f t="shared" si="6"/>
        <v>3104.9999999999995</v>
      </c>
      <c r="Q75" s="63" t="str">
        <f t="shared" si="7"/>
        <v>Y</v>
      </c>
      <c r="R75" s="63" t="str">
        <f t="shared" ca="1" si="8"/>
        <v>-</v>
      </c>
    </row>
    <row r="76" spans="1:18" ht="16" customHeight="1" x14ac:dyDescent="0.25">
      <c r="A76" s="17" t="s">
        <v>470</v>
      </c>
      <c r="B76" s="10">
        <v>44242</v>
      </c>
      <c r="C76" s="17" t="s">
        <v>141</v>
      </c>
      <c r="D76" s="4" t="s">
        <v>475</v>
      </c>
      <c r="E76" s="29">
        <v>120865</v>
      </c>
      <c r="F76" s="63" t="s">
        <v>93</v>
      </c>
      <c r="G76" s="63" t="s">
        <v>108</v>
      </c>
      <c r="H76" s="63" t="s">
        <v>145</v>
      </c>
      <c r="I76" s="30" t="s">
        <v>317</v>
      </c>
      <c r="J76" s="63">
        <v>138115</v>
      </c>
      <c r="K76" s="10">
        <v>44255</v>
      </c>
      <c r="L76" s="63" cm="1">
        <f t="array" aca="1" ref="L76" ca="1">IF($Q76="N",0,SUMIFS(IncIncl,IncDocDate,"&lt;="&amp;$M$2,IncInvoice,$A76)-SUMIFS(IncPayAmount,IncDocDate,"&lt;="&amp;$M$2,IncPayDate,"&lt;="&amp;$M$2,IncInvoice,$A76))</f>
        <v>0</v>
      </c>
      <c r="M76" s="29" cm="1">
        <f t="array" aca="1" ref="M76" ca="1">P76-IF(IncTaxCount=2,SUM($N76:$O76),$N76:$N76)</f>
        <v>105100</v>
      </c>
      <c r="N76" s="29">
        <f ca="1">$P76/(1+IF(ISERROR($F76),0,IF(ISNA(MATCH($F76,TaxCode,0)),0,OFFSET(Setup!$D$15,MATCH($F76,TaxCode,0),0,1,1)))+IF(ISERROR($G76),0,IF(ISNA(MATCH($G76,TaxCode,0)),0,OFFSET(Setup!$D$15,MATCH($G76,TaxCode,0),0,1,1))))*IF(ISERROR($F76),0,IF(ISNA(MATCH($F76,TaxCode,0)),0,OFFSET(Setup!$D$15,MATCH($F76,TaxCode,0),0,1,1)))</f>
        <v>15765.000000000002</v>
      </c>
      <c r="O76" s="29">
        <f ca="1">$P76/(1+IF(ISERROR($F76),0,IF(ISNA(MATCH($F76,TaxCode,0)),0,OFFSET(Setup!$D$15,MATCH($F76,TaxCode,0),0,1,1)))+IF(ISERROR($G76),0,IF(ISNA(MATCH($G76,TaxCode,0)),0,OFFSET(Setup!$D$15,MATCH($G76,TaxCode,0),0,1,1))))*IF(ISERROR($G76),0,IF(ISNA(MATCH($G76,TaxCode,0)),0,OFFSET(Setup!$D$15,MATCH($G76,TaxCode,0),0,1,1)))</f>
        <v>0</v>
      </c>
      <c r="P76" s="29">
        <f t="shared" si="6"/>
        <v>120865</v>
      </c>
      <c r="Q76" s="63" t="str">
        <f t="shared" si="7"/>
        <v>Y</v>
      </c>
      <c r="R76" s="63" t="str">
        <f t="shared" ca="1" si="8"/>
        <v>-</v>
      </c>
    </row>
    <row r="77" spans="1:18" ht="16" customHeight="1" x14ac:dyDescent="0.25">
      <c r="A77" s="17" t="s">
        <v>470</v>
      </c>
      <c r="B77" s="10">
        <v>44242</v>
      </c>
      <c r="C77" s="17" t="s">
        <v>141</v>
      </c>
      <c r="D77" s="4" t="s">
        <v>533</v>
      </c>
      <c r="E77" s="29">
        <v>17250</v>
      </c>
      <c r="F77" s="63" t="s">
        <v>93</v>
      </c>
      <c r="G77" s="63" t="s">
        <v>108</v>
      </c>
      <c r="H77" s="63" t="s">
        <v>145</v>
      </c>
      <c r="I77" s="30" t="s">
        <v>317</v>
      </c>
      <c r="J77" s="63">
        <v>0</v>
      </c>
      <c r="K77" s="10">
        <v>44255</v>
      </c>
      <c r="L77" s="63" cm="1">
        <f t="array" ref="L77">IF($Q77="N",0,SUMIFS(IncIncl,IncDocDate,"&lt;="&amp;$M$2,IncInvoice,$A77)-SUMIFS(IncPayAmount,IncDocDate,"&lt;="&amp;$M$2,IncPayDate,"&lt;="&amp;$M$2,IncInvoice,$A77))</f>
        <v>0</v>
      </c>
      <c r="M77" s="29" cm="1">
        <f t="array" aca="1" ref="M77" ca="1">P77-IF(IncTaxCount=2,SUM($N77:$O77),$N77:$N77)</f>
        <v>15000</v>
      </c>
      <c r="N77" s="29">
        <f ca="1">$P77/(1+IF(ISERROR($F77),0,IF(ISNA(MATCH($F77,TaxCode,0)),0,OFFSET(Setup!$D$15,MATCH($F77,TaxCode,0),0,1,1)))+IF(ISERROR($G77),0,IF(ISNA(MATCH($G77,TaxCode,0)),0,OFFSET(Setup!$D$15,MATCH($G77,TaxCode,0),0,1,1))))*IF(ISERROR($F77),0,IF(ISNA(MATCH($F77,TaxCode,0)),0,OFFSET(Setup!$D$15,MATCH($F77,TaxCode,0),0,1,1)))</f>
        <v>2250</v>
      </c>
      <c r="O77" s="29">
        <f ca="1">$P77/(1+IF(ISERROR($F77),0,IF(ISNA(MATCH($F77,TaxCode,0)),0,OFFSET(Setup!$D$15,MATCH($F77,TaxCode,0),0,1,1)))+IF(ISERROR($G77),0,IF(ISNA(MATCH($G77,TaxCode,0)),0,OFFSET(Setup!$D$15,MATCH($G77,TaxCode,0),0,1,1))))*IF(ISERROR($G77),0,IF(ISNA(MATCH($G77,TaxCode,0)),0,OFFSET(Setup!$D$15,MATCH($G77,TaxCode,0),0,1,1)))</f>
        <v>0</v>
      </c>
      <c r="P77" s="29">
        <f t="shared" si="6"/>
        <v>17250</v>
      </c>
      <c r="Q77" s="63" t="str">
        <f t="shared" si="7"/>
        <v>N</v>
      </c>
      <c r="R77" s="63" t="str">
        <f t="shared" ca="1" si="8"/>
        <v>-</v>
      </c>
    </row>
    <row r="78" spans="1:18" ht="16" customHeight="1" x14ac:dyDescent="0.25">
      <c r="A78" s="17" t="s">
        <v>524</v>
      </c>
      <c r="B78" s="10">
        <v>44252</v>
      </c>
      <c r="C78" s="17" t="s">
        <v>476</v>
      </c>
      <c r="D78" s="4" t="s">
        <v>474</v>
      </c>
      <c r="E78" s="29">
        <v>24350</v>
      </c>
      <c r="F78" s="63" t="s">
        <v>108</v>
      </c>
      <c r="G78" s="63" t="s">
        <v>108</v>
      </c>
      <c r="H78" s="63" t="s">
        <v>147</v>
      </c>
      <c r="I78" s="30" t="s">
        <v>316</v>
      </c>
      <c r="J78" s="63">
        <v>24350</v>
      </c>
      <c r="L78" s="63" cm="1">
        <f t="array" aca="1" ref="L78" ca="1">IF($Q78="N",0,SUMIFS(IncIncl,IncDocDate,"&lt;="&amp;$M$2,IncInvoice,$A78)-SUMIFS(IncPayAmount,IncDocDate,"&lt;="&amp;$M$2,IncPayDate,"&lt;="&amp;$M$2,IncInvoice,$A78))</f>
        <v>24350</v>
      </c>
      <c r="M78" s="29" cm="1">
        <f t="array" aca="1" ref="M78" ca="1">P78-IF(IncTaxCount=2,SUM($N78:$O78),$N78:$N78)</f>
        <v>24350</v>
      </c>
      <c r="N78" s="29">
        <f ca="1">$P78/(1+IF(ISERROR($F78),0,IF(ISNA(MATCH($F78,TaxCode,0)),0,OFFSET(Setup!$D$15,MATCH($F78,TaxCode,0),0,1,1)))+IF(ISERROR($G78),0,IF(ISNA(MATCH($G78,TaxCode,0)),0,OFFSET(Setup!$D$15,MATCH($G78,TaxCode,0),0,1,1))))*IF(ISERROR($F78),0,IF(ISNA(MATCH($F78,TaxCode,0)),0,OFFSET(Setup!$D$15,MATCH($F78,TaxCode,0),0,1,1)))</f>
        <v>0</v>
      </c>
      <c r="O78" s="29">
        <f ca="1">$P78/(1+IF(ISERROR($F78),0,IF(ISNA(MATCH($F78,TaxCode,0)),0,OFFSET(Setup!$D$15,MATCH($F78,TaxCode,0),0,1,1)))+IF(ISERROR($G78),0,IF(ISNA(MATCH($G78,TaxCode,0)),0,OFFSET(Setup!$D$15,MATCH($G78,TaxCode,0),0,1,1))))*IF(ISERROR($G78),0,IF(ISNA(MATCH($G78,TaxCode,0)),0,OFFSET(Setup!$D$15,MATCH($G78,TaxCode,0),0,1,1)))</f>
        <v>0</v>
      </c>
      <c r="P78" s="29">
        <f t="shared" si="6"/>
        <v>24350</v>
      </c>
      <c r="Q78" s="63" t="str">
        <f t="shared" si="7"/>
        <v>Y</v>
      </c>
      <c r="R78" s="63" t="str">
        <f t="shared" ca="1" si="8"/>
        <v>-</v>
      </c>
    </row>
    <row r="79" spans="1:18" ht="16" customHeight="1" x14ac:dyDescent="0.25">
      <c r="A79" s="17" t="s">
        <v>477</v>
      </c>
      <c r="B79" s="10">
        <v>44255</v>
      </c>
      <c r="C79" s="17" t="s">
        <v>133</v>
      </c>
      <c r="D79" s="4" t="s">
        <v>475</v>
      </c>
      <c r="E79" s="29">
        <v>36800</v>
      </c>
      <c r="F79" s="63" t="s">
        <v>93</v>
      </c>
      <c r="G79" s="63" t="s">
        <v>108</v>
      </c>
      <c r="H79" s="63" t="s">
        <v>145</v>
      </c>
      <c r="I79" s="30" t="s">
        <v>317</v>
      </c>
      <c r="J79" s="63">
        <v>36800</v>
      </c>
      <c r="L79" s="63" cm="1">
        <f t="array" aca="1" ref="L79" ca="1">IF($Q79="N",0,SUMIFS(IncIncl,IncDocDate,"&lt;="&amp;$M$2,IncInvoice,$A79)-SUMIFS(IncPayAmount,IncDocDate,"&lt;="&amp;$M$2,IncPayDate,"&lt;="&amp;$M$2,IncInvoice,$A79))</f>
        <v>36800</v>
      </c>
      <c r="M79" s="29" cm="1">
        <f t="array" aca="1" ref="M79" ca="1">P79-IF(IncTaxCount=2,SUM($N79:$O79),$N79:$N79)</f>
        <v>32000</v>
      </c>
      <c r="N79" s="29">
        <f ca="1">$P79/(1+IF(ISERROR($F79),0,IF(ISNA(MATCH($F79,TaxCode,0)),0,OFFSET(Setup!$D$15,MATCH($F79,TaxCode,0),0,1,1)))+IF(ISERROR($G79),0,IF(ISNA(MATCH($G79,TaxCode,0)),0,OFFSET(Setup!$D$15,MATCH($G79,TaxCode,0),0,1,1))))*IF(ISERROR($F79),0,IF(ISNA(MATCH($F79,TaxCode,0)),0,OFFSET(Setup!$D$15,MATCH($F79,TaxCode,0),0,1,1)))</f>
        <v>4800</v>
      </c>
      <c r="O79" s="29">
        <f ca="1">$P79/(1+IF(ISERROR($F79),0,IF(ISNA(MATCH($F79,TaxCode,0)),0,OFFSET(Setup!$D$15,MATCH($F79,TaxCode,0),0,1,1)))+IF(ISERROR($G79),0,IF(ISNA(MATCH($G79,TaxCode,0)),0,OFFSET(Setup!$D$15,MATCH($G79,TaxCode,0),0,1,1))))*IF(ISERROR($G79),0,IF(ISNA(MATCH($G79,TaxCode,0)),0,OFFSET(Setup!$D$15,MATCH($G79,TaxCode,0),0,1,1)))</f>
        <v>0</v>
      </c>
      <c r="P79" s="29">
        <f t="shared" si="6"/>
        <v>36800</v>
      </c>
      <c r="Q79" s="63" t="str">
        <f t="shared" si="7"/>
        <v>Y</v>
      </c>
      <c r="R79" s="63" t="str">
        <f t="shared" ca="1" si="8"/>
        <v>-</v>
      </c>
    </row>
  </sheetData>
  <sheetProtection autoFilter="0"/>
  <phoneticPr fontId="2" type="noConversion"/>
  <conditionalFormatting sqref="I4">
    <cfRule type="expression" dxfId="48" priority="3">
      <formula>COUNTIF(IncError,"E2")&gt;0=TRUE</formula>
    </cfRule>
  </conditionalFormatting>
  <conditionalFormatting sqref="K4">
    <cfRule type="expression" dxfId="47" priority="2">
      <formula>COUNTIF(IncError,"E1")&gt;0=TRUE</formula>
    </cfRule>
  </conditionalFormatting>
  <conditionalFormatting sqref="H4">
    <cfRule type="expression" dxfId="46" priority="1">
      <formula>COUNTIF(IncError,"E3")&gt;0=TRUE</formula>
    </cfRule>
  </conditionalFormatting>
  <dataValidations count="4">
    <dataValidation type="list" allowBlank="1" showInputMessage="1" showErrorMessage="1" errorTitle="Invalid Data" error="Select a valid item from the list box." sqref="F5:G79" xr:uid="{00000000-0002-0000-0700-000000000000}">
      <formula1>TaxCode</formula1>
    </dataValidation>
    <dataValidation type="date" operator="greaterThan" allowBlank="1" showInputMessage="1" showErrorMessage="1" errorTitle="Invalid Date" error="Enter a valid date in accordance with the regional date settings that are specified in the System Control Panel." sqref="K5:K79 B5:B79" xr:uid="{00000000-0002-0000-0700-000001000000}">
      <formula1>36526</formula1>
    </dataValidation>
    <dataValidation type="list" allowBlank="1" showInputMessage="1" showErrorMessage="1" errorTitle="Invalid Account" error="All accounts must be created on the Accounts sheet before being available for selection. The account number that you entered does not exist. Select a valid account number from the list box." sqref="I5:I79" xr:uid="{00000000-0002-0000-0700-000002000000}">
      <formula1>AccountSelect</formula1>
    </dataValidation>
    <dataValidation type="list" allowBlank="1" showInputMessage="1" showErrorMessage="1" errorTitle="Invalid Data" error="Select a valid item from the list box." sqref="H5:H79" xr:uid="{00000000-0002-0000-0700-000003000000}">
      <formula1>BankCode</formula1>
    </dataValidation>
  </dataValidations>
  <pageMargins left="0.59055118110236227" right="0.59055118110236227" top="0.59055118110236227" bottom="0.59055118110236227" header="0.39370078740157483" footer="0.39370078740157483"/>
  <pageSetup paperSize="9" scale="61" fitToHeight="0" orientation="landscape" r:id="rId1"/>
  <headerFooter alignWithMargins="0">
    <oddFooter>Page &amp;P of &amp;N</oddFooter>
  </headerFooter>
  <drawing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pageSetUpPr fitToPage="1"/>
  </sheetPr>
  <dimension ref="A1:P293"/>
  <sheetViews>
    <sheetView zoomScale="95" zoomScaleNormal="95" workbookViewId="0">
      <pane ySplit="4" topLeftCell="A5" activePane="bottomLeft" state="frozen"/>
      <selection pane="bottomLeft" activeCell="A4" sqref="A4"/>
    </sheetView>
  </sheetViews>
  <sheetFormatPr defaultColWidth="9.08984375" defaultRowHeight="16" customHeight="1" x14ac:dyDescent="0.25"/>
  <cols>
    <col min="1" max="1" width="12.6328125" style="79" customWidth="1"/>
    <col min="2" max="2" width="18.81640625" style="4" customWidth="1"/>
    <col min="3" max="3" width="16" style="4" customWidth="1"/>
    <col min="4" max="4" width="26.6328125" style="4" customWidth="1"/>
    <col min="5" max="5" width="15.81640625" style="29" customWidth="1"/>
    <col min="6" max="7" width="8.81640625" style="63" customWidth="1"/>
    <col min="8" max="8" width="8.6328125" style="63" customWidth="1"/>
    <col min="9" max="9" width="14.6328125" style="30" customWidth="1"/>
    <col min="10" max="10" width="11.6328125" style="10" customWidth="1"/>
    <col min="11" max="11" width="15.81640625" style="63" customWidth="1"/>
    <col min="12" max="15" width="15.81640625" style="29" customWidth="1"/>
    <col min="16" max="16" width="8.6328125" style="30" customWidth="1"/>
    <col min="17" max="24" width="12.6328125" style="4" customWidth="1"/>
    <col min="25" max="16384" width="9.08984375" style="4"/>
  </cols>
  <sheetData>
    <row r="1" spans="1:16" ht="16" customHeight="1" x14ac:dyDescent="0.3">
      <c r="A1" s="25" t="str">
        <f>IF(ISBLANK(Setup!$C$4),"Example Limited",Setup!$C$4)</f>
        <v>Example (Pty) Limited</v>
      </c>
      <c r="I1" s="4"/>
      <c r="J1" s="60"/>
      <c r="K1" s="61" t="s">
        <v>422</v>
      </c>
      <c r="L1" s="62"/>
    </row>
    <row r="2" spans="1:16" ht="16" customHeight="1" x14ac:dyDescent="0.25">
      <c r="A2" s="75" t="s">
        <v>163</v>
      </c>
      <c r="E2" s="76"/>
      <c r="I2" s="4"/>
      <c r="J2" s="60"/>
      <c r="K2" s="65">
        <v>44255</v>
      </c>
      <c r="L2" s="32">
        <f ca="1">IF(ISBLANK(K2),TODAY(),K2)</f>
        <v>44255</v>
      </c>
      <c r="M2" s="76"/>
      <c r="N2" s="76"/>
    </row>
    <row r="3" spans="1:16" s="6" customFormat="1" ht="16" customHeight="1" x14ac:dyDescent="0.25">
      <c r="A3" s="7" t="s">
        <v>350</v>
      </c>
      <c r="E3" s="66">
        <f>SUBTOTAL(109,Expense[[#Data],[Tax Inclusive Amount]])</f>
        <v>2085377.3599999999</v>
      </c>
      <c r="F3" s="67"/>
      <c r="G3" s="67"/>
      <c r="H3" s="67"/>
      <c r="I3" s="8"/>
      <c r="J3" s="64"/>
      <c r="K3" s="66">
        <f ca="1">SUBTOTAL(109,Expense[[#Data],[Outstanding Balance]])</f>
        <v>61039</v>
      </c>
      <c r="L3" s="66">
        <f ca="1">SUBTOTAL(109,Expense[[#Data],[Exclusive Amount]])</f>
        <v>2038411.9686956529</v>
      </c>
      <c r="M3" s="66">
        <f ca="1">SUBTOTAL(109,Expense[[#Data],[Sales Tax 1 Amount]])</f>
        <v>46965.391304347831</v>
      </c>
      <c r="N3" s="66">
        <f ca="1">SUBTOTAL(109,Expense[[#Data],[Sales Tax 2 Amount]])</f>
        <v>0</v>
      </c>
      <c r="O3" s="66">
        <f>SUBTOTAL(109,Expense[[#Data],[Inclusive Amount]])</f>
        <v>2085377.3599999999</v>
      </c>
      <c r="P3" s="8"/>
    </row>
    <row r="4" spans="1:16" s="74" customFormat="1" ht="25" x14ac:dyDescent="0.25">
      <c r="A4" s="204" t="s">
        <v>95</v>
      </c>
      <c r="B4" s="68" t="s">
        <v>59</v>
      </c>
      <c r="C4" s="70" t="s">
        <v>60</v>
      </c>
      <c r="D4" s="70" t="s">
        <v>61</v>
      </c>
      <c r="E4" s="71" t="s">
        <v>92</v>
      </c>
      <c r="F4" s="71" t="s">
        <v>718</v>
      </c>
      <c r="G4" s="71" t="s">
        <v>719</v>
      </c>
      <c r="H4" s="71" t="s">
        <v>161</v>
      </c>
      <c r="I4" s="69" t="s">
        <v>472</v>
      </c>
      <c r="J4" s="203" t="s">
        <v>91</v>
      </c>
      <c r="K4" s="77" t="s">
        <v>421</v>
      </c>
      <c r="L4" s="78" t="s">
        <v>94</v>
      </c>
      <c r="M4" s="73" t="s">
        <v>716</v>
      </c>
      <c r="N4" s="73" t="s">
        <v>717</v>
      </c>
      <c r="O4" s="73" t="s">
        <v>129</v>
      </c>
      <c r="P4" s="73" t="s">
        <v>162</v>
      </c>
    </row>
    <row r="5" spans="1:16" ht="16" customHeight="1" x14ac:dyDescent="0.25">
      <c r="A5" s="79">
        <v>43875</v>
      </c>
      <c r="B5" s="4" t="s">
        <v>4</v>
      </c>
      <c r="C5" s="4" t="s">
        <v>6</v>
      </c>
      <c r="D5" s="4" t="s">
        <v>66</v>
      </c>
      <c r="E5" s="29">
        <v>40365</v>
      </c>
      <c r="F5" s="63" t="s">
        <v>93</v>
      </c>
      <c r="G5" s="63" t="s">
        <v>108</v>
      </c>
      <c r="H5" s="63" t="s">
        <v>145</v>
      </c>
      <c r="I5" s="30" t="s">
        <v>275</v>
      </c>
      <c r="J5" s="10">
        <v>43892</v>
      </c>
      <c r="K5" s="63">
        <f t="shared" ref="K5:K68" ca="1" si="0">IF(AND($A5&lt;=$L$2,OR($J5&gt;$L$2,ISBLANK($J5))),$E5,0)</f>
        <v>0</v>
      </c>
      <c r="L5" s="29" cm="1">
        <f t="array" aca="1" ref="L5" ca="1">O5-IF(ExpTaxCount=2,SUM($M5:$N5),$M5:$M5)</f>
        <v>35100</v>
      </c>
      <c r="M5" s="29">
        <f ca="1">$O5/(1+IF(ISERROR($F5),0,IF(ISNA(MATCH($F5,TaxCode,0)),0,OFFSET(Setup!$D$15,MATCH($F5,TaxCode,0),0,1,1)))+IF(ISERROR($G5),0,IF(ISNA(MATCH($G5,TaxCode,0)),0,OFFSET(Setup!$D$15,MATCH($G5,TaxCode,0),0,1,1))))*IF(ISERROR($F5),0,IF(ISNA(MATCH($F5,TaxCode,0)),0,OFFSET(Setup!$D$15,MATCH($F5,TaxCode,0),0,1,1)))</f>
        <v>5265</v>
      </c>
      <c r="N5" s="29">
        <f ca="1">$O5/(1+IF(ISERROR($F5),0,IF(ISNA(MATCH($F5,TaxCode,0)),0,OFFSET(Setup!$D$15,MATCH($F5,TaxCode,0),0,1,1)))+IF(ISERROR($G5),0,IF(ISNA(MATCH($G5,TaxCode,0)),0,OFFSET(Setup!$D$15,MATCH($G5,TaxCode,0),0,1,1))))*IF(ISERROR($G5),0,IF(ISNA(MATCH($G5,TaxCode,0)),0,OFFSET(Setup!$D$15,MATCH($G5,TaxCode,0),0,1,1)))</f>
        <v>0</v>
      </c>
      <c r="O5" s="29">
        <f t="shared" ref="O5:O68" si="1">E5</f>
        <v>40365</v>
      </c>
      <c r="P5" s="63" t="str">
        <f t="shared" ref="P5:P68" ca="1" si="2">IF(AND(ISBLANK(J5)=FALSE,J5&lt;A5),"E1",IF(AND(ISBLANK(I5)=FALSE,ISNA(MATCH($I5,AccountNo,0))),"E2",IF(AND(ISBLANK(H5)=FALSE,ISNA(MATCH($H5,BankCode,0))),"E3","-")))</f>
        <v>-</v>
      </c>
    </row>
    <row r="6" spans="1:16" ht="16" customHeight="1" x14ac:dyDescent="0.25">
      <c r="A6" s="79">
        <v>43878</v>
      </c>
      <c r="B6" s="4" t="s">
        <v>13</v>
      </c>
      <c r="C6" s="4" t="s">
        <v>17</v>
      </c>
      <c r="D6" s="4" t="s">
        <v>82</v>
      </c>
      <c r="E6" s="29">
        <v>4788</v>
      </c>
      <c r="F6" s="63" t="s">
        <v>93</v>
      </c>
      <c r="G6" s="63" t="s">
        <v>108</v>
      </c>
      <c r="H6" s="63" t="s">
        <v>145</v>
      </c>
      <c r="I6" s="30" t="s">
        <v>275</v>
      </c>
      <c r="J6" s="10">
        <v>43910</v>
      </c>
      <c r="K6" s="63">
        <f t="shared" ca="1" si="0"/>
        <v>0</v>
      </c>
      <c r="L6" s="29" cm="1">
        <f t="array" aca="1" ref="L6" ca="1">O6-IF(ExpTaxCount=2,SUM($M6:$N6),$M6:$M6)</f>
        <v>4163.478260869565</v>
      </c>
      <c r="M6" s="29">
        <f ca="1">$O6/(1+IF(ISERROR($F6),0,IF(ISNA(MATCH($F6,TaxCode,0)),0,OFFSET(Setup!$D$15,MATCH($F6,TaxCode,0),0,1,1)))+IF(ISERROR($G6),0,IF(ISNA(MATCH($G6,TaxCode,0)),0,OFFSET(Setup!$D$15,MATCH($G6,TaxCode,0),0,1,1))))*IF(ISERROR($F6),0,IF(ISNA(MATCH($F6,TaxCode,0)),0,OFFSET(Setup!$D$15,MATCH($F6,TaxCode,0),0,1,1)))</f>
        <v>624.52173913043487</v>
      </c>
      <c r="N6" s="29">
        <f ca="1">$O6/(1+IF(ISERROR($F6),0,IF(ISNA(MATCH($F6,TaxCode,0)),0,OFFSET(Setup!$D$15,MATCH($F6,TaxCode,0),0,1,1)))+IF(ISERROR($G6),0,IF(ISNA(MATCH($G6,TaxCode,0)),0,OFFSET(Setup!$D$15,MATCH($G6,TaxCode,0),0,1,1))))*IF(ISERROR($G6),0,IF(ISNA(MATCH($G6,TaxCode,0)),0,OFFSET(Setup!$D$15,MATCH($G6,TaxCode,0),0,1,1)))</f>
        <v>0</v>
      </c>
      <c r="O6" s="29">
        <f t="shared" si="1"/>
        <v>4788</v>
      </c>
      <c r="P6" s="63" t="str">
        <f t="shared" ca="1" si="2"/>
        <v>-</v>
      </c>
    </row>
    <row r="7" spans="1:16" ht="16" customHeight="1" x14ac:dyDescent="0.25">
      <c r="A7" s="79">
        <v>43891</v>
      </c>
      <c r="B7" s="4" t="s">
        <v>5</v>
      </c>
      <c r="C7" s="4" t="s">
        <v>29</v>
      </c>
      <c r="D7" s="4" t="s">
        <v>114</v>
      </c>
      <c r="E7" s="29">
        <v>840</v>
      </c>
      <c r="F7" s="63" t="s">
        <v>93</v>
      </c>
      <c r="G7" s="63" t="s">
        <v>108</v>
      </c>
      <c r="H7" s="63" t="s">
        <v>145</v>
      </c>
      <c r="I7" s="30" t="s">
        <v>303</v>
      </c>
      <c r="J7" s="10">
        <v>43921</v>
      </c>
      <c r="K7" s="63">
        <f t="shared" ca="1" si="0"/>
        <v>0</v>
      </c>
      <c r="L7" s="29" cm="1">
        <f t="array" aca="1" ref="L7" ca="1">O7-IF(ExpTaxCount=2,SUM($M7:$N7),$M7:$M7)</f>
        <v>730.43478260869563</v>
      </c>
      <c r="M7" s="29">
        <f ca="1">$O7/(1+IF(ISERROR($F7),0,IF(ISNA(MATCH($F7,TaxCode,0)),0,OFFSET(Setup!$D$15,MATCH($F7,TaxCode,0),0,1,1)))+IF(ISERROR($G7),0,IF(ISNA(MATCH($G7,TaxCode,0)),0,OFFSET(Setup!$D$15,MATCH($G7,TaxCode,0),0,1,1))))*IF(ISERROR($F7),0,IF(ISNA(MATCH($F7,TaxCode,0)),0,OFFSET(Setup!$D$15,MATCH($F7,TaxCode,0),0,1,1)))</f>
        <v>109.56521739130436</v>
      </c>
      <c r="N7" s="29">
        <f ca="1">$O7/(1+IF(ISERROR($F7),0,IF(ISNA(MATCH($F7,TaxCode,0)),0,OFFSET(Setup!$D$15,MATCH($F7,TaxCode,0),0,1,1)))+IF(ISERROR($G7),0,IF(ISNA(MATCH($G7,TaxCode,0)),0,OFFSET(Setup!$D$15,MATCH($G7,TaxCode,0),0,1,1))))*IF(ISERROR($G7),0,IF(ISNA(MATCH($G7,TaxCode,0)),0,OFFSET(Setup!$D$15,MATCH($G7,TaxCode,0),0,1,1)))</f>
        <v>0</v>
      </c>
      <c r="O7" s="29">
        <f t="shared" si="1"/>
        <v>840</v>
      </c>
      <c r="P7" s="63" t="str">
        <f t="shared" ca="1" si="2"/>
        <v>-</v>
      </c>
    </row>
    <row r="8" spans="1:16" ht="16" customHeight="1" x14ac:dyDescent="0.25">
      <c r="A8" s="79">
        <v>43892</v>
      </c>
      <c r="B8" s="4" t="s">
        <v>27</v>
      </c>
      <c r="C8" s="4" t="s">
        <v>166</v>
      </c>
      <c r="D8" s="4" t="s">
        <v>123</v>
      </c>
      <c r="E8" s="29">
        <v>478</v>
      </c>
      <c r="F8" s="63" t="s">
        <v>93</v>
      </c>
      <c r="G8" s="63" t="s">
        <v>108</v>
      </c>
      <c r="H8" s="63" t="s">
        <v>145</v>
      </c>
      <c r="I8" s="30" t="s">
        <v>299</v>
      </c>
      <c r="J8" s="10">
        <v>43922</v>
      </c>
      <c r="K8" s="63">
        <f t="shared" ca="1" si="0"/>
        <v>0</v>
      </c>
      <c r="L8" s="29" cm="1">
        <f t="array" aca="1" ref="L8" ca="1">O8-IF(ExpTaxCount=2,SUM($M8:$N8),$M8:$M8)</f>
        <v>415.6521739130435</v>
      </c>
      <c r="M8" s="29">
        <f ca="1">$O8/(1+IF(ISERROR($F8),0,IF(ISNA(MATCH($F8,TaxCode,0)),0,OFFSET(Setup!$D$15,MATCH($F8,TaxCode,0),0,1,1)))+IF(ISERROR($G8),0,IF(ISNA(MATCH($G8,TaxCode,0)),0,OFFSET(Setup!$D$15,MATCH($G8,TaxCode,0),0,1,1))))*IF(ISERROR($F8),0,IF(ISNA(MATCH($F8,TaxCode,0)),0,OFFSET(Setup!$D$15,MATCH($F8,TaxCode,0),0,1,1)))</f>
        <v>62.347826086956523</v>
      </c>
      <c r="N8" s="29">
        <f ca="1">$O8/(1+IF(ISERROR($F8),0,IF(ISNA(MATCH($F8,TaxCode,0)),0,OFFSET(Setup!$D$15,MATCH($F8,TaxCode,0),0,1,1)))+IF(ISERROR($G8),0,IF(ISNA(MATCH($G8,TaxCode,0)),0,OFFSET(Setup!$D$15,MATCH($G8,TaxCode,0),0,1,1))))*IF(ISERROR($G8),0,IF(ISNA(MATCH($G8,TaxCode,0)),0,OFFSET(Setup!$D$15,MATCH($G8,TaxCode,0),0,1,1)))</f>
        <v>0</v>
      </c>
      <c r="O8" s="29">
        <f t="shared" si="1"/>
        <v>478</v>
      </c>
      <c r="P8" s="63" t="str">
        <f t="shared" ca="1" si="2"/>
        <v>-</v>
      </c>
    </row>
    <row r="9" spans="1:16" ht="16" customHeight="1" x14ac:dyDescent="0.25">
      <c r="A9" s="79">
        <v>43895</v>
      </c>
      <c r="B9" s="4" t="s">
        <v>167</v>
      </c>
      <c r="C9" s="4" t="s">
        <v>110</v>
      </c>
      <c r="D9" s="4" t="s">
        <v>71</v>
      </c>
      <c r="E9" s="29">
        <v>364.8</v>
      </c>
      <c r="F9" s="63" t="s">
        <v>93</v>
      </c>
      <c r="G9" s="63" t="s">
        <v>108</v>
      </c>
      <c r="H9" s="63" t="s">
        <v>145</v>
      </c>
      <c r="I9" s="30" t="s">
        <v>296</v>
      </c>
      <c r="J9" s="10">
        <v>43895</v>
      </c>
      <c r="K9" s="63">
        <f t="shared" ca="1" si="0"/>
        <v>0</v>
      </c>
      <c r="L9" s="29" cm="1">
        <f t="array" aca="1" ref="L9" ca="1">O9-IF(ExpTaxCount=2,SUM($M9:$N9),$M9:$M9)</f>
        <v>317.21739130434781</v>
      </c>
      <c r="M9" s="29">
        <f ca="1">$O9/(1+IF(ISERROR($F9),0,IF(ISNA(MATCH($F9,TaxCode,0)),0,OFFSET(Setup!$D$15,MATCH($F9,TaxCode,0),0,1,1)))+IF(ISERROR($G9),0,IF(ISNA(MATCH($G9,TaxCode,0)),0,OFFSET(Setup!$D$15,MATCH($G9,TaxCode,0),0,1,1))))*IF(ISERROR($F9),0,IF(ISNA(MATCH($F9,TaxCode,0)),0,OFFSET(Setup!$D$15,MATCH($F9,TaxCode,0),0,1,1)))</f>
        <v>47.582608695652176</v>
      </c>
      <c r="N9" s="29">
        <f ca="1">$O9/(1+IF(ISERROR($F9),0,IF(ISNA(MATCH($F9,TaxCode,0)),0,OFFSET(Setup!$D$15,MATCH($F9,TaxCode,0),0,1,1)))+IF(ISERROR($G9),0,IF(ISNA(MATCH($G9,TaxCode,0)),0,OFFSET(Setup!$D$15,MATCH($G9,TaxCode,0),0,1,1))))*IF(ISERROR($G9),0,IF(ISNA(MATCH($G9,TaxCode,0)),0,OFFSET(Setup!$D$15,MATCH($G9,TaxCode,0),0,1,1)))</f>
        <v>0</v>
      </c>
      <c r="O9" s="29">
        <f t="shared" si="1"/>
        <v>364.8</v>
      </c>
      <c r="P9" s="63" t="str">
        <f t="shared" ca="1" si="2"/>
        <v>-</v>
      </c>
    </row>
    <row r="10" spans="1:16" ht="16" customHeight="1" x14ac:dyDescent="0.25">
      <c r="A10" s="79">
        <v>43905</v>
      </c>
      <c r="B10" s="4" t="s">
        <v>168</v>
      </c>
      <c r="C10" s="4" t="s">
        <v>109</v>
      </c>
      <c r="D10" s="4" t="s">
        <v>12</v>
      </c>
      <c r="E10" s="29">
        <v>57</v>
      </c>
      <c r="F10" s="63" t="s">
        <v>93</v>
      </c>
      <c r="G10" s="63" t="s">
        <v>108</v>
      </c>
      <c r="H10" s="63" t="s">
        <v>145</v>
      </c>
      <c r="I10" s="30" t="s">
        <v>291</v>
      </c>
      <c r="J10" s="10">
        <v>43905</v>
      </c>
      <c r="K10" s="63">
        <f t="shared" ca="1" si="0"/>
        <v>0</v>
      </c>
      <c r="L10" s="29" cm="1">
        <f t="array" aca="1" ref="L10" ca="1">O10-IF(ExpTaxCount=2,SUM($M10:$N10),$M10:$M10)</f>
        <v>49.565217391304344</v>
      </c>
      <c r="M10" s="29">
        <f ca="1">$O10/(1+IF(ISERROR($F10),0,IF(ISNA(MATCH($F10,TaxCode,0)),0,OFFSET(Setup!$D$15,MATCH($F10,TaxCode,0),0,1,1)))+IF(ISERROR($G10),0,IF(ISNA(MATCH($G10,TaxCode,0)),0,OFFSET(Setup!$D$15,MATCH($G10,TaxCode,0),0,1,1))))*IF(ISERROR($F10),0,IF(ISNA(MATCH($F10,TaxCode,0)),0,OFFSET(Setup!$D$15,MATCH($F10,TaxCode,0),0,1,1)))</f>
        <v>7.4347826086956523</v>
      </c>
      <c r="N10" s="29">
        <f ca="1">$O10/(1+IF(ISERROR($F10),0,IF(ISNA(MATCH($F10,TaxCode,0)),0,OFFSET(Setup!$D$15,MATCH($F10,TaxCode,0),0,1,1)))+IF(ISERROR($G10),0,IF(ISNA(MATCH($G10,TaxCode,0)),0,OFFSET(Setup!$D$15,MATCH($G10,TaxCode,0),0,1,1))))*IF(ISERROR($G10),0,IF(ISNA(MATCH($G10,TaxCode,0)),0,OFFSET(Setup!$D$15,MATCH($G10,TaxCode,0),0,1,1)))</f>
        <v>0</v>
      </c>
      <c r="O10" s="29">
        <f t="shared" si="1"/>
        <v>57</v>
      </c>
      <c r="P10" s="63" t="str">
        <f t="shared" ca="1" si="2"/>
        <v>-</v>
      </c>
    </row>
    <row r="11" spans="1:16" ht="16" customHeight="1" x14ac:dyDescent="0.25">
      <c r="A11" s="79">
        <v>43905</v>
      </c>
      <c r="B11" s="4" t="s">
        <v>168</v>
      </c>
      <c r="C11" s="4" t="s">
        <v>109</v>
      </c>
      <c r="D11" s="4" t="s">
        <v>12</v>
      </c>
      <c r="E11" s="29">
        <v>34.200000000000003</v>
      </c>
      <c r="F11" s="63" t="s">
        <v>93</v>
      </c>
      <c r="G11" s="63" t="s">
        <v>108</v>
      </c>
      <c r="H11" s="63" t="s">
        <v>147</v>
      </c>
      <c r="I11" s="30" t="s">
        <v>291</v>
      </c>
      <c r="J11" s="10">
        <v>43905</v>
      </c>
      <c r="K11" s="63">
        <f t="shared" ca="1" si="0"/>
        <v>0</v>
      </c>
      <c r="L11" s="29" cm="1">
        <f t="array" aca="1" ref="L11" ca="1">O11-IF(ExpTaxCount=2,SUM($M11:$N11),$M11:$M11)</f>
        <v>29.739130434782609</v>
      </c>
      <c r="M11" s="29">
        <f ca="1">$O11/(1+IF(ISERROR($F11),0,IF(ISNA(MATCH($F11,TaxCode,0)),0,OFFSET(Setup!$D$15,MATCH($F11,TaxCode,0),0,1,1)))+IF(ISERROR($G11),0,IF(ISNA(MATCH($G11,TaxCode,0)),0,OFFSET(Setup!$D$15,MATCH($G11,TaxCode,0),0,1,1))))*IF(ISERROR($F11),0,IF(ISNA(MATCH($F11,TaxCode,0)),0,OFFSET(Setup!$D$15,MATCH($F11,TaxCode,0),0,1,1)))</f>
        <v>4.4608695652173918</v>
      </c>
      <c r="N11" s="29">
        <f ca="1">$O11/(1+IF(ISERROR($F11),0,IF(ISNA(MATCH($F11,TaxCode,0)),0,OFFSET(Setup!$D$15,MATCH($F11,TaxCode,0),0,1,1)))+IF(ISERROR($G11),0,IF(ISNA(MATCH($G11,TaxCode,0)),0,OFFSET(Setup!$D$15,MATCH($G11,TaxCode,0),0,1,1))))*IF(ISERROR($G11),0,IF(ISNA(MATCH($G11,TaxCode,0)),0,OFFSET(Setup!$D$15,MATCH($G11,TaxCode,0),0,1,1)))</f>
        <v>0</v>
      </c>
      <c r="O11" s="29">
        <f t="shared" si="1"/>
        <v>34.200000000000003</v>
      </c>
      <c r="P11" s="63" t="str">
        <f t="shared" ca="1" si="2"/>
        <v>-</v>
      </c>
    </row>
    <row r="12" spans="1:16" ht="16" customHeight="1" x14ac:dyDescent="0.25">
      <c r="A12" s="79">
        <v>43905</v>
      </c>
      <c r="B12" s="4" t="s">
        <v>11</v>
      </c>
      <c r="C12" s="4" t="s">
        <v>112</v>
      </c>
      <c r="D12" s="4" t="s">
        <v>504</v>
      </c>
      <c r="E12" s="29">
        <v>2280</v>
      </c>
      <c r="F12" s="63" t="s">
        <v>93</v>
      </c>
      <c r="G12" s="63" t="s">
        <v>108</v>
      </c>
      <c r="H12" s="63" t="s">
        <v>145</v>
      </c>
      <c r="I12" s="30" t="s">
        <v>289</v>
      </c>
      <c r="J12" s="10">
        <v>43923</v>
      </c>
      <c r="K12" s="63">
        <f t="shared" ca="1" si="0"/>
        <v>0</v>
      </c>
      <c r="L12" s="29" cm="1">
        <f t="array" aca="1" ref="L12" ca="1">O12-IF(ExpTaxCount=2,SUM($M12:$N12),$M12:$M12)</f>
        <v>1982.608695652174</v>
      </c>
      <c r="M12" s="29">
        <f ca="1">$O12/(1+IF(ISERROR($F12),0,IF(ISNA(MATCH($F12,TaxCode,0)),0,OFFSET(Setup!$D$15,MATCH($F12,TaxCode,0),0,1,1)))+IF(ISERROR($G12),0,IF(ISNA(MATCH($G12,TaxCode,0)),0,OFFSET(Setup!$D$15,MATCH($G12,TaxCode,0),0,1,1))))*IF(ISERROR($F12),0,IF(ISNA(MATCH($F12,TaxCode,0)),0,OFFSET(Setup!$D$15,MATCH($F12,TaxCode,0),0,1,1)))</f>
        <v>297.39130434782606</v>
      </c>
      <c r="N12" s="29">
        <f ca="1">$O12/(1+IF(ISERROR($F12),0,IF(ISNA(MATCH($F12,TaxCode,0)),0,OFFSET(Setup!$D$15,MATCH($F12,TaxCode,0),0,1,1)))+IF(ISERROR($G12),0,IF(ISNA(MATCH($G12,TaxCode,0)),0,OFFSET(Setup!$D$15,MATCH($G12,TaxCode,0),0,1,1))))*IF(ISERROR($G12),0,IF(ISNA(MATCH($G12,TaxCode,0)),0,OFFSET(Setup!$D$15,MATCH($G12,TaxCode,0),0,1,1)))</f>
        <v>0</v>
      </c>
      <c r="O12" s="29">
        <f t="shared" si="1"/>
        <v>2280</v>
      </c>
      <c r="P12" s="63" t="str">
        <f t="shared" ca="1" si="2"/>
        <v>-</v>
      </c>
    </row>
    <row r="13" spans="1:16" ht="16" customHeight="1" x14ac:dyDescent="0.25">
      <c r="A13" s="79">
        <v>43905</v>
      </c>
      <c r="B13" s="4" t="s">
        <v>169</v>
      </c>
      <c r="C13" s="4" t="s">
        <v>170</v>
      </c>
      <c r="D13" s="4" t="s">
        <v>171</v>
      </c>
      <c r="E13" s="29">
        <v>90</v>
      </c>
      <c r="F13" s="63" t="s">
        <v>93</v>
      </c>
      <c r="G13" s="63" t="s">
        <v>108</v>
      </c>
      <c r="H13" s="63" t="s">
        <v>151</v>
      </c>
      <c r="I13" s="30" t="s">
        <v>297</v>
      </c>
      <c r="J13" s="10">
        <v>43905</v>
      </c>
      <c r="K13" s="63">
        <f t="shared" ca="1" si="0"/>
        <v>0</v>
      </c>
      <c r="L13" s="29" cm="1">
        <f t="array" aca="1" ref="L13" ca="1">O13-IF(ExpTaxCount=2,SUM($M13:$N13),$M13:$M13)</f>
        <v>78.260869565217391</v>
      </c>
      <c r="M13" s="29">
        <f ca="1">$O13/(1+IF(ISERROR($F13),0,IF(ISNA(MATCH($F13,TaxCode,0)),0,OFFSET(Setup!$D$15,MATCH($F13,TaxCode,0),0,1,1)))+IF(ISERROR($G13),0,IF(ISNA(MATCH($G13,TaxCode,0)),0,OFFSET(Setup!$D$15,MATCH($G13,TaxCode,0),0,1,1))))*IF(ISERROR($F13),0,IF(ISNA(MATCH($F13,TaxCode,0)),0,OFFSET(Setup!$D$15,MATCH($F13,TaxCode,0),0,1,1)))</f>
        <v>11.739130434782608</v>
      </c>
      <c r="N13" s="29">
        <f ca="1">$O13/(1+IF(ISERROR($F13),0,IF(ISNA(MATCH($F13,TaxCode,0)),0,OFFSET(Setup!$D$15,MATCH($F13,TaxCode,0),0,1,1)))+IF(ISERROR($G13),0,IF(ISNA(MATCH($G13,TaxCode,0)),0,OFFSET(Setup!$D$15,MATCH($G13,TaxCode,0),0,1,1))))*IF(ISERROR($G13),0,IF(ISNA(MATCH($G13,TaxCode,0)),0,OFFSET(Setup!$D$15,MATCH($G13,TaxCode,0),0,1,1)))</f>
        <v>0</v>
      </c>
      <c r="O13" s="29">
        <f t="shared" si="1"/>
        <v>90</v>
      </c>
      <c r="P13" s="63" t="str">
        <f t="shared" ca="1" si="2"/>
        <v>-</v>
      </c>
    </row>
    <row r="14" spans="1:16" ht="16" customHeight="1" x14ac:dyDescent="0.25">
      <c r="A14" s="79">
        <v>43908</v>
      </c>
      <c r="B14" s="4" t="s">
        <v>42</v>
      </c>
      <c r="C14" s="4" t="s">
        <v>43</v>
      </c>
      <c r="D14" s="4" t="s">
        <v>118</v>
      </c>
      <c r="E14" s="29">
        <v>120</v>
      </c>
      <c r="F14" s="63" t="s">
        <v>93</v>
      </c>
      <c r="G14" s="63" t="s">
        <v>108</v>
      </c>
      <c r="H14" s="63" t="s">
        <v>145</v>
      </c>
      <c r="I14" s="30" t="s">
        <v>305</v>
      </c>
      <c r="J14" s="10">
        <v>43908</v>
      </c>
      <c r="K14" s="63">
        <f t="shared" ca="1" si="0"/>
        <v>0</v>
      </c>
      <c r="L14" s="29" cm="1">
        <f t="array" aca="1" ref="L14" ca="1">O14-IF(ExpTaxCount=2,SUM($M14:$N14),$M14:$M14)</f>
        <v>104.34782608695652</v>
      </c>
      <c r="M14" s="29">
        <f ca="1">$O14/(1+IF(ISERROR($F14),0,IF(ISNA(MATCH($F14,TaxCode,0)),0,OFFSET(Setup!$D$15,MATCH($F14,TaxCode,0),0,1,1)))+IF(ISERROR($G14),0,IF(ISNA(MATCH($G14,TaxCode,0)),0,OFFSET(Setup!$D$15,MATCH($G14,TaxCode,0),0,1,1))))*IF(ISERROR($F14),0,IF(ISNA(MATCH($F14,TaxCode,0)),0,OFFSET(Setup!$D$15,MATCH($F14,TaxCode,0),0,1,1)))</f>
        <v>15.652173913043478</v>
      </c>
      <c r="N14" s="29">
        <f ca="1">$O14/(1+IF(ISERROR($F14),0,IF(ISNA(MATCH($F14,TaxCode,0)),0,OFFSET(Setup!$D$15,MATCH($F14,TaxCode,0),0,1,1)))+IF(ISERROR($G14),0,IF(ISNA(MATCH($G14,TaxCode,0)),0,OFFSET(Setup!$D$15,MATCH($G14,TaxCode,0),0,1,1))))*IF(ISERROR($G14),0,IF(ISNA(MATCH($G14,TaxCode,0)),0,OFFSET(Setup!$D$15,MATCH($G14,TaxCode,0),0,1,1)))</f>
        <v>0</v>
      </c>
      <c r="O14" s="29">
        <f t="shared" si="1"/>
        <v>120</v>
      </c>
      <c r="P14" s="63" t="str">
        <f t="shared" ca="1" si="2"/>
        <v>-</v>
      </c>
    </row>
    <row r="15" spans="1:16" ht="16" customHeight="1" x14ac:dyDescent="0.25">
      <c r="A15" s="79">
        <v>43910</v>
      </c>
      <c r="B15" s="4" t="s">
        <v>128</v>
      </c>
      <c r="C15" s="4" t="s">
        <v>172</v>
      </c>
      <c r="D15" s="4" t="s">
        <v>173</v>
      </c>
      <c r="E15" s="29">
        <v>-15000</v>
      </c>
      <c r="F15" s="63" t="s">
        <v>108</v>
      </c>
      <c r="G15" s="63" t="s">
        <v>108</v>
      </c>
      <c r="H15" s="63" t="s">
        <v>147</v>
      </c>
      <c r="I15" s="30" t="s">
        <v>275</v>
      </c>
      <c r="J15" s="10">
        <v>43910</v>
      </c>
      <c r="K15" s="63">
        <f t="shared" ca="1" si="0"/>
        <v>0</v>
      </c>
      <c r="L15" s="29" cm="1">
        <f t="array" aca="1" ref="L15" ca="1">O15-IF(ExpTaxCount=2,SUM($M15:$N15),$M15:$M15)</f>
        <v>-15000</v>
      </c>
      <c r="M15" s="29">
        <f ca="1">$O15/(1+IF(ISERROR($F15),0,IF(ISNA(MATCH($F15,TaxCode,0)),0,OFFSET(Setup!$D$15,MATCH($F15,TaxCode,0),0,1,1)))+IF(ISERROR($G15),0,IF(ISNA(MATCH($G15,TaxCode,0)),0,OFFSET(Setup!$D$15,MATCH($G15,TaxCode,0),0,1,1))))*IF(ISERROR($F15),0,IF(ISNA(MATCH($F15,TaxCode,0)),0,OFFSET(Setup!$D$15,MATCH($F15,TaxCode,0),0,1,1)))</f>
        <v>0</v>
      </c>
      <c r="N15" s="29">
        <f ca="1">$O15/(1+IF(ISERROR($F15),0,IF(ISNA(MATCH($F15,TaxCode,0)),0,OFFSET(Setup!$D$15,MATCH($F15,TaxCode,0),0,1,1)))+IF(ISERROR($G15),0,IF(ISNA(MATCH($G15,TaxCode,0)),0,OFFSET(Setup!$D$15,MATCH($G15,TaxCode,0),0,1,1))))*IF(ISERROR($G15),0,IF(ISNA(MATCH($G15,TaxCode,0)),0,OFFSET(Setup!$D$15,MATCH($G15,TaxCode,0),0,1,1)))</f>
        <v>0</v>
      </c>
      <c r="O15" s="29">
        <f t="shared" si="1"/>
        <v>-15000</v>
      </c>
      <c r="P15" s="63" t="str">
        <f t="shared" ca="1" si="2"/>
        <v>-</v>
      </c>
    </row>
    <row r="16" spans="1:16" ht="16" customHeight="1" x14ac:dyDescent="0.25">
      <c r="A16" s="79">
        <v>43910</v>
      </c>
      <c r="B16" s="4" t="s">
        <v>128</v>
      </c>
      <c r="C16" s="4" t="s">
        <v>172</v>
      </c>
      <c r="D16" s="4" t="s">
        <v>173</v>
      </c>
      <c r="E16" s="29">
        <v>15000</v>
      </c>
      <c r="F16" s="63" t="s">
        <v>108</v>
      </c>
      <c r="G16" s="63" t="s">
        <v>108</v>
      </c>
      <c r="H16" s="63" t="s">
        <v>145</v>
      </c>
      <c r="I16" s="30" t="s">
        <v>275</v>
      </c>
      <c r="J16" s="10">
        <v>43910</v>
      </c>
      <c r="K16" s="63">
        <f t="shared" ca="1" si="0"/>
        <v>0</v>
      </c>
      <c r="L16" s="29" cm="1">
        <f t="array" aca="1" ref="L16" ca="1">O16-IF(ExpTaxCount=2,SUM($M16:$N16),$M16:$M16)</f>
        <v>15000</v>
      </c>
      <c r="M16" s="29">
        <f ca="1">$O16/(1+IF(ISERROR($F16),0,IF(ISNA(MATCH($F16,TaxCode,0)),0,OFFSET(Setup!$D$15,MATCH($F16,TaxCode,0),0,1,1)))+IF(ISERROR($G16),0,IF(ISNA(MATCH($G16,TaxCode,0)),0,OFFSET(Setup!$D$15,MATCH($G16,TaxCode,0),0,1,1))))*IF(ISERROR($F16),0,IF(ISNA(MATCH($F16,TaxCode,0)),0,OFFSET(Setup!$D$15,MATCH($F16,TaxCode,0),0,1,1)))</f>
        <v>0</v>
      </c>
      <c r="N16" s="29">
        <f ca="1">$O16/(1+IF(ISERROR($F16),0,IF(ISNA(MATCH($F16,TaxCode,0)),0,OFFSET(Setup!$D$15,MATCH($F16,TaxCode,0),0,1,1)))+IF(ISERROR($G16),0,IF(ISNA(MATCH($G16,TaxCode,0)),0,OFFSET(Setup!$D$15,MATCH($G16,TaxCode,0),0,1,1))))*IF(ISERROR($G16),0,IF(ISNA(MATCH($G16,TaxCode,0)),0,OFFSET(Setup!$D$15,MATCH($G16,TaxCode,0),0,1,1)))</f>
        <v>0</v>
      </c>
      <c r="O16" s="29">
        <f t="shared" si="1"/>
        <v>15000</v>
      </c>
      <c r="P16" s="63" t="str">
        <f t="shared" ca="1" si="2"/>
        <v>-</v>
      </c>
    </row>
    <row r="17" spans="1:16" ht="16" customHeight="1" x14ac:dyDescent="0.25">
      <c r="A17" s="79">
        <v>43916</v>
      </c>
      <c r="B17" s="4" t="s">
        <v>128</v>
      </c>
      <c r="C17" s="4" t="s">
        <v>115</v>
      </c>
      <c r="D17" s="4" t="s">
        <v>26</v>
      </c>
      <c r="E17" s="29">
        <v>45000</v>
      </c>
      <c r="F17" s="63" t="s">
        <v>108</v>
      </c>
      <c r="G17" s="63" t="s">
        <v>108</v>
      </c>
      <c r="H17" s="63" t="s">
        <v>147</v>
      </c>
      <c r="I17" s="30" t="s">
        <v>366</v>
      </c>
      <c r="J17" s="10">
        <v>43916</v>
      </c>
      <c r="K17" s="63">
        <f t="shared" ca="1" si="0"/>
        <v>0</v>
      </c>
      <c r="L17" s="29" cm="1">
        <f t="array" aca="1" ref="L17" ca="1">O17-IF(ExpTaxCount=2,SUM($M17:$N17),$M17:$M17)</f>
        <v>45000</v>
      </c>
      <c r="M17" s="29">
        <f ca="1">$O17/(1+IF(ISERROR($F17),0,IF(ISNA(MATCH($F17,TaxCode,0)),0,OFFSET(Setup!$D$15,MATCH($F17,TaxCode,0),0,1,1)))+IF(ISERROR($G17),0,IF(ISNA(MATCH($G17,TaxCode,0)),0,OFFSET(Setup!$D$15,MATCH($G17,TaxCode,0),0,1,1))))*IF(ISERROR($F17),0,IF(ISNA(MATCH($F17,TaxCode,0)),0,OFFSET(Setup!$D$15,MATCH($F17,TaxCode,0),0,1,1)))</f>
        <v>0</v>
      </c>
      <c r="N17" s="29">
        <f ca="1">$O17/(1+IF(ISERROR($F17),0,IF(ISNA(MATCH($F17,TaxCode,0)),0,OFFSET(Setup!$D$15,MATCH($F17,TaxCode,0),0,1,1)))+IF(ISERROR($G17),0,IF(ISNA(MATCH($G17,TaxCode,0)),0,OFFSET(Setup!$D$15,MATCH($G17,TaxCode,0),0,1,1))))*IF(ISERROR($G17),0,IF(ISNA(MATCH($G17,TaxCode,0)),0,OFFSET(Setup!$D$15,MATCH($G17,TaxCode,0),0,1,1)))</f>
        <v>0</v>
      </c>
      <c r="O17" s="29">
        <f t="shared" si="1"/>
        <v>45000</v>
      </c>
      <c r="P17" s="63" t="str">
        <f t="shared" ca="1" si="2"/>
        <v>-</v>
      </c>
    </row>
    <row r="18" spans="1:16" ht="16" customHeight="1" x14ac:dyDescent="0.25">
      <c r="A18" s="79">
        <v>43916</v>
      </c>
      <c r="B18" s="4" t="s">
        <v>54</v>
      </c>
      <c r="C18" s="4" t="s">
        <v>110</v>
      </c>
      <c r="D18" s="4" t="s">
        <v>56</v>
      </c>
      <c r="E18" s="29">
        <v>2582.7399999999998</v>
      </c>
      <c r="F18" s="63" t="s">
        <v>108</v>
      </c>
      <c r="G18" s="63" t="s">
        <v>108</v>
      </c>
      <c r="H18" s="63" t="s">
        <v>145</v>
      </c>
      <c r="I18" s="30" t="s">
        <v>403</v>
      </c>
      <c r="J18" s="10">
        <v>43916</v>
      </c>
      <c r="K18" s="63">
        <f t="shared" ca="1" si="0"/>
        <v>0</v>
      </c>
      <c r="L18" s="29" cm="1">
        <f t="array" aca="1" ref="L18" ca="1">O18-IF(ExpTaxCount=2,SUM($M18:$N18),$M18:$M18)</f>
        <v>2582.7399999999998</v>
      </c>
      <c r="M18" s="29">
        <f ca="1">$O18/(1+IF(ISERROR($F18),0,IF(ISNA(MATCH($F18,TaxCode,0)),0,OFFSET(Setup!$D$15,MATCH($F18,TaxCode,0),0,1,1)))+IF(ISERROR($G18),0,IF(ISNA(MATCH($G18,TaxCode,0)),0,OFFSET(Setup!$D$15,MATCH($G18,TaxCode,0),0,1,1))))*IF(ISERROR($F18),0,IF(ISNA(MATCH($F18,TaxCode,0)),0,OFFSET(Setup!$D$15,MATCH($F18,TaxCode,0),0,1,1)))</f>
        <v>0</v>
      </c>
      <c r="N18" s="29">
        <f ca="1">$O18/(1+IF(ISERROR($F18),0,IF(ISNA(MATCH($F18,TaxCode,0)),0,OFFSET(Setup!$D$15,MATCH($F18,TaxCode,0),0,1,1)))+IF(ISERROR($G18),0,IF(ISNA(MATCH($G18,TaxCode,0)),0,OFFSET(Setup!$D$15,MATCH($G18,TaxCode,0),0,1,1))))*IF(ISERROR($G18),0,IF(ISNA(MATCH($G18,TaxCode,0)),0,OFFSET(Setup!$D$15,MATCH($G18,TaxCode,0),0,1,1)))</f>
        <v>0</v>
      </c>
      <c r="O18" s="29">
        <f t="shared" si="1"/>
        <v>2582.7399999999998</v>
      </c>
      <c r="P18" s="63" t="str">
        <f t="shared" ca="1" si="2"/>
        <v>-</v>
      </c>
    </row>
    <row r="19" spans="1:16" ht="16" customHeight="1" x14ac:dyDescent="0.25">
      <c r="A19" s="79">
        <v>43916</v>
      </c>
      <c r="B19" s="4" t="s">
        <v>54</v>
      </c>
      <c r="C19" s="4" t="s">
        <v>110</v>
      </c>
      <c r="D19" s="4" t="s">
        <v>55</v>
      </c>
      <c r="E19" s="29">
        <v>1666.67</v>
      </c>
      <c r="F19" s="63" t="s">
        <v>108</v>
      </c>
      <c r="G19" s="63" t="s">
        <v>108</v>
      </c>
      <c r="H19" s="63" t="s">
        <v>145</v>
      </c>
      <c r="I19" s="30" t="s">
        <v>309</v>
      </c>
      <c r="J19" s="10">
        <v>43916</v>
      </c>
      <c r="K19" s="63">
        <f t="shared" ca="1" si="0"/>
        <v>0</v>
      </c>
      <c r="L19" s="29" cm="1">
        <f t="array" aca="1" ref="L19" ca="1">O19-IF(ExpTaxCount=2,SUM($M19:$N19),$M19:$M19)</f>
        <v>1666.67</v>
      </c>
      <c r="M19" s="29">
        <f ca="1">$O19/(1+IF(ISERROR($F19),0,IF(ISNA(MATCH($F19,TaxCode,0)),0,OFFSET(Setup!$D$15,MATCH($F19,TaxCode,0),0,1,1)))+IF(ISERROR($G19),0,IF(ISNA(MATCH($G19,TaxCode,0)),0,OFFSET(Setup!$D$15,MATCH($G19,TaxCode,0),0,1,1))))*IF(ISERROR($F19),0,IF(ISNA(MATCH($F19,TaxCode,0)),0,OFFSET(Setup!$D$15,MATCH($F19,TaxCode,0),0,1,1)))</f>
        <v>0</v>
      </c>
      <c r="N19" s="29">
        <f ca="1">$O19/(1+IF(ISERROR($F19),0,IF(ISNA(MATCH($F19,TaxCode,0)),0,OFFSET(Setup!$D$15,MATCH($F19,TaxCode,0),0,1,1)))+IF(ISERROR($G19),0,IF(ISNA(MATCH($G19,TaxCode,0)),0,OFFSET(Setup!$D$15,MATCH($G19,TaxCode,0),0,1,1))))*IF(ISERROR($G19),0,IF(ISNA(MATCH($G19,TaxCode,0)),0,OFFSET(Setup!$D$15,MATCH($G19,TaxCode,0),0,1,1)))</f>
        <v>0</v>
      </c>
      <c r="O19" s="29">
        <f t="shared" si="1"/>
        <v>1666.67</v>
      </c>
      <c r="P19" s="63" t="str">
        <f t="shared" ca="1" si="2"/>
        <v>-</v>
      </c>
    </row>
    <row r="20" spans="1:16" ht="16" customHeight="1" x14ac:dyDescent="0.25">
      <c r="A20" s="79">
        <v>43916</v>
      </c>
      <c r="B20" s="4" t="s">
        <v>25</v>
      </c>
      <c r="C20" s="4" t="s">
        <v>110</v>
      </c>
      <c r="D20" s="4" t="s">
        <v>116</v>
      </c>
      <c r="E20" s="29">
        <v>13680</v>
      </c>
      <c r="F20" s="63" t="s">
        <v>93</v>
      </c>
      <c r="G20" s="63" t="s">
        <v>108</v>
      </c>
      <c r="H20" s="63" t="s">
        <v>145</v>
      </c>
      <c r="I20" s="30" t="s">
        <v>298</v>
      </c>
      <c r="J20" s="10">
        <v>43916</v>
      </c>
      <c r="K20" s="63">
        <f t="shared" ca="1" si="0"/>
        <v>0</v>
      </c>
      <c r="L20" s="29" cm="1">
        <f t="array" aca="1" ref="L20" ca="1">O20-IF(ExpTaxCount=2,SUM($M20:$N20),$M20:$M20)</f>
        <v>11895.652173913044</v>
      </c>
      <c r="M20" s="29">
        <f ca="1">$O20/(1+IF(ISERROR($F20),0,IF(ISNA(MATCH($F20,TaxCode,0)),0,OFFSET(Setup!$D$15,MATCH($F20,TaxCode,0),0,1,1)))+IF(ISERROR($G20),0,IF(ISNA(MATCH($G20,TaxCode,0)),0,OFFSET(Setup!$D$15,MATCH($G20,TaxCode,0),0,1,1))))*IF(ISERROR($F20),0,IF(ISNA(MATCH($F20,TaxCode,0)),0,OFFSET(Setup!$D$15,MATCH($F20,TaxCode,0),0,1,1)))</f>
        <v>1784.3478260869565</v>
      </c>
      <c r="N20" s="29">
        <f ca="1">$O20/(1+IF(ISERROR($F20),0,IF(ISNA(MATCH($F20,TaxCode,0)),0,OFFSET(Setup!$D$15,MATCH($F20,TaxCode,0),0,1,1)))+IF(ISERROR($G20),0,IF(ISNA(MATCH($G20,TaxCode,0)),0,OFFSET(Setup!$D$15,MATCH($G20,TaxCode,0),0,1,1))))*IF(ISERROR($G20),0,IF(ISNA(MATCH($G20,TaxCode,0)),0,OFFSET(Setup!$D$15,MATCH($G20,TaxCode,0),0,1,1)))</f>
        <v>0</v>
      </c>
      <c r="O20" s="29">
        <f t="shared" si="1"/>
        <v>13680</v>
      </c>
      <c r="P20" s="63" t="str">
        <f t="shared" ca="1" si="2"/>
        <v>-</v>
      </c>
    </row>
    <row r="21" spans="1:16" ht="16" customHeight="1" x14ac:dyDescent="0.25">
      <c r="A21" s="79">
        <v>43916</v>
      </c>
      <c r="B21" s="4" t="s">
        <v>128</v>
      </c>
      <c r="C21" s="4" t="s">
        <v>115</v>
      </c>
      <c r="D21" s="4" t="s">
        <v>509</v>
      </c>
      <c r="E21" s="29">
        <v>35000</v>
      </c>
      <c r="F21" s="63" t="s">
        <v>108</v>
      </c>
      <c r="G21" s="63" t="s">
        <v>108</v>
      </c>
      <c r="H21" s="63" t="s">
        <v>147</v>
      </c>
      <c r="I21" s="30" t="s">
        <v>364</v>
      </c>
      <c r="J21" s="10">
        <v>43916</v>
      </c>
      <c r="K21" s="63">
        <f t="shared" ca="1" si="0"/>
        <v>0</v>
      </c>
      <c r="L21" s="29" cm="1">
        <f t="array" aca="1" ref="L21" ca="1">O21-IF(ExpTaxCount=2,SUM($M21:$N21),$M21:$M21)</f>
        <v>35000</v>
      </c>
      <c r="M21" s="29">
        <f ca="1">$O21/(1+IF(ISERROR($F21),0,IF(ISNA(MATCH($F21,TaxCode,0)),0,OFFSET(Setup!$D$15,MATCH($F21,TaxCode,0),0,1,1)))+IF(ISERROR($G21),0,IF(ISNA(MATCH($G21,TaxCode,0)),0,OFFSET(Setup!$D$15,MATCH($G21,TaxCode,0),0,1,1))))*IF(ISERROR($F21),0,IF(ISNA(MATCH($F21,TaxCode,0)),0,OFFSET(Setup!$D$15,MATCH($F21,TaxCode,0),0,1,1)))</f>
        <v>0</v>
      </c>
      <c r="N21" s="29">
        <f ca="1">$O21/(1+IF(ISERROR($F21),0,IF(ISNA(MATCH($F21,TaxCode,0)),0,OFFSET(Setup!$D$15,MATCH($F21,TaxCode,0),0,1,1)))+IF(ISERROR($G21),0,IF(ISNA(MATCH($G21,TaxCode,0)),0,OFFSET(Setup!$D$15,MATCH($G21,TaxCode,0),0,1,1))))*IF(ISERROR($G21),0,IF(ISNA(MATCH($G21,TaxCode,0)),0,OFFSET(Setup!$D$15,MATCH($G21,TaxCode,0),0,1,1)))</f>
        <v>0</v>
      </c>
      <c r="O21" s="29">
        <f t="shared" si="1"/>
        <v>35000</v>
      </c>
      <c r="P21" s="63" t="str">
        <f t="shared" ca="1" si="2"/>
        <v>-</v>
      </c>
    </row>
    <row r="22" spans="1:16" ht="16" customHeight="1" x14ac:dyDescent="0.25">
      <c r="A22" s="79">
        <v>43916</v>
      </c>
      <c r="B22" s="4" t="s">
        <v>128</v>
      </c>
      <c r="C22" s="4" t="s">
        <v>115</v>
      </c>
      <c r="D22" s="4" t="s">
        <v>510</v>
      </c>
      <c r="E22" s="29">
        <v>7200</v>
      </c>
      <c r="F22" s="63" t="s">
        <v>108</v>
      </c>
      <c r="G22" s="63" t="s">
        <v>108</v>
      </c>
      <c r="H22" s="63" t="s">
        <v>147</v>
      </c>
      <c r="I22" s="30" t="s">
        <v>364</v>
      </c>
      <c r="J22" s="10">
        <v>43927</v>
      </c>
      <c r="K22" s="63">
        <f t="shared" ca="1" si="0"/>
        <v>0</v>
      </c>
      <c r="L22" s="29" cm="1">
        <f t="array" aca="1" ref="L22" ca="1">O22-IF(ExpTaxCount=2,SUM($M22:$N22),$M22:$M22)</f>
        <v>7200</v>
      </c>
      <c r="M22" s="29">
        <f ca="1">$O22/(1+IF(ISERROR($F22),0,IF(ISNA(MATCH($F22,TaxCode,0)),0,OFFSET(Setup!$D$15,MATCH($F22,TaxCode,0),0,1,1)))+IF(ISERROR($G22),0,IF(ISNA(MATCH($G22,TaxCode,0)),0,OFFSET(Setup!$D$15,MATCH($G22,TaxCode,0),0,1,1))))*IF(ISERROR($F22),0,IF(ISNA(MATCH($F22,TaxCode,0)),0,OFFSET(Setup!$D$15,MATCH($F22,TaxCode,0),0,1,1)))</f>
        <v>0</v>
      </c>
      <c r="N22" s="29">
        <f ca="1">$O22/(1+IF(ISERROR($F22),0,IF(ISNA(MATCH($F22,TaxCode,0)),0,OFFSET(Setup!$D$15,MATCH($F22,TaxCode,0),0,1,1)))+IF(ISERROR($G22),0,IF(ISNA(MATCH($G22,TaxCode,0)),0,OFFSET(Setup!$D$15,MATCH($G22,TaxCode,0),0,1,1))))*IF(ISERROR($G22),0,IF(ISNA(MATCH($G22,TaxCode,0)),0,OFFSET(Setup!$D$15,MATCH($G22,TaxCode,0),0,1,1)))</f>
        <v>0</v>
      </c>
      <c r="O22" s="29">
        <f t="shared" si="1"/>
        <v>7200</v>
      </c>
      <c r="P22" s="63" t="str">
        <f t="shared" ca="1" si="2"/>
        <v>-</v>
      </c>
    </row>
    <row r="23" spans="1:16" ht="16" customHeight="1" x14ac:dyDescent="0.25">
      <c r="A23" s="79">
        <v>43916</v>
      </c>
      <c r="B23" s="4" t="s">
        <v>128</v>
      </c>
      <c r="C23" s="4" t="s">
        <v>115</v>
      </c>
      <c r="D23" s="4" t="s">
        <v>511</v>
      </c>
      <c r="E23" s="29">
        <v>9320</v>
      </c>
      <c r="F23" s="63" t="s">
        <v>108</v>
      </c>
      <c r="G23" s="63" t="s">
        <v>108</v>
      </c>
      <c r="H23" s="63" t="s">
        <v>147</v>
      </c>
      <c r="I23" s="30" t="s">
        <v>366</v>
      </c>
      <c r="J23" s="10">
        <v>43927</v>
      </c>
      <c r="K23" s="63">
        <f t="shared" ca="1" si="0"/>
        <v>0</v>
      </c>
      <c r="L23" s="29" cm="1">
        <f t="array" aca="1" ref="L23" ca="1">O23-IF(ExpTaxCount=2,SUM($M23:$N23),$M23:$M23)</f>
        <v>9320</v>
      </c>
      <c r="M23" s="29">
        <f ca="1">$O23/(1+IF(ISERROR($F23),0,IF(ISNA(MATCH($F23,TaxCode,0)),0,OFFSET(Setup!$D$15,MATCH($F23,TaxCode,0),0,1,1)))+IF(ISERROR($G23),0,IF(ISNA(MATCH($G23,TaxCode,0)),0,OFFSET(Setup!$D$15,MATCH($G23,TaxCode,0),0,1,1))))*IF(ISERROR($F23),0,IF(ISNA(MATCH($F23,TaxCode,0)),0,OFFSET(Setup!$D$15,MATCH($F23,TaxCode,0),0,1,1)))</f>
        <v>0</v>
      </c>
      <c r="N23" s="29">
        <f ca="1">$O23/(1+IF(ISERROR($F23),0,IF(ISNA(MATCH($F23,TaxCode,0)),0,OFFSET(Setup!$D$15,MATCH($F23,TaxCode,0),0,1,1)))+IF(ISERROR($G23),0,IF(ISNA(MATCH($G23,TaxCode,0)),0,OFFSET(Setup!$D$15,MATCH($G23,TaxCode,0),0,1,1))))*IF(ISERROR($G23),0,IF(ISNA(MATCH($G23,TaxCode,0)),0,OFFSET(Setup!$D$15,MATCH($G23,TaxCode,0),0,1,1)))</f>
        <v>0</v>
      </c>
      <c r="O23" s="29">
        <f t="shared" si="1"/>
        <v>9320</v>
      </c>
      <c r="P23" s="63" t="str">
        <f t="shared" ca="1" si="2"/>
        <v>-</v>
      </c>
    </row>
    <row r="24" spans="1:16" ht="16" customHeight="1" x14ac:dyDescent="0.25">
      <c r="A24" s="79">
        <v>43916</v>
      </c>
      <c r="B24" s="4" t="s">
        <v>128</v>
      </c>
      <c r="C24" s="4" t="s">
        <v>115</v>
      </c>
      <c r="D24" s="4" t="s">
        <v>528</v>
      </c>
      <c r="E24" s="29">
        <v>-12000</v>
      </c>
      <c r="F24" s="63" t="s">
        <v>108</v>
      </c>
      <c r="G24" s="63" t="s">
        <v>108</v>
      </c>
      <c r="H24" s="63" t="s">
        <v>147</v>
      </c>
      <c r="I24" s="30" t="s">
        <v>263</v>
      </c>
      <c r="J24" s="10">
        <v>43916</v>
      </c>
      <c r="K24" s="63">
        <f t="shared" ca="1" si="0"/>
        <v>0</v>
      </c>
      <c r="L24" s="29" cm="1">
        <f t="array" aca="1" ref="L24" ca="1">O24-IF(ExpTaxCount=2,SUM($M24:$N24),$M24:$M24)</f>
        <v>-12000</v>
      </c>
      <c r="M24" s="29">
        <f ca="1">$O24/(1+IF(ISERROR($F24),0,IF(ISNA(MATCH($F24,TaxCode,0)),0,OFFSET(Setup!$D$15,MATCH($F24,TaxCode,0),0,1,1)))+IF(ISERROR($G24),0,IF(ISNA(MATCH($G24,TaxCode,0)),0,OFFSET(Setup!$D$15,MATCH($G24,TaxCode,0),0,1,1))))*IF(ISERROR($F24),0,IF(ISNA(MATCH($F24,TaxCode,0)),0,OFFSET(Setup!$D$15,MATCH($F24,TaxCode,0),0,1,1)))</f>
        <v>0</v>
      </c>
      <c r="N24" s="29">
        <f ca="1">$O24/(1+IF(ISERROR($F24),0,IF(ISNA(MATCH($F24,TaxCode,0)),0,OFFSET(Setup!$D$15,MATCH($F24,TaxCode,0),0,1,1)))+IF(ISERROR($G24),0,IF(ISNA(MATCH($G24,TaxCode,0)),0,OFFSET(Setup!$D$15,MATCH($G24,TaxCode,0),0,1,1))))*IF(ISERROR($G24),0,IF(ISNA(MATCH($G24,TaxCode,0)),0,OFFSET(Setup!$D$15,MATCH($G24,TaxCode,0),0,1,1)))</f>
        <v>0</v>
      </c>
      <c r="O24" s="29">
        <f t="shared" si="1"/>
        <v>-12000</v>
      </c>
      <c r="P24" s="63" t="str">
        <f t="shared" ca="1" si="2"/>
        <v>-</v>
      </c>
    </row>
    <row r="25" spans="1:16" ht="16" customHeight="1" x14ac:dyDescent="0.25">
      <c r="A25" s="79">
        <v>43921</v>
      </c>
      <c r="B25" s="4" t="s">
        <v>128</v>
      </c>
      <c r="C25" s="4" t="s">
        <v>109</v>
      </c>
      <c r="D25" s="4" t="s">
        <v>174</v>
      </c>
      <c r="E25" s="29">
        <v>90</v>
      </c>
      <c r="F25" s="63" t="s">
        <v>108</v>
      </c>
      <c r="G25" s="63" t="s">
        <v>108</v>
      </c>
      <c r="H25" s="63" t="s">
        <v>145</v>
      </c>
      <c r="I25" s="30" t="s">
        <v>275</v>
      </c>
      <c r="J25" s="10">
        <v>43921</v>
      </c>
      <c r="K25" s="63">
        <f t="shared" ca="1" si="0"/>
        <v>0</v>
      </c>
      <c r="L25" s="29" cm="1">
        <f t="array" aca="1" ref="L25" ca="1">O25-IF(ExpTaxCount=2,SUM($M25:$N25),$M25:$M25)</f>
        <v>90</v>
      </c>
      <c r="M25" s="29">
        <f ca="1">$O25/(1+IF(ISERROR($F25),0,IF(ISNA(MATCH($F25,TaxCode,0)),0,OFFSET(Setup!$D$15,MATCH($F25,TaxCode,0),0,1,1)))+IF(ISERROR($G25),0,IF(ISNA(MATCH($G25,TaxCode,0)),0,OFFSET(Setup!$D$15,MATCH($G25,TaxCode,0),0,1,1))))*IF(ISERROR($F25),0,IF(ISNA(MATCH($F25,TaxCode,0)),0,OFFSET(Setup!$D$15,MATCH($F25,TaxCode,0),0,1,1)))</f>
        <v>0</v>
      </c>
      <c r="N25" s="29">
        <f ca="1">$O25/(1+IF(ISERROR($F25),0,IF(ISNA(MATCH($F25,TaxCode,0)),0,OFFSET(Setup!$D$15,MATCH($F25,TaxCode,0),0,1,1)))+IF(ISERROR($G25),0,IF(ISNA(MATCH($G25,TaxCode,0)),0,OFFSET(Setup!$D$15,MATCH($G25,TaxCode,0),0,1,1))))*IF(ISERROR($G25),0,IF(ISNA(MATCH($G25,TaxCode,0)),0,OFFSET(Setup!$D$15,MATCH($G25,TaxCode,0),0,1,1)))</f>
        <v>0</v>
      </c>
      <c r="O25" s="29">
        <f t="shared" si="1"/>
        <v>90</v>
      </c>
      <c r="P25" s="63" t="str">
        <f t="shared" ca="1" si="2"/>
        <v>-</v>
      </c>
    </row>
    <row r="26" spans="1:16" ht="16" customHeight="1" x14ac:dyDescent="0.25">
      <c r="A26" s="79">
        <v>43921</v>
      </c>
      <c r="B26" s="4" t="s">
        <v>128</v>
      </c>
      <c r="C26" s="4" t="s">
        <v>109</v>
      </c>
      <c r="D26" s="4" t="s">
        <v>174</v>
      </c>
      <c r="E26" s="29">
        <v>-90</v>
      </c>
      <c r="F26" s="63" t="s">
        <v>108</v>
      </c>
      <c r="G26" s="63" t="s">
        <v>108</v>
      </c>
      <c r="H26" s="63" t="s">
        <v>151</v>
      </c>
      <c r="I26" s="30" t="s">
        <v>275</v>
      </c>
      <c r="J26" s="10">
        <v>43921</v>
      </c>
      <c r="K26" s="63">
        <f t="shared" ca="1" si="0"/>
        <v>0</v>
      </c>
      <c r="L26" s="29" cm="1">
        <f t="array" aca="1" ref="L26" ca="1">O26-IF(ExpTaxCount=2,SUM($M26:$N26),$M26:$M26)</f>
        <v>-90</v>
      </c>
      <c r="M26" s="29">
        <f ca="1">$O26/(1+IF(ISERROR($F26),0,IF(ISNA(MATCH($F26,TaxCode,0)),0,OFFSET(Setup!$D$15,MATCH($F26,TaxCode,0),0,1,1)))+IF(ISERROR($G26),0,IF(ISNA(MATCH($G26,TaxCode,0)),0,OFFSET(Setup!$D$15,MATCH($G26,TaxCode,0),0,1,1))))*IF(ISERROR($F26),0,IF(ISNA(MATCH($F26,TaxCode,0)),0,OFFSET(Setup!$D$15,MATCH($F26,TaxCode,0),0,1,1)))</f>
        <v>0</v>
      </c>
      <c r="N26" s="29">
        <f ca="1">$O26/(1+IF(ISERROR($F26),0,IF(ISNA(MATCH($F26,TaxCode,0)),0,OFFSET(Setup!$D$15,MATCH($F26,TaxCode,0),0,1,1)))+IF(ISERROR($G26),0,IF(ISNA(MATCH($G26,TaxCode,0)),0,OFFSET(Setup!$D$15,MATCH($G26,TaxCode,0),0,1,1))))*IF(ISERROR($G26),0,IF(ISNA(MATCH($G26,TaxCode,0)),0,OFFSET(Setup!$D$15,MATCH($G26,TaxCode,0),0,1,1)))</f>
        <v>0</v>
      </c>
      <c r="O26" s="29">
        <f t="shared" si="1"/>
        <v>-90</v>
      </c>
      <c r="P26" s="63" t="str">
        <f t="shared" ca="1" si="2"/>
        <v>-</v>
      </c>
    </row>
    <row r="27" spans="1:16" ht="16" customHeight="1" x14ac:dyDescent="0.25">
      <c r="A27" s="79">
        <v>43921</v>
      </c>
      <c r="B27" s="4" t="s">
        <v>505</v>
      </c>
      <c r="C27" s="4" t="s">
        <v>507</v>
      </c>
      <c r="D27" s="4" t="s">
        <v>506</v>
      </c>
      <c r="E27" s="29">
        <v>10000</v>
      </c>
      <c r="F27" s="63" t="s">
        <v>108</v>
      </c>
      <c r="G27" s="63" t="s">
        <v>108</v>
      </c>
      <c r="H27" s="63" t="s">
        <v>149</v>
      </c>
      <c r="I27" s="30" t="s">
        <v>290</v>
      </c>
      <c r="J27" s="10">
        <v>43928</v>
      </c>
      <c r="K27" s="63">
        <f t="shared" ca="1" si="0"/>
        <v>0</v>
      </c>
      <c r="L27" s="29" cm="1">
        <f t="array" aca="1" ref="L27" ca="1">O27-IF(ExpTaxCount=2,SUM($M27:$N27),$M27:$M27)</f>
        <v>10000</v>
      </c>
      <c r="M27" s="29">
        <f ca="1">$O27/(1+IF(ISERROR($F27),0,IF(ISNA(MATCH($F27,TaxCode,0)),0,OFFSET(Setup!$D$15,MATCH($F27,TaxCode,0),0,1,1)))+IF(ISERROR($G27),0,IF(ISNA(MATCH($G27,TaxCode,0)),0,OFFSET(Setup!$D$15,MATCH($G27,TaxCode,0),0,1,1))))*IF(ISERROR($F27),0,IF(ISNA(MATCH($F27,TaxCode,0)),0,OFFSET(Setup!$D$15,MATCH($F27,TaxCode,0),0,1,1)))</f>
        <v>0</v>
      </c>
      <c r="N27" s="29">
        <f ca="1">$O27/(1+IF(ISERROR($F27),0,IF(ISNA(MATCH($F27,TaxCode,0)),0,OFFSET(Setup!$D$15,MATCH($F27,TaxCode,0),0,1,1)))+IF(ISERROR($G27),0,IF(ISNA(MATCH($G27,TaxCode,0)),0,OFFSET(Setup!$D$15,MATCH($G27,TaxCode,0),0,1,1))))*IF(ISERROR($G27),0,IF(ISNA(MATCH($G27,TaxCode,0)),0,OFFSET(Setup!$D$15,MATCH($G27,TaxCode,0),0,1,1)))</f>
        <v>0</v>
      </c>
      <c r="O27" s="29">
        <f t="shared" si="1"/>
        <v>10000</v>
      </c>
      <c r="P27" s="63" t="str">
        <f t="shared" ca="1" si="2"/>
        <v>-</v>
      </c>
    </row>
    <row r="28" spans="1:16" ht="16" customHeight="1" x14ac:dyDescent="0.25">
      <c r="A28" s="79">
        <v>43922</v>
      </c>
      <c r="B28" s="4" t="s">
        <v>5</v>
      </c>
      <c r="C28" s="4" t="s">
        <v>30</v>
      </c>
      <c r="D28" s="4" t="s">
        <v>114</v>
      </c>
      <c r="E28" s="29">
        <v>850</v>
      </c>
      <c r="F28" s="63" t="s">
        <v>93</v>
      </c>
      <c r="G28" s="63" t="s">
        <v>108</v>
      </c>
      <c r="H28" s="63" t="s">
        <v>145</v>
      </c>
      <c r="I28" s="30" t="s">
        <v>303</v>
      </c>
      <c r="J28" s="10">
        <v>43952</v>
      </c>
      <c r="K28" s="63">
        <f t="shared" ca="1" si="0"/>
        <v>0</v>
      </c>
      <c r="L28" s="29" cm="1">
        <f t="array" aca="1" ref="L28" ca="1">O28-IF(ExpTaxCount=2,SUM($M28:$N28),$M28:$M28)</f>
        <v>739.13043478260875</v>
      </c>
      <c r="M28" s="29">
        <f ca="1">$O28/(1+IF(ISERROR($F28),0,IF(ISNA(MATCH($F28,TaxCode,0)),0,OFFSET(Setup!$D$15,MATCH($F28,TaxCode,0),0,1,1)))+IF(ISERROR($G28),0,IF(ISNA(MATCH($G28,TaxCode,0)),0,OFFSET(Setup!$D$15,MATCH($G28,TaxCode,0),0,1,1))))*IF(ISERROR($F28),0,IF(ISNA(MATCH($F28,TaxCode,0)),0,OFFSET(Setup!$D$15,MATCH($F28,TaxCode,0),0,1,1)))</f>
        <v>110.86956521739131</v>
      </c>
      <c r="N28" s="29">
        <f ca="1">$O28/(1+IF(ISERROR($F28),0,IF(ISNA(MATCH($F28,TaxCode,0)),0,OFFSET(Setup!$D$15,MATCH($F28,TaxCode,0),0,1,1)))+IF(ISERROR($G28),0,IF(ISNA(MATCH($G28,TaxCode,0)),0,OFFSET(Setup!$D$15,MATCH($G28,TaxCode,0),0,1,1))))*IF(ISERROR($G28),0,IF(ISNA(MATCH($G28,TaxCode,0)),0,OFFSET(Setup!$D$15,MATCH($G28,TaxCode,0),0,1,1)))</f>
        <v>0</v>
      </c>
      <c r="O28" s="29">
        <f t="shared" si="1"/>
        <v>850</v>
      </c>
      <c r="P28" s="63" t="str">
        <f t="shared" ca="1" si="2"/>
        <v>-</v>
      </c>
    </row>
    <row r="29" spans="1:16" ht="16" customHeight="1" x14ac:dyDescent="0.25">
      <c r="A29" s="79">
        <v>43926</v>
      </c>
      <c r="B29" s="4" t="s">
        <v>167</v>
      </c>
      <c r="C29" s="4" t="s">
        <v>110</v>
      </c>
      <c r="D29" s="4" t="s">
        <v>71</v>
      </c>
      <c r="E29" s="29">
        <v>368</v>
      </c>
      <c r="F29" s="63" t="s">
        <v>93</v>
      </c>
      <c r="G29" s="63" t="s">
        <v>108</v>
      </c>
      <c r="H29" s="63" t="s">
        <v>145</v>
      </c>
      <c r="I29" s="30" t="s">
        <v>296</v>
      </c>
      <c r="J29" s="10">
        <v>43926</v>
      </c>
      <c r="K29" s="63">
        <f t="shared" ca="1" si="0"/>
        <v>0</v>
      </c>
      <c r="L29" s="29" cm="1">
        <f t="array" aca="1" ref="L29" ca="1">O29-IF(ExpTaxCount=2,SUM($M29:$N29),$M29:$M29)</f>
        <v>320</v>
      </c>
      <c r="M29" s="29">
        <f ca="1">$O29/(1+IF(ISERROR($F29),0,IF(ISNA(MATCH($F29,TaxCode,0)),0,OFFSET(Setup!$D$15,MATCH($F29,TaxCode,0),0,1,1)))+IF(ISERROR($G29),0,IF(ISNA(MATCH($G29,TaxCode,0)),0,OFFSET(Setup!$D$15,MATCH($G29,TaxCode,0),0,1,1))))*IF(ISERROR($F29),0,IF(ISNA(MATCH($F29,TaxCode,0)),0,OFFSET(Setup!$D$15,MATCH($F29,TaxCode,0),0,1,1)))</f>
        <v>48</v>
      </c>
      <c r="N29" s="29">
        <f ca="1">$O29/(1+IF(ISERROR($F29),0,IF(ISNA(MATCH($F29,TaxCode,0)),0,OFFSET(Setup!$D$15,MATCH($F29,TaxCode,0),0,1,1)))+IF(ISERROR($G29),0,IF(ISNA(MATCH($G29,TaxCode,0)),0,OFFSET(Setup!$D$15,MATCH($G29,TaxCode,0),0,1,1))))*IF(ISERROR($G29),0,IF(ISNA(MATCH($G29,TaxCode,0)),0,OFFSET(Setup!$D$15,MATCH($G29,TaxCode,0),0,1,1)))</f>
        <v>0</v>
      </c>
      <c r="O29" s="29">
        <f t="shared" si="1"/>
        <v>368</v>
      </c>
      <c r="P29" s="63" t="str">
        <f t="shared" ca="1" si="2"/>
        <v>-</v>
      </c>
    </row>
    <row r="30" spans="1:16" ht="16" customHeight="1" x14ac:dyDescent="0.25">
      <c r="A30" s="79">
        <v>43926</v>
      </c>
      <c r="B30" s="4" t="s">
        <v>128</v>
      </c>
      <c r="C30" s="4" t="s">
        <v>172</v>
      </c>
      <c r="D30" s="4" t="s">
        <v>173</v>
      </c>
      <c r="E30" s="29">
        <v>-10000</v>
      </c>
      <c r="F30" s="63" t="s">
        <v>108</v>
      </c>
      <c r="G30" s="63" t="s">
        <v>108</v>
      </c>
      <c r="H30" s="63" t="s">
        <v>149</v>
      </c>
      <c r="I30" s="30" t="s">
        <v>275</v>
      </c>
      <c r="J30" s="10">
        <v>43926</v>
      </c>
      <c r="K30" s="63">
        <f t="shared" ca="1" si="0"/>
        <v>0</v>
      </c>
      <c r="L30" s="29" cm="1">
        <f t="array" aca="1" ref="L30" ca="1">O30-IF(ExpTaxCount=2,SUM($M30:$N30),$M30:$M30)</f>
        <v>-10000</v>
      </c>
      <c r="M30" s="29">
        <f ca="1">$O30/(1+IF(ISERROR($F30),0,IF(ISNA(MATCH($F30,TaxCode,0)),0,OFFSET(Setup!$D$15,MATCH($F30,TaxCode,0),0,1,1)))+IF(ISERROR($G30),0,IF(ISNA(MATCH($G30,TaxCode,0)),0,OFFSET(Setup!$D$15,MATCH($G30,TaxCode,0),0,1,1))))*IF(ISERROR($F30),0,IF(ISNA(MATCH($F30,TaxCode,0)),0,OFFSET(Setup!$D$15,MATCH($F30,TaxCode,0),0,1,1)))</f>
        <v>0</v>
      </c>
      <c r="N30" s="29">
        <f ca="1">$O30/(1+IF(ISERROR($F30),0,IF(ISNA(MATCH($F30,TaxCode,0)),0,OFFSET(Setup!$D$15,MATCH($F30,TaxCode,0),0,1,1)))+IF(ISERROR($G30),0,IF(ISNA(MATCH($G30,TaxCode,0)),0,OFFSET(Setup!$D$15,MATCH($G30,TaxCode,0),0,1,1))))*IF(ISERROR($G30),0,IF(ISNA(MATCH($G30,TaxCode,0)),0,OFFSET(Setup!$D$15,MATCH($G30,TaxCode,0),0,1,1)))</f>
        <v>0</v>
      </c>
      <c r="O30" s="29">
        <f t="shared" si="1"/>
        <v>-10000</v>
      </c>
      <c r="P30" s="63" t="str">
        <f t="shared" ca="1" si="2"/>
        <v>-</v>
      </c>
    </row>
    <row r="31" spans="1:16" ht="16" customHeight="1" x14ac:dyDescent="0.25">
      <c r="A31" s="79">
        <v>43926</v>
      </c>
      <c r="B31" s="4" t="s">
        <v>128</v>
      </c>
      <c r="C31" s="4" t="s">
        <v>172</v>
      </c>
      <c r="D31" s="4" t="s">
        <v>173</v>
      </c>
      <c r="E31" s="29">
        <v>10000</v>
      </c>
      <c r="F31" s="63" t="s">
        <v>108</v>
      </c>
      <c r="G31" s="63" t="s">
        <v>108</v>
      </c>
      <c r="H31" s="63" t="s">
        <v>145</v>
      </c>
      <c r="I31" s="30" t="s">
        <v>275</v>
      </c>
      <c r="J31" s="10">
        <v>43926</v>
      </c>
      <c r="K31" s="63">
        <f t="shared" ca="1" si="0"/>
        <v>0</v>
      </c>
      <c r="L31" s="29" cm="1">
        <f t="array" aca="1" ref="L31" ca="1">O31-IF(ExpTaxCount=2,SUM($M31:$N31),$M31:$M31)</f>
        <v>10000</v>
      </c>
      <c r="M31" s="29">
        <f ca="1">$O31/(1+IF(ISERROR($F31),0,IF(ISNA(MATCH($F31,TaxCode,0)),0,OFFSET(Setup!$D$15,MATCH($F31,TaxCode,0),0,1,1)))+IF(ISERROR($G31),0,IF(ISNA(MATCH($G31,TaxCode,0)),0,OFFSET(Setup!$D$15,MATCH($G31,TaxCode,0),0,1,1))))*IF(ISERROR($F31),0,IF(ISNA(MATCH($F31,TaxCode,0)),0,OFFSET(Setup!$D$15,MATCH($F31,TaxCode,0),0,1,1)))</f>
        <v>0</v>
      </c>
      <c r="N31" s="29">
        <f ca="1">$O31/(1+IF(ISERROR($F31),0,IF(ISNA(MATCH($F31,TaxCode,0)),0,OFFSET(Setup!$D$15,MATCH($F31,TaxCode,0),0,1,1)))+IF(ISERROR($G31),0,IF(ISNA(MATCH($G31,TaxCode,0)),0,OFFSET(Setup!$D$15,MATCH($G31,TaxCode,0),0,1,1))))*IF(ISERROR($G31),0,IF(ISNA(MATCH($G31,TaxCode,0)),0,OFFSET(Setup!$D$15,MATCH($G31,TaxCode,0),0,1,1)))</f>
        <v>0</v>
      </c>
      <c r="O31" s="29">
        <f t="shared" si="1"/>
        <v>10000</v>
      </c>
      <c r="P31" s="63" t="str">
        <f t="shared" ca="1" si="2"/>
        <v>-</v>
      </c>
    </row>
    <row r="32" spans="1:16" ht="16" customHeight="1" x14ac:dyDescent="0.25">
      <c r="A32" s="79">
        <v>43933</v>
      </c>
      <c r="B32" s="4" t="s">
        <v>169</v>
      </c>
      <c r="C32" s="4" t="s">
        <v>170</v>
      </c>
      <c r="D32" s="4" t="s">
        <v>171</v>
      </c>
      <c r="E32" s="29">
        <v>87</v>
      </c>
      <c r="F32" s="63" t="s">
        <v>93</v>
      </c>
      <c r="G32" s="63" t="s">
        <v>108</v>
      </c>
      <c r="H32" s="63" t="s">
        <v>151</v>
      </c>
      <c r="I32" s="30" t="s">
        <v>297</v>
      </c>
      <c r="J32" s="10">
        <v>43933</v>
      </c>
      <c r="K32" s="63">
        <f t="shared" ca="1" si="0"/>
        <v>0</v>
      </c>
      <c r="L32" s="29" cm="1">
        <f t="array" aca="1" ref="L32" ca="1">O32-IF(ExpTaxCount=2,SUM($M32:$N32),$M32:$M32)</f>
        <v>75.652173913043484</v>
      </c>
      <c r="M32" s="29">
        <f ca="1">$O32/(1+IF(ISERROR($F32),0,IF(ISNA(MATCH($F32,TaxCode,0)),0,OFFSET(Setup!$D$15,MATCH($F32,TaxCode,0),0,1,1)))+IF(ISERROR($G32),0,IF(ISNA(MATCH($G32,TaxCode,0)),0,OFFSET(Setup!$D$15,MATCH($G32,TaxCode,0),0,1,1))))*IF(ISERROR($F32),0,IF(ISNA(MATCH($F32,TaxCode,0)),0,OFFSET(Setup!$D$15,MATCH($F32,TaxCode,0),0,1,1)))</f>
        <v>11.347826086956522</v>
      </c>
      <c r="N32" s="29">
        <f ca="1">$O32/(1+IF(ISERROR($F32),0,IF(ISNA(MATCH($F32,TaxCode,0)),0,OFFSET(Setup!$D$15,MATCH($F32,TaxCode,0),0,1,1)))+IF(ISERROR($G32),0,IF(ISNA(MATCH($G32,TaxCode,0)),0,OFFSET(Setup!$D$15,MATCH($G32,TaxCode,0),0,1,1))))*IF(ISERROR($G32),0,IF(ISNA(MATCH($G32,TaxCode,0)),0,OFFSET(Setup!$D$15,MATCH($G32,TaxCode,0),0,1,1)))</f>
        <v>0</v>
      </c>
      <c r="O32" s="29">
        <f t="shared" si="1"/>
        <v>87</v>
      </c>
      <c r="P32" s="63" t="str">
        <f t="shared" ca="1" si="2"/>
        <v>-</v>
      </c>
    </row>
    <row r="33" spans="1:16" ht="16" customHeight="1" x14ac:dyDescent="0.25">
      <c r="A33" s="79">
        <v>43936</v>
      </c>
      <c r="B33" s="4" t="s">
        <v>168</v>
      </c>
      <c r="C33" s="4" t="s">
        <v>109</v>
      </c>
      <c r="D33" s="4" t="s">
        <v>12</v>
      </c>
      <c r="E33" s="29">
        <v>80</v>
      </c>
      <c r="F33" s="63" t="s">
        <v>93</v>
      </c>
      <c r="G33" s="63" t="s">
        <v>108</v>
      </c>
      <c r="H33" s="63" t="s">
        <v>145</v>
      </c>
      <c r="I33" s="30" t="s">
        <v>291</v>
      </c>
      <c r="J33" s="10">
        <v>43936</v>
      </c>
      <c r="K33" s="63">
        <f t="shared" ca="1" si="0"/>
        <v>0</v>
      </c>
      <c r="L33" s="29" cm="1">
        <f t="array" aca="1" ref="L33" ca="1">O33-IF(ExpTaxCount=2,SUM($M33:$N33),$M33:$M33)</f>
        <v>69.565217391304344</v>
      </c>
      <c r="M33" s="29">
        <f ca="1">$O33/(1+IF(ISERROR($F33),0,IF(ISNA(MATCH($F33,TaxCode,0)),0,OFFSET(Setup!$D$15,MATCH($F33,TaxCode,0),0,1,1)))+IF(ISERROR($G33),0,IF(ISNA(MATCH($G33,TaxCode,0)),0,OFFSET(Setup!$D$15,MATCH($G33,TaxCode,0),0,1,1))))*IF(ISERROR($F33),0,IF(ISNA(MATCH($F33,TaxCode,0)),0,OFFSET(Setup!$D$15,MATCH($F33,TaxCode,0),0,1,1)))</f>
        <v>10.434782608695654</v>
      </c>
      <c r="N33" s="29">
        <f ca="1">$O33/(1+IF(ISERROR($F33),0,IF(ISNA(MATCH($F33,TaxCode,0)),0,OFFSET(Setup!$D$15,MATCH($F33,TaxCode,0),0,1,1)))+IF(ISERROR($G33),0,IF(ISNA(MATCH($G33,TaxCode,0)),0,OFFSET(Setup!$D$15,MATCH($G33,TaxCode,0),0,1,1))))*IF(ISERROR($G33),0,IF(ISNA(MATCH($G33,TaxCode,0)),0,OFFSET(Setup!$D$15,MATCH($G33,TaxCode,0),0,1,1)))</f>
        <v>0</v>
      </c>
      <c r="O33" s="29">
        <f t="shared" si="1"/>
        <v>80</v>
      </c>
      <c r="P33" s="63" t="str">
        <f t="shared" ca="1" si="2"/>
        <v>-</v>
      </c>
    </row>
    <row r="34" spans="1:16" ht="16" customHeight="1" x14ac:dyDescent="0.25">
      <c r="A34" s="79">
        <v>43936</v>
      </c>
      <c r="B34" s="4" t="s">
        <v>168</v>
      </c>
      <c r="C34" s="4" t="s">
        <v>109</v>
      </c>
      <c r="D34" s="4" t="s">
        <v>12</v>
      </c>
      <c r="E34" s="29">
        <v>35</v>
      </c>
      <c r="F34" s="63" t="s">
        <v>93</v>
      </c>
      <c r="G34" s="63" t="s">
        <v>108</v>
      </c>
      <c r="H34" s="63" t="s">
        <v>147</v>
      </c>
      <c r="I34" s="30" t="s">
        <v>291</v>
      </c>
      <c r="J34" s="10">
        <v>43936</v>
      </c>
      <c r="K34" s="63">
        <f t="shared" ca="1" si="0"/>
        <v>0</v>
      </c>
      <c r="L34" s="29" cm="1">
        <f t="array" aca="1" ref="L34" ca="1">O34-IF(ExpTaxCount=2,SUM($M34:$N34),$M34:$M34)</f>
        <v>30.434782608695652</v>
      </c>
      <c r="M34" s="29">
        <f ca="1">$O34/(1+IF(ISERROR($F34),0,IF(ISNA(MATCH($F34,TaxCode,0)),0,OFFSET(Setup!$D$15,MATCH($F34,TaxCode,0),0,1,1)))+IF(ISERROR($G34),0,IF(ISNA(MATCH($G34,TaxCode,0)),0,OFFSET(Setup!$D$15,MATCH($G34,TaxCode,0),0,1,1))))*IF(ISERROR($F34),0,IF(ISNA(MATCH($F34,TaxCode,0)),0,OFFSET(Setup!$D$15,MATCH($F34,TaxCode,0),0,1,1)))</f>
        <v>4.5652173913043486</v>
      </c>
      <c r="N34" s="29">
        <f ca="1">$O34/(1+IF(ISERROR($F34),0,IF(ISNA(MATCH($F34,TaxCode,0)),0,OFFSET(Setup!$D$15,MATCH($F34,TaxCode,0),0,1,1)))+IF(ISERROR($G34),0,IF(ISNA(MATCH($G34,TaxCode,0)),0,OFFSET(Setup!$D$15,MATCH($G34,TaxCode,0),0,1,1))))*IF(ISERROR($G34),0,IF(ISNA(MATCH($G34,TaxCode,0)),0,OFFSET(Setup!$D$15,MATCH($G34,TaxCode,0),0,1,1)))</f>
        <v>0</v>
      </c>
      <c r="O34" s="29">
        <f t="shared" si="1"/>
        <v>35</v>
      </c>
      <c r="P34" s="63" t="str">
        <f t="shared" ca="1" si="2"/>
        <v>-</v>
      </c>
    </row>
    <row r="35" spans="1:16" ht="16" customHeight="1" x14ac:dyDescent="0.25">
      <c r="A35" s="79">
        <v>43936</v>
      </c>
      <c r="B35" s="4" t="s">
        <v>11</v>
      </c>
      <c r="C35" s="4" t="s">
        <v>112</v>
      </c>
      <c r="D35" s="4" t="s">
        <v>504</v>
      </c>
      <c r="E35" s="29">
        <v>2300</v>
      </c>
      <c r="F35" s="63" t="s">
        <v>93</v>
      </c>
      <c r="G35" s="63" t="s">
        <v>108</v>
      </c>
      <c r="H35" s="63" t="s">
        <v>145</v>
      </c>
      <c r="I35" s="30" t="s">
        <v>289</v>
      </c>
      <c r="J35" s="10">
        <v>43954</v>
      </c>
      <c r="K35" s="63">
        <f t="shared" ca="1" si="0"/>
        <v>0</v>
      </c>
      <c r="L35" s="29" cm="1">
        <f t="array" aca="1" ref="L35" ca="1">O35-IF(ExpTaxCount=2,SUM($M35:$N35),$M35:$M35)</f>
        <v>2000</v>
      </c>
      <c r="M35" s="29">
        <f ca="1">$O35/(1+IF(ISERROR($F35),0,IF(ISNA(MATCH($F35,TaxCode,0)),0,OFFSET(Setup!$D$15,MATCH($F35,TaxCode,0),0,1,1)))+IF(ISERROR($G35),0,IF(ISNA(MATCH($G35,TaxCode,0)),0,OFFSET(Setup!$D$15,MATCH($G35,TaxCode,0),0,1,1))))*IF(ISERROR($F35),0,IF(ISNA(MATCH($F35,TaxCode,0)),0,OFFSET(Setup!$D$15,MATCH($F35,TaxCode,0),0,1,1)))</f>
        <v>300</v>
      </c>
      <c r="N35" s="29">
        <f ca="1">$O35/(1+IF(ISERROR($F35),0,IF(ISNA(MATCH($F35,TaxCode,0)),0,OFFSET(Setup!$D$15,MATCH($F35,TaxCode,0),0,1,1)))+IF(ISERROR($G35),0,IF(ISNA(MATCH($G35,TaxCode,0)),0,OFFSET(Setup!$D$15,MATCH($G35,TaxCode,0),0,1,1))))*IF(ISERROR($G35),0,IF(ISNA(MATCH($G35,TaxCode,0)),0,OFFSET(Setup!$D$15,MATCH($G35,TaxCode,0),0,1,1)))</f>
        <v>0</v>
      </c>
      <c r="O35" s="29">
        <f t="shared" si="1"/>
        <v>2300</v>
      </c>
      <c r="P35" s="63" t="str">
        <f t="shared" ca="1" si="2"/>
        <v>-</v>
      </c>
    </row>
    <row r="36" spans="1:16" ht="16" customHeight="1" x14ac:dyDescent="0.25">
      <c r="A36" s="79">
        <v>43941</v>
      </c>
      <c r="B36" s="4" t="s">
        <v>128</v>
      </c>
      <c r="C36" s="4" t="s">
        <v>172</v>
      </c>
      <c r="D36" s="4" t="s">
        <v>173</v>
      </c>
      <c r="E36" s="29">
        <v>-80000</v>
      </c>
      <c r="F36" s="63" t="s">
        <v>108</v>
      </c>
      <c r="G36" s="63" t="s">
        <v>108</v>
      </c>
      <c r="H36" s="63" t="s">
        <v>147</v>
      </c>
      <c r="I36" s="30" t="s">
        <v>275</v>
      </c>
      <c r="J36" s="10">
        <v>43941</v>
      </c>
      <c r="K36" s="63">
        <f t="shared" ca="1" si="0"/>
        <v>0</v>
      </c>
      <c r="L36" s="29" cm="1">
        <f t="array" aca="1" ref="L36" ca="1">O36-IF(ExpTaxCount=2,SUM($M36:$N36),$M36:$M36)</f>
        <v>-80000</v>
      </c>
      <c r="M36" s="29">
        <f ca="1">$O36/(1+IF(ISERROR($F36),0,IF(ISNA(MATCH($F36,TaxCode,0)),0,OFFSET(Setup!$D$15,MATCH($F36,TaxCode,0),0,1,1)))+IF(ISERROR($G36),0,IF(ISNA(MATCH($G36,TaxCode,0)),0,OFFSET(Setup!$D$15,MATCH($G36,TaxCode,0),0,1,1))))*IF(ISERROR($F36),0,IF(ISNA(MATCH($F36,TaxCode,0)),0,OFFSET(Setup!$D$15,MATCH($F36,TaxCode,0),0,1,1)))</f>
        <v>0</v>
      </c>
      <c r="N36" s="29">
        <f ca="1">$O36/(1+IF(ISERROR($F36),0,IF(ISNA(MATCH($F36,TaxCode,0)),0,OFFSET(Setup!$D$15,MATCH($F36,TaxCode,0),0,1,1)))+IF(ISERROR($G36),0,IF(ISNA(MATCH($G36,TaxCode,0)),0,OFFSET(Setup!$D$15,MATCH($G36,TaxCode,0),0,1,1))))*IF(ISERROR($G36),0,IF(ISNA(MATCH($G36,TaxCode,0)),0,OFFSET(Setup!$D$15,MATCH($G36,TaxCode,0),0,1,1)))</f>
        <v>0</v>
      </c>
      <c r="O36" s="29">
        <f t="shared" si="1"/>
        <v>-80000</v>
      </c>
      <c r="P36" s="63" t="str">
        <f t="shared" ca="1" si="2"/>
        <v>-</v>
      </c>
    </row>
    <row r="37" spans="1:16" ht="16" customHeight="1" x14ac:dyDescent="0.25">
      <c r="A37" s="79">
        <v>43941</v>
      </c>
      <c r="B37" s="4" t="s">
        <v>128</v>
      </c>
      <c r="C37" s="4" t="s">
        <v>172</v>
      </c>
      <c r="D37" s="4" t="s">
        <v>173</v>
      </c>
      <c r="E37" s="29">
        <v>80000</v>
      </c>
      <c r="F37" s="63" t="s">
        <v>108</v>
      </c>
      <c r="G37" s="63" t="s">
        <v>108</v>
      </c>
      <c r="H37" s="63" t="s">
        <v>145</v>
      </c>
      <c r="I37" s="30" t="s">
        <v>275</v>
      </c>
      <c r="J37" s="10">
        <v>43941</v>
      </c>
      <c r="K37" s="63">
        <f t="shared" ca="1" si="0"/>
        <v>0</v>
      </c>
      <c r="L37" s="29" cm="1">
        <f t="array" aca="1" ref="L37" ca="1">O37-IF(ExpTaxCount=2,SUM($M37:$N37),$M37:$M37)</f>
        <v>80000</v>
      </c>
      <c r="M37" s="29">
        <f ca="1">$O37/(1+IF(ISERROR($F37),0,IF(ISNA(MATCH($F37,TaxCode,0)),0,OFFSET(Setup!$D$15,MATCH($F37,TaxCode,0),0,1,1)))+IF(ISERROR($G37),0,IF(ISNA(MATCH($G37,TaxCode,0)),0,OFFSET(Setup!$D$15,MATCH($G37,TaxCode,0),0,1,1))))*IF(ISERROR($F37),0,IF(ISNA(MATCH($F37,TaxCode,0)),0,OFFSET(Setup!$D$15,MATCH($F37,TaxCode,0),0,1,1)))</f>
        <v>0</v>
      </c>
      <c r="N37" s="29">
        <f ca="1">$O37/(1+IF(ISERROR($F37),0,IF(ISNA(MATCH($F37,TaxCode,0)),0,OFFSET(Setup!$D$15,MATCH($F37,TaxCode,0),0,1,1)))+IF(ISERROR($G37),0,IF(ISNA(MATCH($G37,TaxCode,0)),0,OFFSET(Setup!$D$15,MATCH($G37,TaxCode,0),0,1,1))))*IF(ISERROR($G37),0,IF(ISNA(MATCH($G37,TaxCode,0)),0,OFFSET(Setup!$D$15,MATCH($G37,TaxCode,0),0,1,1)))</f>
        <v>0</v>
      </c>
      <c r="O37" s="29">
        <f t="shared" si="1"/>
        <v>80000</v>
      </c>
      <c r="P37" s="63" t="str">
        <f t="shared" ca="1" si="2"/>
        <v>-</v>
      </c>
    </row>
    <row r="38" spans="1:16" ht="16" customHeight="1" x14ac:dyDescent="0.25">
      <c r="A38" s="79">
        <v>43946</v>
      </c>
      <c r="B38" s="4" t="s">
        <v>48</v>
      </c>
      <c r="C38" s="4" t="s">
        <v>121</v>
      </c>
      <c r="D38" s="4" t="s">
        <v>57</v>
      </c>
      <c r="E38" s="29">
        <v>34429.230000000003</v>
      </c>
      <c r="F38" s="63" t="s">
        <v>108</v>
      </c>
      <c r="G38" s="63" t="s">
        <v>108</v>
      </c>
      <c r="H38" s="63" t="s">
        <v>145</v>
      </c>
      <c r="I38" s="30" t="s">
        <v>284</v>
      </c>
      <c r="J38" s="10">
        <v>43946</v>
      </c>
      <c r="K38" s="63">
        <f t="shared" ca="1" si="0"/>
        <v>0</v>
      </c>
      <c r="L38" s="29" cm="1">
        <f t="array" aca="1" ref="L38" ca="1">O38-IF(ExpTaxCount=2,SUM($M38:$N38),$M38:$M38)</f>
        <v>34429.230000000003</v>
      </c>
      <c r="M38" s="29">
        <f ca="1">$O38/(1+IF(ISERROR($F38),0,IF(ISNA(MATCH($F38,TaxCode,0)),0,OFFSET(Setup!$D$15,MATCH($F38,TaxCode,0),0,1,1)))+IF(ISERROR($G38),0,IF(ISNA(MATCH($G38,TaxCode,0)),0,OFFSET(Setup!$D$15,MATCH($G38,TaxCode,0),0,1,1))))*IF(ISERROR($F38),0,IF(ISNA(MATCH($F38,TaxCode,0)),0,OFFSET(Setup!$D$15,MATCH($F38,TaxCode,0),0,1,1)))</f>
        <v>0</v>
      </c>
      <c r="N38" s="29">
        <f ca="1">$O38/(1+IF(ISERROR($F38),0,IF(ISNA(MATCH($F38,TaxCode,0)),0,OFFSET(Setup!$D$15,MATCH($F38,TaxCode,0),0,1,1)))+IF(ISERROR($G38),0,IF(ISNA(MATCH($G38,TaxCode,0)),0,OFFSET(Setup!$D$15,MATCH($G38,TaxCode,0),0,1,1))))*IF(ISERROR($G38),0,IF(ISNA(MATCH($G38,TaxCode,0)),0,OFFSET(Setup!$D$15,MATCH($G38,TaxCode,0),0,1,1)))</f>
        <v>0</v>
      </c>
      <c r="O38" s="29">
        <f t="shared" si="1"/>
        <v>34429.230000000003</v>
      </c>
      <c r="P38" s="63" t="str">
        <f t="shared" ca="1" si="2"/>
        <v>-</v>
      </c>
    </row>
    <row r="39" spans="1:16" ht="16" customHeight="1" x14ac:dyDescent="0.25">
      <c r="A39" s="79">
        <v>43947</v>
      </c>
      <c r="B39" s="4" t="s">
        <v>128</v>
      </c>
      <c r="C39" s="4" t="s">
        <v>115</v>
      </c>
      <c r="D39" s="4" t="s">
        <v>26</v>
      </c>
      <c r="E39" s="29">
        <v>45000</v>
      </c>
      <c r="F39" s="63" t="s">
        <v>108</v>
      </c>
      <c r="G39" s="63" t="s">
        <v>108</v>
      </c>
      <c r="H39" s="63" t="s">
        <v>147</v>
      </c>
      <c r="I39" s="30" t="s">
        <v>366</v>
      </c>
      <c r="J39" s="10">
        <v>43947</v>
      </c>
      <c r="K39" s="63">
        <f t="shared" ca="1" si="0"/>
        <v>0</v>
      </c>
      <c r="L39" s="29" cm="1">
        <f t="array" aca="1" ref="L39" ca="1">O39-IF(ExpTaxCount=2,SUM($M39:$N39),$M39:$M39)</f>
        <v>45000</v>
      </c>
      <c r="M39" s="29">
        <f ca="1">$O39/(1+IF(ISERROR($F39),0,IF(ISNA(MATCH($F39,TaxCode,0)),0,OFFSET(Setup!$D$15,MATCH($F39,TaxCode,0),0,1,1)))+IF(ISERROR($G39),0,IF(ISNA(MATCH($G39,TaxCode,0)),0,OFFSET(Setup!$D$15,MATCH($G39,TaxCode,0),0,1,1))))*IF(ISERROR($F39),0,IF(ISNA(MATCH($F39,TaxCode,0)),0,OFFSET(Setup!$D$15,MATCH($F39,TaxCode,0),0,1,1)))</f>
        <v>0</v>
      </c>
      <c r="N39" s="29">
        <f ca="1">$O39/(1+IF(ISERROR($F39),0,IF(ISNA(MATCH($F39,TaxCode,0)),0,OFFSET(Setup!$D$15,MATCH($F39,TaxCode,0),0,1,1)))+IF(ISERROR($G39),0,IF(ISNA(MATCH($G39,TaxCode,0)),0,OFFSET(Setup!$D$15,MATCH($G39,TaxCode,0),0,1,1))))*IF(ISERROR($G39),0,IF(ISNA(MATCH($G39,TaxCode,0)),0,OFFSET(Setup!$D$15,MATCH($G39,TaxCode,0),0,1,1)))</f>
        <v>0</v>
      </c>
      <c r="O39" s="29">
        <f t="shared" si="1"/>
        <v>45000</v>
      </c>
      <c r="P39" s="63" t="str">
        <f t="shared" ca="1" si="2"/>
        <v>-</v>
      </c>
    </row>
    <row r="40" spans="1:16" ht="16" customHeight="1" x14ac:dyDescent="0.25">
      <c r="A40" s="79">
        <v>43947</v>
      </c>
      <c r="B40" s="4" t="s">
        <v>10</v>
      </c>
      <c r="C40" s="4" t="s">
        <v>112</v>
      </c>
      <c r="D40" s="4" t="s">
        <v>7</v>
      </c>
      <c r="E40" s="29">
        <v>17767.5</v>
      </c>
      <c r="F40" s="63" t="s">
        <v>93</v>
      </c>
      <c r="G40" s="63" t="s">
        <v>108</v>
      </c>
      <c r="H40" s="63" t="s">
        <v>145</v>
      </c>
      <c r="I40" s="30" t="s">
        <v>244</v>
      </c>
      <c r="J40" s="10">
        <v>43977</v>
      </c>
      <c r="K40" s="63">
        <f t="shared" ca="1" si="0"/>
        <v>0</v>
      </c>
      <c r="L40" s="29" cm="1">
        <f t="array" aca="1" ref="L40" ca="1">O40-IF(ExpTaxCount=2,SUM($M40:$N40),$M40:$M40)</f>
        <v>15450</v>
      </c>
      <c r="M40" s="29">
        <f ca="1">$O40/(1+IF(ISERROR($F40),0,IF(ISNA(MATCH($F40,TaxCode,0)),0,OFFSET(Setup!$D$15,MATCH($F40,TaxCode,0),0,1,1)))+IF(ISERROR($G40),0,IF(ISNA(MATCH($G40,TaxCode,0)),0,OFFSET(Setup!$D$15,MATCH($G40,TaxCode,0),0,1,1))))*IF(ISERROR($F40),0,IF(ISNA(MATCH($F40,TaxCode,0)),0,OFFSET(Setup!$D$15,MATCH($F40,TaxCode,0),0,1,1)))</f>
        <v>2317.5</v>
      </c>
      <c r="N40" s="29">
        <f ca="1">$O40/(1+IF(ISERROR($F40),0,IF(ISNA(MATCH($F40,TaxCode,0)),0,OFFSET(Setup!$D$15,MATCH($F40,TaxCode,0),0,1,1)))+IF(ISERROR($G40),0,IF(ISNA(MATCH($G40,TaxCode,0)),0,OFFSET(Setup!$D$15,MATCH($G40,TaxCode,0),0,1,1))))*IF(ISERROR($G40),0,IF(ISNA(MATCH($G40,TaxCode,0)),0,OFFSET(Setup!$D$15,MATCH($G40,TaxCode,0),0,1,1)))</f>
        <v>0</v>
      </c>
      <c r="O40" s="29">
        <f t="shared" si="1"/>
        <v>17767.5</v>
      </c>
      <c r="P40" s="63" t="str">
        <f t="shared" ca="1" si="2"/>
        <v>-</v>
      </c>
    </row>
    <row r="41" spans="1:16" ht="16" customHeight="1" x14ac:dyDescent="0.25">
      <c r="A41" s="79">
        <v>43947</v>
      </c>
      <c r="B41" s="4" t="s">
        <v>54</v>
      </c>
      <c r="C41" s="4" t="s">
        <v>110</v>
      </c>
      <c r="D41" s="4" t="s">
        <v>56</v>
      </c>
      <c r="E41" s="29">
        <v>2604.27</v>
      </c>
      <c r="F41" s="63" t="s">
        <v>108</v>
      </c>
      <c r="G41" s="63" t="s">
        <v>108</v>
      </c>
      <c r="H41" s="63" t="s">
        <v>145</v>
      </c>
      <c r="I41" s="30" t="s">
        <v>403</v>
      </c>
      <c r="J41" s="10">
        <v>43947</v>
      </c>
      <c r="K41" s="63">
        <f t="shared" ca="1" si="0"/>
        <v>0</v>
      </c>
      <c r="L41" s="29" cm="1">
        <f t="array" aca="1" ref="L41" ca="1">O41-IF(ExpTaxCount=2,SUM($M41:$N41),$M41:$M41)</f>
        <v>2604.27</v>
      </c>
      <c r="M41" s="29">
        <f ca="1">$O41/(1+IF(ISERROR($F41),0,IF(ISNA(MATCH($F41,TaxCode,0)),0,OFFSET(Setup!$D$15,MATCH($F41,TaxCode,0),0,1,1)))+IF(ISERROR($G41),0,IF(ISNA(MATCH($G41,TaxCode,0)),0,OFFSET(Setup!$D$15,MATCH($G41,TaxCode,0),0,1,1))))*IF(ISERROR($F41),0,IF(ISNA(MATCH($F41,TaxCode,0)),0,OFFSET(Setup!$D$15,MATCH($F41,TaxCode,0),0,1,1)))</f>
        <v>0</v>
      </c>
      <c r="N41" s="29">
        <f ca="1">$O41/(1+IF(ISERROR($F41),0,IF(ISNA(MATCH($F41,TaxCode,0)),0,OFFSET(Setup!$D$15,MATCH($F41,TaxCode,0),0,1,1)))+IF(ISERROR($G41),0,IF(ISNA(MATCH($G41,TaxCode,0)),0,OFFSET(Setup!$D$15,MATCH($G41,TaxCode,0),0,1,1))))*IF(ISERROR($G41),0,IF(ISNA(MATCH($G41,TaxCode,0)),0,OFFSET(Setup!$D$15,MATCH($G41,TaxCode,0),0,1,1)))</f>
        <v>0</v>
      </c>
      <c r="O41" s="29">
        <f t="shared" si="1"/>
        <v>2604.27</v>
      </c>
      <c r="P41" s="63" t="str">
        <f t="shared" ca="1" si="2"/>
        <v>-</v>
      </c>
    </row>
    <row r="42" spans="1:16" ht="16" customHeight="1" x14ac:dyDescent="0.25">
      <c r="A42" s="79">
        <v>43947</v>
      </c>
      <c r="B42" s="4" t="s">
        <v>54</v>
      </c>
      <c r="C42" s="4" t="s">
        <v>110</v>
      </c>
      <c r="D42" s="4" t="s">
        <v>55</v>
      </c>
      <c r="E42" s="29">
        <v>1645.14</v>
      </c>
      <c r="F42" s="63" t="s">
        <v>108</v>
      </c>
      <c r="G42" s="63" t="s">
        <v>108</v>
      </c>
      <c r="H42" s="63" t="s">
        <v>145</v>
      </c>
      <c r="I42" s="30" t="s">
        <v>309</v>
      </c>
      <c r="J42" s="10">
        <v>43947</v>
      </c>
      <c r="K42" s="63">
        <f t="shared" ca="1" si="0"/>
        <v>0</v>
      </c>
      <c r="L42" s="29" cm="1">
        <f t="array" aca="1" ref="L42" ca="1">O42-IF(ExpTaxCount=2,SUM($M42:$N42),$M42:$M42)</f>
        <v>1645.14</v>
      </c>
      <c r="M42" s="29">
        <f ca="1">$O42/(1+IF(ISERROR($F42),0,IF(ISNA(MATCH($F42,TaxCode,0)),0,OFFSET(Setup!$D$15,MATCH($F42,TaxCode,0),0,1,1)))+IF(ISERROR($G42),0,IF(ISNA(MATCH($G42,TaxCode,0)),0,OFFSET(Setup!$D$15,MATCH($G42,TaxCode,0),0,1,1))))*IF(ISERROR($F42),0,IF(ISNA(MATCH($F42,TaxCode,0)),0,OFFSET(Setup!$D$15,MATCH($F42,TaxCode,0),0,1,1)))</f>
        <v>0</v>
      </c>
      <c r="N42" s="29">
        <f ca="1">$O42/(1+IF(ISERROR($F42),0,IF(ISNA(MATCH($F42,TaxCode,0)),0,OFFSET(Setup!$D$15,MATCH($F42,TaxCode,0),0,1,1)))+IF(ISERROR($G42),0,IF(ISNA(MATCH($G42,TaxCode,0)),0,OFFSET(Setup!$D$15,MATCH($G42,TaxCode,0),0,1,1))))*IF(ISERROR($G42),0,IF(ISNA(MATCH($G42,TaxCode,0)),0,OFFSET(Setup!$D$15,MATCH($G42,TaxCode,0),0,1,1)))</f>
        <v>0</v>
      </c>
      <c r="O42" s="29">
        <f t="shared" si="1"/>
        <v>1645.14</v>
      </c>
      <c r="P42" s="63" t="str">
        <f t="shared" ca="1" si="2"/>
        <v>-</v>
      </c>
    </row>
    <row r="43" spans="1:16" ht="16" customHeight="1" x14ac:dyDescent="0.25">
      <c r="A43" s="79">
        <v>43947</v>
      </c>
      <c r="B43" s="4" t="s">
        <v>25</v>
      </c>
      <c r="C43" s="4" t="s">
        <v>110</v>
      </c>
      <c r="D43" s="4" t="s">
        <v>116</v>
      </c>
      <c r="E43" s="29">
        <v>13800</v>
      </c>
      <c r="F43" s="63" t="s">
        <v>93</v>
      </c>
      <c r="G43" s="63" t="s">
        <v>108</v>
      </c>
      <c r="H43" s="63" t="s">
        <v>145</v>
      </c>
      <c r="I43" s="30" t="s">
        <v>298</v>
      </c>
      <c r="J43" s="10">
        <v>43947</v>
      </c>
      <c r="K43" s="63">
        <f t="shared" ca="1" si="0"/>
        <v>0</v>
      </c>
      <c r="L43" s="29" cm="1">
        <f t="array" aca="1" ref="L43" ca="1">O43-IF(ExpTaxCount=2,SUM($M43:$N43),$M43:$M43)</f>
        <v>12000</v>
      </c>
      <c r="M43" s="29">
        <f ca="1">$O43/(1+IF(ISERROR($F43),0,IF(ISNA(MATCH($F43,TaxCode,0)),0,OFFSET(Setup!$D$15,MATCH($F43,TaxCode,0),0,1,1)))+IF(ISERROR($G43),0,IF(ISNA(MATCH($G43,TaxCode,0)),0,OFFSET(Setup!$D$15,MATCH($G43,TaxCode,0),0,1,1))))*IF(ISERROR($F43),0,IF(ISNA(MATCH($F43,TaxCode,0)),0,OFFSET(Setup!$D$15,MATCH($F43,TaxCode,0),0,1,1)))</f>
        <v>1800.0000000000002</v>
      </c>
      <c r="N43" s="29">
        <f ca="1">$O43/(1+IF(ISERROR($F43),0,IF(ISNA(MATCH($F43,TaxCode,0)),0,OFFSET(Setup!$D$15,MATCH($F43,TaxCode,0),0,1,1)))+IF(ISERROR($G43),0,IF(ISNA(MATCH($G43,TaxCode,0)),0,OFFSET(Setup!$D$15,MATCH($G43,TaxCode,0),0,1,1))))*IF(ISERROR($G43),0,IF(ISNA(MATCH($G43,TaxCode,0)),0,OFFSET(Setup!$D$15,MATCH($G43,TaxCode,0),0,1,1)))</f>
        <v>0</v>
      </c>
      <c r="O43" s="29">
        <f t="shared" si="1"/>
        <v>13800</v>
      </c>
      <c r="P43" s="63" t="str">
        <f t="shared" ca="1" si="2"/>
        <v>-</v>
      </c>
    </row>
    <row r="44" spans="1:16" ht="16" customHeight="1" x14ac:dyDescent="0.25">
      <c r="A44" s="79">
        <v>43947</v>
      </c>
      <c r="B44" s="4" t="s">
        <v>128</v>
      </c>
      <c r="C44" s="4" t="s">
        <v>115</v>
      </c>
      <c r="D44" s="4" t="s">
        <v>509</v>
      </c>
      <c r="E44" s="29">
        <v>35000</v>
      </c>
      <c r="F44" s="63" t="s">
        <v>108</v>
      </c>
      <c r="G44" s="63" t="s">
        <v>108</v>
      </c>
      <c r="H44" s="63" t="s">
        <v>147</v>
      </c>
      <c r="I44" s="30" t="s">
        <v>364</v>
      </c>
      <c r="J44" s="10">
        <v>43947</v>
      </c>
      <c r="K44" s="63">
        <f t="shared" ca="1" si="0"/>
        <v>0</v>
      </c>
      <c r="L44" s="29" cm="1">
        <f t="array" aca="1" ref="L44" ca="1">O44-IF(ExpTaxCount=2,SUM($M44:$N44),$M44:$M44)</f>
        <v>35000</v>
      </c>
      <c r="M44" s="29">
        <f ca="1">$O44/(1+IF(ISERROR($F44),0,IF(ISNA(MATCH($F44,TaxCode,0)),0,OFFSET(Setup!$D$15,MATCH($F44,TaxCode,0),0,1,1)))+IF(ISERROR($G44),0,IF(ISNA(MATCH($G44,TaxCode,0)),0,OFFSET(Setup!$D$15,MATCH($G44,TaxCode,0),0,1,1))))*IF(ISERROR($F44),0,IF(ISNA(MATCH($F44,TaxCode,0)),0,OFFSET(Setup!$D$15,MATCH($F44,TaxCode,0),0,1,1)))</f>
        <v>0</v>
      </c>
      <c r="N44" s="29">
        <f ca="1">$O44/(1+IF(ISERROR($F44),0,IF(ISNA(MATCH($F44,TaxCode,0)),0,OFFSET(Setup!$D$15,MATCH($F44,TaxCode,0),0,1,1)))+IF(ISERROR($G44),0,IF(ISNA(MATCH($G44,TaxCode,0)),0,OFFSET(Setup!$D$15,MATCH($G44,TaxCode,0),0,1,1))))*IF(ISERROR($G44),0,IF(ISNA(MATCH($G44,TaxCode,0)),0,OFFSET(Setup!$D$15,MATCH($G44,TaxCode,0),0,1,1)))</f>
        <v>0</v>
      </c>
      <c r="O44" s="29">
        <f t="shared" si="1"/>
        <v>35000</v>
      </c>
      <c r="P44" s="63" t="str">
        <f t="shared" ca="1" si="2"/>
        <v>-</v>
      </c>
    </row>
    <row r="45" spans="1:16" ht="16" customHeight="1" x14ac:dyDescent="0.25">
      <c r="A45" s="79">
        <v>43947</v>
      </c>
      <c r="B45" s="4" t="s">
        <v>128</v>
      </c>
      <c r="C45" s="4" t="s">
        <v>115</v>
      </c>
      <c r="D45" s="4" t="s">
        <v>510</v>
      </c>
      <c r="E45" s="29">
        <v>7200</v>
      </c>
      <c r="F45" s="63" t="s">
        <v>108</v>
      </c>
      <c r="G45" s="63" t="s">
        <v>108</v>
      </c>
      <c r="H45" s="63" t="s">
        <v>147</v>
      </c>
      <c r="I45" s="30" t="s">
        <v>364</v>
      </c>
      <c r="J45" s="10">
        <v>43957</v>
      </c>
      <c r="K45" s="63">
        <f t="shared" ca="1" si="0"/>
        <v>0</v>
      </c>
      <c r="L45" s="29" cm="1">
        <f t="array" aca="1" ref="L45" ca="1">O45-IF(ExpTaxCount=2,SUM($M45:$N45),$M45:$M45)</f>
        <v>7200</v>
      </c>
      <c r="M45" s="29">
        <f ca="1">$O45/(1+IF(ISERROR($F45),0,IF(ISNA(MATCH($F45,TaxCode,0)),0,OFFSET(Setup!$D$15,MATCH($F45,TaxCode,0),0,1,1)))+IF(ISERROR($G45),0,IF(ISNA(MATCH($G45,TaxCode,0)),0,OFFSET(Setup!$D$15,MATCH($G45,TaxCode,0),0,1,1))))*IF(ISERROR($F45),0,IF(ISNA(MATCH($F45,TaxCode,0)),0,OFFSET(Setup!$D$15,MATCH($F45,TaxCode,0),0,1,1)))</f>
        <v>0</v>
      </c>
      <c r="N45" s="29">
        <f ca="1">$O45/(1+IF(ISERROR($F45),0,IF(ISNA(MATCH($F45,TaxCode,0)),0,OFFSET(Setup!$D$15,MATCH($F45,TaxCode,0),0,1,1)))+IF(ISERROR($G45),0,IF(ISNA(MATCH($G45,TaxCode,0)),0,OFFSET(Setup!$D$15,MATCH($G45,TaxCode,0),0,1,1))))*IF(ISERROR($G45),0,IF(ISNA(MATCH($G45,TaxCode,0)),0,OFFSET(Setup!$D$15,MATCH($G45,TaxCode,0),0,1,1)))</f>
        <v>0</v>
      </c>
      <c r="O45" s="29">
        <f t="shared" si="1"/>
        <v>7200</v>
      </c>
      <c r="P45" s="63" t="str">
        <f t="shared" ca="1" si="2"/>
        <v>-</v>
      </c>
    </row>
    <row r="46" spans="1:16" ht="16" customHeight="1" x14ac:dyDescent="0.25">
      <c r="A46" s="79">
        <v>43947</v>
      </c>
      <c r="B46" s="4" t="s">
        <v>128</v>
      </c>
      <c r="C46" s="4" t="s">
        <v>115</v>
      </c>
      <c r="D46" s="4" t="s">
        <v>511</v>
      </c>
      <c r="E46" s="29">
        <v>9320</v>
      </c>
      <c r="F46" s="63" t="s">
        <v>108</v>
      </c>
      <c r="G46" s="63" t="s">
        <v>108</v>
      </c>
      <c r="H46" s="63" t="s">
        <v>147</v>
      </c>
      <c r="I46" s="30" t="s">
        <v>366</v>
      </c>
      <c r="J46" s="10">
        <v>43957</v>
      </c>
      <c r="K46" s="63">
        <f t="shared" ca="1" si="0"/>
        <v>0</v>
      </c>
      <c r="L46" s="29" cm="1">
        <f t="array" aca="1" ref="L46" ca="1">O46-IF(ExpTaxCount=2,SUM($M46:$N46),$M46:$M46)</f>
        <v>9320</v>
      </c>
      <c r="M46" s="29">
        <f ca="1">$O46/(1+IF(ISERROR($F46),0,IF(ISNA(MATCH($F46,TaxCode,0)),0,OFFSET(Setup!$D$15,MATCH($F46,TaxCode,0),0,1,1)))+IF(ISERROR($G46),0,IF(ISNA(MATCH($G46,TaxCode,0)),0,OFFSET(Setup!$D$15,MATCH($G46,TaxCode,0),0,1,1))))*IF(ISERROR($F46),0,IF(ISNA(MATCH($F46,TaxCode,0)),0,OFFSET(Setup!$D$15,MATCH($F46,TaxCode,0),0,1,1)))</f>
        <v>0</v>
      </c>
      <c r="N46" s="29">
        <f ca="1">$O46/(1+IF(ISERROR($F46),0,IF(ISNA(MATCH($F46,TaxCode,0)),0,OFFSET(Setup!$D$15,MATCH($F46,TaxCode,0),0,1,1)))+IF(ISERROR($G46),0,IF(ISNA(MATCH($G46,TaxCode,0)),0,OFFSET(Setup!$D$15,MATCH($G46,TaxCode,0),0,1,1))))*IF(ISERROR($G46),0,IF(ISNA(MATCH($G46,TaxCode,0)),0,OFFSET(Setup!$D$15,MATCH($G46,TaxCode,0),0,1,1)))</f>
        <v>0</v>
      </c>
      <c r="O46" s="29">
        <f t="shared" si="1"/>
        <v>9320</v>
      </c>
      <c r="P46" s="63" t="str">
        <f t="shared" ca="1" si="2"/>
        <v>-</v>
      </c>
    </row>
    <row r="47" spans="1:16" ht="16" customHeight="1" x14ac:dyDescent="0.25">
      <c r="A47" s="79">
        <v>43950</v>
      </c>
      <c r="B47" s="4" t="s">
        <v>24</v>
      </c>
      <c r="C47" s="4" t="s">
        <v>20</v>
      </c>
      <c r="D47" s="4" t="s">
        <v>119</v>
      </c>
      <c r="E47" s="29">
        <v>2500</v>
      </c>
      <c r="F47" s="63" t="s">
        <v>93</v>
      </c>
      <c r="G47" s="63" t="s">
        <v>108</v>
      </c>
      <c r="H47" s="63" t="s">
        <v>151</v>
      </c>
      <c r="I47" s="30" t="s">
        <v>293</v>
      </c>
      <c r="J47" s="10">
        <v>43950</v>
      </c>
      <c r="K47" s="63">
        <f t="shared" ca="1" si="0"/>
        <v>0</v>
      </c>
      <c r="L47" s="29" cm="1">
        <f t="array" aca="1" ref="L47" ca="1">O47-IF(ExpTaxCount=2,SUM($M47:$N47),$M47:$M47)</f>
        <v>2173.913043478261</v>
      </c>
      <c r="M47" s="29">
        <f ca="1">$O47/(1+IF(ISERROR($F47),0,IF(ISNA(MATCH($F47,TaxCode,0)),0,OFFSET(Setup!$D$15,MATCH($F47,TaxCode,0),0,1,1)))+IF(ISERROR($G47),0,IF(ISNA(MATCH($G47,TaxCode,0)),0,OFFSET(Setup!$D$15,MATCH($G47,TaxCode,0),0,1,1))))*IF(ISERROR($F47),0,IF(ISNA(MATCH($F47,TaxCode,0)),0,OFFSET(Setup!$D$15,MATCH($F47,TaxCode,0),0,1,1)))</f>
        <v>326.08695652173913</v>
      </c>
      <c r="N47" s="29">
        <f ca="1">$O47/(1+IF(ISERROR($F47),0,IF(ISNA(MATCH($F47,TaxCode,0)),0,OFFSET(Setup!$D$15,MATCH($F47,TaxCode,0),0,1,1)))+IF(ISERROR($G47),0,IF(ISNA(MATCH($G47,TaxCode,0)),0,OFFSET(Setup!$D$15,MATCH($G47,TaxCode,0),0,1,1))))*IF(ISERROR($G47),0,IF(ISNA(MATCH($G47,TaxCode,0)),0,OFFSET(Setup!$D$15,MATCH($G47,TaxCode,0),0,1,1)))</f>
        <v>0</v>
      </c>
      <c r="O47" s="29">
        <f t="shared" si="1"/>
        <v>2500</v>
      </c>
      <c r="P47" s="63" t="str">
        <f t="shared" ca="1" si="2"/>
        <v>-</v>
      </c>
    </row>
    <row r="48" spans="1:16" ht="16" customHeight="1" x14ac:dyDescent="0.25">
      <c r="A48" s="79">
        <v>43951</v>
      </c>
      <c r="B48" s="4" t="s">
        <v>128</v>
      </c>
      <c r="C48" s="4" t="s">
        <v>109</v>
      </c>
      <c r="D48" s="4" t="s">
        <v>174</v>
      </c>
      <c r="E48" s="29">
        <v>2587</v>
      </c>
      <c r="F48" s="63" t="s">
        <v>108</v>
      </c>
      <c r="G48" s="63" t="s">
        <v>108</v>
      </c>
      <c r="H48" s="63" t="s">
        <v>145</v>
      </c>
      <c r="I48" s="30" t="s">
        <v>275</v>
      </c>
      <c r="J48" s="10">
        <v>43951</v>
      </c>
      <c r="K48" s="63">
        <f t="shared" ca="1" si="0"/>
        <v>0</v>
      </c>
      <c r="L48" s="29" cm="1">
        <f t="array" aca="1" ref="L48" ca="1">O48-IF(ExpTaxCount=2,SUM($M48:$N48),$M48:$M48)</f>
        <v>2587</v>
      </c>
      <c r="M48" s="29">
        <f ca="1">$O48/(1+IF(ISERROR($F48),0,IF(ISNA(MATCH($F48,TaxCode,0)),0,OFFSET(Setup!$D$15,MATCH($F48,TaxCode,0),0,1,1)))+IF(ISERROR($G48),0,IF(ISNA(MATCH($G48,TaxCode,0)),0,OFFSET(Setup!$D$15,MATCH($G48,TaxCode,0),0,1,1))))*IF(ISERROR($F48),0,IF(ISNA(MATCH($F48,TaxCode,0)),0,OFFSET(Setup!$D$15,MATCH($F48,TaxCode,0),0,1,1)))</f>
        <v>0</v>
      </c>
      <c r="N48" s="29">
        <f ca="1">$O48/(1+IF(ISERROR($F48),0,IF(ISNA(MATCH($F48,TaxCode,0)),0,OFFSET(Setup!$D$15,MATCH($F48,TaxCode,0),0,1,1)))+IF(ISERROR($G48),0,IF(ISNA(MATCH($G48,TaxCode,0)),0,OFFSET(Setup!$D$15,MATCH($G48,TaxCode,0),0,1,1))))*IF(ISERROR($G48),0,IF(ISNA(MATCH($G48,TaxCode,0)),0,OFFSET(Setup!$D$15,MATCH($G48,TaxCode,0),0,1,1)))</f>
        <v>0</v>
      </c>
      <c r="O48" s="29">
        <f t="shared" si="1"/>
        <v>2587</v>
      </c>
      <c r="P48" s="63" t="str">
        <f t="shared" ca="1" si="2"/>
        <v>-</v>
      </c>
    </row>
    <row r="49" spans="1:16" ht="16" customHeight="1" x14ac:dyDescent="0.25">
      <c r="A49" s="79">
        <v>43951</v>
      </c>
      <c r="B49" s="4" t="s">
        <v>128</v>
      </c>
      <c r="C49" s="4" t="s">
        <v>109</v>
      </c>
      <c r="D49" s="4" t="s">
        <v>174</v>
      </c>
      <c r="E49" s="29">
        <v>-2587</v>
      </c>
      <c r="F49" s="63" t="s">
        <v>108</v>
      </c>
      <c r="G49" s="63" t="s">
        <v>108</v>
      </c>
      <c r="H49" s="63" t="s">
        <v>151</v>
      </c>
      <c r="I49" s="30" t="s">
        <v>275</v>
      </c>
      <c r="J49" s="10">
        <v>43951</v>
      </c>
      <c r="K49" s="63">
        <f t="shared" ca="1" si="0"/>
        <v>0</v>
      </c>
      <c r="L49" s="29" cm="1">
        <f t="array" aca="1" ref="L49" ca="1">O49-IF(ExpTaxCount=2,SUM($M49:$N49),$M49:$M49)</f>
        <v>-2587</v>
      </c>
      <c r="M49" s="29">
        <f ca="1">$O49/(1+IF(ISERROR($F49),0,IF(ISNA(MATCH($F49,TaxCode,0)),0,OFFSET(Setup!$D$15,MATCH($F49,TaxCode,0),0,1,1)))+IF(ISERROR($G49),0,IF(ISNA(MATCH($G49,TaxCode,0)),0,OFFSET(Setup!$D$15,MATCH($G49,TaxCode,0),0,1,1))))*IF(ISERROR($F49),0,IF(ISNA(MATCH($F49,TaxCode,0)),0,OFFSET(Setup!$D$15,MATCH($F49,TaxCode,0),0,1,1)))</f>
        <v>0</v>
      </c>
      <c r="N49" s="29">
        <f ca="1">$O49/(1+IF(ISERROR($F49),0,IF(ISNA(MATCH($F49,TaxCode,0)),0,OFFSET(Setup!$D$15,MATCH($F49,TaxCode,0),0,1,1)))+IF(ISERROR($G49),0,IF(ISNA(MATCH($G49,TaxCode,0)),0,OFFSET(Setup!$D$15,MATCH($G49,TaxCode,0),0,1,1))))*IF(ISERROR($G49),0,IF(ISNA(MATCH($G49,TaxCode,0)),0,OFFSET(Setup!$D$15,MATCH($G49,TaxCode,0),0,1,1)))</f>
        <v>0</v>
      </c>
      <c r="O49" s="29">
        <f t="shared" si="1"/>
        <v>-2587</v>
      </c>
      <c r="P49" s="63" t="str">
        <f t="shared" ca="1" si="2"/>
        <v>-</v>
      </c>
    </row>
    <row r="50" spans="1:16" ht="16" customHeight="1" x14ac:dyDescent="0.25">
      <c r="A50" s="79">
        <v>43951</v>
      </c>
      <c r="B50" s="4" t="s">
        <v>505</v>
      </c>
      <c r="C50" s="4" t="s">
        <v>507</v>
      </c>
      <c r="D50" s="4" t="s">
        <v>506</v>
      </c>
      <c r="E50" s="29">
        <v>9800</v>
      </c>
      <c r="F50" s="63" t="s">
        <v>108</v>
      </c>
      <c r="G50" s="63" t="s">
        <v>108</v>
      </c>
      <c r="H50" s="63" t="s">
        <v>149</v>
      </c>
      <c r="I50" s="30" t="s">
        <v>290</v>
      </c>
      <c r="J50" s="10">
        <v>43958</v>
      </c>
      <c r="K50" s="63">
        <f t="shared" ca="1" si="0"/>
        <v>0</v>
      </c>
      <c r="L50" s="29" cm="1">
        <f t="array" aca="1" ref="L50" ca="1">O50-IF(ExpTaxCount=2,SUM($M50:$N50),$M50:$M50)</f>
        <v>9800</v>
      </c>
      <c r="M50" s="29">
        <f ca="1">$O50/(1+IF(ISERROR($F50),0,IF(ISNA(MATCH($F50,TaxCode,0)),0,OFFSET(Setup!$D$15,MATCH($F50,TaxCode,0),0,1,1)))+IF(ISERROR($G50),0,IF(ISNA(MATCH($G50,TaxCode,0)),0,OFFSET(Setup!$D$15,MATCH($G50,TaxCode,0),0,1,1))))*IF(ISERROR($F50),0,IF(ISNA(MATCH($F50,TaxCode,0)),0,OFFSET(Setup!$D$15,MATCH($F50,TaxCode,0),0,1,1)))</f>
        <v>0</v>
      </c>
      <c r="N50" s="29">
        <f ca="1">$O50/(1+IF(ISERROR($F50),0,IF(ISNA(MATCH($F50,TaxCode,0)),0,OFFSET(Setup!$D$15,MATCH($F50,TaxCode,0),0,1,1)))+IF(ISERROR($G50),0,IF(ISNA(MATCH($G50,TaxCode,0)),0,OFFSET(Setup!$D$15,MATCH($G50,TaxCode,0),0,1,1))))*IF(ISERROR($G50),0,IF(ISNA(MATCH($G50,TaxCode,0)),0,OFFSET(Setup!$D$15,MATCH($G50,TaxCode,0),0,1,1)))</f>
        <v>0</v>
      </c>
      <c r="O50" s="29">
        <f t="shared" si="1"/>
        <v>9800</v>
      </c>
      <c r="P50" s="63" t="str">
        <f t="shared" ca="1" si="2"/>
        <v>-</v>
      </c>
    </row>
    <row r="51" spans="1:16" ht="16" customHeight="1" x14ac:dyDescent="0.25">
      <c r="A51" s="79">
        <v>43951</v>
      </c>
      <c r="B51" s="4" t="s">
        <v>394</v>
      </c>
      <c r="C51" s="4" t="s">
        <v>395</v>
      </c>
      <c r="D51" s="4" t="s">
        <v>529</v>
      </c>
      <c r="E51" s="29">
        <v>15000</v>
      </c>
      <c r="F51" s="63" t="s">
        <v>108</v>
      </c>
      <c r="G51" s="63" t="s">
        <v>108</v>
      </c>
      <c r="H51" s="63" t="s">
        <v>217</v>
      </c>
      <c r="I51" s="30" t="s">
        <v>290</v>
      </c>
      <c r="J51" s="10">
        <v>43951</v>
      </c>
      <c r="K51" s="63">
        <f t="shared" ca="1" si="0"/>
        <v>0</v>
      </c>
      <c r="L51" s="29" cm="1">
        <f t="array" aca="1" ref="L51" ca="1">O51-IF(ExpTaxCount=2,SUM($M51:$N51),$M51:$M51)</f>
        <v>15000</v>
      </c>
      <c r="M51" s="29">
        <f ca="1">$O51/(1+IF(ISERROR($F51),0,IF(ISNA(MATCH($F51,TaxCode,0)),0,OFFSET(Setup!$D$15,MATCH($F51,TaxCode,0),0,1,1)))+IF(ISERROR($G51),0,IF(ISNA(MATCH($G51,TaxCode,0)),0,OFFSET(Setup!$D$15,MATCH($G51,TaxCode,0),0,1,1))))*IF(ISERROR($F51),0,IF(ISNA(MATCH($F51,TaxCode,0)),0,OFFSET(Setup!$D$15,MATCH($F51,TaxCode,0),0,1,1)))</f>
        <v>0</v>
      </c>
      <c r="N51" s="29">
        <f ca="1">$O51/(1+IF(ISERROR($F51),0,IF(ISNA(MATCH($F51,TaxCode,0)),0,OFFSET(Setup!$D$15,MATCH($F51,TaxCode,0),0,1,1)))+IF(ISERROR($G51),0,IF(ISNA(MATCH($G51,TaxCode,0)),0,OFFSET(Setup!$D$15,MATCH($G51,TaxCode,0),0,1,1))))*IF(ISERROR($G51),0,IF(ISNA(MATCH($G51,TaxCode,0)),0,OFFSET(Setup!$D$15,MATCH($G51,TaxCode,0),0,1,1)))</f>
        <v>0</v>
      </c>
      <c r="O51" s="29">
        <f t="shared" si="1"/>
        <v>15000</v>
      </c>
      <c r="P51" s="63" t="str">
        <f t="shared" ca="1" si="2"/>
        <v>-</v>
      </c>
    </row>
    <row r="52" spans="1:16" ht="16" customHeight="1" x14ac:dyDescent="0.25">
      <c r="A52" s="79">
        <v>43951</v>
      </c>
      <c r="B52" s="4" t="s">
        <v>394</v>
      </c>
      <c r="C52" s="4" t="s">
        <v>395</v>
      </c>
      <c r="D52" s="4" t="s">
        <v>529</v>
      </c>
      <c r="E52" s="29">
        <v>-15000</v>
      </c>
      <c r="F52" s="63" t="s">
        <v>108</v>
      </c>
      <c r="G52" s="63" t="s">
        <v>108</v>
      </c>
      <c r="H52" s="63" t="s">
        <v>217</v>
      </c>
      <c r="I52" s="30" t="s">
        <v>270</v>
      </c>
      <c r="J52" s="10">
        <v>43951</v>
      </c>
      <c r="K52" s="63">
        <f t="shared" ca="1" si="0"/>
        <v>0</v>
      </c>
      <c r="L52" s="29" cm="1">
        <f t="array" aca="1" ref="L52" ca="1">O52-IF(ExpTaxCount=2,SUM($M52:$N52),$M52:$M52)</f>
        <v>-15000</v>
      </c>
      <c r="M52" s="29">
        <f ca="1">$O52/(1+IF(ISERROR($F52),0,IF(ISNA(MATCH($F52,TaxCode,0)),0,OFFSET(Setup!$D$15,MATCH($F52,TaxCode,0),0,1,1)))+IF(ISERROR($G52),0,IF(ISNA(MATCH($G52,TaxCode,0)),0,OFFSET(Setup!$D$15,MATCH($G52,TaxCode,0),0,1,1))))*IF(ISERROR($F52),0,IF(ISNA(MATCH($F52,TaxCode,0)),0,OFFSET(Setup!$D$15,MATCH($F52,TaxCode,0),0,1,1)))</f>
        <v>0</v>
      </c>
      <c r="N52" s="29">
        <f ca="1">$O52/(1+IF(ISERROR($F52),0,IF(ISNA(MATCH($F52,TaxCode,0)),0,OFFSET(Setup!$D$15,MATCH($F52,TaxCode,0),0,1,1)))+IF(ISERROR($G52),0,IF(ISNA(MATCH($G52,TaxCode,0)),0,OFFSET(Setup!$D$15,MATCH($G52,TaxCode,0),0,1,1))))*IF(ISERROR($G52),0,IF(ISNA(MATCH($G52,TaxCode,0)),0,OFFSET(Setup!$D$15,MATCH($G52,TaxCode,0),0,1,1)))</f>
        <v>0</v>
      </c>
      <c r="O52" s="29">
        <f t="shared" si="1"/>
        <v>-15000</v>
      </c>
      <c r="P52" s="63" t="str">
        <f t="shared" ca="1" si="2"/>
        <v>-</v>
      </c>
    </row>
    <row r="53" spans="1:16" ht="16" customHeight="1" x14ac:dyDescent="0.25">
      <c r="A53" s="79">
        <v>43952</v>
      </c>
      <c r="B53" s="4" t="s">
        <v>5</v>
      </c>
      <c r="C53" s="4" t="s">
        <v>31</v>
      </c>
      <c r="D53" s="4" t="s">
        <v>114</v>
      </c>
      <c r="E53" s="29">
        <v>850</v>
      </c>
      <c r="F53" s="63" t="s">
        <v>93</v>
      </c>
      <c r="G53" s="63" t="s">
        <v>108</v>
      </c>
      <c r="H53" s="63" t="s">
        <v>145</v>
      </c>
      <c r="I53" s="30" t="s">
        <v>303</v>
      </c>
      <c r="J53" s="10">
        <v>43982</v>
      </c>
      <c r="K53" s="63">
        <f t="shared" ca="1" si="0"/>
        <v>0</v>
      </c>
      <c r="L53" s="29" cm="1">
        <f t="array" aca="1" ref="L53" ca="1">O53-IF(ExpTaxCount=2,SUM($M53:$N53),$M53:$M53)</f>
        <v>739.13043478260875</v>
      </c>
      <c r="M53" s="29">
        <f ca="1">$O53/(1+IF(ISERROR($F53),0,IF(ISNA(MATCH($F53,TaxCode,0)),0,OFFSET(Setup!$D$15,MATCH($F53,TaxCode,0),0,1,1)))+IF(ISERROR($G53),0,IF(ISNA(MATCH($G53,TaxCode,0)),0,OFFSET(Setup!$D$15,MATCH($G53,TaxCode,0),0,1,1))))*IF(ISERROR($F53),0,IF(ISNA(MATCH($F53,TaxCode,0)),0,OFFSET(Setup!$D$15,MATCH($F53,TaxCode,0),0,1,1)))</f>
        <v>110.86956521739131</v>
      </c>
      <c r="N53" s="29">
        <f ca="1">$O53/(1+IF(ISERROR($F53),0,IF(ISNA(MATCH($F53,TaxCode,0)),0,OFFSET(Setup!$D$15,MATCH($F53,TaxCode,0),0,1,1)))+IF(ISERROR($G53),0,IF(ISNA(MATCH($G53,TaxCode,0)),0,OFFSET(Setup!$D$15,MATCH($G53,TaxCode,0),0,1,1))))*IF(ISERROR($G53),0,IF(ISNA(MATCH($G53,TaxCode,0)),0,OFFSET(Setup!$D$15,MATCH($G53,TaxCode,0),0,1,1)))</f>
        <v>0</v>
      </c>
      <c r="O53" s="29">
        <f t="shared" si="1"/>
        <v>850</v>
      </c>
      <c r="P53" s="63" t="str">
        <f t="shared" ca="1" si="2"/>
        <v>-</v>
      </c>
    </row>
    <row r="54" spans="1:16" ht="16" customHeight="1" x14ac:dyDescent="0.25">
      <c r="A54" s="79">
        <v>43952</v>
      </c>
      <c r="B54" s="4" t="s">
        <v>41</v>
      </c>
      <c r="C54" s="4" t="s">
        <v>112</v>
      </c>
      <c r="D54" s="4" t="s">
        <v>117</v>
      </c>
      <c r="E54" s="29">
        <v>1250</v>
      </c>
      <c r="F54" s="63" t="s">
        <v>93</v>
      </c>
      <c r="G54" s="63" t="s">
        <v>108</v>
      </c>
      <c r="H54" s="63" t="s">
        <v>145</v>
      </c>
      <c r="I54" s="30" t="s">
        <v>304</v>
      </c>
      <c r="J54" s="10">
        <v>43982</v>
      </c>
      <c r="K54" s="63">
        <f t="shared" ca="1" si="0"/>
        <v>0</v>
      </c>
      <c r="L54" s="29" cm="1">
        <f t="array" aca="1" ref="L54" ca="1">O54-IF(ExpTaxCount=2,SUM($M54:$N54),$M54:$M54)</f>
        <v>1086.9565217391305</v>
      </c>
      <c r="M54" s="29">
        <f ca="1">$O54/(1+IF(ISERROR($F54),0,IF(ISNA(MATCH($F54,TaxCode,0)),0,OFFSET(Setup!$D$15,MATCH($F54,TaxCode,0),0,1,1)))+IF(ISERROR($G54),0,IF(ISNA(MATCH($G54,TaxCode,0)),0,OFFSET(Setup!$D$15,MATCH($G54,TaxCode,0),0,1,1))))*IF(ISERROR($F54),0,IF(ISNA(MATCH($F54,TaxCode,0)),0,OFFSET(Setup!$D$15,MATCH($F54,TaxCode,0),0,1,1)))</f>
        <v>163.04347826086956</v>
      </c>
      <c r="N54" s="29">
        <f ca="1">$O54/(1+IF(ISERROR($F54),0,IF(ISNA(MATCH($F54,TaxCode,0)),0,OFFSET(Setup!$D$15,MATCH($F54,TaxCode,0),0,1,1)))+IF(ISERROR($G54),0,IF(ISNA(MATCH($G54,TaxCode,0)),0,OFFSET(Setup!$D$15,MATCH($G54,TaxCode,0),0,1,1))))*IF(ISERROR($G54),0,IF(ISNA(MATCH($G54,TaxCode,0)),0,OFFSET(Setup!$D$15,MATCH($G54,TaxCode,0),0,1,1)))</f>
        <v>0</v>
      </c>
      <c r="O54" s="29">
        <f t="shared" si="1"/>
        <v>1250</v>
      </c>
      <c r="P54" s="63" t="str">
        <f t="shared" ca="1" si="2"/>
        <v>-</v>
      </c>
    </row>
    <row r="55" spans="1:16" ht="16" customHeight="1" x14ac:dyDescent="0.25">
      <c r="A55" s="79">
        <v>43956</v>
      </c>
      <c r="B55" s="4" t="s">
        <v>167</v>
      </c>
      <c r="C55" s="4" t="s">
        <v>110</v>
      </c>
      <c r="D55" s="4" t="s">
        <v>71</v>
      </c>
      <c r="E55" s="29">
        <v>368</v>
      </c>
      <c r="F55" s="63" t="s">
        <v>93</v>
      </c>
      <c r="G55" s="63" t="s">
        <v>108</v>
      </c>
      <c r="H55" s="63" t="s">
        <v>145</v>
      </c>
      <c r="I55" s="30" t="s">
        <v>296</v>
      </c>
      <c r="J55" s="10">
        <v>43956</v>
      </c>
      <c r="K55" s="63">
        <f t="shared" ca="1" si="0"/>
        <v>0</v>
      </c>
      <c r="L55" s="29" cm="1">
        <f t="array" aca="1" ref="L55" ca="1">O55-IF(ExpTaxCount=2,SUM($M55:$N55),$M55:$M55)</f>
        <v>320</v>
      </c>
      <c r="M55" s="29">
        <f ca="1">$O55/(1+IF(ISERROR($F55),0,IF(ISNA(MATCH($F55,TaxCode,0)),0,OFFSET(Setup!$D$15,MATCH($F55,TaxCode,0),0,1,1)))+IF(ISERROR($G55),0,IF(ISNA(MATCH($G55,TaxCode,0)),0,OFFSET(Setup!$D$15,MATCH($G55,TaxCode,0),0,1,1))))*IF(ISERROR($F55),0,IF(ISNA(MATCH($F55,TaxCode,0)),0,OFFSET(Setup!$D$15,MATCH($F55,TaxCode,0),0,1,1)))</f>
        <v>48</v>
      </c>
      <c r="N55" s="29">
        <f ca="1">$O55/(1+IF(ISERROR($F55),0,IF(ISNA(MATCH($F55,TaxCode,0)),0,OFFSET(Setup!$D$15,MATCH($F55,TaxCode,0),0,1,1)))+IF(ISERROR($G55),0,IF(ISNA(MATCH($G55,TaxCode,0)),0,OFFSET(Setup!$D$15,MATCH($G55,TaxCode,0),0,1,1))))*IF(ISERROR($G55),0,IF(ISNA(MATCH($G55,TaxCode,0)),0,OFFSET(Setup!$D$15,MATCH($G55,TaxCode,0),0,1,1)))</f>
        <v>0</v>
      </c>
      <c r="O55" s="29">
        <f t="shared" si="1"/>
        <v>368</v>
      </c>
      <c r="P55" s="63" t="str">
        <f t="shared" ca="1" si="2"/>
        <v>-</v>
      </c>
    </row>
    <row r="56" spans="1:16" ht="16" customHeight="1" x14ac:dyDescent="0.25">
      <c r="A56" s="79">
        <v>43956</v>
      </c>
      <c r="B56" s="4" t="s">
        <v>128</v>
      </c>
      <c r="C56" s="4" t="s">
        <v>172</v>
      </c>
      <c r="D56" s="4" t="s">
        <v>173</v>
      </c>
      <c r="E56" s="29">
        <v>-15000</v>
      </c>
      <c r="F56" s="63" t="s">
        <v>108</v>
      </c>
      <c r="G56" s="63" t="s">
        <v>108</v>
      </c>
      <c r="H56" s="63" t="s">
        <v>149</v>
      </c>
      <c r="I56" s="30" t="s">
        <v>275</v>
      </c>
      <c r="J56" s="10">
        <v>43956</v>
      </c>
      <c r="K56" s="63">
        <f t="shared" ca="1" si="0"/>
        <v>0</v>
      </c>
      <c r="L56" s="29" cm="1">
        <f t="array" aca="1" ref="L56" ca="1">O56-IF(ExpTaxCount=2,SUM($M56:$N56),$M56:$M56)</f>
        <v>-15000</v>
      </c>
      <c r="M56" s="29">
        <f ca="1">$O56/(1+IF(ISERROR($F56),0,IF(ISNA(MATCH($F56,TaxCode,0)),0,OFFSET(Setup!$D$15,MATCH($F56,TaxCode,0),0,1,1)))+IF(ISERROR($G56),0,IF(ISNA(MATCH($G56,TaxCode,0)),0,OFFSET(Setup!$D$15,MATCH($G56,TaxCode,0),0,1,1))))*IF(ISERROR($F56),0,IF(ISNA(MATCH($F56,TaxCode,0)),0,OFFSET(Setup!$D$15,MATCH($F56,TaxCode,0),0,1,1)))</f>
        <v>0</v>
      </c>
      <c r="N56" s="29">
        <f ca="1">$O56/(1+IF(ISERROR($F56),0,IF(ISNA(MATCH($F56,TaxCode,0)),0,OFFSET(Setup!$D$15,MATCH($F56,TaxCode,0),0,1,1)))+IF(ISERROR($G56),0,IF(ISNA(MATCH($G56,TaxCode,0)),0,OFFSET(Setup!$D$15,MATCH($G56,TaxCode,0),0,1,1))))*IF(ISERROR($G56),0,IF(ISNA(MATCH($G56,TaxCode,0)),0,OFFSET(Setup!$D$15,MATCH($G56,TaxCode,0),0,1,1)))</f>
        <v>0</v>
      </c>
      <c r="O56" s="29">
        <f t="shared" si="1"/>
        <v>-15000</v>
      </c>
      <c r="P56" s="63" t="str">
        <f t="shared" ca="1" si="2"/>
        <v>-</v>
      </c>
    </row>
    <row r="57" spans="1:16" ht="16" customHeight="1" x14ac:dyDescent="0.25">
      <c r="A57" s="79">
        <v>43956</v>
      </c>
      <c r="B57" s="4" t="s">
        <v>128</v>
      </c>
      <c r="C57" s="4" t="s">
        <v>172</v>
      </c>
      <c r="D57" s="4" t="s">
        <v>173</v>
      </c>
      <c r="E57" s="29">
        <v>15000</v>
      </c>
      <c r="F57" s="63" t="s">
        <v>108</v>
      </c>
      <c r="G57" s="63" t="s">
        <v>108</v>
      </c>
      <c r="H57" s="63" t="s">
        <v>145</v>
      </c>
      <c r="I57" s="30" t="s">
        <v>275</v>
      </c>
      <c r="J57" s="10">
        <v>43956</v>
      </c>
      <c r="K57" s="63">
        <f t="shared" ca="1" si="0"/>
        <v>0</v>
      </c>
      <c r="L57" s="29" cm="1">
        <f t="array" aca="1" ref="L57" ca="1">O57-IF(ExpTaxCount=2,SUM($M57:$N57),$M57:$M57)</f>
        <v>15000</v>
      </c>
      <c r="M57" s="29">
        <f ca="1">$O57/(1+IF(ISERROR($F57),0,IF(ISNA(MATCH($F57,TaxCode,0)),0,OFFSET(Setup!$D$15,MATCH($F57,TaxCode,0),0,1,1)))+IF(ISERROR($G57),0,IF(ISNA(MATCH($G57,TaxCode,0)),0,OFFSET(Setup!$D$15,MATCH($G57,TaxCode,0),0,1,1))))*IF(ISERROR($F57),0,IF(ISNA(MATCH($F57,TaxCode,0)),0,OFFSET(Setup!$D$15,MATCH($F57,TaxCode,0),0,1,1)))</f>
        <v>0</v>
      </c>
      <c r="N57" s="29">
        <f ca="1">$O57/(1+IF(ISERROR($F57),0,IF(ISNA(MATCH($F57,TaxCode,0)),0,OFFSET(Setup!$D$15,MATCH($F57,TaxCode,0),0,1,1)))+IF(ISERROR($G57),0,IF(ISNA(MATCH($G57,TaxCode,0)),0,OFFSET(Setup!$D$15,MATCH($G57,TaxCode,0),0,1,1))))*IF(ISERROR($G57),0,IF(ISNA(MATCH($G57,TaxCode,0)),0,OFFSET(Setup!$D$15,MATCH($G57,TaxCode,0),0,1,1)))</f>
        <v>0</v>
      </c>
      <c r="O57" s="29">
        <f t="shared" si="1"/>
        <v>15000</v>
      </c>
      <c r="P57" s="63" t="str">
        <f t="shared" ca="1" si="2"/>
        <v>-</v>
      </c>
    </row>
    <row r="58" spans="1:16" ht="16" customHeight="1" x14ac:dyDescent="0.25">
      <c r="A58" s="79">
        <v>43958</v>
      </c>
      <c r="B58" s="4" t="s">
        <v>175</v>
      </c>
      <c r="C58" s="4" t="s">
        <v>176</v>
      </c>
      <c r="D58" s="4" t="s">
        <v>124</v>
      </c>
      <c r="E58" s="29">
        <v>990</v>
      </c>
      <c r="F58" s="63" t="s">
        <v>93</v>
      </c>
      <c r="G58" s="63" t="s">
        <v>108</v>
      </c>
      <c r="H58" s="63" t="s">
        <v>145</v>
      </c>
      <c r="I58" s="30" t="s">
        <v>305</v>
      </c>
      <c r="J58" s="10">
        <v>43958</v>
      </c>
      <c r="K58" s="63">
        <f t="shared" ca="1" si="0"/>
        <v>0</v>
      </c>
      <c r="L58" s="29" cm="1">
        <f t="array" aca="1" ref="L58" ca="1">O58-IF(ExpTaxCount=2,SUM($M58:$N58),$M58:$M58)</f>
        <v>860.86956521739125</v>
      </c>
      <c r="M58" s="29">
        <f ca="1">$O58/(1+IF(ISERROR($F58),0,IF(ISNA(MATCH($F58,TaxCode,0)),0,OFFSET(Setup!$D$15,MATCH($F58,TaxCode,0),0,1,1)))+IF(ISERROR($G58),0,IF(ISNA(MATCH($G58,TaxCode,0)),0,OFFSET(Setup!$D$15,MATCH($G58,TaxCode,0),0,1,1))))*IF(ISERROR($F58),0,IF(ISNA(MATCH($F58,TaxCode,0)),0,OFFSET(Setup!$D$15,MATCH($F58,TaxCode,0),0,1,1)))</f>
        <v>129.13043478260869</v>
      </c>
      <c r="N58" s="29">
        <f ca="1">$O58/(1+IF(ISERROR($F58),0,IF(ISNA(MATCH($F58,TaxCode,0)),0,OFFSET(Setup!$D$15,MATCH($F58,TaxCode,0),0,1,1)))+IF(ISERROR($G58),0,IF(ISNA(MATCH($G58,TaxCode,0)),0,OFFSET(Setup!$D$15,MATCH($G58,TaxCode,0),0,1,1))))*IF(ISERROR($G58),0,IF(ISNA(MATCH($G58,TaxCode,0)),0,OFFSET(Setup!$D$15,MATCH($G58,TaxCode,0),0,1,1)))</f>
        <v>0</v>
      </c>
      <c r="O58" s="29">
        <f t="shared" si="1"/>
        <v>990</v>
      </c>
      <c r="P58" s="63" t="str">
        <f t="shared" ca="1" si="2"/>
        <v>-</v>
      </c>
    </row>
    <row r="59" spans="1:16" ht="16" customHeight="1" x14ac:dyDescent="0.25">
      <c r="A59" s="79">
        <v>43958</v>
      </c>
      <c r="B59" s="4" t="s">
        <v>19</v>
      </c>
      <c r="C59" s="4" t="s">
        <v>112</v>
      </c>
      <c r="D59" s="4" t="s">
        <v>75</v>
      </c>
      <c r="E59" s="29">
        <v>982</v>
      </c>
      <c r="F59" s="63" t="s">
        <v>93</v>
      </c>
      <c r="G59" s="63" t="s">
        <v>108</v>
      </c>
      <c r="H59" s="63" t="s">
        <v>145</v>
      </c>
      <c r="I59" s="30" t="s">
        <v>301</v>
      </c>
      <c r="J59" s="10">
        <v>43988</v>
      </c>
      <c r="K59" s="63">
        <f t="shared" ca="1" si="0"/>
        <v>0</v>
      </c>
      <c r="L59" s="29" cm="1">
        <f t="array" aca="1" ref="L59" ca="1">O59-IF(ExpTaxCount=2,SUM($M59:$N59),$M59:$M59)</f>
        <v>853.91304347826087</v>
      </c>
      <c r="M59" s="29">
        <f ca="1">$O59/(1+IF(ISERROR($F59),0,IF(ISNA(MATCH($F59,TaxCode,0)),0,OFFSET(Setup!$D$15,MATCH($F59,TaxCode,0),0,1,1)))+IF(ISERROR($G59),0,IF(ISNA(MATCH($G59,TaxCode,0)),0,OFFSET(Setup!$D$15,MATCH($G59,TaxCode,0),0,1,1))))*IF(ISERROR($F59),0,IF(ISNA(MATCH($F59,TaxCode,0)),0,OFFSET(Setup!$D$15,MATCH($F59,TaxCode,0),0,1,1)))</f>
        <v>128.08695652173915</v>
      </c>
      <c r="N59" s="29">
        <f ca="1">$O59/(1+IF(ISERROR($F59),0,IF(ISNA(MATCH($F59,TaxCode,0)),0,OFFSET(Setup!$D$15,MATCH($F59,TaxCode,0),0,1,1)))+IF(ISERROR($G59),0,IF(ISNA(MATCH($G59,TaxCode,0)),0,OFFSET(Setup!$D$15,MATCH($G59,TaxCode,0),0,1,1))))*IF(ISERROR($G59),0,IF(ISNA(MATCH($G59,TaxCode,0)),0,OFFSET(Setup!$D$15,MATCH($G59,TaxCode,0),0,1,1)))</f>
        <v>0</v>
      </c>
      <c r="O59" s="29">
        <f t="shared" si="1"/>
        <v>982</v>
      </c>
      <c r="P59" s="63" t="str">
        <f t="shared" ca="1" si="2"/>
        <v>-</v>
      </c>
    </row>
    <row r="60" spans="1:16" ht="16" customHeight="1" x14ac:dyDescent="0.25">
      <c r="A60" s="79">
        <v>43964</v>
      </c>
      <c r="B60" s="4" t="s">
        <v>13</v>
      </c>
      <c r="C60" s="4" t="s">
        <v>14</v>
      </c>
      <c r="D60" s="4" t="s">
        <v>82</v>
      </c>
      <c r="E60" s="29">
        <v>5750</v>
      </c>
      <c r="F60" s="63" t="s">
        <v>93</v>
      </c>
      <c r="G60" s="63" t="s">
        <v>108</v>
      </c>
      <c r="H60" s="63" t="s">
        <v>145</v>
      </c>
      <c r="I60" s="30" t="s">
        <v>292</v>
      </c>
      <c r="J60" s="10">
        <v>43994</v>
      </c>
      <c r="K60" s="63">
        <f t="shared" ca="1" si="0"/>
        <v>0</v>
      </c>
      <c r="L60" s="29" cm="1">
        <f t="array" aca="1" ref="L60" ca="1">O60-IF(ExpTaxCount=2,SUM($M60:$N60),$M60:$M60)</f>
        <v>5000</v>
      </c>
      <c r="M60" s="29">
        <f ca="1">$O60/(1+IF(ISERROR($F60),0,IF(ISNA(MATCH($F60,TaxCode,0)),0,OFFSET(Setup!$D$15,MATCH($F60,TaxCode,0),0,1,1)))+IF(ISERROR($G60),0,IF(ISNA(MATCH($G60,TaxCode,0)),0,OFFSET(Setup!$D$15,MATCH($G60,TaxCode,0),0,1,1))))*IF(ISERROR($F60),0,IF(ISNA(MATCH($F60,TaxCode,0)),0,OFFSET(Setup!$D$15,MATCH($F60,TaxCode,0),0,1,1)))</f>
        <v>750</v>
      </c>
      <c r="N60" s="29">
        <f ca="1">$O60/(1+IF(ISERROR($F60),0,IF(ISNA(MATCH($F60,TaxCode,0)),0,OFFSET(Setup!$D$15,MATCH($F60,TaxCode,0),0,1,1)))+IF(ISERROR($G60),0,IF(ISNA(MATCH($G60,TaxCode,0)),0,OFFSET(Setup!$D$15,MATCH($G60,TaxCode,0),0,1,1))))*IF(ISERROR($G60),0,IF(ISNA(MATCH($G60,TaxCode,0)),0,OFFSET(Setup!$D$15,MATCH($G60,TaxCode,0),0,1,1)))</f>
        <v>0</v>
      </c>
      <c r="O60" s="29">
        <f t="shared" si="1"/>
        <v>5750</v>
      </c>
      <c r="P60" s="63" t="str">
        <f t="shared" ca="1" si="2"/>
        <v>-</v>
      </c>
    </row>
    <row r="61" spans="1:16" ht="16" customHeight="1" x14ac:dyDescent="0.25">
      <c r="A61" s="79">
        <v>43966</v>
      </c>
      <c r="B61" s="4" t="s">
        <v>168</v>
      </c>
      <c r="C61" s="4" t="s">
        <v>109</v>
      </c>
      <c r="D61" s="4" t="s">
        <v>12</v>
      </c>
      <c r="E61" s="29">
        <v>80</v>
      </c>
      <c r="F61" s="63" t="s">
        <v>93</v>
      </c>
      <c r="G61" s="63" t="s">
        <v>108</v>
      </c>
      <c r="H61" s="63" t="s">
        <v>145</v>
      </c>
      <c r="I61" s="30" t="s">
        <v>291</v>
      </c>
      <c r="J61" s="10">
        <v>43966</v>
      </c>
      <c r="K61" s="63">
        <f t="shared" ca="1" si="0"/>
        <v>0</v>
      </c>
      <c r="L61" s="29" cm="1">
        <f t="array" aca="1" ref="L61" ca="1">O61-IF(ExpTaxCount=2,SUM($M61:$N61),$M61:$M61)</f>
        <v>69.565217391304344</v>
      </c>
      <c r="M61" s="29">
        <f ca="1">$O61/(1+IF(ISERROR($F61),0,IF(ISNA(MATCH($F61,TaxCode,0)),0,OFFSET(Setup!$D$15,MATCH($F61,TaxCode,0),0,1,1)))+IF(ISERROR($G61),0,IF(ISNA(MATCH($G61,TaxCode,0)),0,OFFSET(Setup!$D$15,MATCH($G61,TaxCode,0),0,1,1))))*IF(ISERROR($F61),0,IF(ISNA(MATCH($F61,TaxCode,0)),0,OFFSET(Setup!$D$15,MATCH($F61,TaxCode,0),0,1,1)))</f>
        <v>10.434782608695654</v>
      </c>
      <c r="N61" s="29">
        <f ca="1">$O61/(1+IF(ISERROR($F61),0,IF(ISNA(MATCH($F61,TaxCode,0)),0,OFFSET(Setup!$D$15,MATCH($F61,TaxCode,0),0,1,1)))+IF(ISERROR($G61),0,IF(ISNA(MATCH($G61,TaxCode,0)),0,OFFSET(Setup!$D$15,MATCH($G61,TaxCode,0),0,1,1))))*IF(ISERROR($G61),0,IF(ISNA(MATCH($G61,TaxCode,0)),0,OFFSET(Setup!$D$15,MATCH($G61,TaxCode,0),0,1,1)))</f>
        <v>0</v>
      </c>
      <c r="O61" s="29">
        <f t="shared" si="1"/>
        <v>80</v>
      </c>
      <c r="P61" s="63" t="str">
        <f t="shared" ca="1" si="2"/>
        <v>-</v>
      </c>
    </row>
    <row r="62" spans="1:16" ht="16" customHeight="1" x14ac:dyDescent="0.25">
      <c r="A62" s="79">
        <v>43966</v>
      </c>
      <c r="B62" s="4" t="s">
        <v>168</v>
      </c>
      <c r="C62" s="4" t="s">
        <v>109</v>
      </c>
      <c r="D62" s="4" t="s">
        <v>12</v>
      </c>
      <c r="E62" s="29">
        <v>35</v>
      </c>
      <c r="F62" s="63" t="s">
        <v>93</v>
      </c>
      <c r="G62" s="63" t="s">
        <v>108</v>
      </c>
      <c r="H62" s="63" t="s">
        <v>147</v>
      </c>
      <c r="I62" s="30" t="s">
        <v>291</v>
      </c>
      <c r="J62" s="10">
        <v>43966</v>
      </c>
      <c r="K62" s="63">
        <f t="shared" ca="1" si="0"/>
        <v>0</v>
      </c>
      <c r="L62" s="29" cm="1">
        <f t="array" aca="1" ref="L62" ca="1">O62-IF(ExpTaxCount=2,SUM($M62:$N62),$M62:$M62)</f>
        <v>30.434782608695652</v>
      </c>
      <c r="M62" s="29">
        <f ca="1">$O62/(1+IF(ISERROR($F62),0,IF(ISNA(MATCH($F62,TaxCode,0)),0,OFFSET(Setup!$D$15,MATCH($F62,TaxCode,0),0,1,1)))+IF(ISERROR($G62),0,IF(ISNA(MATCH($G62,TaxCode,0)),0,OFFSET(Setup!$D$15,MATCH($G62,TaxCode,0),0,1,1))))*IF(ISERROR($F62),0,IF(ISNA(MATCH($F62,TaxCode,0)),0,OFFSET(Setup!$D$15,MATCH($F62,TaxCode,0),0,1,1)))</f>
        <v>4.5652173913043486</v>
      </c>
      <c r="N62" s="29">
        <f ca="1">$O62/(1+IF(ISERROR($F62),0,IF(ISNA(MATCH($F62,TaxCode,0)),0,OFFSET(Setup!$D$15,MATCH($F62,TaxCode,0),0,1,1)))+IF(ISERROR($G62),0,IF(ISNA(MATCH($G62,TaxCode,0)),0,OFFSET(Setup!$D$15,MATCH($G62,TaxCode,0),0,1,1))))*IF(ISERROR($G62),0,IF(ISNA(MATCH($G62,TaxCode,0)),0,OFFSET(Setup!$D$15,MATCH($G62,TaxCode,0),0,1,1)))</f>
        <v>0</v>
      </c>
      <c r="O62" s="29">
        <f t="shared" si="1"/>
        <v>35</v>
      </c>
      <c r="P62" s="63" t="str">
        <f t="shared" ca="1" si="2"/>
        <v>-</v>
      </c>
    </row>
    <row r="63" spans="1:16" ht="16" customHeight="1" x14ac:dyDescent="0.25">
      <c r="A63" s="79">
        <v>43966</v>
      </c>
      <c r="B63" s="4" t="s">
        <v>11</v>
      </c>
      <c r="C63" s="4" t="s">
        <v>112</v>
      </c>
      <c r="D63" s="4" t="s">
        <v>504</v>
      </c>
      <c r="E63" s="29">
        <v>2300</v>
      </c>
      <c r="F63" s="63" t="s">
        <v>93</v>
      </c>
      <c r="G63" s="63" t="s">
        <v>108</v>
      </c>
      <c r="H63" s="63" t="s">
        <v>145</v>
      </c>
      <c r="I63" s="30" t="s">
        <v>289</v>
      </c>
      <c r="J63" s="10">
        <v>43984</v>
      </c>
      <c r="K63" s="63">
        <f t="shared" ca="1" si="0"/>
        <v>0</v>
      </c>
      <c r="L63" s="29" cm="1">
        <f t="array" aca="1" ref="L63" ca="1">O63-IF(ExpTaxCount=2,SUM($M63:$N63),$M63:$M63)</f>
        <v>2000</v>
      </c>
      <c r="M63" s="29">
        <f ca="1">$O63/(1+IF(ISERROR($F63),0,IF(ISNA(MATCH($F63,TaxCode,0)),0,OFFSET(Setup!$D$15,MATCH($F63,TaxCode,0),0,1,1)))+IF(ISERROR($G63),0,IF(ISNA(MATCH($G63,TaxCode,0)),0,OFFSET(Setup!$D$15,MATCH($G63,TaxCode,0),0,1,1))))*IF(ISERROR($F63),0,IF(ISNA(MATCH($F63,TaxCode,0)),0,OFFSET(Setup!$D$15,MATCH($F63,TaxCode,0),0,1,1)))</f>
        <v>300</v>
      </c>
      <c r="N63" s="29">
        <f ca="1">$O63/(1+IF(ISERROR($F63),0,IF(ISNA(MATCH($F63,TaxCode,0)),0,OFFSET(Setup!$D$15,MATCH($F63,TaxCode,0),0,1,1)))+IF(ISERROR($G63),0,IF(ISNA(MATCH($G63,TaxCode,0)),0,OFFSET(Setup!$D$15,MATCH($G63,TaxCode,0),0,1,1))))*IF(ISERROR($G63),0,IF(ISNA(MATCH($G63,TaxCode,0)),0,OFFSET(Setup!$D$15,MATCH($G63,TaxCode,0),0,1,1)))</f>
        <v>0</v>
      </c>
      <c r="O63" s="29">
        <f t="shared" si="1"/>
        <v>2300</v>
      </c>
      <c r="P63" s="63" t="str">
        <f t="shared" ca="1" si="2"/>
        <v>-</v>
      </c>
    </row>
    <row r="64" spans="1:16" ht="16" customHeight="1" x14ac:dyDescent="0.25">
      <c r="A64" s="79">
        <v>43971</v>
      </c>
      <c r="B64" s="4" t="s">
        <v>128</v>
      </c>
      <c r="C64" s="4" t="s">
        <v>172</v>
      </c>
      <c r="D64" s="4" t="s">
        <v>173</v>
      </c>
      <c r="E64" s="29">
        <v>-100000</v>
      </c>
      <c r="F64" s="63" t="s">
        <v>108</v>
      </c>
      <c r="G64" s="63" t="s">
        <v>108</v>
      </c>
      <c r="H64" s="63" t="s">
        <v>147</v>
      </c>
      <c r="I64" s="30" t="s">
        <v>275</v>
      </c>
      <c r="J64" s="10">
        <v>43971</v>
      </c>
      <c r="K64" s="63">
        <f t="shared" ca="1" si="0"/>
        <v>0</v>
      </c>
      <c r="L64" s="29" cm="1">
        <f t="array" aca="1" ref="L64" ca="1">O64-IF(ExpTaxCount=2,SUM($M64:$N64),$M64:$M64)</f>
        <v>-100000</v>
      </c>
      <c r="M64" s="29">
        <f ca="1">$O64/(1+IF(ISERROR($F64),0,IF(ISNA(MATCH($F64,TaxCode,0)),0,OFFSET(Setup!$D$15,MATCH($F64,TaxCode,0),0,1,1)))+IF(ISERROR($G64),0,IF(ISNA(MATCH($G64,TaxCode,0)),0,OFFSET(Setup!$D$15,MATCH($G64,TaxCode,0),0,1,1))))*IF(ISERROR($F64),0,IF(ISNA(MATCH($F64,TaxCode,0)),0,OFFSET(Setup!$D$15,MATCH($F64,TaxCode,0),0,1,1)))</f>
        <v>0</v>
      </c>
      <c r="N64" s="29">
        <f ca="1">$O64/(1+IF(ISERROR($F64),0,IF(ISNA(MATCH($F64,TaxCode,0)),0,OFFSET(Setup!$D$15,MATCH($F64,TaxCode,0),0,1,1)))+IF(ISERROR($G64),0,IF(ISNA(MATCH($G64,TaxCode,0)),0,OFFSET(Setup!$D$15,MATCH($G64,TaxCode,0),0,1,1))))*IF(ISERROR($G64),0,IF(ISNA(MATCH($G64,TaxCode,0)),0,OFFSET(Setup!$D$15,MATCH($G64,TaxCode,0),0,1,1)))</f>
        <v>0</v>
      </c>
      <c r="O64" s="29">
        <f t="shared" si="1"/>
        <v>-100000</v>
      </c>
      <c r="P64" s="63" t="str">
        <f t="shared" ca="1" si="2"/>
        <v>-</v>
      </c>
    </row>
    <row r="65" spans="1:16" ht="16" customHeight="1" x14ac:dyDescent="0.25">
      <c r="A65" s="79">
        <v>43971</v>
      </c>
      <c r="B65" s="4" t="s">
        <v>128</v>
      </c>
      <c r="C65" s="4" t="s">
        <v>172</v>
      </c>
      <c r="D65" s="4" t="s">
        <v>173</v>
      </c>
      <c r="E65" s="29">
        <v>100000</v>
      </c>
      <c r="F65" s="63" t="s">
        <v>108</v>
      </c>
      <c r="G65" s="63" t="s">
        <v>108</v>
      </c>
      <c r="H65" s="63" t="s">
        <v>145</v>
      </c>
      <c r="I65" s="30" t="s">
        <v>275</v>
      </c>
      <c r="J65" s="10">
        <v>43971</v>
      </c>
      <c r="K65" s="63">
        <f t="shared" ca="1" si="0"/>
        <v>0</v>
      </c>
      <c r="L65" s="29" cm="1">
        <f t="array" aca="1" ref="L65" ca="1">O65-IF(ExpTaxCount=2,SUM($M65:$N65),$M65:$M65)</f>
        <v>100000</v>
      </c>
      <c r="M65" s="29">
        <f ca="1">$O65/(1+IF(ISERROR($F65),0,IF(ISNA(MATCH($F65,TaxCode,0)),0,OFFSET(Setup!$D$15,MATCH($F65,TaxCode,0),0,1,1)))+IF(ISERROR($G65),0,IF(ISNA(MATCH($G65,TaxCode,0)),0,OFFSET(Setup!$D$15,MATCH($G65,TaxCode,0),0,1,1))))*IF(ISERROR($F65),0,IF(ISNA(MATCH($F65,TaxCode,0)),0,OFFSET(Setup!$D$15,MATCH($F65,TaxCode,0),0,1,1)))</f>
        <v>0</v>
      </c>
      <c r="N65" s="29">
        <f ca="1">$O65/(1+IF(ISERROR($F65),0,IF(ISNA(MATCH($F65,TaxCode,0)),0,OFFSET(Setup!$D$15,MATCH($F65,TaxCode,0),0,1,1)))+IF(ISERROR($G65),0,IF(ISNA(MATCH($G65,TaxCode,0)),0,OFFSET(Setup!$D$15,MATCH($G65,TaxCode,0),0,1,1))))*IF(ISERROR($G65),0,IF(ISNA(MATCH($G65,TaxCode,0)),0,OFFSET(Setup!$D$15,MATCH($G65,TaxCode,0),0,1,1)))</f>
        <v>0</v>
      </c>
      <c r="O65" s="29">
        <f t="shared" si="1"/>
        <v>100000</v>
      </c>
      <c r="P65" s="63" t="str">
        <f t="shared" ca="1" si="2"/>
        <v>-</v>
      </c>
    </row>
    <row r="66" spans="1:16" ht="16" customHeight="1" x14ac:dyDescent="0.25">
      <c r="A66" s="79">
        <v>43977</v>
      </c>
      <c r="B66" s="4" t="s">
        <v>128</v>
      </c>
      <c r="C66" s="4" t="s">
        <v>115</v>
      </c>
      <c r="D66" s="4" t="s">
        <v>26</v>
      </c>
      <c r="E66" s="29">
        <v>45000</v>
      </c>
      <c r="F66" s="63" t="s">
        <v>108</v>
      </c>
      <c r="G66" s="63" t="s">
        <v>108</v>
      </c>
      <c r="H66" s="63" t="s">
        <v>147</v>
      </c>
      <c r="I66" s="30" t="s">
        <v>366</v>
      </c>
      <c r="J66" s="10">
        <v>43977</v>
      </c>
      <c r="K66" s="63">
        <f t="shared" ca="1" si="0"/>
        <v>0</v>
      </c>
      <c r="L66" s="29" cm="1">
        <f t="array" aca="1" ref="L66" ca="1">O66-IF(ExpTaxCount=2,SUM($M66:$N66),$M66:$M66)</f>
        <v>45000</v>
      </c>
      <c r="M66" s="29">
        <f ca="1">$O66/(1+IF(ISERROR($F66),0,IF(ISNA(MATCH($F66,TaxCode,0)),0,OFFSET(Setup!$D$15,MATCH($F66,TaxCode,0),0,1,1)))+IF(ISERROR($G66),0,IF(ISNA(MATCH($G66,TaxCode,0)),0,OFFSET(Setup!$D$15,MATCH($G66,TaxCode,0),0,1,1))))*IF(ISERROR($F66),0,IF(ISNA(MATCH($F66,TaxCode,0)),0,OFFSET(Setup!$D$15,MATCH($F66,TaxCode,0),0,1,1)))</f>
        <v>0</v>
      </c>
      <c r="N66" s="29">
        <f ca="1">$O66/(1+IF(ISERROR($F66),0,IF(ISNA(MATCH($F66,TaxCode,0)),0,OFFSET(Setup!$D$15,MATCH($F66,TaxCode,0),0,1,1)))+IF(ISERROR($G66),0,IF(ISNA(MATCH($G66,TaxCode,0)),0,OFFSET(Setup!$D$15,MATCH($G66,TaxCode,0),0,1,1))))*IF(ISERROR($G66),0,IF(ISNA(MATCH($G66,TaxCode,0)),0,OFFSET(Setup!$D$15,MATCH($G66,TaxCode,0),0,1,1)))</f>
        <v>0</v>
      </c>
      <c r="O66" s="29">
        <f t="shared" si="1"/>
        <v>45000</v>
      </c>
      <c r="P66" s="63" t="str">
        <f t="shared" ca="1" si="2"/>
        <v>-</v>
      </c>
    </row>
    <row r="67" spans="1:16" ht="16" customHeight="1" x14ac:dyDescent="0.25">
      <c r="A67" s="79">
        <v>43977</v>
      </c>
      <c r="B67" s="4" t="s">
        <v>54</v>
      </c>
      <c r="C67" s="4" t="s">
        <v>110</v>
      </c>
      <c r="D67" s="4" t="s">
        <v>56</v>
      </c>
      <c r="E67" s="29">
        <v>2625.97</v>
      </c>
      <c r="F67" s="63" t="s">
        <v>108</v>
      </c>
      <c r="G67" s="63" t="s">
        <v>108</v>
      </c>
      <c r="H67" s="63" t="s">
        <v>145</v>
      </c>
      <c r="I67" s="30" t="s">
        <v>403</v>
      </c>
      <c r="J67" s="10">
        <v>43977</v>
      </c>
      <c r="K67" s="63">
        <f t="shared" ca="1" si="0"/>
        <v>0</v>
      </c>
      <c r="L67" s="29" cm="1">
        <f t="array" aca="1" ref="L67" ca="1">O67-IF(ExpTaxCount=2,SUM($M67:$N67),$M67:$M67)</f>
        <v>2625.97</v>
      </c>
      <c r="M67" s="29">
        <f ca="1">$O67/(1+IF(ISERROR($F67),0,IF(ISNA(MATCH($F67,TaxCode,0)),0,OFFSET(Setup!$D$15,MATCH($F67,TaxCode,0),0,1,1)))+IF(ISERROR($G67),0,IF(ISNA(MATCH($G67,TaxCode,0)),0,OFFSET(Setup!$D$15,MATCH($G67,TaxCode,0),0,1,1))))*IF(ISERROR($F67),0,IF(ISNA(MATCH($F67,TaxCode,0)),0,OFFSET(Setup!$D$15,MATCH($F67,TaxCode,0),0,1,1)))</f>
        <v>0</v>
      </c>
      <c r="N67" s="29">
        <f ca="1">$O67/(1+IF(ISERROR($F67),0,IF(ISNA(MATCH($F67,TaxCode,0)),0,OFFSET(Setup!$D$15,MATCH($F67,TaxCode,0),0,1,1)))+IF(ISERROR($G67),0,IF(ISNA(MATCH($G67,TaxCode,0)),0,OFFSET(Setup!$D$15,MATCH($G67,TaxCode,0),0,1,1))))*IF(ISERROR($G67),0,IF(ISNA(MATCH($G67,TaxCode,0)),0,OFFSET(Setup!$D$15,MATCH($G67,TaxCode,0),0,1,1)))</f>
        <v>0</v>
      </c>
      <c r="O67" s="29">
        <f t="shared" si="1"/>
        <v>2625.97</v>
      </c>
      <c r="P67" s="63" t="str">
        <f t="shared" ca="1" si="2"/>
        <v>-</v>
      </c>
    </row>
    <row r="68" spans="1:16" ht="16" customHeight="1" x14ac:dyDescent="0.25">
      <c r="A68" s="79">
        <v>43977</v>
      </c>
      <c r="B68" s="4" t="s">
        <v>54</v>
      </c>
      <c r="C68" s="4" t="s">
        <v>110</v>
      </c>
      <c r="D68" s="4" t="s">
        <v>55</v>
      </c>
      <c r="E68" s="29">
        <v>1623.44</v>
      </c>
      <c r="F68" s="63" t="s">
        <v>108</v>
      </c>
      <c r="G68" s="63" t="s">
        <v>108</v>
      </c>
      <c r="H68" s="63" t="s">
        <v>145</v>
      </c>
      <c r="I68" s="30" t="s">
        <v>309</v>
      </c>
      <c r="J68" s="10">
        <v>43977</v>
      </c>
      <c r="K68" s="63">
        <f t="shared" ca="1" si="0"/>
        <v>0</v>
      </c>
      <c r="L68" s="29" cm="1">
        <f t="array" aca="1" ref="L68" ca="1">O68-IF(ExpTaxCount=2,SUM($M68:$N68),$M68:$M68)</f>
        <v>1623.44</v>
      </c>
      <c r="M68" s="29">
        <f ca="1">$O68/(1+IF(ISERROR($F68),0,IF(ISNA(MATCH($F68,TaxCode,0)),0,OFFSET(Setup!$D$15,MATCH($F68,TaxCode,0),0,1,1)))+IF(ISERROR($G68),0,IF(ISNA(MATCH($G68,TaxCode,0)),0,OFFSET(Setup!$D$15,MATCH($G68,TaxCode,0),0,1,1))))*IF(ISERROR($F68),0,IF(ISNA(MATCH($F68,TaxCode,0)),0,OFFSET(Setup!$D$15,MATCH($F68,TaxCode,0),0,1,1)))</f>
        <v>0</v>
      </c>
      <c r="N68" s="29">
        <f ca="1">$O68/(1+IF(ISERROR($F68),0,IF(ISNA(MATCH($F68,TaxCode,0)),0,OFFSET(Setup!$D$15,MATCH($F68,TaxCode,0),0,1,1)))+IF(ISERROR($G68),0,IF(ISNA(MATCH($G68,TaxCode,0)),0,OFFSET(Setup!$D$15,MATCH($G68,TaxCode,0),0,1,1))))*IF(ISERROR($G68),0,IF(ISNA(MATCH($G68,TaxCode,0)),0,OFFSET(Setup!$D$15,MATCH($G68,TaxCode,0),0,1,1)))</f>
        <v>0</v>
      </c>
      <c r="O68" s="29">
        <f t="shared" si="1"/>
        <v>1623.44</v>
      </c>
      <c r="P68" s="63" t="str">
        <f t="shared" ca="1" si="2"/>
        <v>-</v>
      </c>
    </row>
    <row r="69" spans="1:16" ht="16" customHeight="1" x14ac:dyDescent="0.25">
      <c r="A69" s="79">
        <v>43977</v>
      </c>
      <c r="B69" s="4" t="s">
        <v>25</v>
      </c>
      <c r="C69" s="4" t="s">
        <v>110</v>
      </c>
      <c r="D69" s="4" t="s">
        <v>116</v>
      </c>
      <c r="E69" s="29">
        <v>13800</v>
      </c>
      <c r="F69" s="63" t="s">
        <v>93</v>
      </c>
      <c r="G69" s="63" t="s">
        <v>108</v>
      </c>
      <c r="H69" s="63" t="s">
        <v>145</v>
      </c>
      <c r="I69" s="30" t="s">
        <v>298</v>
      </c>
      <c r="J69" s="10">
        <v>43977</v>
      </c>
      <c r="K69" s="63">
        <f t="shared" ref="K69:K132" ca="1" si="3">IF(AND($A69&lt;=$L$2,OR($J69&gt;$L$2,ISBLANK($J69))),$E69,0)</f>
        <v>0</v>
      </c>
      <c r="L69" s="29" cm="1">
        <f t="array" aca="1" ref="L69" ca="1">O69-IF(ExpTaxCount=2,SUM($M69:$N69),$M69:$M69)</f>
        <v>12000</v>
      </c>
      <c r="M69" s="29">
        <f ca="1">$O69/(1+IF(ISERROR($F69),0,IF(ISNA(MATCH($F69,TaxCode,0)),0,OFFSET(Setup!$D$15,MATCH($F69,TaxCode,0),0,1,1)))+IF(ISERROR($G69),0,IF(ISNA(MATCH($G69,TaxCode,0)),0,OFFSET(Setup!$D$15,MATCH($G69,TaxCode,0),0,1,1))))*IF(ISERROR($F69),0,IF(ISNA(MATCH($F69,TaxCode,0)),0,OFFSET(Setup!$D$15,MATCH($F69,TaxCode,0),0,1,1)))</f>
        <v>1800.0000000000002</v>
      </c>
      <c r="N69" s="29">
        <f ca="1">$O69/(1+IF(ISERROR($F69),0,IF(ISNA(MATCH($F69,TaxCode,0)),0,OFFSET(Setup!$D$15,MATCH($F69,TaxCode,0),0,1,1)))+IF(ISERROR($G69),0,IF(ISNA(MATCH($G69,TaxCode,0)),0,OFFSET(Setup!$D$15,MATCH($G69,TaxCode,0),0,1,1))))*IF(ISERROR($G69),0,IF(ISNA(MATCH($G69,TaxCode,0)),0,OFFSET(Setup!$D$15,MATCH($G69,TaxCode,0),0,1,1)))</f>
        <v>0</v>
      </c>
      <c r="O69" s="29">
        <f t="shared" ref="O69:O132" si="4">E69</f>
        <v>13800</v>
      </c>
      <c r="P69" s="63" t="str">
        <f t="shared" ref="P69:P132" ca="1" si="5">IF(AND(ISBLANK(J69)=FALSE,J69&lt;A69),"E1",IF(AND(ISBLANK(I69)=FALSE,ISNA(MATCH($I69,AccountNo,0))),"E2",IF(AND(ISBLANK(H69)=FALSE,ISNA(MATCH($H69,BankCode,0))),"E3","-")))</f>
        <v>-</v>
      </c>
    </row>
    <row r="70" spans="1:16" ht="16" customHeight="1" x14ac:dyDescent="0.25">
      <c r="A70" s="79">
        <v>43977</v>
      </c>
      <c r="B70" s="4" t="s">
        <v>128</v>
      </c>
      <c r="C70" s="4" t="s">
        <v>115</v>
      </c>
      <c r="D70" s="4" t="s">
        <v>509</v>
      </c>
      <c r="E70" s="29">
        <v>35000</v>
      </c>
      <c r="F70" s="63" t="s">
        <v>108</v>
      </c>
      <c r="G70" s="63" t="s">
        <v>108</v>
      </c>
      <c r="H70" s="63" t="s">
        <v>147</v>
      </c>
      <c r="I70" s="30" t="s">
        <v>364</v>
      </c>
      <c r="J70" s="10">
        <v>43977</v>
      </c>
      <c r="K70" s="63">
        <f t="shared" ca="1" si="3"/>
        <v>0</v>
      </c>
      <c r="L70" s="29" cm="1">
        <f t="array" aca="1" ref="L70" ca="1">O70-IF(ExpTaxCount=2,SUM($M70:$N70),$M70:$M70)</f>
        <v>35000</v>
      </c>
      <c r="M70" s="29">
        <f ca="1">$O70/(1+IF(ISERROR($F70),0,IF(ISNA(MATCH($F70,TaxCode,0)),0,OFFSET(Setup!$D$15,MATCH($F70,TaxCode,0),0,1,1)))+IF(ISERROR($G70),0,IF(ISNA(MATCH($G70,TaxCode,0)),0,OFFSET(Setup!$D$15,MATCH($G70,TaxCode,0),0,1,1))))*IF(ISERROR($F70),0,IF(ISNA(MATCH($F70,TaxCode,0)),0,OFFSET(Setup!$D$15,MATCH($F70,TaxCode,0),0,1,1)))</f>
        <v>0</v>
      </c>
      <c r="N70" s="29">
        <f ca="1">$O70/(1+IF(ISERROR($F70),0,IF(ISNA(MATCH($F70,TaxCode,0)),0,OFFSET(Setup!$D$15,MATCH($F70,TaxCode,0),0,1,1)))+IF(ISERROR($G70),0,IF(ISNA(MATCH($G70,TaxCode,0)),0,OFFSET(Setup!$D$15,MATCH($G70,TaxCode,0),0,1,1))))*IF(ISERROR($G70),0,IF(ISNA(MATCH($G70,TaxCode,0)),0,OFFSET(Setup!$D$15,MATCH($G70,TaxCode,0),0,1,1)))</f>
        <v>0</v>
      </c>
      <c r="O70" s="29">
        <f t="shared" si="4"/>
        <v>35000</v>
      </c>
      <c r="P70" s="63" t="str">
        <f t="shared" ca="1" si="5"/>
        <v>-</v>
      </c>
    </row>
    <row r="71" spans="1:16" ht="16" customHeight="1" x14ac:dyDescent="0.25">
      <c r="A71" s="79">
        <v>43977</v>
      </c>
      <c r="B71" s="4" t="s">
        <v>128</v>
      </c>
      <c r="C71" s="4" t="s">
        <v>115</v>
      </c>
      <c r="D71" s="4" t="s">
        <v>510</v>
      </c>
      <c r="E71" s="29">
        <v>7200</v>
      </c>
      <c r="F71" s="63" t="s">
        <v>108</v>
      </c>
      <c r="G71" s="63" t="s">
        <v>108</v>
      </c>
      <c r="H71" s="63" t="s">
        <v>147</v>
      </c>
      <c r="I71" s="30" t="s">
        <v>364</v>
      </c>
      <c r="J71" s="10">
        <v>43988</v>
      </c>
      <c r="K71" s="63">
        <f t="shared" ca="1" si="3"/>
        <v>0</v>
      </c>
      <c r="L71" s="29" cm="1">
        <f t="array" aca="1" ref="L71" ca="1">O71-IF(ExpTaxCount=2,SUM($M71:$N71),$M71:$M71)</f>
        <v>7200</v>
      </c>
      <c r="M71" s="29">
        <f ca="1">$O71/(1+IF(ISERROR($F71),0,IF(ISNA(MATCH($F71,TaxCode,0)),0,OFFSET(Setup!$D$15,MATCH($F71,TaxCode,0),0,1,1)))+IF(ISERROR($G71),0,IF(ISNA(MATCH($G71,TaxCode,0)),0,OFFSET(Setup!$D$15,MATCH($G71,TaxCode,0),0,1,1))))*IF(ISERROR($F71),0,IF(ISNA(MATCH($F71,TaxCode,0)),0,OFFSET(Setup!$D$15,MATCH($F71,TaxCode,0),0,1,1)))</f>
        <v>0</v>
      </c>
      <c r="N71" s="29">
        <f ca="1">$O71/(1+IF(ISERROR($F71),0,IF(ISNA(MATCH($F71,TaxCode,0)),0,OFFSET(Setup!$D$15,MATCH($F71,TaxCode,0),0,1,1)))+IF(ISERROR($G71),0,IF(ISNA(MATCH($G71,TaxCode,0)),0,OFFSET(Setup!$D$15,MATCH($G71,TaxCode,0),0,1,1))))*IF(ISERROR($G71),0,IF(ISNA(MATCH($G71,TaxCode,0)),0,OFFSET(Setup!$D$15,MATCH($G71,TaxCode,0),0,1,1)))</f>
        <v>0</v>
      </c>
      <c r="O71" s="29">
        <f t="shared" si="4"/>
        <v>7200</v>
      </c>
      <c r="P71" s="63" t="str">
        <f t="shared" ca="1" si="5"/>
        <v>-</v>
      </c>
    </row>
    <row r="72" spans="1:16" ht="16" customHeight="1" x14ac:dyDescent="0.25">
      <c r="A72" s="79">
        <v>43977</v>
      </c>
      <c r="B72" s="4" t="s">
        <v>128</v>
      </c>
      <c r="C72" s="4" t="s">
        <v>115</v>
      </c>
      <c r="D72" s="4" t="s">
        <v>511</v>
      </c>
      <c r="E72" s="29">
        <v>9320</v>
      </c>
      <c r="F72" s="63" t="s">
        <v>108</v>
      </c>
      <c r="G72" s="63" t="s">
        <v>108</v>
      </c>
      <c r="H72" s="63" t="s">
        <v>147</v>
      </c>
      <c r="I72" s="30" t="s">
        <v>366</v>
      </c>
      <c r="J72" s="10">
        <v>43988</v>
      </c>
      <c r="K72" s="63">
        <f t="shared" ca="1" si="3"/>
        <v>0</v>
      </c>
      <c r="L72" s="29" cm="1">
        <f t="array" aca="1" ref="L72" ca="1">O72-IF(ExpTaxCount=2,SUM($M72:$N72),$M72:$M72)</f>
        <v>9320</v>
      </c>
      <c r="M72" s="29">
        <f ca="1">$O72/(1+IF(ISERROR($F72),0,IF(ISNA(MATCH($F72,TaxCode,0)),0,OFFSET(Setup!$D$15,MATCH($F72,TaxCode,0),0,1,1)))+IF(ISERROR($G72),0,IF(ISNA(MATCH($G72,TaxCode,0)),0,OFFSET(Setup!$D$15,MATCH($G72,TaxCode,0),0,1,1))))*IF(ISERROR($F72),0,IF(ISNA(MATCH($F72,TaxCode,0)),0,OFFSET(Setup!$D$15,MATCH($F72,TaxCode,0),0,1,1)))</f>
        <v>0</v>
      </c>
      <c r="N72" s="29">
        <f ca="1">$O72/(1+IF(ISERROR($F72),0,IF(ISNA(MATCH($F72,TaxCode,0)),0,OFFSET(Setup!$D$15,MATCH($F72,TaxCode,0),0,1,1)))+IF(ISERROR($G72),0,IF(ISNA(MATCH($G72,TaxCode,0)),0,OFFSET(Setup!$D$15,MATCH($G72,TaxCode,0),0,1,1))))*IF(ISERROR($G72),0,IF(ISNA(MATCH($G72,TaxCode,0)),0,OFFSET(Setup!$D$15,MATCH($G72,TaxCode,0),0,1,1)))</f>
        <v>0</v>
      </c>
      <c r="O72" s="29">
        <f t="shared" si="4"/>
        <v>9320</v>
      </c>
      <c r="P72" s="63" t="str">
        <f t="shared" ca="1" si="5"/>
        <v>-</v>
      </c>
    </row>
    <row r="73" spans="1:16" ht="16" customHeight="1" x14ac:dyDescent="0.25">
      <c r="A73" s="79">
        <v>43980</v>
      </c>
      <c r="B73" s="4" t="s">
        <v>169</v>
      </c>
      <c r="C73" s="4" t="s">
        <v>170</v>
      </c>
      <c r="D73" s="4" t="s">
        <v>171</v>
      </c>
      <c r="E73" s="29">
        <v>65</v>
      </c>
      <c r="F73" s="63" t="s">
        <v>93</v>
      </c>
      <c r="G73" s="63" t="s">
        <v>108</v>
      </c>
      <c r="H73" s="63" t="s">
        <v>151</v>
      </c>
      <c r="I73" s="30" t="s">
        <v>297</v>
      </c>
      <c r="J73" s="10">
        <v>43980</v>
      </c>
      <c r="K73" s="63">
        <f t="shared" ca="1" si="3"/>
        <v>0</v>
      </c>
      <c r="L73" s="29" cm="1">
        <f t="array" aca="1" ref="L73" ca="1">O73-IF(ExpTaxCount=2,SUM($M73:$N73),$M73:$M73)</f>
        <v>56.521739130434781</v>
      </c>
      <c r="M73" s="29">
        <f ca="1">$O73/(1+IF(ISERROR($F73),0,IF(ISNA(MATCH($F73,TaxCode,0)),0,OFFSET(Setup!$D$15,MATCH($F73,TaxCode,0),0,1,1)))+IF(ISERROR($G73),0,IF(ISNA(MATCH($G73,TaxCode,0)),0,OFFSET(Setup!$D$15,MATCH($G73,TaxCode,0),0,1,1))))*IF(ISERROR($F73),0,IF(ISNA(MATCH($F73,TaxCode,0)),0,OFFSET(Setup!$D$15,MATCH($F73,TaxCode,0),0,1,1)))</f>
        <v>8.4782608695652186</v>
      </c>
      <c r="N73" s="29">
        <f ca="1">$O73/(1+IF(ISERROR($F73),0,IF(ISNA(MATCH($F73,TaxCode,0)),0,OFFSET(Setup!$D$15,MATCH($F73,TaxCode,0),0,1,1)))+IF(ISERROR($G73),0,IF(ISNA(MATCH($G73,TaxCode,0)),0,OFFSET(Setup!$D$15,MATCH($G73,TaxCode,0),0,1,1))))*IF(ISERROR($G73),0,IF(ISNA(MATCH($G73,TaxCode,0)),0,OFFSET(Setup!$D$15,MATCH($G73,TaxCode,0),0,1,1)))</f>
        <v>0</v>
      </c>
      <c r="O73" s="29">
        <f t="shared" si="4"/>
        <v>65</v>
      </c>
      <c r="P73" s="63" t="str">
        <f t="shared" ca="1" si="5"/>
        <v>-</v>
      </c>
    </row>
    <row r="74" spans="1:16" ht="16" customHeight="1" x14ac:dyDescent="0.25">
      <c r="A74" s="79">
        <v>43982</v>
      </c>
      <c r="B74" s="4" t="s">
        <v>128</v>
      </c>
      <c r="C74" s="4" t="s">
        <v>109</v>
      </c>
      <c r="D74" s="4" t="s">
        <v>174</v>
      </c>
      <c r="E74" s="29">
        <v>65</v>
      </c>
      <c r="F74" s="63" t="s">
        <v>108</v>
      </c>
      <c r="G74" s="63" t="s">
        <v>108</v>
      </c>
      <c r="H74" s="63" t="s">
        <v>145</v>
      </c>
      <c r="I74" s="30" t="s">
        <v>275</v>
      </c>
      <c r="J74" s="10">
        <v>43982</v>
      </c>
      <c r="K74" s="63">
        <f t="shared" ca="1" si="3"/>
        <v>0</v>
      </c>
      <c r="L74" s="29" cm="1">
        <f t="array" aca="1" ref="L74" ca="1">O74-IF(ExpTaxCount=2,SUM($M74:$N74),$M74:$M74)</f>
        <v>65</v>
      </c>
      <c r="M74" s="29">
        <f ca="1">$O74/(1+IF(ISERROR($F74),0,IF(ISNA(MATCH($F74,TaxCode,0)),0,OFFSET(Setup!$D$15,MATCH($F74,TaxCode,0),0,1,1)))+IF(ISERROR($G74),0,IF(ISNA(MATCH($G74,TaxCode,0)),0,OFFSET(Setup!$D$15,MATCH($G74,TaxCode,0),0,1,1))))*IF(ISERROR($F74),0,IF(ISNA(MATCH($F74,TaxCode,0)),0,OFFSET(Setup!$D$15,MATCH($F74,TaxCode,0),0,1,1)))</f>
        <v>0</v>
      </c>
      <c r="N74" s="29">
        <f ca="1">$O74/(1+IF(ISERROR($F74),0,IF(ISNA(MATCH($F74,TaxCode,0)),0,OFFSET(Setup!$D$15,MATCH($F74,TaxCode,0),0,1,1)))+IF(ISERROR($G74),0,IF(ISNA(MATCH($G74,TaxCode,0)),0,OFFSET(Setup!$D$15,MATCH($G74,TaxCode,0),0,1,1))))*IF(ISERROR($G74),0,IF(ISNA(MATCH($G74,TaxCode,0)),0,OFFSET(Setup!$D$15,MATCH($G74,TaxCode,0),0,1,1)))</f>
        <v>0</v>
      </c>
      <c r="O74" s="29">
        <f t="shared" si="4"/>
        <v>65</v>
      </c>
      <c r="P74" s="63" t="str">
        <f t="shared" ca="1" si="5"/>
        <v>-</v>
      </c>
    </row>
    <row r="75" spans="1:16" ht="16" customHeight="1" x14ac:dyDescent="0.25">
      <c r="A75" s="79">
        <v>43982</v>
      </c>
      <c r="B75" s="4" t="s">
        <v>128</v>
      </c>
      <c r="C75" s="4" t="s">
        <v>109</v>
      </c>
      <c r="D75" s="4" t="s">
        <v>174</v>
      </c>
      <c r="E75" s="29">
        <v>-65</v>
      </c>
      <c r="F75" s="63" t="s">
        <v>108</v>
      </c>
      <c r="G75" s="63" t="s">
        <v>108</v>
      </c>
      <c r="H75" s="63" t="s">
        <v>151</v>
      </c>
      <c r="I75" s="30" t="s">
        <v>275</v>
      </c>
      <c r="J75" s="10">
        <v>43982</v>
      </c>
      <c r="K75" s="63">
        <f t="shared" ca="1" si="3"/>
        <v>0</v>
      </c>
      <c r="L75" s="29" cm="1">
        <f t="array" aca="1" ref="L75" ca="1">O75-IF(ExpTaxCount=2,SUM($M75:$N75),$M75:$M75)</f>
        <v>-65</v>
      </c>
      <c r="M75" s="29">
        <f ca="1">$O75/(1+IF(ISERROR($F75),0,IF(ISNA(MATCH($F75,TaxCode,0)),0,OFFSET(Setup!$D$15,MATCH($F75,TaxCode,0),0,1,1)))+IF(ISERROR($G75),0,IF(ISNA(MATCH($G75,TaxCode,0)),0,OFFSET(Setup!$D$15,MATCH($G75,TaxCode,0),0,1,1))))*IF(ISERROR($F75),0,IF(ISNA(MATCH($F75,TaxCode,0)),0,OFFSET(Setup!$D$15,MATCH($F75,TaxCode,0),0,1,1)))</f>
        <v>0</v>
      </c>
      <c r="N75" s="29">
        <f ca="1">$O75/(1+IF(ISERROR($F75),0,IF(ISNA(MATCH($F75,TaxCode,0)),0,OFFSET(Setup!$D$15,MATCH($F75,TaxCode,0),0,1,1)))+IF(ISERROR($G75),0,IF(ISNA(MATCH($G75,TaxCode,0)),0,OFFSET(Setup!$D$15,MATCH($G75,TaxCode,0),0,1,1))))*IF(ISERROR($G75),0,IF(ISNA(MATCH($G75,TaxCode,0)),0,OFFSET(Setup!$D$15,MATCH($G75,TaxCode,0),0,1,1)))</f>
        <v>0</v>
      </c>
      <c r="O75" s="29">
        <f t="shared" si="4"/>
        <v>-65</v>
      </c>
      <c r="P75" s="63" t="str">
        <f t="shared" ca="1" si="5"/>
        <v>-</v>
      </c>
    </row>
    <row r="76" spans="1:16" ht="16" customHeight="1" x14ac:dyDescent="0.25">
      <c r="A76" s="79">
        <v>43982</v>
      </c>
      <c r="B76" s="4" t="s">
        <v>505</v>
      </c>
      <c r="C76" s="4" t="s">
        <v>507</v>
      </c>
      <c r="D76" s="4" t="s">
        <v>506</v>
      </c>
      <c r="E76" s="29">
        <v>11020</v>
      </c>
      <c r="F76" s="63" t="s">
        <v>108</v>
      </c>
      <c r="G76" s="63" t="s">
        <v>108</v>
      </c>
      <c r="H76" s="63" t="s">
        <v>149</v>
      </c>
      <c r="I76" s="30" t="s">
        <v>290</v>
      </c>
      <c r="J76" s="10">
        <v>43989</v>
      </c>
      <c r="K76" s="63">
        <f t="shared" ca="1" si="3"/>
        <v>0</v>
      </c>
      <c r="L76" s="29" cm="1">
        <f t="array" aca="1" ref="L76" ca="1">O76-IF(ExpTaxCount=2,SUM($M76:$N76),$M76:$M76)</f>
        <v>11020</v>
      </c>
      <c r="M76" s="29">
        <f ca="1">$O76/(1+IF(ISERROR($F76),0,IF(ISNA(MATCH($F76,TaxCode,0)),0,OFFSET(Setup!$D$15,MATCH($F76,TaxCode,0),0,1,1)))+IF(ISERROR($G76),0,IF(ISNA(MATCH($G76,TaxCode,0)),0,OFFSET(Setup!$D$15,MATCH($G76,TaxCode,0),0,1,1))))*IF(ISERROR($F76),0,IF(ISNA(MATCH($F76,TaxCode,0)),0,OFFSET(Setup!$D$15,MATCH($F76,TaxCode,0),0,1,1)))</f>
        <v>0</v>
      </c>
      <c r="N76" s="29">
        <f ca="1">$O76/(1+IF(ISERROR($F76),0,IF(ISNA(MATCH($F76,TaxCode,0)),0,OFFSET(Setup!$D$15,MATCH($F76,TaxCode,0),0,1,1)))+IF(ISERROR($G76),0,IF(ISNA(MATCH($G76,TaxCode,0)),0,OFFSET(Setup!$D$15,MATCH($G76,TaxCode,0),0,1,1))))*IF(ISERROR($G76),0,IF(ISNA(MATCH($G76,TaxCode,0)),0,OFFSET(Setup!$D$15,MATCH($G76,TaxCode,0),0,1,1)))</f>
        <v>0</v>
      </c>
      <c r="O76" s="29">
        <f t="shared" si="4"/>
        <v>11020</v>
      </c>
      <c r="P76" s="63" t="str">
        <f t="shared" ca="1" si="5"/>
        <v>-</v>
      </c>
    </row>
    <row r="77" spans="1:16" ht="16" customHeight="1" x14ac:dyDescent="0.25">
      <c r="A77" s="79">
        <v>43983</v>
      </c>
      <c r="B77" s="4" t="s">
        <v>5</v>
      </c>
      <c r="C77" s="4" t="s">
        <v>32</v>
      </c>
      <c r="D77" s="4" t="s">
        <v>114</v>
      </c>
      <c r="E77" s="29">
        <v>850</v>
      </c>
      <c r="F77" s="63" t="s">
        <v>93</v>
      </c>
      <c r="G77" s="63" t="s">
        <v>108</v>
      </c>
      <c r="H77" s="63" t="s">
        <v>145</v>
      </c>
      <c r="I77" s="30" t="s">
        <v>303</v>
      </c>
      <c r="J77" s="10">
        <v>44013</v>
      </c>
      <c r="K77" s="63">
        <f t="shared" ca="1" si="3"/>
        <v>0</v>
      </c>
      <c r="L77" s="29" cm="1">
        <f t="array" aca="1" ref="L77" ca="1">O77-IF(ExpTaxCount=2,SUM($M77:$N77),$M77:$M77)</f>
        <v>739.13043478260875</v>
      </c>
      <c r="M77" s="29">
        <f ca="1">$O77/(1+IF(ISERROR($F77),0,IF(ISNA(MATCH($F77,TaxCode,0)),0,OFFSET(Setup!$D$15,MATCH($F77,TaxCode,0),0,1,1)))+IF(ISERROR($G77),0,IF(ISNA(MATCH($G77,TaxCode,0)),0,OFFSET(Setup!$D$15,MATCH($G77,TaxCode,0),0,1,1))))*IF(ISERROR($F77),0,IF(ISNA(MATCH($F77,TaxCode,0)),0,OFFSET(Setup!$D$15,MATCH($F77,TaxCode,0),0,1,1)))</f>
        <v>110.86956521739131</v>
      </c>
      <c r="N77" s="29">
        <f ca="1">$O77/(1+IF(ISERROR($F77),0,IF(ISNA(MATCH($F77,TaxCode,0)),0,OFFSET(Setup!$D$15,MATCH($F77,TaxCode,0),0,1,1)))+IF(ISERROR($G77),0,IF(ISNA(MATCH($G77,TaxCode,0)),0,OFFSET(Setup!$D$15,MATCH($G77,TaxCode,0),0,1,1))))*IF(ISERROR($G77),0,IF(ISNA(MATCH($G77,TaxCode,0)),0,OFFSET(Setup!$D$15,MATCH($G77,TaxCode,0),0,1,1)))</f>
        <v>0</v>
      </c>
      <c r="O77" s="29">
        <f t="shared" si="4"/>
        <v>850</v>
      </c>
      <c r="P77" s="63" t="str">
        <f t="shared" ca="1" si="5"/>
        <v>-</v>
      </c>
    </row>
    <row r="78" spans="1:16" ht="16" customHeight="1" x14ac:dyDescent="0.25">
      <c r="A78" s="79">
        <v>43987</v>
      </c>
      <c r="B78" s="4" t="s">
        <v>167</v>
      </c>
      <c r="C78" s="4" t="s">
        <v>110</v>
      </c>
      <c r="D78" s="4" t="s">
        <v>71</v>
      </c>
      <c r="E78" s="29">
        <v>368</v>
      </c>
      <c r="F78" s="63" t="s">
        <v>93</v>
      </c>
      <c r="G78" s="63" t="s">
        <v>108</v>
      </c>
      <c r="H78" s="63" t="s">
        <v>145</v>
      </c>
      <c r="I78" s="30" t="s">
        <v>296</v>
      </c>
      <c r="J78" s="10">
        <v>43987</v>
      </c>
      <c r="K78" s="63">
        <f t="shared" ca="1" si="3"/>
        <v>0</v>
      </c>
      <c r="L78" s="29" cm="1">
        <f t="array" aca="1" ref="L78" ca="1">O78-IF(ExpTaxCount=2,SUM($M78:$N78),$M78:$M78)</f>
        <v>320</v>
      </c>
      <c r="M78" s="29">
        <f ca="1">$O78/(1+IF(ISERROR($F78),0,IF(ISNA(MATCH($F78,TaxCode,0)),0,OFFSET(Setup!$D$15,MATCH($F78,TaxCode,0),0,1,1)))+IF(ISERROR($G78),0,IF(ISNA(MATCH($G78,TaxCode,0)),0,OFFSET(Setup!$D$15,MATCH($G78,TaxCode,0),0,1,1))))*IF(ISERROR($F78),0,IF(ISNA(MATCH($F78,TaxCode,0)),0,OFFSET(Setup!$D$15,MATCH($F78,TaxCode,0),0,1,1)))</f>
        <v>48</v>
      </c>
      <c r="N78" s="29">
        <f ca="1">$O78/(1+IF(ISERROR($F78),0,IF(ISNA(MATCH($F78,TaxCode,0)),0,OFFSET(Setup!$D$15,MATCH($F78,TaxCode,0),0,1,1)))+IF(ISERROR($G78),0,IF(ISNA(MATCH($G78,TaxCode,0)),0,OFFSET(Setup!$D$15,MATCH($G78,TaxCode,0),0,1,1))))*IF(ISERROR($G78),0,IF(ISNA(MATCH($G78,TaxCode,0)),0,OFFSET(Setup!$D$15,MATCH($G78,TaxCode,0),0,1,1)))</f>
        <v>0</v>
      </c>
      <c r="O78" s="29">
        <f t="shared" si="4"/>
        <v>368</v>
      </c>
      <c r="P78" s="63" t="str">
        <f t="shared" ca="1" si="5"/>
        <v>-</v>
      </c>
    </row>
    <row r="79" spans="1:16" ht="16" customHeight="1" x14ac:dyDescent="0.25">
      <c r="A79" s="79">
        <v>43987</v>
      </c>
      <c r="B79" s="4" t="s">
        <v>128</v>
      </c>
      <c r="C79" s="4" t="s">
        <v>172</v>
      </c>
      <c r="D79" s="4" t="s">
        <v>173</v>
      </c>
      <c r="E79" s="29">
        <v>-10000</v>
      </c>
      <c r="F79" s="63" t="s">
        <v>108</v>
      </c>
      <c r="G79" s="63" t="s">
        <v>108</v>
      </c>
      <c r="H79" s="63" t="s">
        <v>149</v>
      </c>
      <c r="I79" s="30" t="s">
        <v>275</v>
      </c>
      <c r="J79" s="10">
        <v>43987</v>
      </c>
      <c r="K79" s="63">
        <f t="shared" ca="1" si="3"/>
        <v>0</v>
      </c>
      <c r="L79" s="29" cm="1">
        <f t="array" aca="1" ref="L79" ca="1">O79-IF(ExpTaxCount=2,SUM($M79:$N79),$M79:$M79)</f>
        <v>-10000</v>
      </c>
      <c r="M79" s="29">
        <f ca="1">$O79/(1+IF(ISERROR($F79),0,IF(ISNA(MATCH($F79,TaxCode,0)),0,OFFSET(Setup!$D$15,MATCH($F79,TaxCode,0),0,1,1)))+IF(ISERROR($G79),0,IF(ISNA(MATCH($G79,TaxCode,0)),0,OFFSET(Setup!$D$15,MATCH($G79,TaxCode,0),0,1,1))))*IF(ISERROR($F79),0,IF(ISNA(MATCH($F79,TaxCode,0)),0,OFFSET(Setup!$D$15,MATCH($F79,TaxCode,0),0,1,1)))</f>
        <v>0</v>
      </c>
      <c r="N79" s="29">
        <f ca="1">$O79/(1+IF(ISERROR($F79),0,IF(ISNA(MATCH($F79,TaxCode,0)),0,OFFSET(Setup!$D$15,MATCH($F79,TaxCode,0),0,1,1)))+IF(ISERROR($G79),0,IF(ISNA(MATCH($G79,TaxCode,0)),0,OFFSET(Setup!$D$15,MATCH($G79,TaxCode,0),0,1,1))))*IF(ISERROR($G79),0,IF(ISNA(MATCH($G79,TaxCode,0)),0,OFFSET(Setup!$D$15,MATCH($G79,TaxCode,0),0,1,1)))</f>
        <v>0</v>
      </c>
      <c r="O79" s="29">
        <f t="shared" si="4"/>
        <v>-10000</v>
      </c>
      <c r="P79" s="63" t="str">
        <f t="shared" ca="1" si="5"/>
        <v>-</v>
      </c>
    </row>
    <row r="80" spans="1:16" ht="16" customHeight="1" x14ac:dyDescent="0.25">
      <c r="A80" s="79">
        <v>43987</v>
      </c>
      <c r="B80" s="4" t="s">
        <v>128</v>
      </c>
      <c r="C80" s="4" t="s">
        <v>172</v>
      </c>
      <c r="D80" s="4" t="s">
        <v>173</v>
      </c>
      <c r="E80" s="29">
        <v>10000</v>
      </c>
      <c r="F80" s="63" t="s">
        <v>108</v>
      </c>
      <c r="G80" s="63" t="s">
        <v>108</v>
      </c>
      <c r="H80" s="63" t="s">
        <v>145</v>
      </c>
      <c r="I80" s="30" t="s">
        <v>275</v>
      </c>
      <c r="J80" s="10">
        <v>43987</v>
      </c>
      <c r="K80" s="63">
        <f t="shared" ca="1" si="3"/>
        <v>0</v>
      </c>
      <c r="L80" s="29" cm="1">
        <f t="array" aca="1" ref="L80" ca="1">O80-IF(ExpTaxCount=2,SUM($M80:$N80),$M80:$M80)</f>
        <v>10000</v>
      </c>
      <c r="M80" s="29">
        <f ca="1">$O80/(1+IF(ISERROR($F80),0,IF(ISNA(MATCH($F80,TaxCode,0)),0,OFFSET(Setup!$D$15,MATCH($F80,TaxCode,0),0,1,1)))+IF(ISERROR($G80),0,IF(ISNA(MATCH($G80,TaxCode,0)),0,OFFSET(Setup!$D$15,MATCH($G80,TaxCode,0),0,1,1))))*IF(ISERROR($F80),0,IF(ISNA(MATCH($F80,TaxCode,0)),0,OFFSET(Setup!$D$15,MATCH($F80,TaxCode,0),0,1,1)))</f>
        <v>0</v>
      </c>
      <c r="N80" s="29">
        <f ca="1">$O80/(1+IF(ISERROR($F80),0,IF(ISNA(MATCH($F80,TaxCode,0)),0,OFFSET(Setup!$D$15,MATCH($F80,TaxCode,0),0,1,1)))+IF(ISERROR($G80),0,IF(ISNA(MATCH($G80,TaxCode,0)),0,OFFSET(Setup!$D$15,MATCH($G80,TaxCode,0),0,1,1))))*IF(ISERROR($G80),0,IF(ISNA(MATCH($G80,TaxCode,0)),0,OFFSET(Setup!$D$15,MATCH($G80,TaxCode,0),0,1,1)))</f>
        <v>0</v>
      </c>
      <c r="O80" s="29">
        <f t="shared" si="4"/>
        <v>10000</v>
      </c>
      <c r="P80" s="63" t="str">
        <f t="shared" ca="1" si="5"/>
        <v>-</v>
      </c>
    </row>
    <row r="81" spans="1:16" ht="16" customHeight="1" x14ac:dyDescent="0.25">
      <c r="A81" s="79">
        <v>43997</v>
      </c>
      <c r="B81" s="4" t="s">
        <v>168</v>
      </c>
      <c r="C81" s="4" t="s">
        <v>109</v>
      </c>
      <c r="D81" s="4" t="s">
        <v>12</v>
      </c>
      <c r="E81" s="29">
        <v>80</v>
      </c>
      <c r="F81" s="63" t="s">
        <v>93</v>
      </c>
      <c r="G81" s="63" t="s">
        <v>108</v>
      </c>
      <c r="H81" s="63" t="s">
        <v>145</v>
      </c>
      <c r="I81" s="30" t="s">
        <v>291</v>
      </c>
      <c r="J81" s="10">
        <v>43997</v>
      </c>
      <c r="K81" s="63">
        <f t="shared" ca="1" si="3"/>
        <v>0</v>
      </c>
      <c r="L81" s="29" cm="1">
        <f t="array" aca="1" ref="L81" ca="1">O81-IF(ExpTaxCount=2,SUM($M81:$N81),$M81:$M81)</f>
        <v>69.565217391304344</v>
      </c>
      <c r="M81" s="29">
        <f ca="1">$O81/(1+IF(ISERROR($F81),0,IF(ISNA(MATCH($F81,TaxCode,0)),0,OFFSET(Setup!$D$15,MATCH($F81,TaxCode,0),0,1,1)))+IF(ISERROR($G81),0,IF(ISNA(MATCH($G81,TaxCode,0)),0,OFFSET(Setup!$D$15,MATCH($G81,TaxCode,0),0,1,1))))*IF(ISERROR($F81),0,IF(ISNA(MATCH($F81,TaxCode,0)),0,OFFSET(Setup!$D$15,MATCH($F81,TaxCode,0),0,1,1)))</f>
        <v>10.434782608695654</v>
      </c>
      <c r="N81" s="29">
        <f ca="1">$O81/(1+IF(ISERROR($F81),0,IF(ISNA(MATCH($F81,TaxCode,0)),0,OFFSET(Setup!$D$15,MATCH($F81,TaxCode,0),0,1,1)))+IF(ISERROR($G81),0,IF(ISNA(MATCH($G81,TaxCode,0)),0,OFFSET(Setup!$D$15,MATCH($G81,TaxCode,0),0,1,1))))*IF(ISERROR($G81),0,IF(ISNA(MATCH($G81,TaxCode,0)),0,OFFSET(Setup!$D$15,MATCH($G81,TaxCode,0),0,1,1)))</f>
        <v>0</v>
      </c>
      <c r="O81" s="29">
        <f t="shared" si="4"/>
        <v>80</v>
      </c>
      <c r="P81" s="63" t="str">
        <f t="shared" ca="1" si="5"/>
        <v>-</v>
      </c>
    </row>
    <row r="82" spans="1:16" ht="16" customHeight="1" x14ac:dyDescent="0.25">
      <c r="A82" s="79">
        <v>43997</v>
      </c>
      <c r="B82" s="4" t="s">
        <v>168</v>
      </c>
      <c r="C82" s="4" t="s">
        <v>109</v>
      </c>
      <c r="D82" s="4" t="s">
        <v>12</v>
      </c>
      <c r="E82" s="29">
        <v>35</v>
      </c>
      <c r="F82" s="63" t="s">
        <v>93</v>
      </c>
      <c r="G82" s="63" t="s">
        <v>108</v>
      </c>
      <c r="H82" s="63" t="s">
        <v>147</v>
      </c>
      <c r="I82" s="30" t="s">
        <v>291</v>
      </c>
      <c r="J82" s="10">
        <v>43997</v>
      </c>
      <c r="K82" s="63">
        <f t="shared" ca="1" si="3"/>
        <v>0</v>
      </c>
      <c r="L82" s="29" cm="1">
        <f t="array" aca="1" ref="L82" ca="1">O82-IF(ExpTaxCount=2,SUM($M82:$N82),$M82:$M82)</f>
        <v>30.434782608695652</v>
      </c>
      <c r="M82" s="29">
        <f ca="1">$O82/(1+IF(ISERROR($F82),0,IF(ISNA(MATCH($F82,TaxCode,0)),0,OFFSET(Setup!$D$15,MATCH($F82,TaxCode,0),0,1,1)))+IF(ISERROR($G82),0,IF(ISNA(MATCH($G82,TaxCode,0)),0,OFFSET(Setup!$D$15,MATCH($G82,TaxCode,0),0,1,1))))*IF(ISERROR($F82),0,IF(ISNA(MATCH($F82,TaxCode,0)),0,OFFSET(Setup!$D$15,MATCH($F82,TaxCode,0),0,1,1)))</f>
        <v>4.5652173913043486</v>
      </c>
      <c r="N82" s="29">
        <f ca="1">$O82/(1+IF(ISERROR($F82),0,IF(ISNA(MATCH($F82,TaxCode,0)),0,OFFSET(Setup!$D$15,MATCH($F82,TaxCode,0),0,1,1)))+IF(ISERROR($G82),0,IF(ISNA(MATCH($G82,TaxCode,0)),0,OFFSET(Setup!$D$15,MATCH($G82,TaxCode,0),0,1,1))))*IF(ISERROR($G82),0,IF(ISNA(MATCH($G82,TaxCode,0)),0,OFFSET(Setup!$D$15,MATCH($G82,TaxCode,0),0,1,1)))</f>
        <v>0</v>
      </c>
      <c r="O82" s="29">
        <f t="shared" si="4"/>
        <v>35</v>
      </c>
      <c r="P82" s="63" t="str">
        <f t="shared" ca="1" si="5"/>
        <v>-</v>
      </c>
    </row>
    <row r="83" spans="1:16" ht="16" customHeight="1" x14ac:dyDescent="0.25">
      <c r="A83" s="79">
        <v>43997</v>
      </c>
      <c r="B83" s="4" t="s">
        <v>11</v>
      </c>
      <c r="C83" s="4" t="s">
        <v>112</v>
      </c>
      <c r="D83" s="4" t="s">
        <v>504</v>
      </c>
      <c r="E83" s="29">
        <v>2300</v>
      </c>
      <c r="F83" s="63" t="s">
        <v>93</v>
      </c>
      <c r="G83" s="63" t="s">
        <v>108</v>
      </c>
      <c r="H83" s="63" t="s">
        <v>145</v>
      </c>
      <c r="I83" s="30" t="s">
        <v>289</v>
      </c>
      <c r="J83" s="10">
        <v>44015</v>
      </c>
      <c r="K83" s="63">
        <f t="shared" ca="1" si="3"/>
        <v>0</v>
      </c>
      <c r="L83" s="29" cm="1">
        <f t="array" aca="1" ref="L83" ca="1">O83-IF(ExpTaxCount=2,SUM($M83:$N83),$M83:$M83)</f>
        <v>2000</v>
      </c>
      <c r="M83" s="29">
        <f ca="1">$O83/(1+IF(ISERROR($F83),0,IF(ISNA(MATCH($F83,TaxCode,0)),0,OFFSET(Setup!$D$15,MATCH($F83,TaxCode,0),0,1,1)))+IF(ISERROR($G83),0,IF(ISNA(MATCH($G83,TaxCode,0)),0,OFFSET(Setup!$D$15,MATCH($G83,TaxCode,0),0,1,1))))*IF(ISERROR($F83),0,IF(ISNA(MATCH($F83,TaxCode,0)),0,OFFSET(Setup!$D$15,MATCH($F83,TaxCode,0),0,1,1)))</f>
        <v>300</v>
      </c>
      <c r="N83" s="29">
        <f ca="1">$O83/(1+IF(ISERROR($F83),0,IF(ISNA(MATCH($F83,TaxCode,0)),0,OFFSET(Setup!$D$15,MATCH($F83,TaxCode,0),0,1,1)))+IF(ISERROR($G83),0,IF(ISNA(MATCH($G83,TaxCode,0)),0,OFFSET(Setup!$D$15,MATCH($G83,TaxCode,0),0,1,1))))*IF(ISERROR($G83),0,IF(ISNA(MATCH($G83,TaxCode,0)),0,OFFSET(Setup!$D$15,MATCH($G83,TaxCode,0),0,1,1)))</f>
        <v>0</v>
      </c>
      <c r="O83" s="29">
        <f t="shared" si="4"/>
        <v>2300</v>
      </c>
      <c r="P83" s="63" t="str">
        <f t="shared" ca="1" si="5"/>
        <v>-</v>
      </c>
    </row>
    <row r="84" spans="1:16" ht="16" customHeight="1" x14ac:dyDescent="0.25">
      <c r="A84" s="79">
        <v>44002</v>
      </c>
      <c r="B84" s="4" t="s">
        <v>128</v>
      </c>
      <c r="C84" s="4" t="s">
        <v>172</v>
      </c>
      <c r="D84" s="4" t="s">
        <v>173</v>
      </c>
      <c r="E84" s="29">
        <v>-80000</v>
      </c>
      <c r="F84" s="63" t="s">
        <v>108</v>
      </c>
      <c r="G84" s="63" t="s">
        <v>108</v>
      </c>
      <c r="H84" s="63" t="s">
        <v>147</v>
      </c>
      <c r="I84" s="30" t="s">
        <v>275</v>
      </c>
      <c r="J84" s="10">
        <v>44002</v>
      </c>
      <c r="K84" s="63">
        <f t="shared" ca="1" si="3"/>
        <v>0</v>
      </c>
      <c r="L84" s="29" cm="1">
        <f t="array" aca="1" ref="L84" ca="1">O84-IF(ExpTaxCount=2,SUM($M84:$N84),$M84:$M84)</f>
        <v>-80000</v>
      </c>
      <c r="M84" s="29">
        <f ca="1">$O84/(1+IF(ISERROR($F84),0,IF(ISNA(MATCH($F84,TaxCode,0)),0,OFFSET(Setup!$D$15,MATCH($F84,TaxCode,0),0,1,1)))+IF(ISERROR($G84),0,IF(ISNA(MATCH($G84,TaxCode,0)),0,OFFSET(Setup!$D$15,MATCH($G84,TaxCode,0),0,1,1))))*IF(ISERROR($F84),0,IF(ISNA(MATCH($F84,TaxCode,0)),0,OFFSET(Setup!$D$15,MATCH($F84,TaxCode,0),0,1,1)))</f>
        <v>0</v>
      </c>
      <c r="N84" s="29">
        <f ca="1">$O84/(1+IF(ISERROR($F84),0,IF(ISNA(MATCH($F84,TaxCode,0)),0,OFFSET(Setup!$D$15,MATCH($F84,TaxCode,0),0,1,1)))+IF(ISERROR($G84),0,IF(ISNA(MATCH($G84,TaxCode,0)),0,OFFSET(Setup!$D$15,MATCH($G84,TaxCode,0),0,1,1))))*IF(ISERROR($G84),0,IF(ISNA(MATCH($G84,TaxCode,0)),0,OFFSET(Setup!$D$15,MATCH($G84,TaxCode,0),0,1,1)))</f>
        <v>0</v>
      </c>
      <c r="O84" s="29">
        <f t="shared" si="4"/>
        <v>-80000</v>
      </c>
      <c r="P84" s="63" t="str">
        <f t="shared" ca="1" si="5"/>
        <v>-</v>
      </c>
    </row>
    <row r="85" spans="1:16" ht="16" customHeight="1" x14ac:dyDescent="0.25">
      <c r="A85" s="79">
        <v>44002</v>
      </c>
      <c r="B85" s="4" t="s">
        <v>128</v>
      </c>
      <c r="C85" s="4" t="s">
        <v>172</v>
      </c>
      <c r="D85" s="4" t="s">
        <v>173</v>
      </c>
      <c r="E85" s="29">
        <v>80000</v>
      </c>
      <c r="F85" s="63" t="s">
        <v>108</v>
      </c>
      <c r="G85" s="63" t="s">
        <v>108</v>
      </c>
      <c r="H85" s="63" t="s">
        <v>145</v>
      </c>
      <c r="I85" s="30" t="s">
        <v>275</v>
      </c>
      <c r="J85" s="10">
        <v>44002</v>
      </c>
      <c r="K85" s="63">
        <f t="shared" ca="1" si="3"/>
        <v>0</v>
      </c>
      <c r="L85" s="29" cm="1">
        <f t="array" aca="1" ref="L85" ca="1">O85-IF(ExpTaxCount=2,SUM($M85:$N85),$M85:$M85)</f>
        <v>80000</v>
      </c>
      <c r="M85" s="29">
        <f ca="1">$O85/(1+IF(ISERROR($F85),0,IF(ISNA(MATCH($F85,TaxCode,0)),0,OFFSET(Setup!$D$15,MATCH($F85,TaxCode,0),0,1,1)))+IF(ISERROR($G85),0,IF(ISNA(MATCH($G85,TaxCode,0)),0,OFFSET(Setup!$D$15,MATCH($G85,TaxCode,0),0,1,1))))*IF(ISERROR($F85),0,IF(ISNA(MATCH($F85,TaxCode,0)),0,OFFSET(Setup!$D$15,MATCH($F85,TaxCode,0),0,1,1)))</f>
        <v>0</v>
      </c>
      <c r="N85" s="29">
        <f ca="1">$O85/(1+IF(ISERROR($F85),0,IF(ISNA(MATCH($F85,TaxCode,0)),0,OFFSET(Setup!$D$15,MATCH($F85,TaxCode,0),0,1,1)))+IF(ISERROR($G85),0,IF(ISNA(MATCH($G85,TaxCode,0)),0,OFFSET(Setup!$D$15,MATCH($G85,TaxCode,0),0,1,1))))*IF(ISERROR($G85),0,IF(ISNA(MATCH($G85,TaxCode,0)),0,OFFSET(Setup!$D$15,MATCH($G85,TaxCode,0),0,1,1)))</f>
        <v>0</v>
      </c>
      <c r="O85" s="29">
        <f t="shared" si="4"/>
        <v>80000</v>
      </c>
      <c r="P85" s="63" t="str">
        <f t="shared" ca="1" si="5"/>
        <v>-</v>
      </c>
    </row>
    <row r="86" spans="1:16" ht="16" customHeight="1" x14ac:dyDescent="0.25">
      <c r="A86" s="79">
        <v>44004</v>
      </c>
      <c r="B86" s="4" t="s">
        <v>169</v>
      </c>
      <c r="C86" s="4" t="s">
        <v>170</v>
      </c>
      <c r="D86" s="4" t="s">
        <v>171</v>
      </c>
      <c r="E86" s="29">
        <v>110</v>
      </c>
      <c r="F86" s="63" t="s">
        <v>93</v>
      </c>
      <c r="G86" s="63" t="s">
        <v>108</v>
      </c>
      <c r="H86" s="63" t="s">
        <v>151</v>
      </c>
      <c r="I86" s="30" t="s">
        <v>297</v>
      </c>
      <c r="J86" s="10">
        <v>44004</v>
      </c>
      <c r="K86" s="63">
        <f t="shared" ca="1" si="3"/>
        <v>0</v>
      </c>
      <c r="L86" s="29" cm="1">
        <f t="array" aca="1" ref="L86" ca="1">O86-IF(ExpTaxCount=2,SUM($M86:$N86),$M86:$M86)</f>
        <v>95.652173913043484</v>
      </c>
      <c r="M86" s="29">
        <f ca="1">$O86/(1+IF(ISERROR($F86),0,IF(ISNA(MATCH($F86,TaxCode,0)),0,OFFSET(Setup!$D$15,MATCH($F86,TaxCode,0),0,1,1)))+IF(ISERROR($G86),0,IF(ISNA(MATCH($G86,TaxCode,0)),0,OFFSET(Setup!$D$15,MATCH($G86,TaxCode,0),0,1,1))))*IF(ISERROR($F86),0,IF(ISNA(MATCH($F86,TaxCode,0)),0,OFFSET(Setup!$D$15,MATCH($F86,TaxCode,0),0,1,1)))</f>
        <v>14.347826086956522</v>
      </c>
      <c r="N86" s="29">
        <f ca="1">$O86/(1+IF(ISERROR($F86),0,IF(ISNA(MATCH($F86,TaxCode,0)),0,OFFSET(Setup!$D$15,MATCH($F86,TaxCode,0),0,1,1)))+IF(ISERROR($G86),0,IF(ISNA(MATCH($G86,TaxCode,0)),0,OFFSET(Setup!$D$15,MATCH($G86,TaxCode,0),0,1,1))))*IF(ISERROR($G86),0,IF(ISNA(MATCH($G86,TaxCode,0)),0,OFFSET(Setup!$D$15,MATCH($G86,TaxCode,0),0,1,1)))</f>
        <v>0</v>
      </c>
      <c r="O86" s="29">
        <f t="shared" si="4"/>
        <v>110</v>
      </c>
      <c r="P86" s="63" t="str">
        <f t="shared" ca="1" si="5"/>
        <v>-</v>
      </c>
    </row>
    <row r="87" spans="1:16" ht="16" customHeight="1" x14ac:dyDescent="0.25">
      <c r="A87" s="79">
        <v>44007</v>
      </c>
      <c r="B87" s="4" t="s">
        <v>48</v>
      </c>
      <c r="C87" s="4" t="s">
        <v>121</v>
      </c>
      <c r="D87" s="4" t="s">
        <v>57</v>
      </c>
      <c r="E87" s="29">
        <v>40016.089999999997</v>
      </c>
      <c r="F87" s="63" t="s">
        <v>108</v>
      </c>
      <c r="G87" s="63" t="s">
        <v>108</v>
      </c>
      <c r="H87" s="63" t="s">
        <v>145</v>
      </c>
      <c r="I87" s="30" t="s">
        <v>284</v>
      </c>
      <c r="J87" s="10">
        <v>44007</v>
      </c>
      <c r="K87" s="63">
        <f t="shared" ca="1" si="3"/>
        <v>0</v>
      </c>
      <c r="L87" s="29" cm="1">
        <f t="array" aca="1" ref="L87" ca="1">O87-IF(ExpTaxCount=2,SUM($M87:$N87),$M87:$M87)</f>
        <v>40016.089999999997</v>
      </c>
      <c r="M87" s="29">
        <f ca="1">$O87/(1+IF(ISERROR($F87),0,IF(ISNA(MATCH($F87,TaxCode,0)),0,OFFSET(Setup!$D$15,MATCH($F87,TaxCode,0),0,1,1)))+IF(ISERROR($G87),0,IF(ISNA(MATCH($G87,TaxCode,0)),0,OFFSET(Setup!$D$15,MATCH($G87,TaxCode,0),0,1,1))))*IF(ISERROR($F87),0,IF(ISNA(MATCH($F87,TaxCode,0)),0,OFFSET(Setup!$D$15,MATCH($F87,TaxCode,0),0,1,1)))</f>
        <v>0</v>
      </c>
      <c r="N87" s="29">
        <f ca="1">$O87/(1+IF(ISERROR($F87),0,IF(ISNA(MATCH($F87,TaxCode,0)),0,OFFSET(Setup!$D$15,MATCH($F87,TaxCode,0),0,1,1)))+IF(ISERROR($G87),0,IF(ISNA(MATCH($G87,TaxCode,0)),0,OFFSET(Setup!$D$15,MATCH($G87,TaxCode,0),0,1,1))))*IF(ISERROR($G87),0,IF(ISNA(MATCH($G87,TaxCode,0)),0,OFFSET(Setup!$D$15,MATCH($G87,TaxCode,0),0,1,1)))</f>
        <v>0</v>
      </c>
      <c r="O87" s="29">
        <f t="shared" si="4"/>
        <v>40016.089999999997</v>
      </c>
      <c r="P87" s="63" t="str">
        <f t="shared" ca="1" si="5"/>
        <v>-</v>
      </c>
    </row>
    <row r="88" spans="1:16" ht="16" customHeight="1" x14ac:dyDescent="0.25">
      <c r="A88" s="79">
        <v>44008</v>
      </c>
      <c r="B88" s="4" t="s">
        <v>128</v>
      </c>
      <c r="C88" s="4" t="s">
        <v>115</v>
      </c>
      <c r="D88" s="4" t="s">
        <v>26</v>
      </c>
      <c r="E88" s="29">
        <v>45000</v>
      </c>
      <c r="F88" s="63" t="s">
        <v>108</v>
      </c>
      <c r="G88" s="63" t="s">
        <v>108</v>
      </c>
      <c r="H88" s="63" t="s">
        <v>147</v>
      </c>
      <c r="I88" s="30" t="s">
        <v>366</v>
      </c>
      <c r="J88" s="10">
        <v>44008</v>
      </c>
      <c r="K88" s="63">
        <f t="shared" ca="1" si="3"/>
        <v>0</v>
      </c>
      <c r="L88" s="29" cm="1">
        <f t="array" aca="1" ref="L88" ca="1">O88-IF(ExpTaxCount=2,SUM($M88:$N88),$M88:$M88)</f>
        <v>45000</v>
      </c>
      <c r="M88" s="29">
        <f ca="1">$O88/(1+IF(ISERROR($F88),0,IF(ISNA(MATCH($F88,TaxCode,0)),0,OFFSET(Setup!$D$15,MATCH($F88,TaxCode,0),0,1,1)))+IF(ISERROR($G88),0,IF(ISNA(MATCH($G88,TaxCode,0)),0,OFFSET(Setup!$D$15,MATCH($G88,TaxCode,0),0,1,1))))*IF(ISERROR($F88),0,IF(ISNA(MATCH($F88,TaxCode,0)),0,OFFSET(Setup!$D$15,MATCH($F88,TaxCode,0),0,1,1)))</f>
        <v>0</v>
      </c>
      <c r="N88" s="29">
        <f ca="1">$O88/(1+IF(ISERROR($F88),0,IF(ISNA(MATCH($F88,TaxCode,0)),0,OFFSET(Setup!$D$15,MATCH($F88,TaxCode,0),0,1,1)))+IF(ISERROR($G88),0,IF(ISNA(MATCH($G88,TaxCode,0)),0,OFFSET(Setup!$D$15,MATCH($G88,TaxCode,0),0,1,1))))*IF(ISERROR($G88),0,IF(ISNA(MATCH($G88,TaxCode,0)),0,OFFSET(Setup!$D$15,MATCH($G88,TaxCode,0),0,1,1)))</f>
        <v>0</v>
      </c>
      <c r="O88" s="29">
        <f t="shared" si="4"/>
        <v>45000</v>
      </c>
      <c r="P88" s="63" t="str">
        <f t="shared" ca="1" si="5"/>
        <v>-</v>
      </c>
    </row>
    <row r="89" spans="1:16" ht="16" customHeight="1" x14ac:dyDescent="0.25">
      <c r="A89" s="79">
        <v>44008</v>
      </c>
      <c r="B89" s="4" t="s">
        <v>54</v>
      </c>
      <c r="C89" s="4" t="s">
        <v>110</v>
      </c>
      <c r="D89" s="4" t="s">
        <v>56</v>
      </c>
      <c r="E89" s="29">
        <v>2647.85</v>
      </c>
      <c r="F89" s="63" t="s">
        <v>108</v>
      </c>
      <c r="G89" s="63" t="s">
        <v>108</v>
      </c>
      <c r="H89" s="63" t="s">
        <v>145</v>
      </c>
      <c r="I89" s="30" t="s">
        <v>403</v>
      </c>
      <c r="J89" s="10">
        <v>44008</v>
      </c>
      <c r="K89" s="63">
        <f t="shared" ca="1" si="3"/>
        <v>0</v>
      </c>
      <c r="L89" s="29" cm="1">
        <f t="array" aca="1" ref="L89" ca="1">O89-IF(ExpTaxCount=2,SUM($M89:$N89),$M89:$M89)</f>
        <v>2647.85</v>
      </c>
      <c r="M89" s="29">
        <f ca="1">$O89/(1+IF(ISERROR($F89),0,IF(ISNA(MATCH($F89,TaxCode,0)),0,OFFSET(Setup!$D$15,MATCH($F89,TaxCode,0),0,1,1)))+IF(ISERROR($G89),0,IF(ISNA(MATCH($G89,TaxCode,0)),0,OFFSET(Setup!$D$15,MATCH($G89,TaxCode,0),0,1,1))))*IF(ISERROR($F89),0,IF(ISNA(MATCH($F89,TaxCode,0)),0,OFFSET(Setup!$D$15,MATCH($F89,TaxCode,0),0,1,1)))</f>
        <v>0</v>
      </c>
      <c r="N89" s="29">
        <f ca="1">$O89/(1+IF(ISERROR($F89),0,IF(ISNA(MATCH($F89,TaxCode,0)),0,OFFSET(Setup!$D$15,MATCH($F89,TaxCode,0),0,1,1)))+IF(ISERROR($G89),0,IF(ISNA(MATCH($G89,TaxCode,0)),0,OFFSET(Setup!$D$15,MATCH($G89,TaxCode,0),0,1,1))))*IF(ISERROR($G89),0,IF(ISNA(MATCH($G89,TaxCode,0)),0,OFFSET(Setup!$D$15,MATCH($G89,TaxCode,0),0,1,1)))</f>
        <v>0</v>
      </c>
      <c r="O89" s="29">
        <f t="shared" si="4"/>
        <v>2647.85</v>
      </c>
      <c r="P89" s="63" t="str">
        <f t="shared" ca="1" si="5"/>
        <v>-</v>
      </c>
    </row>
    <row r="90" spans="1:16" ht="16" customHeight="1" x14ac:dyDescent="0.25">
      <c r="A90" s="79">
        <v>44008</v>
      </c>
      <c r="B90" s="4" t="s">
        <v>54</v>
      </c>
      <c r="C90" s="4" t="s">
        <v>110</v>
      </c>
      <c r="D90" s="4" t="s">
        <v>55</v>
      </c>
      <c r="E90" s="29">
        <v>1601.56</v>
      </c>
      <c r="F90" s="63" t="s">
        <v>108</v>
      </c>
      <c r="G90" s="63" t="s">
        <v>108</v>
      </c>
      <c r="H90" s="63" t="s">
        <v>145</v>
      </c>
      <c r="I90" s="30" t="s">
        <v>309</v>
      </c>
      <c r="J90" s="10">
        <v>44008</v>
      </c>
      <c r="K90" s="63">
        <f t="shared" ca="1" si="3"/>
        <v>0</v>
      </c>
      <c r="L90" s="29" cm="1">
        <f t="array" aca="1" ref="L90" ca="1">O90-IF(ExpTaxCount=2,SUM($M90:$N90),$M90:$M90)</f>
        <v>1601.56</v>
      </c>
      <c r="M90" s="29">
        <f ca="1">$O90/(1+IF(ISERROR($F90),0,IF(ISNA(MATCH($F90,TaxCode,0)),0,OFFSET(Setup!$D$15,MATCH($F90,TaxCode,0),0,1,1)))+IF(ISERROR($G90),0,IF(ISNA(MATCH($G90,TaxCode,0)),0,OFFSET(Setup!$D$15,MATCH($G90,TaxCode,0),0,1,1))))*IF(ISERROR($F90),0,IF(ISNA(MATCH($F90,TaxCode,0)),0,OFFSET(Setup!$D$15,MATCH($F90,TaxCode,0),0,1,1)))</f>
        <v>0</v>
      </c>
      <c r="N90" s="29">
        <f ca="1">$O90/(1+IF(ISERROR($F90),0,IF(ISNA(MATCH($F90,TaxCode,0)),0,OFFSET(Setup!$D$15,MATCH($F90,TaxCode,0),0,1,1)))+IF(ISERROR($G90),0,IF(ISNA(MATCH($G90,TaxCode,0)),0,OFFSET(Setup!$D$15,MATCH($G90,TaxCode,0),0,1,1))))*IF(ISERROR($G90),0,IF(ISNA(MATCH($G90,TaxCode,0)),0,OFFSET(Setup!$D$15,MATCH($G90,TaxCode,0),0,1,1)))</f>
        <v>0</v>
      </c>
      <c r="O90" s="29">
        <f t="shared" si="4"/>
        <v>1601.56</v>
      </c>
      <c r="P90" s="63" t="str">
        <f t="shared" ca="1" si="5"/>
        <v>-</v>
      </c>
    </row>
    <row r="91" spans="1:16" ht="16" customHeight="1" x14ac:dyDescent="0.25">
      <c r="A91" s="79">
        <v>44008</v>
      </c>
      <c r="B91" s="4" t="s">
        <v>25</v>
      </c>
      <c r="C91" s="4" t="s">
        <v>110</v>
      </c>
      <c r="D91" s="4" t="s">
        <v>116</v>
      </c>
      <c r="E91" s="29">
        <v>13800</v>
      </c>
      <c r="F91" s="63" t="s">
        <v>93</v>
      </c>
      <c r="G91" s="63" t="s">
        <v>108</v>
      </c>
      <c r="H91" s="63" t="s">
        <v>145</v>
      </c>
      <c r="I91" s="30" t="s">
        <v>298</v>
      </c>
      <c r="J91" s="10">
        <v>44008</v>
      </c>
      <c r="K91" s="63">
        <f t="shared" ca="1" si="3"/>
        <v>0</v>
      </c>
      <c r="L91" s="29" cm="1">
        <f t="array" aca="1" ref="L91" ca="1">O91-IF(ExpTaxCount=2,SUM($M91:$N91),$M91:$M91)</f>
        <v>12000</v>
      </c>
      <c r="M91" s="29">
        <f ca="1">$O91/(1+IF(ISERROR($F91),0,IF(ISNA(MATCH($F91,TaxCode,0)),0,OFFSET(Setup!$D$15,MATCH($F91,TaxCode,0),0,1,1)))+IF(ISERROR($G91),0,IF(ISNA(MATCH($G91,TaxCode,0)),0,OFFSET(Setup!$D$15,MATCH($G91,TaxCode,0),0,1,1))))*IF(ISERROR($F91),0,IF(ISNA(MATCH($F91,TaxCode,0)),0,OFFSET(Setup!$D$15,MATCH($F91,TaxCode,0),0,1,1)))</f>
        <v>1800.0000000000002</v>
      </c>
      <c r="N91" s="29">
        <f ca="1">$O91/(1+IF(ISERROR($F91),0,IF(ISNA(MATCH($F91,TaxCode,0)),0,OFFSET(Setup!$D$15,MATCH($F91,TaxCode,0),0,1,1)))+IF(ISERROR($G91),0,IF(ISNA(MATCH($G91,TaxCode,0)),0,OFFSET(Setup!$D$15,MATCH($G91,TaxCode,0),0,1,1))))*IF(ISERROR($G91),0,IF(ISNA(MATCH($G91,TaxCode,0)),0,OFFSET(Setup!$D$15,MATCH($G91,TaxCode,0),0,1,1)))</f>
        <v>0</v>
      </c>
      <c r="O91" s="29">
        <f t="shared" si="4"/>
        <v>13800</v>
      </c>
      <c r="P91" s="63" t="str">
        <f t="shared" ca="1" si="5"/>
        <v>-</v>
      </c>
    </row>
    <row r="92" spans="1:16" ht="16" customHeight="1" x14ac:dyDescent="0.25">
      <c r="A92" s="79">
        <v>44008</v>
      </c>
      <c r="B92" s="4" t="s">
        <v>44</v>
      </c>
      <c r="C92" s="4" t="s">
        <v>45</v>
      </c>
      <c r="D92" s="4" t="s">
        <v>120</v>
      </c>
      <c r="E92" s="29">
        <v>2100</v>
      </c>
      <c r="F92" s="63" t="s">
        <v>93</v>
      </c>
      <c r="G92" s="63" t="s">
        <v>108</v>
      </c>
      <c r="H92" s="63" t="s">
        <v>145</v>
      </c>
      <c r="I92" s="30" t="s">
        <v>305</v>
      </c>
      <c r="J92" s="10">
        <v>44008</v>
      </c>
      <c r="K92" s="63">
        <f t="shared" ca="1" si="3"/>
        <v>0</v>
      </c>
      <c r="L92" s="29" cm="1">
        <f t="array" aca="1" ref="L92" ca="1">O92-IF(ExpTaxCount=2,SUM($M92:$N92),$M92:$M92)</f>
        <v>1826.086956521739</v>
      </c>
      <c r="M92" s="29">
        <f ca="1">$O92/(1+IF(ISERROR($F92),0,IF(ISNA(MATCH($F92,TaxCode,0)),0,OFFSET(Setup!$D$15,MATCH($F92,TaxCode,0),0,1,1)))+IF(ISERROR($G92),0,IF(ISNA(MATCH($G92,TaxCode,0)),0,OFFSET(Setup!$D$15,MATCH($G92,TaxCode,0),0,1,1))))*IF(ISERROR($F92),0,IF(ISNA(MATCH($F92,TaxCode,0)),0,OFFSET(Setup!$D$15,MATCH($F92,TaxCode,0),0,1,1)))</f>
        <v>273.91304347826087</v>
      </c>
      <c r="N92" s="29">
        <f ca="1">$O92/(1+IF(ISERROR($F92),0,IF(ISNA(MATCH($F92,TaxCode,0)),0,OFFSET(Setup!$D$15,MATCH($F92,TaxCode,0),0,1,1)))+IF(ISERROR($G92),0,IF(ISNA(MATCH($G92,TaxCode,0)),0,OFFSET(Setup!$D$15,MATCH($G92,TaxCode,0),0,1,1))))*IF(ISERROR($G92),0,IF(ISNA(MATCH($G92,TaxCode,0)),0,OFFSET(Setup!$D$15,MATCH($G92,TaxCode,0),0,1,1)))</f>
        <v>0</v>
      </c>
      <c r="O92" s="29">
        <f t="shared" si="4"/>
        <v>2100</v>
      </c>
      <c r="P92" s="63" t="str">
        <f t="shared" ca="1" si="5"/>
        <v>-</v>
      </c>
    </row>
    <row r="93" spans="1:16" ht="16" customHeight="1" x14ac:dyDescent="0.25">
      <c r="A93" s="79">
        <v>44008</v>
      </c>
      <c r="B93" s="4" t="s">
        <v>128</v>
      </c>
      <c r="C93" s="4" t="s">
        <v>115</v>
      </c>
      <c r="D93" s="4" t="s">
        <v>509</v>
      </c>
      <c r="E93" s="29">
        <v>35000</v>
      </c>
      <c r="F93" s="63" t="s">
        <v>108</v>
      </c>
      <c r="G93" s="63" t="s">
        <v>108</v>
      </c>
      <c r="H93" s="63" t="s">
        <v>147</v>
      </c>
      <c r="I93" s="30" t="s">
        <v>364</v>
      </c>
      <c r="J93" s="10">
        <v>44008</v>
      </c>
      <c r="K93" s="63">
        <f t="shared" ca="1" si="3"/>
        <v>0</v>
      </c>
      <c r="L93" s="29" cm="1">
        <f t="array" aca="1" ref="L93" ca="1">O93-IF(ExpTaxCount=2,SUM($M93:$N93),$M93:$M93)</f>
        <v>35000</v>
      </c>
      <c r="M93" s="29">
        <f ca="1">$O93/(1+IF(ISERROR($F93),0,IF(ISNA(MATCH($F93,TaxCode,0)),0,OFFSET(Setup!$D$15,MATCH($F93,TaxCode,0),0,1,1)))+IF(ISERROR($G93),0,IF(ISNA(MATCH($G93,TaxCode,0)),0,OFFSET(Setup!$D$15,MATCH($G93,TaxCode,0),0,1,1))))*IF(ISERROR($F93),0,IF(ISNA(MATCH($F93,TaxCode,0)),0,OFFSET(Setup!$D$15,MATCH($F93,TaxCode,0),0,1,1)))</f>
        <v>0</v>
      </c>
      <c r="N93" s="29">
        <f ca="1">$O93/(1+IF(ISERROR($F93),0,IF(ISNA(MATCH($F93,TaxCode,0)),0,OFFSET(Setup!$D$15,MATCH($F93,TaxCode,0),0,1,1)))+IF(ISERROR($G93),0,IF(ISNA(MATCH($G93,TaxCode,0)),0,OFFSET(Setup!$D$15,MATCH($G93,TaxCode,0),0,1,1))))*IF(ISERROR($G93),0,IF(ISNA(MATCH($G93,TaxCode,0)),0,OFFSET(Setup!$D$15,MATCH($G93,TaxCode,0),0,1,1)))</f>
        <v>0</v>
      </c>
      <c r="O93" s="29">
        <f t="shared" si="4"/>
        <v>35000</v>
      </c>
      <c r="P93" s="63" t="str">
        <f t="shared" ca="1" si="5"/>
        <v>-</v>
      </c>
    </row>
    <row r="94" spans="1:16" ht="16" customHeight="1" x14ac:dyDescent="0.25">
      <c r="A94" s="79">
        <v>44008</v>
      </c>
      <c r="B94" s="4" t="s">
        <v>128</v>
      </c>
      <c r="C94" s="4" t="s">
        <v>115</v>
      </c>
      <c r="D94" s="4" t="s">
        <v>510</v>
      </c>
      <c r="E94" s="29">
        <v>7200</v>
      </c>
      <c r="F94" s="63" t="s">
        <v>108</v>
      </c>
      <c r="G94" s="63" t="s">
        <v>108</v>
      </c>
      <c r="H94" s="63" t="s">
        <v>147</v>
      </c>
      <c r="I94" s="30" t="s">
        <v>364</v>
      </c>
      <c r="J94" s="10">
        <v>44018</v>
      </c>
      <c r="K94" s="63">
        <f t="shared" ca="1" si="3"/>
        <v>0</v>
      </c>
      <c r="L94" s="29" cm="1">
        <f t="array" aca="1" ref="L94" ca="1">O94-IF(ExpTaxCount=2,SUM($M94:$N94),$M94:$M94)</f>
        <v>7200</v>
      </c>
      <c r="M94" s="29">
        <f ca="1">$O94/(1+IF(ISERROR($F94),0,IF(ISNA(MATCH($F94,TaxCode,0)),0,OFFSET(Setup!$D$15,MATCH($F94,TaxCode,0),0,1,1)))+IF(ISERROR($G94),0,IF(ISNA(MATCH($G94,TaxCode,0)),0,OFFSET(Setup!$D$15,MATCH($G94,TaxCode,0),0,1,1))))*IF(ISERROR($F94),0,IF(ISNA(MATCH($F94,TaxCode,0)),0,OFFSET(Setup!$D$15,MATCH($F94,TaxCode,0),0,1,1)))</f>
        <v>0</v>
      </c>
      <c r="N94" s="29">
        <f ca="1">$O94/(1+IF(ISERROR($F94),0,IF(ISNA(MATCH($F94,TaxCode,0)),0,OFFSET(Setup!$D$15,MATCH($F94,TaxCode,0),0,1,1)))+IF(ISERROR($G94),0,IF(ISNA(MATCH($G94,TaxCode,0)),0,OFFSET(Setup!$D$15,MATCH($G94,TaxCode,0),0,1,1))))*IF(ISERROR($G94),0,IF(ISNA(MATCH($G94,TaxCode,0)),0,OFFSET(Setup!$D$15,MATCH($G94,TaxCode,0),0,1,1)))</f>
        <v>0</v>
      </c>
      <c r="O94" s="29">
        <f t="shared" si="4"/>
        <v>7200</v>
      </c>
      <c r="P94" s="63" t="str">
        <f t="shared" ca="1" si="5"/>
        <v>-</v>
      </c>
    </row>
    <row r="95" spans="1:16" ht="16" customHeight="1" x14ac:dyDescent="0.25">
      <c r="A95" s="79">
        <v>44008</v>
      </c>
      <c r="B95" s="4" t="s">
        <v>128</v>
      </c>
      <c r="C95" s="4" t="s">
        <v>115</v>
      </c>
      <c r="D95" s="4" t="s">
        <v>511</v>
      </c>
      <c r="E95" s="29">
        <v>9320</v>
      </c>
      <c r="F95" s="63" t="s">
        <v>108</v>
      </c>
      <c r="G95" s="63" t="s">
        <v>108</v>
      </c>
      <c r="H95" s="63" t="s">
        <v>147</v>
      </c>
      <c r="I95" s="30" t="s">
        <v>366</v>
      </c>
      <c r="J95" s="10">
        <v>44018</v>
      </c>
      <c r="K95" s="63">
        <f t="shared" ca="1" si="3"/>
        <v>0</v>
      </c>
      <c r="L95" s="29" cm="1">
        <f t="array" aca="1" ref="L95" ca="1">O95-IF(ExpTaxCount=2,SUM($M95:$N95),$M95:$M95)</f>
        <v>9320</v>
      </c>
      <c r="M95" s="29">
        <f ca="1">$O95/(1+IF(ISERROR($F95),0,IF(ISNA(MATCH($F95,TaxCode,0)),0,OFFSET(Setup!$D$15,MATCH($F95,TaxCode,0),0,1,1)))+IF(ISERROR($G95),0,IF(ISNA(MATCH($G95,TaxCode,0)),0,OFFSET(Setup!$D$15,MATCH($G95,TaxCode,0),0,1,1))))*IF(ISERROR($F95),0,IF(ISNA(MATCH($F95,TaxCode,0)),0,OFFSET(Setup!$D$15,MATCH($F95,TaxCode,0),0,1,1)))</f>
        <v>0</v>
      </c>
      <c r="N95" s="29">
        <f ca="1">$O95/(1+IF(ISERROR($F95),0,IF(ISNA(MATCH($F95,TaxCode,0)),0,OFFSET(Setup!$D$15,MATCH($F95,TaxCode,0),0,1,1)))+IF(ISERROR($G95),0,IF(ISNA(MATCH($G95,TaxCode,0)),0,OFFSET(Setup!$D$15,MATCH($G95,TaxCode,0),0,1,1))))*IF(ISERROR($G95),0,IF(ISNA(MATCH($G95,TaxCode,0)),0,OFFSET(Setup!$D$15,MATCH($G95,TaxCode,0),0,1,1)))</f>
        <v>0</v>
      </c>
      <c r="O95" s="29">
        <f t="shared" si="4"/>
        <v>9320</v>
      </c>
      <c r="P95" s="63" t="str">
        <f t="shared" ca="1" si="5"/>
        <v>-</v>
      </c>
    </row>
    <row r="96" spans="1:16" ht="16" customHeight="1" x14ac:dyDescent="0.25">
      <c r="A96" s="79">
        <v>44012</v>
      </c>
      <c r="B96" s="4" t="s">
        <v>128</v>
      </c>
      <c r="C96" s="4" t="s">
        <v>109</v>
      </c>
      <c r="D96" s="4" t="s">
        <v>174</v>
      </c>
      <c r="E96" s="29">
        <v>100</v>
      </c>
      <c r="F96" s="63" t="s">
        <v>108</v>
      </c>
      <c r="G96" s="63" t="s">
        <v>108</v>
      </c>
      <c r="H96" s="63" t="s">
        <v>145</v>
      </c>
      <c r="I96" s="30" t="s">
        <v>275</v>
      </c>
      <c r="J96" s="10">
        <v>44012</v>
      </c>
      <c r="K96" s="63">
        <f t="shared" ca="1" si="3"/>
        <v>0</v>
      </c>
      <c r="L96" s="29" cm="1">
        <f t="array" aca="1" ref="L96" ca="1">O96-IF(ExpTaxCount=2,SUM($M96:$N96),$M96:$M96)</f>
        <v>100</v>
      </c>
      <c r="M96" s="29">
        <f ca="1">$O96/(1+IF(ISERROR($F96),0,IF(ISNA(MATCH($F96,TaxCode,0)),0,OFFSET(Setup!$D$15,MATCH($F96,TaxCode,0),0,1,1)))+IF(ISERROR($G96),0,IF(ISNA(MATCH($G96,TaxCode,0)),0,OFFSET(Setup!$D$15,MATCH($G96,TaxCode,0),0,1,1))))*IF(ISERROR($F96),0,IF(ISNA(MATCH($F96,TaxCode,0)),0,OFFSET(Setup!$D$15,MATCH($F96,TaxCode,0),0,1,1)))</f>
        <v>0</v>
      </c>
      <c r="N96" s="29">
        <f ca="1">$O96/(1+IF(ISERROR($F96),0,IF(ISNA(MATCH($F96,TaxCode,0)),0,OFFSET(Setup!$D$15,MATCH($F96,TaxCode,0),0,1,1)))+IF(ISERROR($G96),0,IF(ISNA(MATCH($G96,TaxCode,0)),0,OFFSET(Setup!$D$15,MATCH($G96,TaxCode,0),0,1,1))))*IF(ISERROR($G96),0,IF(ISNA(MATCH($G96,TaxCode,0)),0,OFFSET(Setup!$D$15,MATCH($G96,TaxCode,0),0,1,1)))</f>
        <v>0</v>
      </c>
      <c r="O96" s="29">
        <f t="shared" si="4"/>
        <v>100</v>
      </c>
      <c r="P96" s="63" t="str">
        <f t="shared" ca="1" si="5"/>
        <v>-</v>
      </c>
    </row>
    <row r="97" spans="1:16" ht="16" customHeight="1" x14ac:dyDescent="0.25">
      <c r="A97" s="79">
        <v>44012</v>
      </c>
      <c r="B97" s="4" t="s">
        <v>128</v>
      </c>
      <c r="C97" s="4" t="s">
        <v>109</v>
      </c>
      <c r="D97" s="4" t="s">
        <v>174</v>
      </c>
      <c r="E97" s="29">
        <v>-100</v>
      </c>
      <c r="F97" s="63" t="s">
        <v>108</v>
      </c>
      <c r="G97" s="63" t="s">
        <v>108</v>
      </c>
      <c r="H97" s="63" t="s">
        <v>151</v>
      </c>
      <c r="I97" s="30" t="s">
        <v>275</v>
      </c>
      <c r="J97" s="10">
        <v>44012</v>
      </c>
      <c r="K97" s="63">
        <f t="shared" ca="1" si="3"/>
        <v>0</v>
      </c>
      <c r="L97" s="29" cm="1">
        <f t="array" aca="1" ref="L97" ca="1">O97-IF(ExpTaxCount=2,SUM($M97:$N97),$M97:$M97)</f>
        <v>-100</v>
      </c>
      <c r="M97" s="29">
        <f ca="1">$O97/(1+IF(ISERROR($F97),0,IF(ISNA(MATCH($F97,TaxCode,0)),0,OFFSET(Setup!$D$15,MATCH($F97,TaxCode,0),0,1,1)))+IF(ISERROR($G97),0,IF(ISNA(MATCH($G97,TaxCode,0)),0,OFFSET(Setup!$D$15,MATCH($G97,TaxCode,0),0,1,1))))*IF(ISERROR($F97),0,IF(ISNA(MATCH($F97,TaxCode,0)),0,OFFSET(Setup!$D$15,MATCH($F97,TaxCode,0),0,1,1)))</f>
        <v>0</v>
      </c>
      <c r="N97" s="29">
        <f ca="1">$O97/(1+IF(ISERROR($F97),0,IF(ISNA(MATCH($F97,TaxCode,0)),0,OFFSET(Setup!$D$15,MATCH($F97,TaxCode,0),0,1,1)))+IF(ISERROR($G97),0,IF(ISNA(MATCH($G97,TaxCode,0)),0,OFFSET(Setup!$D$15,MATCH($G97,TaxCode,0),0,1,1))))*IF(ISERROR($G97),0,IF(ISNA(MATCH($G97,TaxCode,0)),0,OFFSET(Setup!$D$15,MATCH($G97,TaxCode,0),0,1,1)))</f>
        <v>0</v>
      </c>
      <c r="O97" s="29">
        <f t="shared" si="4"/>
        <v>-100</v>
      </c>
      <c r="P97" s="63" t="str">
        <f t="shared" ca="1" si="5"/>
        <v>-</v>
      </c>
    </row>
    <row r="98" spans="1:16" ht="16" customHeight="1" x14ac:dyDescent="0.25">
      <c r="A98" s="79">
        <v>44012</v>
      </c>
      <c r="B98" s="4" t="s">
        <v>505</v>
      </c>
      <c r="C98" s="4" t="s">
        <v>507</v>
      </c>
      <c r="D98" s="4" t="s">
        <v>506</v>
      </c>
      <c r="E98" s="29">
        <v>10500</v>
      </c>
      <c r="F98" s="63" t="s">
        <v>108</v>
      </c>
      <c r="G98" s="63" t="s">
        <v>108</v>
      </c>
      <c r="H98" s="63" t="s">
        <v>149</v>
      </c>
      <c r="I98" s="30" t="s">
        <v>290</v>
      </c>
      <c r="J98" s="10">
        <v>44019</v>
      </c>
      <c r="K98" s="63">
        <f t="shared" ca="1" si="3"/>
        <v>0</v>
      </c>
      <c r="L98" s="29" cm="1">
        <f t="array" aca="1" ref="L98" ca="1">O98-IF(ExpTaxCount=2,SUM($M98:$N98),$M98:$M98)</f>
        <v>10500</v>
      </c>
      <c r="M98" s="29">
        <f ca="1">$O98/(1+IF(ISERROR($F98),0,IF(ISNA(MATCH($F98,TaxCode,0)),0,OFFSET(Setup!$D$15,MATCH($F98,TaxCode,0),0,1,1)))+IF(ISERROR($G98),0,IF(ISNA(MATCH($G98,TaxCode,0)),0,OFFSET(Setup!$D$15,MATCH($G98,TaxCode,0),0,1,1))))*IF(ISERROR($F98),0,IF(ISNA(MATCH($F98,TaxCode,0)),0,OFFSET(Setup!$D$15,MATCH($F98,TaxCode,0),0,1,1)))</f>
        <v>0</v>
      </c>
      <c r="N98" s="29">
        <f ca="1">$O98/(1+IF(ISERROR($F98),0,IF(ISNA(MATCH($F98,TaxCode,0)),0,OFFSET(Setup!$D$15,MATCH($F98,TaxCode,0),0,1,1)))+IF(ISERROR($G98),0,IF(ISNA(MATCH($G98,TaxCode,0)),0,OFFSET(Setup!$D$15,MATCH($G98,TaxCode,0),0,1,1))))*IF(ISERROR($G98),0,IF(ISNA(MATCH($G98,TaxCode,0)),0,OFFSET(Setup!$D$15,MATCH($G98,TaxCode,0),0,1,1)))</f>
        <v>0</v>
      </c>
      <c r="O98" s="29">
        <f t="shared" si="4"/>
        <v>10500</v>
      </c>
      <c r="P98" s="63" t="str">
        <f t="shared" ca="1" si="5"/>
        <v>-</v>
      </c>
    </row>
    <row r="99" spans="1:16" ht="16" customHeight="1" x14ac:dyDescent="0.25">
      <c r="A99" s="79">
        <v>44013</v>
      </c>
      <c r="B99" s="4" t="s">
        <v>5</v>
      </c>
      <c r="C99" s="4" t="s">
        <v>33</v>
      </c>
      <c r="D99" s="4" t="s">
        <v>114</v>
      </c>
      <c r="E99" s="29">
        <v>850</v>
      </c>
      <c r="F99" s="63" t="s">
        <v>93</v>
      </c>
      <c r="G99" s="63" t="s">
        <v>108</v>
      </c>
      <c r="H99" s="63" t="s">
        <v>145</v>
      </c>
      <c r="I99" s="30" t="s">
        <v>303</v>
      </c>
      <c r="J99" s="10">
        <v>44043</v>
      </c>
      <c r="K99" s="63">
        <f t="shared" ca="1" si="3"/>
        <v>0</v>
      </c>
      <c r="L99" s="29" cm="1">
        <f t="array" aca="1" ref="L99" ca="1">O99-IF(ExpTaxCount=2,SUM($M99:$N99),$M99:$M99)</f>
        <v>739.13043478260875</v>
      </c>
      <c r="M99" s="29">
        <f ca="1">$O99/(1+IF(ISERROR($F99),0,IF(ISNA(MATCH($F99,TaxCode,0)),0,OFFSET(Setup!$D$15,MATCH($F99,TaxCode,0),0,1,1)))+IF(ISERROR($G99),0,IF(ISNA(MATCH($G99,TaxCode,0)),0,OFFSET(Setup!$D$15,MATCH($G99,TaxCode,0),0,1,1))))*IF(ISERROR($F99),0,IF(ISNA(MATCH($F99,TaxCode,0)),0,OFFSET(Setup!$D$15,MATCH($F99,TaxCode,0),0,1,1)))</f>
        <v>110.86956521739131</v>
      </c>
      <c r="N99" s="29">
        <f ca="1">$O99/(1+IF(ISERROR($F99),0,IF(ISNA(MATCH($F99,TaxCode,0)),0,OFFSET(Setup!$D$15,MATCH($F99,TaxCode,0),0,1,1)))+IF(ISERROR($G99),0,IF(ISNA(MATCH($G99,TaxCode,0)),0,OFFSET(Setup!$D$15,MATCH($G99,TaxCode,0),0,1,1))))*IF(ISERROR($G99),0,IF(ISNA(MATCH($G99,TaxCode,0)),0,OFFSET(Setup!$D$15,MATCH($G99,TaxCode,0),0,1,1)))</f>
        <v>0</v>
      </c>
      <c r="O99" s="29">
        <f t="shared" si="4"/>
        <v>850</v>
      </c>
      <c r="P99" s="63" t="str">
        <f t="shared" ca="1" si="5"/>
        <v>-</v>
      </c>
    </row>
    <row r="100" spans="1:16" ht="16" customHeight="1" x14ac:dyDescent="0.25">
      <c r="A100" s="79">
        <v>44014</v>
      </c>
      <c r="B100" s="4" t="s">
        <v>19</v>
      </c>
      <c r="C100" s="4" t="s">
        <v>112</v>
      </c>
      <c r="D100" s="4" t="s">
        <v>75</v>
      </c>
      <c r="E100" s="29">
        <v>761</v>
      </c>
      <c r="F100" s="63" t="s">
        <v>93</v>
      </c>
      <c r="G100" s="63" t="s">
        <v>108</v>
      </c>
      <c r="H100" s="63" t="s">
        <v>145</v>
      </c>
      <c r="I100" s="30" t="s">
        <v>301</v>
      </c>
      <c r="J100" s="10">
        <v>44044</v>
      </c>
      <c r="K100" s="63">
        <f t="shared" ca="1" si="3"/>
        <v>0</v>
      </c>
      <c r="L100" s="29" cm="1">
        <f t="array" aca="1" ref="L100" ca="1">O100-IF(ExpTaxCount=2,SUM($M100:$N100),$M100:$M100)</f>
        <v>661.73913043478262</v>
      </c>
      <c r="M100" s="29">
        <f ca="1">$O100/(1+IF(ISERROR($F100),0,IF(ISNA(MATCH($F100,TaxCode,0)),0,OFFSET(Setup!$D$15,MATCH($F100,TaxCode,0),0,1,1)))+IF(ISERROR($G100),0,IF(ISNA(MATCH($G100,TaxCode,0)),0,OFFSET(Setup!$D$15,MATCH($G100,TaxCode,0),0,1,1))))*IF(ISERROR($F100),0,IF(ISNA(MATCH($F100,TaxCode,0)),0,OFFSET(Setup!$D$15,MATCH($F100,TaxCode,0),0,1,1)))</f>
        <v>99.260869565217391</v>
      </c>
      <c r="N100" s="29">
        <f ca="1">$O100/(1+IF(ISERROR($F100),0,IF(ISNA(MATCH($F100,TaxCode,0)),0,OFFSET(Setup!$D$15,MATCH($F100,TaxCode,0),0,1,1)))+IF(ISERROR($G100),0,IF(ISNA(MATCH($G100,TaxCode,0)),0,OFFSET(Setup!$D$15,MATCH($G100,TaxCode,0),0,1,1))))*IF(ISERROR($G100),0,IF(ISNA(MATCH($G100,TaxCode,0)),0,OFFSET(Setup!$D$15,MATCH($G100,TaxCode,0),0,1,1)))</f>
        <v>0</v>
      </c>
      <c r="O100" s="29">
        <f t="shared" si="4"/>
        <v>761</v>
      </c>
      <c r="P100" s="63" t="str">
        <f t="shared" ca="1" si="5"/>
        <v>-</v>
      </c>
    </row>
    <row r="101" spans="1:16" ht="16" customHeight="1" x14ac:dyDescent="0.25">
      <c r="A101" s="79">
        <v>44017</v>
      </c>
      <c r="B101" s="4" t="s">
        <v>167</v>
      </c>
      <c r="C101" s="4" t="s">
        <v>110</v>
      </c>
      <c r="D101" s="4" t="s">
        <v>71</v>
      </c>
      <c r="E101" s="29">
        <v>368</v>
      </c>
      <c r="F101" s="63" t="s">
        <v>93</v>
      </c>
      <c r="G101" s="63" t="s">
        <v>108</v>
      </c>
      <c r="H101" s="63" t="s">
        <v>145</v>
      </c>
      <c r="I101" s="30" t="s">
        <v>296</v>
      </c>
      <c r="J101" s="10">
        <v>44017</v>
      </c>
      <c r="K101" s="63">
        <f t="shared" ca="1" si="3"/>
        <v>0</v>
      </c>
      <c r="L101" s="29" cm="1">
        <f t="array" aca="1" ref="L101" ca="1">O101-IF(ExpTaxCount=2,SUM($M101:$N101),$M101:$M101)</f>
        <v>320</v>
      </c>
      <c r="M101" s="29">
        <f ca="1">$O101/(1+IF(ISERROR($F101),0,IF(ISNA(MATCH($F101,TaxCode,0)),0,OFFSET(Setup!$D$15,MATCH($F101,TaxCode,0),0,1,1)))+IF(ISERROR($G101),0,IF(ISNA(MATCH($G101,TaxCode,0)),0,OFFSET(Setup!$D$15,MATCH($G101,TaxCode,0),0,1,1))))*IF(ISERROR($F101),0,IF(ISNA(MATCH($F101,TaxCode,0)),0,OFFSET(Setup!$D$15,MATCH($F101,TaxCode,0),0,1,1)))</f>
        <v>48</v>
      </c>
      <c r="N101" s="29">
        <f ca="1">$O101/(1+IF(ISERROR($F101),0,IF(ISNA(MATCH($F101,TaxCode,0)),0,OFFSET(Setup!$D$15,MATCH($F101,TaxCode,0),0,1,1)))+IF(ISERROR($G101),0,IF(ISNA(MATCH($G101,TaxCode,0)),0,OFFSET(Setup!$D$15,MATCH($G101,TaxCode,0),0,1,1))))*IF(ISERROR($G101),0,IF(ISNA(MATCH($G101,TaxCode,0)),0,OFFSET(Setup!$D$15,MATCH($G101,TaxCode,0),0,1,1)))</f>
        <v>0</v>
      </c>
      <c r="O101" s="29">
        <f t="shared" si="4"/>
        <v>368</v>
      </c>
      <c r="P101" s="63" t="str">
        <f t="shared" ca="1" si="5"/>
        <v>-</v>
      </c>
    </row>
    <row r="102" spans="1:16" ht="16" customHeight="1" x14ac:dyDescent="0.25">
      <c r="A102" s="79">
        <v>44017</v>
      </c>
      <c r="B102" s="4" t="s">
        <v>128</v>
      </c>
      <c r="C102" s="4" t="s">
        <v>172</v>
      </c>
      <c r="D102" s="4" t="s">
        <v>173</v>
      </c>
      <c r="E102" s="29">
        <v>-10000</v>
      </c>
      <c r="F102" s="63" t="s">
        <v>108</v>
      </c>
      <c r="G102" s="63" t="s">
        <v>108</v>
      </c>
      <c r="H102" s="63" t="s">
        <v>149</v>
      </c>
      <c r="I102" s="30" t="s">
        <v>275</v>
      </c>
      <c r="J102" s="10">
        <v>44017</v>
      </c>
      <c r="K102" s="63">
        <f t="shared" ca="1" si="3"/>
        <v>0</v>
      </c>
      <c r="L102" s="29" cm="1">
        <f t="array" aca="1" ref="L102" ca="1">O102-IF(ExpTaxCount=2,SUM($M102:$N102),$M102:$M102)</f>
        <v>-10000</v>
      </c>
      <c r="M102" s="29">
        <f ca="1">$O102/(1+IF(ISERROR($F102),0,IF(ISNA(MATCH($F102,TaxCode,0)),0,OFFSET(Setup!$D$15,MATCH($F102,TaxCode,0),0,1,1)))+IF(ISERROR($G102),0,IF(ISNA(MATCH($G102,TaxCode,0)),0,OFFSET(Setup!$D$15,MATCH($G102,TaxCode,0),0,1,1))))*IF(ISERROR($F102),0,IF(ISNA(MATCH($F102,TaxCode,0)),0,OFFSET(Setup!$D$15,MATCH($F102,TaxCode,0),0,1,1)))</f>
        <v>0</v>
      </c>
      <c r="N102" s="29">
        <f ca="1">$O102/(1+IF(ISERROR($F102),0,IF(ISNA(MATCH($F102,TaxCode,0)),0,OFFSET(Setup!$D$15,MATCH($F102,TaxCode,0),0,1,1)))+IF(ISERROR($G102),0,IF(ISNA(MATCH($G102,TaxCode,0)),0,OFFSET(Setup!$D$15,MATCH($G102,TaxCode,0),0,1,1))))*IF(ISERROR($G102),0,IF(ISNA(MATCH($G102,TaxCode,0)),0,OFFSET(Setup!$D$15,MATCH($G102,TaxCode,0),0,1,1)))</f>
        <v>0</v>
      </c>
      <c r="O102" s="29">
        <f t="shared" si="4"/>
        <v>-10000</v>
      </c>
      <c r="P102" s="63" t="str">
        <f t="shared" ca="1" si="5"/>
        <v>-</v>
      </c>
    </row>
    <row r="103" spans="1:16" ht="16" customHeight="1" x14ac:dyDescent="0.25">
      <c r="A103" s="79">
        <v>44017</v>
      </c>
      <c r="B103" s="4" t="s">
        <v>128</v>
      </c>
      <c r="C103" s="4" t="s">
        <v>172</v>
      </c>
      <c r="D103" s="4" t="s">
        <v>173</v>
      </c>
      <c r="E103" s="29">
        <v>10000</v>
      </c>
      <c r="F103" s="63" t="s">
        <v>108</v>
      </c>
      <c r="G103" s="63" t="s">
        <v>108</v>
      </c>
      <c r="H103" s="63" t="s">
        <v>145</v>
      </c>
      <c r="I103" s="30" t="s">
        <v>275</v>
      </c>
      <c r="J103" s="10">
        <v>44017</v>
      </c>
      <c r="K103" s="63">
        <f t="shared" ca="1" si="3"/>
        <v>0</v>
      </c>
      <c r="L103" s="29" cm="1">
        <f t="array" aca="1" ref="L103" ca="1">O103-IF(ExpTaxCount=2,SUM($M103:$N103),$M103:$M103)</f>
        <v>10000</v>
      </c>
      <c r="M103" s="29">
        <f ca="1">$O103/(1+IF(ISERROR($F103),0,IF(ISNA(MATCH($F103,TaxCode,0)),0,OFFSET(Setup!$D$15,MATCH($F103,TaxCode,0),0,1,1)))+IF(ISERROR($G103),0,IF(ISNA(MATCH($G103,TaxCode,0)),0,OFFSET(Setup!$D$15,MATCH($G103,TaxCode,0),0,1,1))))*IF(ISERROR($F103),0,IF(ISNA(MATCH($F103,TaxCode,0)),0,OFFSET(Setup!$D$15,MATCH($F103,TaxCode,0),0,1,1)))</f>
        <v>0</v>
      </c>
      <c r="N103" s="29">
        <f ca="1">$O103/(1+IF(ISERROR($F103),0,IF(ISNA(MATCH($F103,TaxCode,0)),0,OFFSET(Setup!$D$15,MATCH($F103,TaxCode,0),0,1,1)))+IF(ISERROR($G103),0,IF(ISNA(MATCH($G103,TaxCode,0)),0,OFFSET(Setup!$D$15,MATCH($G103,TaxCode,0),0,1,1))))*IF(ISERROR($G103),0,IF(ISNA(MATCH($G103,TaxCode,0)),0,OFFSET(Setup!$D$15,MATCH($G103,TaxCode,0),0,1,1)))</f>
        <v>0</v>
      </c>
      <c r="O103" s="29">
        <f t="shared" si="4"/>
        <v>10000</v>
      </c>
      <c r="P103" s="63" t="str">
        <f t="shared" ca="1" si="5"/>
        <v>-</v>
      </c>
    </row>
    <row r="104" spans="1:16" ht="16" customHeight="1" x14ac:dyDescent="0.25">
      <c r="A104" s="79">
        <v>44027</v>
      </c>
      <c r="B104" s="4" t="s">
        <v>168</v>
      </c>
      <c r="C104" s="4" t="s">
        <v>109</v>
      </c>
      <c r="D104" s="4" t="s">
        <v>12</v>
      </c>
      <c r="E104" s="29">
        <v>80</v>
      </c>
      <c r="F104" s="63" t="s">
        <v>93</v>
      </c>
      <c r="G104" s="63" t="s">
        <v>108</v>
      </c>
      <c r="H104" s="63" t="s">
        <v>145</v>
      </c>
      <c r="I104" s="30" t="s">
        <v>291</v>
      </c>
      <c r="J104" s="10">
        <v>44027</v>
      </c>
      <c r="K104" s="63">
        <f t="shared" ca="1" si="3"/>
        <v>0</v>
      </c>
      <c r="L104" s="29" cm="1">
        <f t="array" aca="1" ref="L104" ca="1">O104-IF(ExpTaxCount=2,SUM($M104:$N104),$M104:$M104)</f>
        <v>69.565217391304344</v>
      </c>
      <c r="M104" s="29">
        <f ca="1">$O104/(1+IF(ISERROR($F104),0,IF(ISNA(MATCH($F104,TaxCode,0)),0,OFFSET(Setup!$D$15,MATCH($F104,TaxCode,0),0,1,1)))+IF(ISERROR($G104),0,IF(ISNA(MATCH($G104,TaxCode,0)),0,OFFSET(Setup!$D$15,MATCH($G104,TaxCode,0),0,1,1))))*IF(ISERROR($F104),0,IF(ISNA(MATCH($F104,TaxCode,0)),0,OFFSET(Setup!$D$15,MATCH($F104,TaxCode,0),0,1,1)))</f>
        <v>10.434782608695654</v>
      </c>
      <c r="N104" s="29">
        <f ca="1">$O104/(1+IF(ISERROR($F104),0,IF(ISNA(MATCH($F104,TaxCode,0)),0,OFFSET(Setup!$D$15,MATCH($F104,TaxCode,0),0,1,1)))+IF(ISERROR($G104),0,IF(ISNA(MATCH($G104,TaxCode,0)),0,OFFSET(Setup!$D$15,MATCH($G104,TaxCode,0),0,1,1))))*IF(ISERROR($G104),0,IF(ISNA(MATCH($G104,TaxCode,0)),0,OFFSET(Setup!$D$15,MATCH($G104,TaxCode,0),0,1,1)))</f>
        <v>0</v>
      </c>
      <c r="O104" s="29">
        <f t="shared" si="4"/>
        <v>80</v>
      </c>
      <c r="P104" s="63" t="str">
        <f t="shared" ca="1" si="5"/>
        <v>-</v>
      </c>
    </row>
    <row r="105" spans="1:16" ht="16" customHeight="1" x14ac:dyDescent="0.25">
      <c r="A105" s="79">
        <v>44027</v>
      </c>
      <c r="B105" s="4" t="s">
        <v>168</v>
      </c>
      <c r="C105" s="4" t="s">
        <v>109</v>
      </c>
      <c r="D105" s="4" t="s">
        <v>12</v>
      </c>
      <c r="E105" s="29">
        <v>35</v>
      </c>
      <c r="F105" s="63" t="s">
        <v>93</v>
      </c>
      <c r="G105" s="63" t="s">
        <v>108</v>
      </c>
      <c r="H105" s="63" t="s">
        <v>147</v>
      </c>
      <c r="I105" s="30" t="s">
        <v>291</v>
      </c>
      <c r="J105" s="10">
        <v>44027</v>
      </c>
      <c r="K105" s="63">
        <f t="shared" ca="1" si="3"/>
        <v>0</v>
      </c>
      <c r="L105" s="29" cm="1">
        <f t="array" aca="1" ref="L105" ca="1">O105-IF(ExpTaxCount=2,SUM($M105:$N105),$M105:$M105)</f>
        <v>30.434782608695652</v>
      </c>
      <c r="M105" s="29">
        <f ca="1">$O105/(1+IF(ISERROR($F105),0,IF(ISNA(MATCH($F105,TaxCode,0)),0,OFFSET(Setup!$D$15,MATCH($F105,TaxCode,0),0,1,1)))+IF(ISERROR($G105),0,IF(ISNA(MATCH($G105,TaxCode,0)),0,OFFSET(Setup!$D$15,MATCH($G105,TaxCode,0),0,1,1))))*IF(ISERROR($F105),0,IF(ISNA(MATCH($F105,TaxCode,0)),0,OFFSET(Setup!$D$15,MATCH($F105,TaxCode,0),0,1,1)))</f>
        <v>4.5652173913043486</v>
      </c>
      <c r="N105" s="29">
        <f ca="1">$O105/(1+IF(ISERROR($F105),0,IF(ISNA(MATCH($F105,TaxCode,0)),0,OFFSET(Setup!$D$15,MATCH($F105,TaxCode,0),0,1,1)))+IF(ISERROR($G105),0,IF(ISNA(MATCH($G105,TaxCode,0)),0,OFFSET(Setup!$D$15,MATCH($G105,TaxCode,0),0,1,1))))*IF(ISERROR($G105),0,IF(ISNA(MATCH($G105,TaxCode,0)),0,OFFSET(Setup!$D$15,MATCH($G105,TaxCode,0),0,1,1)))</f>
        <v>0</v>
      </c>
      <c r="O105" s="29">
        <f t="shared" si="4"/>
        <v>35</v>
      </c>
      <c r="P105" s="63" t="str">
        <f t="shared" ca="1" si="5"/>
        <v>-</v>
      </c>
    </row>
    <row r="106" spans="1:16" ht="16" customHeight="1" x14ac:dyDescent="0.25">
      <c r="A106" s="79">
        <v>44027</v>
      </c>
      <c r="B106" s="4" t="s">
        <v>11</v>
      </c>
      <c r="C106" s="4" t="s">
        <v>112</v>
      </c>
      <c r="D106" s="4" t="s">
        <v>504</v>
      </c>
      <c r="E106" s="29">
        <v>2300</v>
      </c>
      <c r="F106" s="63" t="s">
        <v>93</v>
      </c>
      <c r="G106" s="63" t="s">
        <v>108</v>
      </c>
      <c r="H106" s="63" t="s">
        <v>145</v>
      </c>
      <c r="I106" s="30" t="s">
        <v>289</v>
      </c>
      <c r="J106" s="10">
        <v>44045</v>
      </c>
      <c r="K106" s="63">
        <f t="shared" ca="1" si="3"/>
        <v>0</v>
      </c>
      <c r="L106" s="29" cm="1">
        <f t="array" aca="1" ref="L106" ca="1">O106-IF(ExpTaxCount=2,SUM($M106:$N106),$M106:$M106)</f>
        <v>2000</v>
      </c>
      <c r="M106" s="29">
        <f ca="1">$O106/(1+IF(ISERROR($F106),0,IF(ISNA(MATCH($F106,TaxCode,0)),0,OFFSET(Setup!$D$15,MATCH($F106,TaxCode,0),0,1,1)))+IF(ISERROR($G106),0,IF(ISNA(MATCH($G106,TaxCode,0)),0,OFFSET(Setup!$D$15,MATCH($G106,TaxCode,0),0,1,1))))*IF(ISERROR($F106),0,IF(ISNA(MATCH($F106,TaxCode,0)),0,OFFSET(Setup!$D$15,MATCH($F106,TaxCode,0),0,1,1)))</f>
        <v>300</v>
      </c>
      <c r="N106" s="29">
        <f ca="1">$O106/(1+IF(ISERROR($F106),0,IF(ISNA(MATCH($F106,TaxCode,0)),0,OFFSET(Setup!$D$15,MATCH($F106,TaxCode,0),0,1,1)))+IF(ISERROR($G106),0,IF(ISNA(MATCH($G106,TaxCode,0)),0,OFFSET(Setup!$D$15,MATCH($G106,TaxCode,0),0,1,1))))*IF(ISERROR($G106),0,IF(ISNA(MATCH($G106,TaxCode,0)),0,OFFSET(Setup!$D$15,MATCH($G106,TaxCode,0),0,1,1)))</f>
        <v>0</v>
      </c>
      <c r="O106" s="29">
        <f t="shared" si="4"/>
        <v>2300</v>
      </c>
      <c r="P106" s="63" t="str">
        <f t="shared" ca="1" si="5"/>
        <v>-</v>
      </c>
    </row>
    <row r="107" spans="1:16" ht="16" customHeight="1" x14ac:dyDescent="0.25">
      <c r="A107" s="79">
        <v>44028</v>
      </c>
      <c r="B107" s="4" t="s">
        <v>169</v>
      </c>
      <c r="C107" s="4" t="s">
        <v>170</v>
      </c>
      <c r="D107" s="4" t="s">
        <v>171</v>
      </c>
      <c r="E107" s="29">
        <v>29</v>
      </c>
      <c r="F107" s="63" t="s">
        <v>93</v>
      </c>
      <c r="G107" s="63" t="s">
        <v>108</v>
      </c>
      <c r="H107" s="63" t="s">
        <v>151</v>
      </c>
      <c r="I107" s="30" t="s">
        <v>297</v>
      </c>
      <c r="J107" s="10">
        <v>44028</v>
      </c>
      <c r="K107" s="63">
        <f t="shared" ca="1" si="3"/>
        <v>0</v>
      </c>
      <c r="L107" s="29" cm="1">
        <f t="array" aca="1" ref="L107" ca="1">O107-IF(ExpTaxCount=2,SUM($M107:$N107),$M107:$M107)</f>
        <v>25.217391304347828</v>
      </c>
      <c r="M107" s="29">
        <f ca="1">$O107/(1+IF(ISERROR($F107),0,IF(ISNA(MATCH($F107,TaxCode,0)),0,OFFSET(Setup!$D$15,MATCH($F107,TaxCode,0),0,1,1)))+IF(ISERROR($G107),0,IF(ISNA(MATCH($G107,TaxCode,0)),0,OFFSET(Setup!$D$15,MATCH($G107,TaxCode,0),0,1,1))))*IF(ISERROR($F107),0,IF(ISNA(MATCH($F107,TaxCode,0)),0,OFFSET(Setup!$D$15,MATCH($F107,TaxCode,0),0,1,1)))</f>
        <v>3.7826086956521738</v>
      </c>
      <c r="N107" s="29">
        <f ca="1">$O107/(1+IF(ISERROR($F107),0,IF(ISNA(MATCH($F107,TaxCode,0)),0,OFFSET(Setup!$D$15,MATCH($F107,TaxCode,0),0,1,1)))+IF(ISERROR($G107),0,IF(ISNA(MATCH($G107,TaxCode,0)),0,OFFSET(Setup!$D$15,MATCH($G107,TaxCode,0),0,1,1))))*IF(ISERROR($G107),0,IF(ISNA(MATCH($G107,TaxCode,0)),0,OFFSET(Setup!$D$15,MATCH($G107,TaxCode,0),0,1,1)))</f>
        <v>0</v>
      </c>
      <c r="O107" s="29">
        <f t="shared" si="4"/>
        <v>29</v>
      </c>
      <c r="P107" s="63" t="str">
        <f t="shared" ca="1" si="5"/>
        <v>-</v>
      </c>
    </row>
    <row r="108" spans="1:16" ht="16" customHeight="1" x14ac:dyDescent="0.25">
      <c r="A108" s="79">
        <v>44029</v>
      </c>
      <c r="B108" s="4" t="s">
        <v>24</v>
      </c>
      <c r="C108" s="4" t="s">
        <v>21</v>
      </c>
      <c r="D108" s="4" t="s">
        <v>119</v>
      </c>
      <c r="E108" s="29">
        <v>2875</v>
      </c>
      <c r="F108" s="63" t="s">
        <v>93</v>
      </c>
      <c r="G108" s="63" t="s">
        <v>108</v>
      </c>
      <c r="H108" s="63" t="s">
        <v>145</v>
      </c>
      <c r="I108" s="30" t="s">
        <v>294</v>
      </c>
      <c r="J108" s="10">
        <v>44059</v>
      </c>
      <c r="K108" s="63">
        <f t="shared" ca="1" si="3"/>
        <v>0</v>
      </c>
      <c r="L108" s="29" cm="1">
        <f t="array" aca="1" ref="L108" ca="1">O108-IF(ExpTaxCount=2,SUM($M108:$N108),$M108:$M108)</f>
        <v>2500</v>
      </c>
      <c r="M108" s="29">
        <f ca="1">$O108/(1+IF(ISERROR($F108),0,IF(ISNA(MATCH($F108,TaxCode,0)),0,OFFSET(Setup!$D$15,MATCH($F108,TaxCode,0),0,1,1)))+IF(ISERROR($G108),0,IF(ISNA(MATCH($G108,TaxCode,0)),0,OFFSET(Setup!$D$15,MATCH($G108,TaxCode,0),0,1,1))))*IF(ISERROR($F108),0,IF(ISNA(MATCH($F108,TaxCode,0)),0,OFFSET(Setup!$D$15,MATCH($F108,TaxCode,0),0,1,1)))</f>
        <v>375</v>
      </c>
      <c r="N108" s="29">
        <f ca="1">$O108/(1+IF(ISERROR($F108),0,IF(ISNA(MATCH($F108,TaxCode,0)),0,OFFSET(Setup!$D$15,MATCH($F108,TaxCode,0),0,1,1)))+IF(ISERROR($G108),0,IF(ISNA(MATCH($G108,TaxCode,0)),0,OFFSET(Setup!$D$15,MATCH($G108,TaxCode,0),0,1,1))))*IF(ISERROR($G108),0,IF(ISNA(MATCH($G108,TaxCode,0)),0,OFFSET(Setup!$D$15,MATCH($G108,TaxCode,0),0,1,1)))</f>
        <v>0</v>
      </c>
      <c r="O108" s="29">
        <f t="shared" si="4"/>
        <v>2875</v>
      </c>
      <c r="P108" s="63" t="str">
        <f t="shared" ca="1" si="5"/>
        <v>-</v>
      </c>
    </row>
    <row r="109" spans="1:16" ht="16" customHeight="1" x14ac:dyDescent="0.25">
      <c r="A109" s="79">
        <v>44032</v>
      </c>
      <c r="B109" s="4" t="s">
        <v>128</v>
      </c>
      <c r="C109" s="4" t="s">
        <v>172</v>
      </c>
      <c r="D109" s="4" t="s">
        <v>173</v>
      </c>
      <c r="E109" s="29">
        <v>-100000</v>
      </c>
      <c r="F109" s="63" t="s">
        <v>108</v>
      </c>
      <c r="G109" s="63" t="s">
        <v>108</v>
      </c>
      <c r="H109" s="63" t="s">
        <v>147</v>
      </c>
      <c r="I109" s="30" t="s">
        <v>275</v>
      </c>
      <c r="J109" s="10">
        <v>44032</v>
      </c>
      <c r="K109" s="63">
        <f t="shared" ca="1" si="3"/>
        <v>0</v>
      </c>
      <c r="L109" s="29" cm="1">
        <f t="array" aca="1" ref="L109" ca="1">O109-IF(ExpTaxCount=2,SUM($M109:$N109),$M109:$M109)</f>
        <v>-100000</v>
      </c>
      <c r="M109" s="29">
        <f ca="1">$O109/(1+IF(ISERROR($F109),0,IF(ISNA(MATCH($F109,TaxCode,0)),0,OFFSET(Setup!$D$15,MATCH($F109,TaxCode,0),0,1,1)))+IF(ISERROR($G109),0,IF(ISNA(MATCH($G109,TaxCode,0)),0,OFFSET(Setup!$D$15,MATCH($G109,TaxCode,0),0,1,1))))*IF(ISERROR($F109),0,IF(ISNA(MATCH($F109,TaxCode,0)),0,OFFSET(Setup!$D$15,MATCH($F109,TaxCode,0),0,1,1)))</f>
        <v>0</v>
      </c>
      <c r="N109" s="29">
        <f ca="1">$O109/(1+IF(ISERROR($F109),0,IF(ISNA(MATCH($F109,TaxCode,0)),0,OFFSET(Setup!$D$15,MATCH($F109,TaxCode,0),0,1,1)))+IF(ISERROR($G109),0,IF(ISNA(MATCH($G109,TaxCode,0)),0,OFFSET(Setup!$D$15,MATCH($G109,TaxCode,0),0,1,1))))*IF(ISERROR($G109),0,IF(ISNA(MATCH($G109,TaxCode,0)),0,OFFSET(Setup!$D$15,MATCH($G109,TaxCode,0),0,1,1)))</f>
        <v>0</v>
      </c>
      <c r="O109" s="29">
        <f t="shared" si="4"/>
        <v>-100000</v>
      </c>
      <c r="P109" s="63" t="str">
        <f t="shared" ca="1" si="5"/>
        <v>-</v>
      </c>
    </row>
    <row r="110" spans="1:16" ht="16" customHeight="1" x14ac:dyDescent="0.25">
      <c r="A110" s="79">
        <v>44032</v>
      </c>
      <c r="B110" s="4" t="s">
        <v>128</v>
      </c>
      <c r="C110" s="4" t="s">
        <v>172</v>
      </c>
      <c r="D110" s="4" t="s">
        <v>173</v>
      </c>
      <c r="E110" s="29">
        <v>100000</v>
      </c>
      <c r="F110" s="63" t="s">
        <v>108</v>
      </c>
      <c r="G110" s="63" t="s">
        <v>108</v>
      </c>
      <c r="H110" s="63" t="s">
        <v>145</v>
      </c>
      <c r="I110" s="30" t="s">
        <v>275</v>
      </c>
      <c r="J110" s="10">
        <v>44032</v>
      </c>
      <c r="K110" s="63">
        <f t="shared" ca="1" si="3"/>
        <v>0</v>
      </c>
      <c r="L110" s="29" cm="1">
        <f t="array" aca="1" ref="L110" ca="1">O110-IF(ExpTaxCount=2,SUM($M110:$N110),$M110:$M110)</f>
        <v>100000</v>
      </c>
      <c r="M110" s="29">
        <f ca="1">$O110/(1+IF(ISERROR($F110),0,IF(ISNA(MATCH($F110,TaxCode,0)),0,OFFSET(Setup!$D$15,MATCH($F110,TaxCode,0),0,1,1)))+IF(ISERROR($G110),0,IF(ISNA(MATCH($G110,TaxCode,0)),0,OFFSET(Setup!$D$15,MATCH($G110,TaxCode,0),0,1,1))))*IF(ISERROR($F110),0,IF(ISNA(MATCH($F110,TaxCode,0)),0,OFFSET(Setup!$D$15,MATCH($F110,TaxCode,0),0,1,1)))</f>
        <v>0</v>
      </c>
      <c r="N110" s="29">
        <f ca="1">$O110/(1+IF(ISERROR($F110),0,IF(ISNA(MATCH($F110,TaxCode,0)),0,OFFSET(Setup!$D$15,MATCH($F110,TaxCode,0),0,1,1)))+IF(ISERROR($G110),0,IF(ISNA(MATCH($G110,TaxCode,0)),0,OFFSET(Setup!$D$15,MATCH($G110,TaxCode,0),0,1,1))))*IF(ISERROR($G110),0,IF(ISNA(MATCH($G110,TaxCode,0)),0,OFFSET(Setup!$D$15,MATCH($G110,TaxCode,0),0,1,1)))</f>
        <v>0</v>
      </c>
      <c r="O110" s="29">
        <f t="shared" si="4"/>
        <v>100000</v>
      </c>
      <c r="P110" s="63" t="str">
        <f t="shared" ca="1" si="5"/>
        <v>-</v>
      </c>
    </row>
    <row r="111" spans="1:16" ht="16" customHeight="1" x14ac:dyDescent="0.25">
      <c r="A111" s="79">
        <v>44037</v>
      </c>
      <c r="B111" s="4" t="s">
        <v>28</v>
      </c>
      <c r="C111" s="4" t="s">
        <v>125</v>
      </c>
      <c r="D111" s="4" t="s">
        <v>126</v>
      </c>
      <c r="E111" s="29">
        <v>5980</v>
      </c>
      <c r="F111" s="63" t="s">
        <v>93</v>
      </c>
      <c r="G111" s="63" t="s">
        <v>108</v>
      </c>
      <c r="H111" s="63" t="s">
        <v>145</v>
      </c>
      <c r="I111" s="30" t="s">
        <v>302</v>
      </c>
      <c r="J111" s="10">
        <v>44067</v>
      </c>
      <c r="K111" s="63">
        <f t="shared" ca="1" si="3"/>
        <v>0</v>
      </c>
      <c r="L111" s="29" cm="1">
        <f t="array" aca="1" ref="L111" ca="1">O111-IF(ExpTaxCount=2,SUM($M111:$N111),$M111:$M111)</f>
        <v>5200</v>
      </c>
      <c r="M111" s="29">
        <f ca="1">$O111/(1+IF(ISERROR($F111),0,IF(ISNA(MATCH($F111,TaxCode,0)),0,OFFSET(Setup!$D$15,MATCH($F111,TaxCode,0),0,1,1)))+IF(ISERROR($G111),0,IF(ISNA(MATCH($G111,TaxCode,0)),0,OFFSET(Setup!$D$15,MATCH($G111,TaxCode,0),0,1,1))))*IF(ISERROR($F111),0,IF(ISNA(MATCH($F111,TaxCode,0)),0,OFFSET(Setup!$D$15,MATCH($F111,TaxCode,0),0,1,1)))</f>
        <v>780</v>
      </c>
      <c r="N111" s="29">
        <f ca="1">$O111/(1+IF(ISERROR($F111),0,IF(ISNA(MATCH($F111,TaxCode,0)),0,OFFSET(Setup!$D$15,MATCH($F111,TaxCode,0),0,1,1)))+IF(ISERROR($G111),0,IF(ISNA(MATCH($G111,TaxCode,0)),0,OFFSET(Setup!$D$15,MATCH($G111,TaxCode,0),0,1,1))))*IF(ISERROR($G111),0,IF(ISNA(MATCH($G111,TaxCode,0)),0,OFFSET(Setup!$D$15,MATCH($G111,TaxCode,0),0,1,1)))</f>
        <v>0</v>
      </c>
      <c r="O111" s="29">
        <f t="shared" si="4"/>
        <v>5980</v>
      </c>
      <c r="P111" s="63" t="str">
        <f t="shared" ca="1" si="5"/>
        <v>-</v>
      </c>
    </row>
    <row r="112" spans="1:16" ht="16" customHeight="1" x14ac:dyDescent="0.25">
      <c r="A112" s="79">
        <v>44038</v>
      </c>
      <c r="B112" s="4" t="s">
        <v>128</v>
      </c>
      <c r="C112" s="4" t="s">
        <v>115</v>
      </c>
      <c r="D112" s="4" t="s">
        <v>26</v>
      </c>
      <c r="E112" s="29">
        <v>45000</v>
      </c>
      <c r="F112" s="63" t="s">
        <v>108</v>
      </c>
      <c r="G112" s="63" t="s">
        <v>108</v>
      </c>
      <c r="H112" s="63" t="s">
        <v>147</v>
      </c>
      <c r="I112" s="30" t="s">
        <v>366</v>
      </c>
      <c r="J112" s="10">
        <v>44038</v>
      </c>
      <c r="K112" s="63">
        <f t="shared" ca="1" si="3"/>
        <v>0</v>
      </c>
      <c r="L112" s="29" cm="1">
        <f t="array" aca="1" ref="L112" ca="1">O112-IF(ExpTaxCount=2,SUM($M112:$N112),$M112:$M112)</f>
        <v>45000</v>
      </c>
      <c r="M112" s="29">
        <f ca="1">$O112/(1+IF(ISERROR($F112),0,IF(ISNA(MATCH($F112,TaxCode,0)),0,OFFSET(Setup!$D$15,MATCH($F112,TaxCode,0),0,1,1)))+IF(ISERROR($G112),0,IF(ISNA(MATCH($G112,TaxCode,0)),0,OFFSET(Setup!$D$15,MATCH($G112,TaxCode,0),0,1,1))))*IF(ISERROR($F112),0,IF(ISNA(MATCH($F112,TaxCode,0)),0,OFFSET(Setup!$D$15,MATCH($F112,TaxCode,0),0,1,1)))</f>
        <v>0</v>
      </c>
      <c r="N112" s="29">
        <f ca="1">$O112/(1+IF(ISERROR($F112),0,IF(ISNA(MATCH($F112,TaxCode,0)),0,OFFSET(Setup!$D$15,MATCH($F112,TaxCode,0),0,1,1)))+IF(ISERROR($G112),0,IF(ISNA(MATCH($G112,TaxCode,0)),0,OFFSET(Setup!$D$15,MATCH($G112,TaxCode,0),0,1,1))))*IF(ISERROR($G112),0,IF(ISNA(MATCH($G112,TaxCode,0)),0,OFFSET(Setup!$D$15,MATCH($G112,TaxCode,0),0,1,1)))</f>
        <v>0</v>
      </c>
      <c r="O112" s="29">
        <f t="shared" si="4"/>
        <v>45000</v>
      </c>
      <c r="P112" s="63" t="str">
        <f t="shared" ca="1" si="5"/>
        <v>-</v>
      </c>
    </row>
    <row r="113" spans="1:16" ht="16" customHeight="1" x14ac:dyDescent="0.25">
      <c r="A113" s="79">
        <v>44038</v>
      </c>
      <c r="B113" s="4" t="s">
        <v>54</v>
      </c>
      <c r="C113" s="4" t="s">
        <v>110</v>
      </c>
      <c r="D113" s="4" t="s">
        <v>56</v>
      </c>
      <c r="E113" s="29">
        <v>2669.92</v>
      </c>
      <c r="F113" s="63" t="s">
        <v>108</v>
      </c>
      <c r="G113" s="63" t="s">
        <v>108</v>
      </c>
      <c r="H113" s="63" t="s">
        <v>145</v>
      </c>
      <c r="I113" s="30" t="s">
        <v>403</v>
      </c>
      <c r="J113" s="10">
        <v>44038</v>
      </c>
      <c r="K113" s="63">
        <f t="shared" ca="1" si="3"/>
        <v>0</v>
      </c>
      <c r="L113" s="29" cm="1">
        <f t="array" aca="1" ref="L113" ca="1">O113-IF(ExpTaxCount=2,SUM($M113:$N113),$M113:$M113)</f>
        <v>2669.92</v>
      </c>
      <c r="M113" s="29">
        <f ca="1">$O113/(1+IF(ISERROR($F113),0,IF(ISNA(MATCH($F113,TaxCode,0)),0,OFFSET(Setup!$D$15,MATCH($F113,TaxCode,0),0,1,1)))+IF(ISERROR($G113),0,IF(ISNA(MATCH($G113,TaxCode,0)),0,OFFSET(Setup!$D$15,MATCH($G113,TaxCode,0),0,1,1))))*IF(ISERROR($F113),0,IF(ISNA(MATCH($F113,TaxCode,0)),0,OFFSET(Setup!$D$15,MATCH($F113,TaxCode,0),0,1,1)))</f>
        <v>0</v>
      </c>
      <c r="N113" s="29">
        <f ca="1">$O113/(1+IF(ISERROR($F113),0,IF(ISNA(MATCH($F113,TaxCode,0)),0,OFFSET(Setup!$D$15,MATCH($F113,TaxCode,0),0,1,1)))+IF(ISERROR($G113),0,IF(ISNA(MATCH($G113,TaxCode,0)),0,OFFSET(Setup!$D$15,MATCH($G113,TaxCode,0),0,1,1))))*IF(ISERROR($G113),0,IF(ISNA(MATCH($G113,TaxCode,0)),0,OFFSET(Setup!$D$15,MATCH($G113,TaxCode,0),0,1,1)))</f>
        <v>0</v>
      </c>
      <c r="O113" s="29">
        <f t="shared" si="4"/>
        <v>2669.92</v>
      </c>
      <c r="P113" s="63" t="str">
        <f t="shared" ca="1" si="5"/>
        <v>-</v>
      </c>
    </row>
    <row r="114" spans="1:16" ht="16" customHeight="1" x14ac:dyDescent="0.25">
      <c r="A114" s="79">
        <v>44038</v>
      </c>
      <c r="B114" s="4" t="s">
        <v>54</v>
      </c>
      <c r="C114" s="4" t="s">
        <v>110</v>
      </c>
      <c r="D114" s="4" t="s">
        <v>55</v>
      </c>
      <c r="E114" s="29">
        <v>1579.49</v>
      </c>
      <c r="F114" s="63" t="s">
        <v>108</v>
      </c>
      <c r="G114" s="63" t="s">
        <v>108</v>
      </c>
      <c r="H114" s="63" t="s">
        <v>145</v>
      </c>
      <c r="I114" s="30" t="s">
        <v>309</v>
      </c>
      <c r="J114" s="10">
        <v>44038</v>
      </c>
      <c r="K114" s="63">
        <f t="shared" ca="1" si="3"/>
        <v>0</v>
      </c>
      <c r="L114" s="29" cm="1">
        <f t="array" aca="1" ref="L114" ca="1">O114-IF(ExpTaxCount=2,SUM($M114:$N114),$M114:$M114)</f>
        <v>1579.49</v>
      </c>
      <c r="M114" s="29">
        <f ca="1">$O114/(1+IF(ISERROR($F114),0,IF(ISNA(MATCH($F114,TaxCode,0)),0,OFFSET(Setup!$D$15,MATCH($F114,TaxCode,0),0,1,1)))+IF(ISERROR($G114),0,IF(ISNA(MATCH($G114,TaxCode,0)),0,OFFSET(Setup!$D$15,MATCH($G114,TaxCode,0),0,1,1))))*IF(ISERROR($F114),0,IF(ISNA(MATCH($F114,TaxCode,0)),0,OFFSET(Setup!$D$15,MATCH($F114,TaxCode,0),0,1,1)))</f>
        <v>0</v>
      </c>
      <c r="N114" s="29">
        <f ca="1">$O114/(1+IF(ISERROR($F114),0,IF(ISNA(MATCH($F114,TaxCode,0)),0,OFFSET(Setup!$D$15,MATCH($F114,TaxCode,0),0,1,1)))+IF(ISERROR($G114),0,IF(ISNA(MATCH($G114,TaxCode,0)),0,OFFSET(Setup!$D$15,MATCH($G114,TaxCode,0),0,1,1))))*IF(ISERROR($G114),0,IF(ISNA(MATCH($G114,TaxCode,0)),0,OFFSET(Setup!$D$15,MATCH($G114,TaxCode,0),0,1,1)))</f>
        <v>0</v>
      </c>
      <c r="O114" s="29">
        <f t="shared" si="4"/>
        <v>1579.49</v>
      </c>
      <c r="P114" s="63" t="str">
        <f t="shared" ca="1" si="5"/>
        <v>-</v>
      </c>
    </row>
    <row r="115" spans="1:16" ht="16" customHeight="1" x14ac:dyDescent="0.25">
      <c r="A115" s="79">
        <v>44038</v>
      </c>
      <c r="B115" s="4" t="s">
        <v>25</v>
      </c>
      <c r="C115" s="4" t="s">
        <v>110</v>
      </c>
      <c r="D115" s="4" t="s">
        <v>116</v>
      </c>
      <c r="E115" s="29">
        <v>13800</v>
      </c>
      <c r="F115" s="63" t="s">
        <v>93</v>
      </c>
      <c r="G115" s="63" t="s">
        <v>108</v>
      </c>
      <c r="H115" s="63" t="s">
        <v>145</v>
      </c>
      <c r="I115" s="30" t="s">
        <v>298</v>
      </c>
      <c r="J115" s="10">
        <v>44038</v>
      </c>
      <c r="K115" s="63">
        <f t="shared" ca="1" si="3"/>
        <v>0</v>
      </c>
      <c r="L115" s="29" cm="1">
        <f t="array" aca="1" ref="L115" ca="1">O115-IF(ExpTaxCount=2,SUM($M115:$N115),$M115:$M115)</f>
        <v>12000</v>
      </c>
      <c r="M115" s="29">
        <f ca="1">$O115/(1+IF(ISERROR($F115),0,IF(ISNA(MATCH($F115,TaxCode,0)),0,OFFSET(Setup!$D$15,MATCH($F115,TaxCode,0),0,1,1)))+IF(ISERROR($G115),0,IF(ISNA(MATCH($G115,TaxCode,0)),0,OFFSET(Setup!$D$15,MATCH($G115,TaxCode,0),0,1,1))))*IF(ISERROR($F115),0,IF(ISNA(MATCH($F115,TaxCode,0)),0,OFFSET(Setup!$D$15,MATCH($F115,TaxCode,0),0,1,1)))</f>
        <v>1800.0000000000002</v>
      </c>
      <c r="N115" s="29">
        <f ca="1">$O115/(1+IF(ISERROR($F115),0,IF(ISNA(MATCH($F115,TaxCode,0)),0,OFFSET(Setup!$D$15,MATCH($F115,TaxCode,0),0,1,1)))+IF(ISERROR($G115),0,IF(ISNA(MATCH($G115,TaxCode,0)),0,OFFSET(Setup!$D$15,MATCH($G115,TaxCode,0),0,1,1))))*IF(ISERROR($G115),0,IF(ISNA(MATCH($G115,TaxCode,0)),0,OFFSET(Setup!$D$15,MATCH($G115,TaxCode,0),0,1,1)))</f>
        <v>0</v>
      </c>
      <c r="O115" s="29">
        <f t="shared" si="4"/>
        <v>13800</v>
      </c>
      <c r="P115" s="63" t="str">
        <f t="shared" ca="1" si="5"/>
        <v>-</v>
      </c>
    </row>
    <row r="116" spans="1:16" ht="16" customHeight="1" x14ac:dyDescent="0.25">
      <c r="A116" s="79">
        <v>44038</v>
      </c>
      <c r="B116" s="4" t="s">
        <v>128</v>
      </c>
      <c r="C116" s="4" t="s">
        <v>115</v>
      </c>
      <c r="D116" s="4" t="s">
        <v>509</v>
      </c>
      <c r="E116" s="29">
        <v>35000</v>
      </c>
      <c r="F116" s="63" t="s">
        <v>108</v>
      </c>
      <c r="G116" s="63" t="s">
        <v>108</v>
      </c>
      <c r="H116" s="63" t="s">
        <v>147</v>
      </c>
      <c r="I116" s="30" t="s">
        <v>364</v>
      </c>
      <c r="J116" s="10">
        <v>44038</v>
      </c>
      <c r="K116" s="63">
        <f t="shared" ca="1" si="3"/>
        <v>0</v>
      </c>
      <c r="L116" s="29" cm="1">
        <f t="array" aca="1" ref="L116" ca="1">O116-IF(ExpTaxCount=2,SUM($M116:$N116),$M116:$M116)</f>
        <v>35000</v>
      </c>
      <c r="M116" s="29">
        <f ca="1">$O116/(1+IF(ISERROR($F116),0,IF(ISNA(MATCH($F116,TaxCode,0)),0,OFFSET(Setup!$D$15,MATCH($F116,TaxCode,0),0,1,1)))+IF(ISERROR($G116),0,IF(ISNA(MATCH($G116,TaxCode,0)),0,OFFSET(Setup!$D$15,MATCH($G116,TaxCode,0),0,1,1))))*IF(ISERROR($F116),0,IF(ISNA(MATCH($F116,TaxCode,0)),0,OFFSET(Setup!$D$15,MATCH($F116,TaxCode,0),0,1,1)))</f>
        <v>0</v>
      </c>
      <c r="N116" s="29">
        <f ca="1">$O116/(1+IF(ISERROR($F116),0,IF(ISNA(MATCH($F116,TaxCode,0)),0,OFFSET(Setup!$D$15,MATCH($F116,TaxCode,0),0,1,1)))+IF(ISERROR($G116),0,IF(ISNA(MATCH($G116,TaxCode,0)),0,OFFSET(Setup!$D$15,MATCH($G116,TaxCode,0),0,1,1))))*IF(ISERROR($G116),0,IF(ISNA(MATCH($G116,TaxCode,0)),0,OFFSET(Setup!$D$15,MATCH($G116,TaxCode,0),0,1,1)))</f>
        <v>0</v>
      </c>
      <c r="O116" s="29">
        <f t="shared" si="4"/>
        <v>35000</v>
      </c>
      <c r="P116" s="63" t="str">
        <f t="shared" ca="1" si="5"/>
        <v>-</v>
      </c>
    </row>
    <row r="117" spans="1:16" ht="16" customHeight="1" x14ac:dyDescent="0.25">
      <c r="A117" s="79">
        <v>44038</v>
      </c>
      <c r="B117" s="4" t="s">
        <v>128</v>
      </c>
      <c r="C117" s="4" t="s">
        <v>115</v>
      </c>
      <c r="D117" s="4" t="s">
        <v>510</v>
      </c>
      <c r="E117" s="29">
        <v>7200</v>
      </c>
      <c r="F117" s="63" t="s">
        <v>108</v>
      </c>
      <c r="G117" s="63" t="s">
        <v>108</v>
      </c>
      <c r="H117" s="63" t="s">
        <v>147</v>
      </c>
      <c r="I117" s="30" t="s">
        <v>364</v>
      </c>
      <c r="J117" s="10">
        <v>44049</v>
      </c>
      <c r="K117" s="63">
        <f t="shared" ca="1" si="3"/>
        <v>0</v>
      </c>
      <c r="L117" s="29" cm="1">
        <f t="array" aca="1" ref="L117" ca="1">O117-IF(ExpTaxCount=2,SUM($M117:$N117),$M117:$M117)</f>
        <v>7200</v>
      </c>
      <c r="M117" s="29">
        <f ca="1">$O117/(1+IF(ISERROR($F117),0,IF(ISNA(MATCH($F117,TaxCode,0)),0,OFFSET(Setup!$D$15,MATCH($F117,TaxCode,0),0,1,1)))+IF(ISERROR($G117),0,IF(ISNA(MATCH($G117,TaxCode,0)),0,OFFSET(Setup!$D$15,MATCH($G117,TaxCode,0),0,1,1))))*IF(ISERROR($F117),0,IF(ISNA(MATCH($F117,TaxCode,0)),0,OFFSET(Setup!$D$15,MATCH($F117,TaxCode,0),0,1,1)))</f>
        <v>0</v>
      </c>
      <c r="N117" s="29">
        <f ca="1">$O117/(1+IF(ISERROR($F117),0,IF(ISNA(MATCH($F117,TaxCode,0)),0,OFFSET(Setup!$D$15,MATCH($F117,TaxCode,0),0,1,1)))+IF(ISERROR($G117),0,IF(ISNA(MATCH($G117,TaxCode,0)),0,OFFSET(Setup!$D$15,MATCH($G117,TaxCode,0),0,1,1))))*IF(ISERROR($G117),0,IF(ISNA(MATCH($G117,TaxCode,0)),0,OFFSET(Setup!$D$15,MATCH($G117,TaxCode,0),0,1,1)))</f>
        <v>0</v>
      </c>
      <c r="O117" s="29">
        <f t="shared" si="4"/>
        <v>7200</v>
      </c>
      <c r="P117" s="63" t="str">
        <f t="shared" ca="1" si="5"/>
        <v>-</v>
      </c>
    </row>
    <row r="118" spans="1:16" ht="16" customHeight="1" x14ac:dyDescent="0.25">
      <c r="A118" s="79">
        <v>44038</v>
      </c>
      <c r="B118" s="4" t="s">
        <v>128</v>
      </c>
      <c r="C118" s="4" t="s">
        <v>115</v>
      </c>
      <c r="D118" s="4" t="s">
        <v>511</v>
      </c>
      <c r="E118" s="29">
        <v>9320</v>
      </c>
      <c r="F118" s="63" t="s">
        <v>108</v>
      </c>
      <c r="G118" s="63" t="s">
        <v>108</v>
      </c>
      <c r="H118" s="63" t="s">
        <v>147</v>
      </c>
      <c r="I118" s="30" t="s">
        <v>366</v>
      </c>
      <c r="J118" s="10">
        <v>44049</v>
      </c>
      <c r="K118" s="63">
        <f t="shared" ca="1" si="3"/>
        <v>0</v>
      </c>
      <c r="L118" s="29" cm="1">
        <f t="array" aca="1" ref="L118" ca="1">O118-IF(ExpTaxCount=2,SUM($M118:$N118),$M118:$M118)</f>
        <v>9320</v>
      </c>
      <c r="M118" s="29">
        <f ca="1">$O118/(1+IF(ISERROR($F118),0,IF(ISNA(MATCH($F118,TaxCode,0)),0,OFFSET(Setup!$D$15,MATCH($F118,TaxCode,0),0,1,1)))+IF(ISERROR($G118),0,IF(ISNA(MATCH($G118,TaxCode,0)),0,OFFSET(Setup!$D$15,MATCH($G118,TaxCode,0),0,1,1))))*IF(ISERROR($F118),0,IF(ISNA(MATCH($F118,TaxCode,0)),0,OFFSET(Setup!$D$15,MATCH($F118,TaxCode,0),0,1,1)))</f>
        <v>0</v>
      </c>
      <c r="N118" s="29">
        <f ca="1">$O118/(1+IF(ISERROR($F118),0,IF(ISNA(MATCH($F118,TaxCode,0)),0,OFFSET(Setup!$D$15,MATCH($F118,TaxCode,0),0,1,1)))+IF(ISERROR($G118),0,IF(ISNA(MATCH($G118,TaxCode,0)),0,OFFSET(Setup!$D$15,MATCH($G118,TaxCode,0),0,1,1))))*IF(ISERROR($G118),0,IF(ISNA(MATCH($G118,TaxCode,0)),0,OFFSET(Setup!$D$15,MATCH($G118,TaxCode,0),0,1,1)))</f>
        <v>0</v>
      </c>
      <c r="O118" s="29">
        <f t="shared" si="4"/>
        <v>9320</v>
      </c>
      <c r="P118" s="63" t="str">
        <f t="shared" ca="1" si="5"/>
        <v>-</v>
      </c>
    </row>
    <row r="119" spans="1:16" ht="16" customHeight="1" x14ac:dyDescent="0.25">
      <c r="A119" s="79">
        <v>44043</v>
      </c>
      <c r="B119" s="4" t="s">
        <v>128</v>
      </c>
      <c r="C119" s="4" t="s">
        <v>109</v>
      </c>
      <c r="D119" s="4" t="s">
        <v>174</v>
      </c>
      <c r="E119" s="29">
        <v>29</v>
      </c>
      <c r="F119" s="63" t="s">
        <v>108</v>
      </c>
      <c r="G119" s="63" t="s">
        <v>108</v>
      </c>
      <c r="H119" s="63" t="s">
        <v>145</v>
      </c>
      <c r="I119" s="30" t="s">
        <v>275</v>
      </c>
      <c r="J119" s="10">
        <v>44043</v>
      </c>
      <c r="K119" s="63">
        <f t="shared" ca="1" si="3"/>
        <v>0</v>
      </c>
      <c r="L119" s="29" cm="1">
        <f t="array" aca="1" ref="L119" ca="1">O119-IF(ExpTaxCount=2,SUM($M119:$N119),$M119:$M119)</f>
        <v>29</v>
      </c>
      <c r="M119" s="29">
        <f ca="1">$O119/(1+IF(ISERROR($F119),0,IF(ISNA(MATCH($F119,TaxCode,0)),0,OFFSET(Setup!$D$15,MATCH($F119,TaxCode,0),0,1,1)))+IF(ISERROR($G119),0,IF(ISNA(MATCH($G119,TaxCode,0)),0,OFFSET(Setup!$D$15,MATCH($G119,TaxCode,0),0,1,1))))*IF(ISERROR($F119),0,IF(ISNA(MATCH($F119,TaxCode,0)),0,OFFSET(Setup!$D$15,MATCH($F119,TaxCode,0),0,1,1)))</f>
        <v>0</v>
      </c>
      <c r="N119" s="29">
        <f ca="1">$O119/(1+IF(ISERROR($F119),0,IF(ISNA(MATCH($F119,TaxCode,0)),0,OFFSET(Setup!$D$15,MATCH($F119,TaxCode,0),0,1,1)))+IF(ISERROR($G119),0,IF(ISNA(MATCH($G119,TaxCode,0)),0,OFFSET(Setup!$D$15,MATCH($G119,TaxCode,0),0,1,1))))*IF(ISERROR($G119),0,IF(ISNA(MATCH($G119,TaxCode,0)),0,OFFSET(Setup!$D$15,MATCH($G119,TaxCode,0),0,1,1)))</f>
        <v>0</v>
      </c>
      <c r="O119" s="29">
        <f t="shared" si="4"/>
        <v>29</v>
      </c>
      <c r="P119" s="63" t="str">
        <f t="shared" ca="1" si="5"/>
        <v>-</v>
      </c>
    </row>
    <row r="120" spans="1:16" ht="16" customHeight="1" x14ac:dyDescent="0.25">
      <c r="A120" s="79">
        <v>44043</v>
      </c>
      <c r="B120" s="4" t="s">
        <v>128</v>
      </c>
      <c r="C120" s="4" t="s">
        <v>109</v>
      </c>
      <c r="D120" s="4" t="s">
        <v>174</v>
      </c>
      <c r="E120" s="29">
        <v>-29</v>
      </c>
      <c r="F120" s="63" t="s">
        <v>108</v>
      </c>
      <c r="G120" s="63" t="s">
        <v>108</v>
      </c>
      <c r="H120" s="63" t="s">
        <v>151</v>
      </c>
      <c r="I120" s="30" t="s">
        <v>275</v>
      </c>
      <c r="J120" s="10">
        <v>44043</v>
      </c>
      <c r="K120" s="63">
        <f t="shared" ca="1" si="3"/>
        <v>0</v>
      </c>
      <c r="L120" s="29" cm="1">
        <f t="array" aca="1" ref="L120" ca="1">O120-IF(ExpTaxCount=2,SUM($M120:$N120),$M120:$M120)</f>
        <v>-29</v>
      </c>
      <c r="M120" s="29">
        <f ca="1">$O120/(1+IF(ISERROR($F120),0,IF(ISNA(MATCH($F120,TaxCode,0)),0,OFFSET(Setup!$D$15,MATCH($F120,TaxCode,0),0,1,1)))+IF(ISERROR($G120),0,IF(ISNA(MATCH($G120,TaxCode,0)),0,OFFSET(Setup!$D$15,MATCH($G120,TaxCode,0),0,1,1))))*IF(ISERROR($F120),0,IF(ISNA(MATCH($F120,TaxCode,0)),0,OFFSET(Setup!$D$15,MATCH($F120,TaxCode,0),0,1,1)))</f>
        <v>0</v>
      </c>
      <c r="N120" s="29">
        <f ca="1">$O120/(1+IF(ISERROR($F120),0,IF(ISNA(MATCH($F120,TaxCode,0)),0,OFFSET(Setup!$D$15,MATCH($F120,TaxCode,0),0,1,1)))+IF(ISERROR($G120),0,IF(ISNA(MATCH($G120,TaxCode,0)),0,OFFSET(Setup!$D$15,MATCH($G120,TaxCode,0),0,1,1))))*IF(ISERROR($G120),0,IF(ISNA(MATCH($G120,TaxCode,0)),0,OFFSET(Setup!$D$15,MATCH($G120,TaxCode,0),0,1,1)))</f>
        <v>0</v>
      </c>
      <c r="O120" s="29">
        <f t="shared" si="4"/>
        <v>-29</v>
      </c>
      <c r="P120" s="63" t="str">
        <f t="shared" ca="1" si="5"/>
        <v>-</v>
      </c>
    </row>
    <row r="121" spans="1:16" ht="16" customHeight="1" x14ac:dyDescent="0.25">
      <c r="A121" s="79">
        <v>44043</v>
      </c>
      <c r="B121" s="4" t="s">
        <v>505</v>
      </c>
      <c r="C121" s="4" t="s">
        <v>507</v>
      </c>
      <c r="D121" s="4" t="s">
        <v>506</v>
      </c>
      <c r="E121" s="29">
        <v>10850</v>
      </c>
      <c r="F121" s="63" t="s">
        <v>108</v>
      </c>
      <c r="G121" s="63" t="s">
        <v>108</v>
      </c>
      <c r="H121" s="63" t="s">
        <v>149</v>
      </c>
      <c r="I121" s="30" t="s">
        <v>290</v>
      </c>
      <c r="J121" s="10">
        <v>44050</v>
      </c>
      <c r="K121" s="63">
        <f t="shared" ca="1" si="3"/>
        <v>0</v>
      </c>
      <c r="L121" s="29" cm="1">
        <f t="array" aca="1" ref="L121" ca="1">O121-IF(ExpTaxCount=2,SUM($M121:$N121),$M121:$M121)</f>
        <v>10850</v>
      </c>
      <c r="M121" s="29">
        <f ca="1">$O121/(1+IF(ISERROR($F121),0,IF(ISNA(MATCH($F121,TaxCode,0)),0,OFFSET(Setup!$D$15,MATCH($F121,TaxCode,0),0,1,1)))+IF(ISERROR($G121),0,IF(ISNA(MATCH($G121,TaxCode,0)),0,OFFSET(Setup!$D$15,MATCH($G121,TaxCode,0),0,1,1))))*IF(ISERROR($F121),0,IF(ISNA(MATCH($F121,TaxCode,0)),0,OFFSET(Setup!$D$15,MATCH($F121,TaxCode,0),0,1,1)))</f>
        <v>0</v>
      </c>
      <c r="N121" s="29">
        <f ca="1">$O121/(1+IF(ISERROR($F121),0,IF(ISNA(MATCH($F121,TaxCode,0)),0,OFFSET(Setup!$D$15,MATCH($F121,TaxCode,0),0,1,1)))+IF(ISERROR($G121),0,IF(ISNA(MATCH($G121,TaxCode,0)),0,OFFSET(Setup!$D$15,MATCH($G121,TaxCode,0),0,1,1))))*IF(ISERROR($G121),0,IF(ISNA(MATCH($G121,TaxCode,0)),0,OFFSET(Setup!$D$15,MATCH($G121,TaxCode,0),0,1,1)))</f>
        <v>0</v>
      </c>
      <c r="O121" s="29">
        <f t="shared" si="4"/>
        <v>10850</v>
      </c>
      <c r="P121" s="63" t="str">
        <f t="shared" ca="1" si="5"/>
        <v>-</v>
      </c>
    </row>
    <row r="122" spans="1:16" ht="16" customHeight="1" x14ac:dyDescent="0.25">
      <c r="A122" s="79">
        <v>44044</v>
      </c>
      <c r="B122" s="4" t="s">
        <v>5</v>
      </c>
      <c r="C122" s="4" t="s">
        <v>34</v>
      </c>
      <c r="D122" s="4" t="s">
        <v>114</v>
      </c>
      <c r="E122" s="29">
        <v>850</v>
      </c>
      <c r="F122" s="63" t="s">
        <v>93</v>
      </c>
      <c r="G122" s="63" t="s">
        <v>108</v>
      </c>
      <c r="H122" s="63" t="s">
        <v>145</v>
      </c>
      <c r="I122" s="30" t="s">
        <v>303</v>
      </c>
      <c r="J122" s="10">
        <v>44074</v>
      </c>
      <c r="K122" s="63">
        <f t="shared" ca="1" si="3"/>
        <v>0</v>
      </c>
      <c r="L122" s="29" cm="1">
        <f t="array" aca="1" ref="L122" ca="1">O122-IF(ExpTaxCount=2,SUM($M122:$N122),$M122:$M122)</f>
        <v>739.13043478260875</v>
      </c>
      <c r="M122" s="29">
        <f ca="1">$O122/(1+IF(ISERROR($F122),0,IF(ISNA(MATCH($F122,TaxCode,0)),0,OFFSET(Setup!$D$15,MATCH($F122,TaxCode,0),0,1,1)))+IF(ISERROR($G122),0,IF(ISNA(MATCH($G122,TaxCode,0)),0,OFFSET(Setup!$D$15,MATCH($G122,TaxCode,0),0,1,1))))*IF(ISERROR($F122),0,IF(ISNA(MATCH($F122,TaxCode,0)),0,OFFSET(Setup!$D$15,MATCH($F122,TaxCode,0),0,1,1)))</f>
        <v>110.86956521739131</v>
      </c>
      <c r="N122" s="29">
        <f ca="1">$O122/(1+IF(ISERROR($F122),0,IF(ISNA(MATCH($F122,TaxCode,0)),0,OFFSET(Setup!$D$15,MATCH($F122,TaxCode,0),0,1,1)))+IF(ISERROR($G122),0,IF(ISNA(MATCH($G122,TaxCode,0)),0,OFFSET(Setup!$D$15,MATCH($G122,TaxCode,0),0,1,1))))*IF(ISERROR($G122),0,IF(ISNA(MATCH($G122,TaxCode,0)),0,OFFSET(Setup!$D$15,MATCH($G122,TaxCode,0),0,1,1)))</f>
        <v>0</v>
      </c>
      <c r="O122" s="29">
        <f t="shared" si="4"/>
        <v>850</v>
      </c>
      <c r="P122" s="63" t="str">
        <f t="shared" ca="1" si="5"/>
        <v>-</v>
      </c>
    </row>
    <row r="123" spans="1:16" ht="16" customHeight="1" x14ac:dyDescent="0.25">
      <c r="A123" s="79">
        <v>44048</v>
      </c>
      <c r="B123" s="4" t="s">
        <v>167</v>
      </c>
      <c r="C123" s="4" t="s">
        <v>110</v>
      </c>
      <c r="D123" s="4" t="s">
        <v>71</v>
      </c>
      <c r="E123" s="29">
        <v>368</v>
      </c>
      <c r="F123" s="63" t="s">
        <v>93</v>
      </c>
      <c r="G123" s="63" t="s">
        <v>108</v>
      </c>
      <c r="H123" s="63" t="s">
        <v>145</v>
      </c>
      <c r="I123" s="30" t="s">
        <v>296</v>
      </c>
      <c r="J123" s="10">
        <v>44048</v>
      </c>
      <c r="K123" s="63">
        <f t="shared" ca="1" si="3"/>
        <v>0</v>
      </c>
      <c r="L123" s="29" cm="1">
        <f t="array" aca="1" ref="L123" ca="1">O123-IF(ExpTaxCount=2,SUM($M123:$N123),$M123:$M123)</f>
        <v>320</v>
      </c>
      <c r="M123" s="29">
        <f ca="1">$O123/(1+IF(ISERROR($F123),0,IF(ISNA(MATCH($F123,TaxCode,0)),0,OFFSET(Setup!$D$15,MATCH($F123,TaxCode,0),0,1,1)))+IF(ISERROR($G123),0,IF(ISNA(MATCH($G123,TaxCode,0)),0,OFFSET(Setup!$D$15,MATCH($G123,TaxCode,0),0,1,1))))*IF(ISERROR($F123),0,IF(ISNA(MATCH($F123,TaxCode,0)),0,OFFSET(Setup!$D$15,MATCH($F123,TaxCode,0),0,1,1)))</f>
        <v>48</v>
      </c>
      <c r="N123" s="29">
        <f ca="1">$O123/(1+IF(ISERROR($F123),0,IF(ISNA(MATCH($F123,TaxCode,0)),0,OFFSET(Setup!$D$15,MATCH($F123,TaxCode,0),0,1,1)))+IF(ISERROR($G123),0,IF(ISNA(MATCH($G123,TaxCode,0)),0,OFFSET(Setup!$D$15,MATCH($G123,TaxCode,0),0,1,1))))*IF(ISERROR($G123),0,IF(ISNA(MATCH($G123,TaxCode,0)),0,OFFSET(Setup!$D$15,MATCH($G123,TaxCode,0),0,1,1)))</f>
        <v>0</v>
      </c>
      <c r="O123" s="29">
        <f t="shared" si="4"/>
        <v>368</v>
      </c>
      <c r="P123" s="63" t="str">
        <f t="shared" ca="1" si="5"/>
        <v>-</v>
      </c>
    </row>
    <row r="124" spans="1:16" ht="16" customHeight="1" x14ac:dyDescent="0.25">
      <c r="A124" s="79">
        <v>44048</v>
      </c>
      <c r="B124" s="4" t="s">
        <v>128</v>
      </c>
      <c r="C124" s="4" t="s">
        <v>172</v>
      </c>
      <c r="D124" s="4" t="s">
        <v>173</v>
      </c>
      <c r="E124" s="29">
        <v>-10000</v>
      </c>
      <c r="F124" s="63" t="s">
        <v>108</v>
      </c>
      <c r="G124" s="63" t="s">
        <v>108</v>
      </c>
      <c r="H124" s="63" t="s">
        <v>149</v>
      </c>
      <c r="I124" s="30" t="s">
        <v>275</v>
      </c>
      <c r="J124" s="10">
        <v>44048</v>
      </c>
      <c r="K124" s="63">
        <f t="shared" ca="1" si="3"/>
        <v>0</v>
      </c>
      <c r="L124" s="29" cm="1">
        <f t="array" aca="1" ref="L124" ca="1">O124-IF(ExpTaxCount=2,SUM($M124:$N124),$M124:$M124)</f>
        <v>-10000</v>
      </c>
      <c r="M124" s="29">
        <f ca="1">$O124/(1+IF(ISERROR($F124),0,IF(ISNA(MATCH($F124,TaxCode,0)),0,OFFSET(Setup!$D$15,MATCH($F124,TaxCode,0),0,1,1)))+IF(ISERROR($G124),0,IF(ISNA(MATCH($G124,TaxCode,0)),0,OFFSET(Setup!$D$15,MATCH($G124,TaxCode,0),0,1,1))))*IF(ISERROR($F124),0,IF(ISNA(MATCH($F124,TaxCode,0)),0,OFFSET(Setup!$D$15,MATCH($F124,TaxCode,0),0,1,1)))</f>
        <v>0</v>
      </c>
      <c r="N124" s="29">
        <f ca="1">$O124/(1+IF(ISERROR($F124),0,IF(ISNA(MATCH($F124,TaxCode,0)),0,OFFSET(Setup!$D$15,MATCH($F124,TaxCode,0),0,1,1)))+IF(ISERROR($G124),0,IF(ISNA(MATCH($G124,TaxCode,0)),0,OFFSET(Setup!$D$15,MATCH($G124,TaxCode,0),0,1,1))))*IF(ISERROR($G124),0,IF(ISNA(MATCH($G124,TaxCode,0)),0,OFFSET(Setup!$D$15,MATCH($G124,TaxCode,0),0,1,1)))</f>
        <v>0</v>
      </c>
      <c r="O124" s="29">
        <f t="shared" si="4"/>
        <v>-10000</v>
      </c>
      <c r="P124" s="63" t="str">
        <f t="shared" ca="1" si="5"/>
        <v>-</v>
      </c>
    </row>
    <row r="125" spans="1:16" ht="16" customHeight="1" x14ac:dyDescent="0.25">
      <c r="A125" s="79">
        <v>44048</v>
      </c>
      <c r="B125" s="4" t="s">
        <v>128</v>
      </c>
      <c r="C125" s="4" t="s">
        <v>172</v>
      </c>
      <c r="D125" s="4" t="s">
        <v>173</v>
      </c>
      <c r="E125" s="29">
        <v>10000</v>
      </c>
      <c r="F125" s="63" t="s">
        <v>108</v>
      </c>
      <c r="G125" s="63" t="s">
        <v>108</v>
      </c>
      <c r="H125" s="63" t="s">
        <v>145</v>
      </c>
      <c r="I125" s="30" t="s">
        <v>275</v>
      </c>
      <c r="J125" s="10">
        <v>44048</v>
      </c>
      <c r="K125" s="63">
        <f t="shared" ca="1" si="3"/>
        <v>0</v>
      </c>
      <c r="L125" s="29" cm="1">
        <f t="array" aca="1" ref="L125" ca="1">O125-IF(ExpTaxCount=2,SUM($M125:$N125),$M125:$M125)</f>
        <v>10000</v>
      </c>
      <c r="M125" s="29">
        <f ca="1">$O125/(1+IF(ISERROR($F125),0,IF(ISNA(MATCH($F125,TaxCode,0)),0,OFFSET(Setup!$D$15,MATCH($F125,TaxCode,0),0,1,1)))+IF(ISERROR($G125),0,IF(ISNA(MATCH($G125,TaxCode,0)),0,OFFSET(Setup!$D$15,MATCH($G125,TaxCode,0),0,1,1))))*IF(ISERROR($F125),0,IF(ISNA(MATCH($F125,TaxCode,0)),0,OFFSET(Setup!$D$15,MATCH($F125,TaxCode,0),0,1,1)))</f>
        <v>0</v>
      </c>
      <c r="N125" s="29">
        <f ca="1">$O125/(1+IF(ISERROR($F125),0,IF(ISNA(MATCH($F125,TaxCode,0)),0,OFFSET(Setup!$D$15,MATCH($F125,TaxCode,0),0,1,1)))+IF(ISERROR($G125),0,IF(ISNA(MATCH($G125,TaxCode,0)),0,OFFSET(Setup!$D$15,MATCH($G125,TaxCode,0),0,1,1))))*IF(ISERROR($G125),0,IF(ISNA(MATCH($G125,TaxCode,0)),0,OFFSET(Setup!$D$15,MATCH($G125,TaxCode,0),0,1,1)))</f>
        <v>0</v>
      </c>
      <c r="O125" s="29">
        <f t="shared" si="4"/>
        <v>10000</v>
      </c>
      <c r="P125" s="63" t="str">
        <f t="shared" ca="1" si="5"/>
        <v>-</v>
      </c>
    </row>
    <row r="126" spans="1:16" ht="16" customHeight="1" x14ac:dyDescent="0.25">
      <c r="A126" s="79">
        <v>44052</v>
      </c>
      <c r="B126" s="4" t="s">
        <v>169</v>
      </c>
      <c r="C126" s="4" t="s">
        <v>170</v>
      </c>
      <c r="D126" s="4" t="s">
        <v>171</v>
      </c>
      <c r="E126" s="29">
        <v>78</v>
      </c>
      <c r="F126" s="63" t="s">
        <v>93</v>
      </c>
      <c r="G126" s="63" t="s">
        <v>108</v>
      </c>
      <c r="H126" s="63" t="s">
        <v>151</v>
      </c>
      <c r="I126" s="30" t="s">
        <v>297</v>
      </c>
      <c r="J126" s="10">
        <v>44052</v>
      </c>
      <c r="K126" s="63">
        <f t="shared" ca="1" si="3"/>
        <v>0</v>
      </c>
      <c r="L126" s="29" cm="1">
        <f t="array" aca="1" ref="L126" ca="1">O126-IF(ExpTaxCount=2,SUM($M126:$N126),$M126:$M126)</f>
        <v>67.826086956521735</v>
      </c>
      <c r="M126" s="29">
        <f ca="1">$O126/(1+IF(ISERROR($F126),0,IF(ISNA(MATCH($F126,TaxCode,0)),0,OFFSET(Setup!$D$15,MATCH($F126,TaxCode,0),0,1,1)))+IF(ISERROR($G126),0,IF(ISNA(MATCH($G126,TaxCode,0)),0,OFFSET(Setup!$D$15,MATCH($G126,TaxCode,0),0,1,1))))*IF(ISERROR($F126),0,IF(ISNA(MATCH($F126,TaxCode,0)),0,OFFSET(Setup!$D$15,MATCH($F126,TaxCode,0),0,1,1)))</f>
        <v>10.173913043478262</v>
      </c>
      <c r="N126" s="29">
        <f ca="1">$O126/(1+IF(ISERROR($F126),0,IF(ISNA(MATCH($F126,TaxCode,0)),0,OFFSET(Setup!$D$15,MATCH($F126,TaxCode,0),0,1,1)))+IF(ISERROR($G126),0,IF(ISNA(MATCH($G126,TaxCode,0)),0,OFFSET(Setup!$D$15,MATCH($G126,TaxCode,0),0,1,1))))*IF(ISERROR($G126),0,IF(ISNA(MATCH($G126,TaxCode,0)),0,OFFSET(Setup!$D$15,MATCH($G126,TaxCode,0),0,1,1)))</f>
        <v>0</v>
      </c>
      <c r="O126" s="29">
        <f t="shared" si="4"/>
        <v>78</v>
      </c>
      <c r="P126" s="63" t="str">
        <f t="shared" ca="1" si="5"/>
        <v>-</v>
      </c>
    </row>
    <row r="127" spans="1:16" ht="16" customHeight="1" x14ac:dyDescent="0.25">
      <c r="A127" s="79">
        <v>44058</v>
      </c>
      <c r="B127" s="4" t="s">
        <v>168</v>
      </c>
      <c r="C127" s="4" t="s">
        <v>109</v>
      </c>
      <c r="D127" s="4" t="s">
        <v>12</v>
      </c>
      <c r="E127" s="29">
        <v>80</v>
      </c>
      <c r="F127" s="63" t="s">
        <v>93</v>
      </c>
      <c r="G127" s="63" t="s">
        <v>108</v>
      </c>
      <c r="H127" s="63" t="s">
        <v>145</v>
      </c>
      <c r="I127" s="30" t="s">
        <v>291</v>
      </c>
      <c r="J127" s="10">
        <v>44058</v>
      </c>
      <c r="K127" s="63">
        <f t="shared" ca="1" si="3"/>
        <v>0</v>
      </c>
      <c r="L127" s="29" cm="1">
        <f t="array" aca="1" ref="L127" ca="1">O127-IF(ExpTaxCount=2,SUM($M127:$N127),$M127:$M127)</f>
        <v>69.565217391304344</v>
      </c>
      <c r="M127" s="29">
        <f ca="1">$O127/(1+IF(ISERROR($F127),0,IF(ISNA(MATCH($F127,TaxCode,0)),0,OFFSET(Setup!$D$15,MATCH($F127,TaxCode,0),0,1,1)))+IF(ISERROR($G127),0,IF(ISNA(MATCH($G127,TaxCode,0)),0,OFFSET(Setup!$D$15,MATCH($G127,TaxCode,0),0,1,1))))*IF(ISERROR($F127),0,IF(ISNA(MATCH($F127,TaxCode,0)),0,OFFSET(Setup!$D$15,MATCH($F127,TaxCode,0),0,1,1)))</f>
        <v>10.434782608695654</v>
      </c>
      <c r="N127" s="29">
        <f ca="1">$O127/(1+IF(ISERROR($F127),0,IF(ISNA(MATCH($F127,TaxCode,0)),0,OFFSET(Setup!$D$15,MATCH($F127,TaxCode,0),0,1,1)))+IF(ISERROR($G127),0,IF(ISNA(MATCH($G127,TaxCode,0)),0,OFFSET(Setup!$D$15,MATCH($G127,TaxCode,0),0,1,1))))*IF(ISERROR($G127),0,IF(ISNA(MATCH($G127,TaxCode,0)),0,OFFSET(Setup!$D$15,MATCH($G127,TaxCode,0),0,1,1)))</f>
        <v>0</v>
      </c>
      <c r="O127" s="29">
        <f t="shared" si="4"/>
        <v>80</v>
      </c>
      <c r="P127" s="63" t="str">
        <f t="shared" ca="1" si="5"/>
        <v>-</v>
      </c>
    </row>
    <row r="128" spans="1:16" ht="16" customHeight="1" x14ac:dyDescent="0.25">
      <c r="A128" s="79">
        <v>44058</v>
      </c>
      <c r="B128" s="4" t="s">
        <v>168</v>
      </c>
      <c r="C128" s="4" t="s">
        <v>109</v>
      </c>
      <c r="D128" s="4" t="s">
        <v>12</v>
      </c>
      <c r="E128" s="29">
        <v>35</v>
      </c>
      <c r="F128" s="63" t="s">
        <v>93</v>
      </c>
      <c r="G128" s="63" t="s">
        <v>108</v>
      </c>
      <c r="H128" s="63" t="s">
        <v>147</v>
      </c>
      <c r="I128" s="30" t="s">
        <v>291</v>
      </c>
      <c r="J128" s="10">
        <v>44058</v>
      </c>
      <c r="K128" s="63">
        <f t="shared" ca="1" si="3"/>
        <v>0</v>
      </c>
      <c r="L128" s="29" cm="1">
        <f t="array" aca="1" ref="L128" ca="1">O128-IF(ExpTaxCount=2,SUM($M128:$N128),$M128:$M128)</f>
        <v>30.434782608695652</v>
      </c>
      <c r="M128" s="29">
        <f ca="1">$O128/(1+IF(ISERROR($F128),0,IF(ISNA(MATCH($F128,TaxCode,0)),0,OFFSET(Setup!$D$15,MATCH($F128,TaxCode,0),0,1,1)))+IF(ISERROR($G128),0,IF(ISNA(MATCH($G128,TaxCode,0)),0,OFFSET(Setup!$D$15,MATCH($G128,TaxCode,0),0,1,1))))*IF(ISERROR($F128),0,IF(ISNA(MATCH($F128,TaxCode,0)),0,OFFSET(Setup!$D$15,MATCH($F128,TaxCode,0),0,1,1)))</f>
        <v>4.5652173913043486</v>
      </c>
      <c r="N128" s="29">
        <f ca="1">$O128/(1+IF(ISERROR($F128),0,IF(ISNA(MATCH($F128,TaxCode,0)),0,OFFSET(Setup!$D$15,MATCH($F128,TaxCode,0),0,1,1)))+IF(ISERROR($G128),0,IF(ISNA(MATCH($G128,TaxCode,0)),0,OFFSET(Setup!$D$15,MATCH($G128,TaxCode,0),0,1,1))))*IF(ISERROR($G128),0,IF(ISNA(MATCH($G128,TaxCode,0)),0,OFFSET(Setup!$D$15,MATCH($G128,TaxCode,0),0,1,1)))</f>
        <v>0</v>
      </c>
      <c r="O128" s="29">
        <f t="shared" si="4"/>
        <v>35</v>
      </c>
      <c r="P128" s="63" t="str">
        <f t="shared" ca="1" si="5"/>
        <v>-</v>
      </c>
    </row>
    <row r="129" spans="1:16" ht="16" customHeight="1" x14ac:dyDescent="0.25">
      <c r="A129" s="79">
        <v>44058</v>
      </c>
      <c r="B129" s="4" t="s">
        <v>11</v>
      </c>
      <c r="C129" s="4" t="s">
        <v>112</v>
      </c>
      <c r="D129" s="4" t="s">
        <v>504</v>
      </c>
      <c r="E129" s="29">
        <v>2300</v>
      </c>
      <c r="F129" s="63" t="s">
        <v>93</v>
      </c>
      <c r="G129" s="63" t="s">
        <v>108</v>
      </c>
      <c r="H129" s="63" t="s">
        <v>145</v>
      </c>
      <c r="I129" s="30" t="s">
        <v>289</v>
      </c>
      <c r="J129" s="10">
        <v>44076</v>
      </c>
      <c r="K129" s="63">
        <f t="shared" ca="1" si="3"/>
        <v>0</v>
      </c>
      <c r="L129" s="29" cm="1">
        <f t="array" aca="1" ref="L129" ca="1">O129-IF(ExpTaxCount=2,SUM($M129:$N129),$M129:$M129)</f>
        <v>2000</v>
      </c>
      <c r="M129" s="29">
        <f ca="1">$O129/(1+IF(ISERROR($F129),0,IF(ISNA(MATCH($F129,TaxCode,0)),0,OFFSET(Setup!$D$15,MATCH($F129,TaxCode,0),0,1,1)))+IF(ISERROR($G129),0,IF(ISNA(MATCH($G129,TaxCode,0)),0,OFFSET(Setup!$D$15,MATCH($G129,TaxCode,0),0,1,1))))*IF(ISERROR($F129),0,IF(ISNA(MATCH($F129,TaxCode,0)),0,OFFSET(Setup!$D$15,MATCH($F129,TaxCode,0),0,1,1)))</f>
        <v>300</v>
      </c>
      <c r="N129" s="29">
        <f ca="1">$O129/(1+IF(ISERROR($F129),0,IF(ISNA(MATCH($F129,TaxCode,0)),0,OFFSET(Setup!$D$15,MATCH($F129,TaxCode,0),0,1,1)))+IF(ISERROR($G129),0,IF(ISNA(MATCH($G129,TaxCode,0)),0,OFFSET(Setup!$D$15,MATCH($G129,TaxCode,0),0,1,1))))*IF(ISERROR($G129),0,IF(ISNA(MATCH($G129,TaxCode,0)),0,OFFSET(Setup!$D$15,MATCH($G129,TaxCode,0),0,1,1)))</f>
        <v>0</v>
      </c>
      <c r="O129" s="29">
        <f t="shared" si="4"/>
        <v>2300</v>
      </c>
      <c r="P129" s="63" t="str">
        <f t="shared" ca="1" si="5"/>
        <v>-</v>
      </c>
    </row>
    <row r="130" spans="1:16" ht="16" customHeight="1" x14ac:dyDescent="0.25">
      <c r="A130" s="79">
        <v>44058</v>
      </c>
      <c r="B130" s="4" t="s">
        <v>44</v>
      </c>
      <c r="C130" s="4" t="s">
        <v>46</v>
      </c>
      <c r="D130" s="4" t="s">
        <v>120</v>
      </c>
      <c r="E130" s="29">
        <v>2520</v>
      </c>
      <c r="F130" s="63" t="s">
        <v>93</v>
      </c>
      <c r="G130" s="63" t="s">
        <v>108</v>
      </c>
      <c r="H130" s="63" t="s">
        <v>145</v>
      </c>
      <c r="I130" s="30" t="s">
        <v>305</v>
      </c>
      <c r="J130" s="10">
        <v>44058</v>
      </c>
      <c r="K130" s="63">
        <f t="shared" ca="1" si="3"/>
        <v>0</v>
      </c>
      <c r="L130" s="29" cm="1">
        <f t="array" aca="1" ref="L130" ca="1">O130-IF(ExpTaxCount=2,SUM($M130:$N130),$M130:$M130)</f>
        <v>2191.304347826087</v>
      </c>
      <c r="M130" s="29">
        <f ca="1">$O130/(1+IF(ISERROR($F130),0,IF(ISNA(MATCH($F130,TaxCode,0)),0,OFFSET(Setup!$D$15,MATCH($F130,TaxCode,0),0,1,1)))+IF(ISERROR($G130),0,IF(ISNA(MATCH($G130,TaxCode,0)),0,OFFSET(Setup!$D$15,MATCH($G130,TaxCode,0),0,1,1))))*IF(ISERROR($F130),0,IF(ISNA(MATCH($F130,TaxCode,0)),0,OFFSET(Setup!$D$15,MATCH($F130,TaxCode,0),0,1,1)))</f>
        <v>328.69565217391306</v>
      </c>
      <c r="N130" s="29">
        <f ca="1">$O130/(1+IF(ISERROR($F130),0,IF(ISNA(MATCH($F130,TaxCode,0)),0,OFFSET(Setup!$D$15,MATCH($F130,TaxCode,0),0,1,1)))+IF(ISERROR($G130),0,IF(ISNA(MATCH($G130,TaxCode,0)),0,OFFSET(Setup!$D$15,MATCH($G130,TaxCode,0),0,1,1))))*IF(ISERROR($G130),0,IF(ISNA(MATCH($G130,TaxCode,0)),0,OFFSET(Setup!$D$15,MATCH($G130,TaxCode,0),0,1,1)))</f>
        <v>0</v>
      </c>
      <c r="O130" s="29">
        <f t="shared" si="4"/>
        <v>2520</v>
      </c>
      <c r="P130" s="63" t="str">
        <f t="shared" ca="1" si="5"/>
        <v>-</v>
      </c>
    </row>
    <row r="131" spans="1:16" ht="16" customHeight="1" x14ac:dyDescent="0.25">
      <c r="A131" s="79">
        <v>44063</v>
      </c>
      <c r="B131" s="4" t="s">
        <v>128</v>
      </c>
      <c r="C131" s="4" t="s">
        <v>172</v>
      </c>
      <c r="D131" s="4" t="s">
        <v>173</v>
      </c>
      <c r="E131" s="29">
        <v>-90000</v>
      </c>
      <c r="F131" s="63" t="s">
        <v>108</v>
      </c>
      <c r="G131" s="63" t="s">
        <v>108</v>
      </c>
      <c r="H131" s="63" t="s">
        <v>147</v>
      </c>
      <c r="I131" s="30" t="s">
        <v>275</v>
      </c>
      <c r="J131" s="10">
        <v>44063</v>
      </c>
      <c r="K131" s="63">
        <f t="shared" ca="1" si="3"/>
        <v>0</v>
      </c>
      <c r="L131" s="29" cm="1">
        <f t="array" aca="1" ref="L131" ca="1">O131-IF(ExpTaxCount=2,SUM($M131:$N131),$M131:$M131)</f>
        <v>-90000</v>
      </c>
      <c r="M131" s="29">
        <f ca="1">$O131/(1+IF(ISERROR($F131),0,IF(ISNA(MATCH($F131,TaxCode,0)),0,OFFSET(Setup!$D$15,MATCH($F131,TaxCode,0),0,1,1)))+IF(ISERROR($G131),0,IF(ISNA(MATCH($G131,TaxCode,0)),0,OFFSET(Setup!$D$15,MATCH($G131,TaxCode,0),0,1,1))))*IF(ISERROR($F131),0,IF(ISNA(MATCH($F131,TaxCode,0)),0,OFFSET(Setup!$D$15,MATCH($F131,TaxCode,0),0,1,1)))</f>
        <v>0</v>
      </c>
      <c r="N131" s="29">
        <f ca="1">$O131/(1+IF(ISERROR($F131),0,IF(ISNA(MATCH($F131,TaxCode,0)),0,OFFSET(Setup!$D$15,MATCH($F131,TaxCode,0),0,1,1)))+IF(ISERROR($G131),0,IF(ISNA(MATCH($G131,TaxCode,0)),0,OFFSET(Setup!$D$15,MATCH($G131,TaxCode,0),0,1,1))))*IF(ISERROR($G131),0,IF(ISNA(MATCH($G131,TaxCode,0)),0,OFFSET(Setup!$D$15,MATCH($G131,TaxCode,0),0,1,1)))</f>
        <v>0</v>
      </c>
      <c r="O131" s="29">
        <f t="shared" si="4"/>
        <v>-90000</v>
      </c>
      <c r="P131" s="63" t="str">
        <f t="shared" ca="1" si="5"/>
        <v>-</v>
      </c>
    </row>
    <row r="132" spans="1:16" ht="16" customHeight="1" x14ac:dyDescent="0.25">
      <c r="A132" s="79">
        <v>44063</v>
      </c>
      <c r="B132" s="4" t="s">
        <v>128</v>
      </c>
      <c r="C132" s="4" t="s">
        <v>172</v>
      </c>
      <c r="D132" s="4" t="s">
        <v>173</v>
      </c>
      <c r="E132" s="29">
        <v>90000</v>
      </c>
      <c r="F132" s="63" t="s">
        <v>108</v>
      </c>
      <c r="G132" s="63" t="s">
        <v>108</v>
      </c>
      <c r="H132" s="63" t="s">
        <v>145</v>
      </c>
      <c r="I132" s="30" t="s">
        <v>275</v>
      </c>
      <c r="J132" s="10">
        <v>44063</v>
      </c>
      <c r="K132" s="63">
        <f t="shared" ca="1" si="3"/>
        <v>0</v>
      </c>
      <c r="L132" s="29" cm="1">
        <f t="array" aca="1" ref="L132" ca="1">O132-IF(ExpTaxCount=2,SUM($M132:$N132),$M132:$M132)</f>
        <v>90000</v>
      </c>
      <c r="M132" s="29">
        <f ca="1">$O132/(1+IF(ISERROR($F132),0,IF(ISNA(MATCH($F132,TaxCode,0)),0,OFFSET(Setup!$D$15,MATCH($F132,TaxCode,0),0,1,1)))+IF(ISERROR($G132),0,IF(ISNA(MATCH($G132,TaxCode,0)),0,OFFSET(Setup!$D$15,MATCH($G132,TaxCode,0),0,1,1))))*IF(ISERROR($F132),0,IF(ISNA(MATCH($F132,TaxCode,0)),0,OFFSET(Setup!$D$15,MATCH($F132,TaxCode,0),0,1,1)))</f>
        <v>0</v>
      </c>
      <c r="N132" s="29">
        <f ca="1">$O132/(1+IF(ISERROR($F132),0,IF(ISNA(MATCH($F132,TaxCode,0)),0,OFFSET(Setup!$D$15,MATCH($F132,TaxCode,0),0,1,1)))+IF(ISERROR($G132),0,IF(ISNA(MATCH($G132,TaxCode,0)),0,OFFSET(Setup!$D$15,MATCH($G132,TaxCode,0),0,1,1))))*IF(ISERROR($G132),0,IF(ISNA(MATCH($G132,TaxCode,0)),0,OFFSET(Setup!$D$15,MATCH($G132,TaxCode,0),0,1,1)))</f>
        <v>0</v>
      </c>
      <c r="O132" s="29">
        <f t="shared" si="4"/>
        <v>90000</v>
      </c>
      <c r="P132" s="63" t="str">
        <f t="shared" ca="1" si="5"/>
        <v>-</v>
      </c>
    </row>
    <row r="133" spans="1:16" ht="16" customHeight="1" x14ac:dyDescent="0.25">
      <c r="A133" s="79">
        <v>44064</v>
      </c>
      <c r="B133" s="4" t="s">
        <v>49</v>
      </c>
      <c r="C133" s="4" t="s">
        <v>50</v>
      </c>
      <c r="D133" s="4" t="s">
        <v>51</v>
      </c>
      <c r="E133" s="29">
        <v>30750</v>
      </c>
      <c r="F133" s="63" t="s">
        <v>108</v>
      </c>
      <c r="G133" s="63" t="s">
        <v>108</v>
      </c>
      <c r="H133" s="63" t="s">
        <v>145</v>
      </c>
      <c r="I133" s="30" t="s">
        <v>262</v>
      </c>
      <c r="J133" s="10">
        <v>44064</v>
      </c>
      <c r="K133" s="63">
        <f t="shared" ref="K133:K196" ca="1" si="6">IF(AND($A133&lt;=$L$2,OR($J133&gt;$L$2,ISBLANK($J133))),$E133,0)</f>
        <v>0</v>
      </c>
      <c r="L133" s="29" cm="1">
        <f t="array" aca="1" ref="L133" ca="1">O133-IF(ExpTaxCount=2,SUM($M133:$N133),$M133:$M133)</f>
        <v>30750</v>
      </c>
      <c r="M133" s="29">
        <f ca="1">$O133/(1+IF(ISERROR($F133),0,IF(ISNA(MATCH($F133,TaxCode,0)),0,OFFSET(Setup!$D$15,MATCH($F133,TaxCode,0),0,1,1)))+IF(ISERROR($G133),0,IF(ISNA(MATCH($G133,TaxCode,0)),0,OFFSET(Setup!$D$15,MATCH($G133,TaxCode,0),0,1,1))))*IF(ISERROR($F133),0,IF(ISNA(MATCH($F133,TaxCode,0)),0,OFFSET(Setup!$D$15,MATCH($F133,TaxCode,0),0,1,1)))</f>
        <v>0</v>
      </c>
      <c r="N133" s="29">
        <f ca="1">$O133/(1+IF(ISERROR($F133),0,IF(ISNA(MATCH($F133,TaxCode,0)),0,OFFSET(Setup!$D$15,MATCH($F133,TaxCode,0),0,1,1)))+IF(ISERROR($G133),0,IF(ISNA(MATCH($G133,TaxCode,0)),0,OFFSET(Setup!$D$15,MATCH($G133,TaxCode,0),0,1,1))))*IF(ISERROR($G133),0,IF(ISNA(MATCH($G133,TaxCode,0)),0,OFFSET(Setup!$D$15,MATCH($G133,TaxCode,0),0,1,1)))</f>
        <v>0</v>
      </c>
      <c r="O133" s="29">
        <f t="shared" ref="O133:O196" si="7">E133</f>
        <v>30750</v>
      </c>
      <c r="P133" s="63" t="str">
        <f t="shared" ref="P133:P196" ca="1" si="8">IF(AND(ISBLANK(J133)=FALSE,J133&lt;A133),"E1",IF(AND(ISBLANK(I133)=FALSE,ISNA(MATCH($I133,AccountNo,0))),"E2",IF(AND(ISBLANK(H133)=FALSE,ISNA(MATCH($H133,BankCode,0))),"E3","-")))</f>
        <v>-</v>
      </c>
    </row>
    <row r="134" spans="1:16" ht="16" customHeight="1" x14ac:dyDescent="0.25">
      <c r="A134" s="79">
        <v>44067</v>
      </c>
      <c r="B134" s="4" t="s">
        <v>13</v>
      </c>
      <c r="C134" s="4" t="s">
        <v>15</v>
      </c>
      <c r="D134" s="4" t="s">
        <v>82</v>
      </c>
      <c r="E134" s="29">
        <v>4600</v>
      </c>
      <c r="F134" s="63" t="s">
        <v>93</v>
      </c>
      <c r="G134" s="63" t="s">
        <v>108</v>
      </c>
      <c r="H134" s="63" t="s">
        <v>145</v>
      </c>
      <c r="I134" s="30" t="s">
        <v>292</v>
      </c>
      <c r="J134" s="10">
        <v>44098</v>
      </c>
      <c r="K134" s="63">
        <f t="shared" ca="1" si="6"/>
        <v>0</v>
      </c>
      <c r="L134" s="29" cm="1">
        <f t="array" aca="1" ref="L134" ca="1">O134-IF(ExpTaxCount=2,SUM($M134:$N134),$M134:$M134)</f>
        <v>4000</v>
      </c>
      <c r="M134" s="29">
        <f ca="1">$O134/(1+IF(ISERROR($F134),0,IF(ISNA(MATCH($F134,TaxCode,0)),0,OFFSET(Setup!$D$15,MATCH($F134,TaxCode,0),0,1,1)))+IF(ISERROR($G134),0,IF(ISNA(MATCH($G134,TaxCode,0)),0,OFFSET(Setup!$D$15,MATCH($G134,TaxCode,0),0,1,1))))*IF(ISERROR($F134),0,IF(ISNA(MATCH($F134,TaxCode,0)),0,OFFSET(Setup!$D$15,MATCH($F134,TaxCode,0),0,1,1)))</f>
        <v>600</v>
      </c>
      <c r="N134" s="29">
        <f ca="1">$O134/(1+IF(ISERROR($F134),0,IF(ISNA(MATCH($F134,TaxCode,0)),0,OFFSET(Setup!$D$15,MATCH($F134,TaxCode,0),0,1,1)))+IF(ISERROR($G134),0,IF(ISNA(MATCH($G134,TaxCode,0)),0,OFFSET(Setup!$D$15,MATCH($G134,TaxCode,0),0,1,1))))*IF(ISERROR($G134),0,IF(ISNA(MATCH($G134,TaxCode,0)),0,OFFSET(Setup!$D$15,MATCH($G134,TaxCode,0),0,1,1)))</f>
        <v>0</v>
      </c>
      <c r="O134" s="29">
        <f t="shared" si="7"/>
        <v>4600</v>
      </c>
      <c r="P134" s="63" t="str">
        <f t="shared" ca="1" si="8"/>
        <v>-</v>
      </c>
    </row>
    <row r="135" spans="1:16" ht="16" customHeight="1" x14ac:dyDescent="0.25">
      <c r="A135" s="79">
        <v>44068</v>
      </c>
      <c r="B135" s="4" t="s">
        <v>48</v>
      </c>
      <c r="C135" s="4" t="s">
        <v>121</v>
      </c>
      <c r="D135" s="4" t="s">
        <v>57</v>
      </c>
      <c r="E135" s="29">
        <v>36421.949999999997</v>
      </c>
      <c r="F135" s="63" t="s">
        <v>108</v>
      </c>
      <c r="G135" s="63" t="s">
        <v>108</v>
      </c>
      <c r="H135" s="63" t="s">
        <v>145</v>
      </c>
      <c r="I135" s="30" t="s">
        <v>284</v>
      </c>
      <c r="J135" s="10">
        <v>44068</v>
      </c>
      <c r="K135" s="63">
        <f t="shared" ca="1" si="6"/>
        <v>0</v>
      </c>
      <c r="L135" s="29" cm="1">
        <f t="array" aca="1" ref="L135" ca="1">O135-IF(ExpTaxCount=2,SUM($M135:$N135),$M135:$M135)</f>
        <v>36421.949999999997</v>
      </c>
      <c r="M135" s="29">
        <f ca="1">$O135/(1+IF(ISERROR($F135),0,IF(ISNA(MATCH($F135,TaxCode,0)),0,OFFSET(Setup!$D$15,MATCH($F135,TaxCode,0),0,1,1)))+IF(ISERROR($G135),0,IF(ISNA(MATCH($G135,TaxCode,0)),0,OFFSET(Setup!$D$15,MATCH($G135,TaxCode,0),0,1,1))))*IF(ISERROR($F135),0,IF(ISNA(MATCH($F135,TaxCode,0)),0,OFFSET(Setup!$D$15,MATCH($F135,TaxCode,0),0,1,1)))</f>
        <v>0</v>
      </c>
      <c r="N135" s="29">
        <f ca="1">$O135/(1+IF(ISERROR($F135),0,IF(ISNA(MATCH($F135,TaxCode,0)),0,OFFSET(Setup!$D$15,MATCH($F135,TaxCode,0),0,1,1)))+IF(ISERROR($G135),0,IF(ISNA(MATCH($G135,TaxCode,0)),0,OFFSET(Setup!$D$15,MATCH($G135,TaxCode,0),0,1,1))))*IF(ISERROR($G135),0,IF(ISNA(MATCH($G135,TaxCode,0)),0,OFFSET(Setup!$D$15,MATCH($G135,TaxCode,0),0,1,1)))</f>
        <v>0</v>
      </c>
      <c r="O135" s="29">
        <f t="shared" si="7"/>
        <v>36421.949999999997</v>
      </c>
      <c r="P135" s="63" t="str">
        <f t="shared" ca="1" si="8"/>
        <v>-</v>
      </c>
    </row>
    <row r="136" spans="1:16" ht="16" customHeight="1" x14ac:dyDescent="0.25">
      <c r="A136" s="79">
        <v>44069</v>
      </c>
      <c r="B136" s="4" t="s">
        <v>128</v>
      </c>
      <c r="C136" s="4" t="s">
        <v>115</v>
      </c>
      <c r="D136" s="4" t="s">
        <v>26</v>
      </c>
      <c r="E136" s="29">
        <v>45000</v>
      </c>
      <c r="F136" s="63" t="s">
        <v>108</v>
      </c>
      <c r="G136" s="63" t="s">
        <v>108</v>
      </c>
      <c r="H136" s="63" t="s">
        <v>147</v>
      </c>
      <c r="I136" s="30" t="s">
        <v>366</v>
      </c>
      <c r="J136" s="10">
        <v>44069</v>
      </c>
      <c r="K136" s="63">
        <f t="shared" ca="1" si="6"/>
        <v>0</v>
      </c>
      <c r="L136" s="29" cm="1">
        <f t="array" aca="1" ref="L136" ca="1">O136-IF(ExpTaxCount=2,SUM($M136:$N136),$M136:$M136)</f>
        <v>45000</v>
      </c>
      <c r="M136" s="29">
        <f ca="1">$O136/(1+IF(ISERROR($F136),0,IF(ISNA(MATCH($F136,TaxCode,0)),0,OFFSET(Setup!$D$15,MATCH($F136,TaxCode,0),0,1,1)))+IF(ISERROR($G136),0,IF(ISNA(MATCH($G136,TaxCode,0)),0,OFFSET(Setup!$D$15,MATCH($G136,TaxCode,0),0,1,1))))*IF(ISERROR($F136),0,IF(ISNA(MATCH($F136,TaxCode,0)),0,OFFSET(Setup!$D$15,MATCH($F136,TaxCode,0),0,1,1)))</f>
        <v>0</v>
      </c>
      <c r="N136" s="29">
        <f ca="1">$O136/(1+IF(ISERROR($F136),0,IF(ISNA(MATCH($F136,TaxCode,0)),0,OFFSET(Setup!$D$15,MATCH($F136,TaxCode,0),0,1,1)))+IF(ISERROR($G136),0,IF(ISNA(MATCH($G136,TaxCode,0)),0,OFFSET(Setup!$D$15,MATCH($G136,TaxCode,0),0,1,1))))*IF(ISERROR($G136),0,IF(ISNA(MATCH($G136,TaxCode,0)),0,OFFSET(Setup!$D$15,MATCH($G136,TaxCode,0),0,1,1)))</f>
        <v>0</v>
      </c>
      <c r="O136" s="29">
        <f t="shared" si="7"/>
        <v>45000</v>
      </c>
      <c r="P136" s="63" t="str">
        <f t="shared" ca="1" si="8"/>
        <v>-</v>
      </c>
    </row>
    <row r="137" spans="1:16" ht="16" customHeight="1" x14ac:dyDescent="0.25">
      <c r="A137" s="79">
        <v>44069</v>
      </c>
      <c r="B137" s="4" t="s">
        <v>54</v>
      </c>
      <c r="C137" s="4" t="s">
        <v>110</v>
      </c>
      <c r="D137" s="4" t="s">
        <v>56</v>
      </c>
      <c r="E137" s="29">
        <v>2692.17</v>
      </c>
      <c r="F137" s="63" t="s">
        <v>108</v>
      </c>
      <c r="G137" s="63" t="s">
        <v>108</v>
      </c>
      <c r="H137" s="63" t="s">
        <v>145</v>
      </c>
      <c r="I137" s="30" t="s">
        <v>403</v>
      </c>
      <c r="J137" s="10">
        <v>44069</v>
      </c>
      <c r="K137" s="63">
        <f t="shared" ca="1" si="6"/>
        <v>0</v>
      </c>
      <c r="L137" s="29" cm="1">
        <f t="array" aca="1" ref="L137" ca="1">O137-IF(ExpTaxCount=2,SUM($M137:$N137),$M137:$M137)</f>
        <v>2692.17</v>
      </c>
      <c r="M137" s="29">
        <f ca="1">$O137/(1+IF(ISERROR($F137),0,IF(ISNA(MATCH($F137,TaxCode,0)),0,OFFSET(Setup!$D$15,MATCH($F137,TaxCode,0),0,1,1)))+IF(ISERROR($G137),0,IF(ISNA(MATCH($G137,TaxCode,0)),0,OFFSET(Setup!$D$15,MATCH($G137,TaxCode,0),0,1,1))))*IF(ISERROR($F137),0,IF(ISNA(MATCH($F137,TaxCode,0)),0,OFFSET(Setup!$D$15,MATCH($F137,TaxCode,0),0,1,1)))</f>
        <v>0</v>
      </c>
      <c r="N137" s="29">
        <f ca="1">$O137/(1+IF(ISERROR($F137),0,IF(ISNA(MATCH($F137,TaxCode,0)),0,OFFSET(Setup!$D$15,MATCH($F137,TaxCode,0),0,1,1)))+IF(ISERROR($G137),0,IF(ISNA(MATCH($G137,TaxCode,0)),0,OFFSET(Setup!$D$15,MATCH($G137,TaxCode,0),0,1,1))))*IF(ISERROR($G137),0,IF(ISNA(MATCH($G137,TaxCode,0)),0,OFFSET(Setup!$D$15,MATCH($G137,TaxCode,0),0,1,1)))</f>
        <v>0</v>
      </c>
      <c r="O137" s="29">
        <f t="shared" si="7"/>
        <v>2692.17</v>
      </c>
      <c r="P137" s="63" t="str">
        <f t="shared" ca="1" si="8"/>
        <v>-</v>
      </c>
    </row>
    <row r="138" spans="1:16" ht="16" customHeight="1" x14ac:dyDescent="0.25">
      <c r="A138" s="79">
        <v>44069</v>
      </c>
      <c r="B138" s="4" t="s">
        <v>54</v>
      </c>
      <c r="C138" s="4" t="s">
        <v>110</v>
      </c>
      <c r="D138" s="4" t="s">
        <v>55</v>
      </c>
      <c r="E138" s="29">
        <v>1557.24</v>
      </c>
      <c r="F138" s="63" t="s">
        <v>108</v>
      </c>
      <c r="G138" s="63" t="s">
        <v>108</v>
      </c>
      <c r="H138" s="63" t="s">
        <v>145</v>
      </c>
      <c r="I138" s="30" t="s">
        <v>309</v>
      </c>
      <c r="J138" s="10">
        <v>44069</v>
      </c>
      <c r="K138" s="63">
        <f t="shared" ca="1" si="6"/>
        <v>0</v>
      </c>
      <c r="L138" s="29" cm="1">
        <f t="array" aca="1" ref="L138" ca="1">O138-IF(ExpTaxCount=2,SUM($M138:$N138),$M138:$M138)</f>
        <v>1557.24</v>
      </c>
      <c r="M138" s="29">
        <f ca="1">$O138/(1+IF(ISERROR($F138),0,IF(ISNA(MATCH($F138,TaxCode,0)),0,OFFSET(Setup!$D$15,MATCH($F138,TaxCode,0),0,1,1)))+IF(ISERROR($G138),0,IF(ISNA(MATCH($G138,TaxCode,0)),0,OFFSET(Setup!$D$15,MATCH($G138,TaxCode,0),0,1,1))))*IF(ISERROR($F138),0,IF(ISNA(MATCH($F138,TaxCode,0)),0,OFFSET(Setup!$D$15,MATCH($F138,TaxCode,0),0,1,1)))</f>
        <v>0</v>
      </c>
      <c r="N138" s="29">
        <f ca="1">$O138/(1+IF(ISERROR($F138),0,IF(ISNA(MATCH($F138,TaxCode,0)),0,OFFSET(Setup!$D$15,MATCH($F138,TaxCode,0),0,1,1)))+IF(ISERROR($G138),0,IF(ISNA(MATCH($G138,TaxCode,0)),0,OFFSET(Setup!$D$15,MATCH($G138,TaxCode,0),0,1,1))))*IF(ISERROR($G138),0,IF(ISNA(MATCH($G138,TaxCode,0)),0,OFFSET(Setup!$D$15,MATCH($G138,TaxCode,0),0,1,1)))</f>
        <v>0</v>
      </c>
      <c r="O138" s="29">
        <f t="shared" si="7"/>
        <v>1557.24</v>
      </c>
      <c r="P138" s="63" t="str">
        <f t="shared" ca="1" si="8"/>
        <v>-</v>
      </c>
    </row>
    <row r="139" spans="1:16" ht="16" customHeight="1" x14ac:dyDescent="0.25">
      <c r="A139" s="79">
        <v>44069</v>
      </c>
      <c r="B139" s="4" t="s">
        <v>25</v>
      </c>
      <c r="C139" s="4" t="s">
        <v>110</v>
      </c>
      <c r="D139" s="4" t="s">
        <v>116</v>
      </c>
      <c r="E139" s="29">
        <v>13800</v>
      </c>
      <c r="F139" s="63" t="s">
        <v>93</v>
      </c>
      <c r="G139" s="63" t="s">
        <v>108</v>
      </c>
      <c r="H139" s="63" t="s">
        <v>145</v>
      </c>
      <c r="I139" s="30" t="s">
        <v>298</v>
      </c>
      <c r="J139" s="10">
        <v>44069</v>
      </c>
      <c r="K139" s="63">
        <f t="shared" ca="1" si="6"/>
        <v>0</v>
      </c>
      <c r="L139" s="29" cm="1">
        <f t="array" aca="1" ref="L139" ca="1">O139-IF(ExpTaxCount=2,SUM($M139:$N139),$M139:$M139)</f>
        <v>12000</v>
      </c>
      <c r="M139" s="29">
        <f ca="1">$O139/(1+IF(ISERROR($F139),0,IF(ISNA(MATCH($F139,TaxCode,0)),0,OFFSET(Setup!$D$15,MATCH($F139,TaxCode,0),0,1,1)))+IF(ISERROR($G139),0,IF(ISNA(MATCH($G139,TaxCode,0)),0,OFFSET(Setup!$D$15,MATCH($G139,TaxCode,0),0,1,1))))*IF(ISERROR($F139),0,IF(ISNA(MATCH($F139,TaxCode,0)),0,OFFSET(Setup!$D$15,MATCH($F139,TaxCode,0),0,1,1)))</f>
        <v>1800.0000000000002</v>
      </c>
      <c r="N139" s="29">
        <f ca="1">$O139/(1+IF(ISERROR($F139),0,IF(ISNA(MATCH($F139,TaxCode,0)),0,OFFSET(Setup!$D$15,MATCH($F139,TaxCode,0),0,1,1)))+IF(ISERROR($G139),0,IF(ISNA(MATCH($G139,TaxCode,0)),0,OFFSET(Setup!$D$15,MATCH($G139,TaxCode,0),0,1,1))))*IF(ISERROR($G139),0,IF(ISNA(MATCH($G139,TaxCode,0)),0,OFFSET(Setup!$D$15,MATCH($G139,TaxCode,0),0,1,1)))</f>
        <v>0</v>
      </c>
      <c r="O139" s="29">
        <f t="shared" si="7"/>
        <v>13800</v>
      </c>
      <c r="P139" s="63" t="str">
        <f t="shared" ca="1" si="8"/>
        <v>-</v>
      </c>
    </row>
    <row r="140" spans="1:16" ht="16" customHeight="1" x14ac:dyDescent="0.25">
      <c r="A140" s="79">
        <v>44069</v>
      </c>
      <c r="B140" s="4" t="s">
        <v>128</v>
      </c>
      <c r="C140" s="4" t="s">
        <v>115</v>
      </c>
      <c r="D140" s="4" t="s">
        <v>509</v>
      </c>
      <c r="E140" s="29">
        <v>35000</v>
      </c>
      <c r="F140" s="63" t="s">
        <v>108</v>
      </c>
      <c r="G140" s="63" t="s">
        <v>108</v>
      </c>
      <c r="H140" s="63" t="s">
        <v>147</v>
      </c>
      <c r="I140" s="30" t="s">
        <v>364</v>
      </c>
      <c r="J140" s="10">
        <v>44069</v>
      </c>
      <c r="K140" s="63">
        <f t="shared" ca="1" si="6"/>
        <v>0</v>
      </c>
      <c r="L140" s="29" cm="1">
        <f t="array" aca="1" ref="L140" ca="1">O140-IF(ExpTaxCount=2,SUM($M140:$N140),$M140:$M140)</f>
        <v>35000</v>
      </c>
      <c r="M140" s="29">
        <f ca="1">$O140/(1+IF(ISERROR($F140),0,IF(ISNA(MATCH($F140,TaxCode,0)),0,OFFSET(Setup!$D$15,MATCH($F140,TaxCode,0),0,1,1)))+IF(ISERROR($G140),0,IF(ISNA(MATCH($G140,TaxCode,0)),0,OFFSET(Setup!$D$15,MATCH($G140,TaxCode,0),0,1,1))))*IF(ISERROR($F140),0,IF(ISNA(MATCH($F140,TaxCode,0)),0,OFFSET(Setup!$D$15,MATCH($F140,TaxCode,0),0,1,1)))</f>
        <v>0</v>
      </c>
      <c r="N140" s="29">
        <f ca="1">$O140/(1+IF(ISERROR($F140),0,IF(ISNA(MATCH($F140,TaxCode,0)),0,OFFSET(Setup!$D$15,MATCH($F140,TaxCode,0),0,1,1)))+IF(ISERROR($G140),0,IF(ISNA(MATCH($G140,TaxCode,0)),0,OFFSET(Setup!$D$15,MATCH($G140,TaxCode,0),0,1,1))))*IF(ISERROR($G140),0,IF(ISNA(MATCH($G140,TaxCode,0)),0,OFFSET(Setup!$D$15,MATCH($G140,TaxCode,0),0,1,1)))</f>
        <v>0</v>
      </c>
      <c r="O140" s="29">
        <f t="shared" si="7"/>
        <v>35000</v>
      </c>
      <c r="P140" s="63" t="str">
        <f t="shared" ca="1" si="8"/>
        <v>-</v>
      </c>
    </row>
    <row r="141" spans="1:16" ht="16" customHeight="1" x14ac:dyDescent="0.25">
      <c r="A141" s="79">
        <v>44069</v>
      </c>
      <c r="B141" s="4" t="s">
        <v>128</v>
      </c>
      <c r="C141" s="4" t="s">
        <v>115</v>
      </c>
      <c r="D141" s="4" t="s">
        <v>510</v>
      </c>
      <c r="E141" s="29">
        <v>7200</v>
      </c>
      <c r="F141" s="63" t="s">
        <v>108</v>
      </c>
      <c r="G141" s="63" t="s">
        <v>108</v>
      </c>
      <c r="H141" s="63" t="s">
        <v>147</v>
      </c>
      <c r="I141" s="30" t="s">
        <v>364</v>
      </c>
      <c r="J141" s="10">
        <v>44080</v>
      </c>
      <c r="K141" s="63">
        <f t="shared" ca="1" si="6"/>
        <v>0</v>
      </c>
      <c r="L141" s="29" cm="1">
        <f t="array" aca="1" ref="L141" ca="1">O141-IF(ExpTaxCount=2,SUM($M141:$N141),$M141:$M141)</f>
        <v>7200</v>
      </c>
      <c r="M141" s="29">
        <f ca="1">$O141/(1+IF(ISERROR($F141),0,IF(ISNA(MATCH($F141,TaxCode,0)),0,OFFSET(Setup!$D$15,MATCH($F141,TaxCode,0),0,1,1)))+IF(ISERROR($G141),0,IF(ISNA(MATCH($G141,TaxCode,0)),0,OFFSET(Setup!$D$15,MATCH($G141,TaxCode,0),0,1,1))))*IF(ISERROR($F141),0,IF(ISNA(MATCH($F141,TaxCode,0)),0,OFFSET(Setup!$D$15,MATCH($F141,TaxCode,0),0,1,1)))</f>
        <v>0</v>
      </c>
      <c r="N141" s="29">
        <f ca="1">$O141/(1+IF(ISERROR($F141),0,IF(ISNA(MATCH($F141,TaxCode,0)),0,OFFSET(Setup!$D$15,MATCH($F141,TaxCode,0),0,1,1)))+IF(ISERROR($G141),0,IF(ISNA(MATCH($G141,TaxCode,0)),0,OFFSET(Setup!$D$15,MATCH($G141,TaxCode,0),0,1,1))))*IF(ISERROR($G141),0,IF(ISNA(MATCH($G141,TaxCode,0)),0,OFFSET(Setup!$D$15,MATCH($G141,TaxCode,0),0,1,1)))</f>
        <v>0</v>
      </c>
      <c r="O141" s="29">
        <f t="shared" si="7"/>
        <v>7200</v>
      </c>
      <c r="P141" s="63" t="str">
        <f t="shared" ca="1" si="8"/>
        <v>-</v>
      </c>
    </row>
    <row r="142" spans="1:16" ht="16" customHeight="1" x14ac:dyDescent="0.25">
      <c r="A142" s="79">
        <v>44069</v>
      </c>
      <c r="B142" s="4" t="s">
        <v>128</v>
      </c>
      <c r="C142" s="4" t="s">
        <v>115</v>
      </c>
      <c r="D142" s="4" t="s">
        <v>511</v>
      </c>
      <c r="E142" s="29">
        <v>9320</v>
      </c>
      <c r="F142" s="63" t="s">
        <v>108</v>
      </c>
      <c r="G142" s="63" t="s">
        <v>108</v>
      </c>
      <c r="H142" s="63" t="s">
        <v>147</v>
      </c>
      <c r="I142" s="30" t="s">
        <v>366</v>
      </c>
      <c r="J142" s="10">
        <v>44080</v>
      </c>
      <c r="K142" s="63">
        <f t="shared" ca="1" si="6"/>
        <v>0</v>
      </c>
      <c r="L142" s="29" cm="1">
        <f t="array" aca="1" ref="L142" ca="1">O142-IF(ExpTaxCount=2,SUM($M142:$N142),$M142:$M142)</f>
        <v>9320</v>
      </c>
      <c r="M142" s="29">
        <f ca="1">$O142/(1+IF(ISERROR($F142),0,IF(ISNA(MATCH($F142,TaxCode,0)),0,OFFSET(Setup!$D$15,MATCH($F142,TaxCode,0),0,1,1)))+IF(ISERROR($G142),0,IF(ISNA(MATCH($G142,TaxCode,0)),0,OFFSET(Setup!$D$15,MATCH($G142,TaxCode,0),0,1,1))))*IF(ISERROR($F142),0,IF(ISNA(MATCH($F142,TaxCode,0)),0,OFFSET(Setup!$D$15,MATCH($F142,TaxCode,0),0,1,1)))</f>
        <v>0</v>
      </c>
      <c r="N142" s="29">
        <f ca="1">$O142/(1+IF(ISERROR($F142),0,IF(ISNA(MATCH($F142,TaxCode,0)),0,OFFSET(Setup!$D$15,MATCH($F142,TaxCode,0),0,1,1)))+IF(ISERROR($G142),0,IF(ISNA(MATCH($G142,TaxCode,0)),0,OFFSET(Setup!$D$15,MATCH($G142,TaxCode,0),0,1,1))))*IF(ISERROR($G142),0,IF(ISNA(MATCH($G142,TaxCode,0)),0,OFFSET(Setup!$D$15,MATCH($G142,TaxCode,0),0,1,1)))</f>
        <v>0</v>
      </c>
      <c r="O142" s="29">
        <f t="shared" si="7"/>
        <v>9320</v>
      </c>
      <c r="P142" s="63" t="str">
        <f t="shared" ca="1" si="8"/>
        <v>-</v>
      </c>
    </row>
    <row r="143" spans="1:16" ht="16" customHeight="1" x14ac:dyDescent="0.25">
      <c r="A143" s="79">
        <v>44070</v>
      </c>
      <c r="B143" s="4" t="s">
        <v>19</v>
      </c>
      <c r="C143" s="4" t="s">
        <v>112</v>
      </c>
      <c r="D143" s="4" t="s">
        <v>75</v>
      </c>
      <c r="E143" s="29">
        <v>234</v>
      </c>
      <c r="F143" s="63" t="s">
        <v>93</v>
      </c>
      <c r="G143" s="63" t="s">
        <v>108</v>
      </c>
      <c r="H143" s="63" t="s">
        <v>145</v>
      </c>
      <c r="I143" s="30" t="s">
        <v>301</v>
      </c>
      <c r="J143" s="10">
        <v>44100</v>
      </c>
      <c r="K143" s="63">
        <f t="shared" ca="1" si="6"/>
        <v>0</v>
      </c>
      <c r="L143" s="29" cm="1">
        <f t="array" aca="1" ref="L143" ca="1">O143-IF(ExpTaxCount=2,SUM($M143:$N143),$M143:$M143)</f>
        <v>203.47826086956522</v>
      </c>
      <c r="M143" s="29">
        <f ca="1">$O143/(1+IF(ISERROR($F143),0,IF(ISNA(MATCH($F143,TaxCode,0)),0,OFFSET(Setup!$D$15,MATCH($F143,TaxCode,0),0,1,1)))+IF(ISERROR($G143),0,IF(ISNA(MATCH($G143,TaxCode,0)),0,OFFSET(Setup!$D$15,MATCH($G143,TaxCode,0),0,1,1))))*IF(ISERROR($F143),0,IF(ISNA(MATCH($F143,TaxCode,0)),0,OFFSET(Setup!$D$15,MATCH($F143,TaxCode,0),0,1,1)))</f>
        <v>30.521739130434785</v>
      </c>
      <c r="N143" s="29">
        <f ca="1">$O143/(1+IF(ISERROR($F143),0,IF(ISNA(MATCH($F143,TaxCode,0)),0,OFFSET(Setup!$D$15,MATCH($F143,TaxCode,0),0,1,1)))+IF(ISERROR($G143),0,IF(ISNA(MATCH($G143,TaxCode,0)),0,OFFSET(Setup!$D$15,MATCH($G143,TaxCode,0),0,1,1))))*IF(ISERROR($G143),0,IF(ISNA(MATCH($G143,TaxCode,0)),0,OFFSET(Setup!$D$15,MATCH($G143,TaxCode,0),0,1,1)))</f>
        <v>0</v>
      </c>
      <c r="O143" s="29">
        <f t="shared" si="7"/>
        <v>234</v>
      </c>
      <c r="P143" s="63" t="str">
        <f t="shared" ca="1" si="8"/>
        <v>-</v>
      </c>
    </row>
    <row r="144" spans="1:16" ht="16" customHeight="1" x14ac:dyDescent="0.25">
      <c r="A144" s="79">
        <v>44074</v>
      </c>
      <c r="B144" s="4" t="s">
        <v>128</v>
      </c>
      <c r="C144" s="4" t="s">
        <v>109</v>
      </c>
      <c r="D144" s="4" t="s">
        <v>174</v>
      </c>
      <c r="E144" s="29">
        <v>78</v>
      </c>
      <c r="F144" s="63" t="s">
        <v>108</v>
      </c>
      <c r="G144" s="63" t="s">
        <v>108</v>
      </c>
      <c r="H144" s="63" t="s">
        <v>145</v>
      </c>
      <c r="I144" s="30" t="s">
        <v>275</v>
      </c>
      <c r="J144" s="10">
        <v>44074</v>
      </c>
      <c r="K144" s="63">
        <f t="shared" ca="1" si="6"/>
        <v>0</v>
      </c>
      <c r="L144" s="29" cm="1">
        <f t="array" aca="1" ref="L144" ca="1">O144-IF(ExpTaxCount=2,SUM($M144:$N144),$M144:$M144)</f>
        <v>78</v>
      </c>
      <c r="M144" s="29">
        <f ca="1">$O144/(1+IF(ISERROR($F144),0,IF(ISNA(MATCH($F144,TaxCode,0)),0,OFFSET(Setup!$D$15,MATCH($F144,TaxCode,0),0,1,1)))+IF(ISERROR($G144),0,IF(ISNA(MATCH($G144,TaxCode,0)),0,OFFSET(Setup!$D$15,MATCH($G144,TaxCode,0),0,1,1))))*IF(ISERROR($F144),0,IF(ISNA(MATCH($F144,TaxCode,0)),0,OFFSET(Setup!$D$15,MATCH($F144,TaxCode,0),0,1,1)))</f>
        <v>0</v>
      </c>
      <c r="N144" s="29">
        <f ca="1">$O144/(1+IF(ISERROR($F144),0,IF(ISNA(MATCH($F144,TaxCode,0)),0,OFFSET(Setup!$D$15,MATCH($F144,TaxCode,0),0,1,1)))+IF(ISERROR($G144),0,IF(ISNA(MATCH($G144,TaxCode,0)),0,OFFSET(Setup!$D$15,MATCH($G144,TaxCode,0),0,1,1))))*IF(ISERROR($G144),0,IF(ISNA(MATCH($G144,TaxCode,0)),0,OFFSET(Setup!$D$15,MATCH($G144,TaxCode,0),0,1,1)))</f>
        <v>0</v>
      </c>
      <c r="O144" s="29">
        <f t="shared" si="7"/>
        <v>78</v>
      </c>
      <c r="P144" s="63" t="str">
        <f t="shared" ca="1" si="8"/>
        <v>-</v>
      </c>
    </row>
    <row r="145" spans="1:16" ht="16" customHeight="1" x14ac:dyDescent="0.25">
      <c r="A145" s="79">
        <v>44074</v>
      </c>
      <c r="B145" s="4" t="s">
        <v>128</v>
      </c>
      <c r="C145" s="4" t="s">
        <v>109</v>
      </c>
      <c r="D145" s="4" t="s">
        <v>174</v>
      </c>
      <c r="E145" s="29">
        <v>-78</v>
      </c>
      <c r="F145" s="63" t="s">
        <v>108</v>
      </c>
      <c r="G145" s="63" t="s">
        <v>108</v>
      </c>
      <c r="H145" s="63" t="s">
        <v>151</v>
      </c>
      <c r="I145" s="30" t="s">
        <v>275</v>
      </c>
      <c r="J145" s="10">
        <v>44074</v>
      </c>
      <c r="K145" s="63">
        <f t="shared" ca="1" si="6"/>
        <v>0</v>
      </c>
      <c r="L145" s="29" cm="1">
        <f t="array" aca="1" ref="L145" ca="1">O145-IF(ExpTaxCount=2,SUM($M145:$N145),$M145:$M145)</f>
        <v>-78</v>
      </c>
      <c r="M145" s="29">
        <f ca="1">$O145/(1+IF(ISERROR($F145),0,IF(ISNA(MATCH($F145,TaxCode,0)),0,OFFSET(Setup!$D$15,MATCH($F145,TaxCode,0),0,1,1)))+IF(ISERROR($G145),0,IF(ISNA(MATCH($G145,TaxCode,0)),0,OFFSET(Setup!$D$15,MATCH($G145,TaxCode,0),0,1,1))))*IF(ISERROR($F145),0,IF(ISNA(MATCH($F145,TaxCode,0)),0,OFFSET(Setup!$D$15,MATCH($F145,TaxCode,0),0,1,1)))</f>
        <v>0</v>
      </c>
      <c r="N145" s="29">
        <f ca="1">$O145/(1+IF(ISERROR($F145),0,IF(ISNA(MATCH($F145,TaxCode,0)),0,OFFSET(Setup!$D$15,MATCH($F145,TaxCode,0),0,1,1)))+IF(ISERROR($G145),0,IF(ISNA(MATCH($G145,TaxCode,0)),0,OFFSET(Setup!$D$15,MATCH($G145,TaxCode,0),0,1,1))))*IF(ISERROR($G145),0,IF(ISNA(MATCH($G145,TaxCode,0)),0,OFFSET(Setup!$D$15,MATCH($G145,TaxCode,0),0,1,1)))</f>
        <v>0</v>
      </c>
      <c r="O145" s="29">
        <f t="shared" si="7"/>
        <v>-78</v>
      </c>
      <c r="P145" s="63" t="str">
        <f t="shared" ca="1" si="8"/>
        <v>-</v>
      </c>
    </row>
    <row r="146" spans="1:16" ht="16" customHeight="1" x14ac:dyDescent="0.25">
      <c r="A146" s="79">
        <v>44074</v>
      </c>
      <c r="B146" s="4" t="s">
        <v>48</v>
      </c>
      <c r="C146" s="4" t="s">
        <v>121</v>
      </c>
      <c r="D146" s="4" t="s">
        <v>122</v>
      </c>
      <c r="E146" s="29">
        <v>46580</v>
      </c>
      <c r="F146" s="63" t="s">
        <v>108</v>
      </c>
      <c r="G146" s="63" t="s">
        <v>108</v>
      </c>
      <c r="H146" s="63" t="s">
        <v>145</v>
      </c>
      <c r="I146" s="30" t="s">
        <v>310</v>
      </c>
      <c r="J146" s="10">
        <v>44074</v>
      </c>
      <c r="K146" s="63">
        <f t="shared" ca="1" si="6"/>
        <v>0</v>
      </c>
      <c r="L146" s="29" cm="1">
        <f t="array" aca="1" ref="L146" ca="1">O146-IF(ExpTaxCount=2,SUM($M146:$N146),$M146:$M146)</f>
        <v>46580</v>
      </c>
      <c r="M146" s="29">
        <f ca="1">$O146/(1+IF(ISERROR($F146),0,IF(ISNA(MATCH($F146,TaxCode,0)),0,OFFSET(Setup!$D$15,MATCH($F146,TaxCode,0),0,1,1)))+IF(ISERROR($G146),0,IF(ISNA(MATCH($G146,TaxCode,0)),0,OFFSET(Setup!$D$15,MATCH($G146,TaxCode,0),0,1,1))))*IF(ISERROR($F146),0,IF(ISNA(MATCH($F146,TaxCode,0)),0,OFFSET(Setup!$D$15,MATCH($F146,TaxCode,0),0,1,1)))</f>
        <v>0</v>
      </c>
      <c r="N146" s="29">
        <f ca="1">$O146/(1+IF(ISERROR($F146),0,IF(ISNA(MATCH($F146,TaxCode,0)),0,OFFSET(Setup!$D$15,MATCH($F146,TaxCode,0),0,1,1)))+IF(ISERROR($G146),0,IF(ISNA(MATCH($G146,TaxCode,0)),0,OFFSET(Setup!$D$15,MATCH($G146,TaxCode,0),0,1,1))))*IF(ISERROR($G146),0,IF(ISNA(MATCH($G146,TaxCode,0)),0,OFFSET(Setup!$D$15,MATCH($G146,TaxCode,0),0,1,1)))</f>
        <v>0</v>
      </c>
      <c r="O146" s="29">
        <f t="shared" si="7"/>
        <v>46580</v>
      </c>
      <c r="P146" s="63" t="str">
        <f t="shared" ca="1" si="8"/>
        <v>-</v>
      </c>
    </row>
    <row r="147" spans="1:16" ht="16" customHeight="1" x14ac:dyDescent="0.25">
      <c r="A147" s="79">
        <v>44074</v>
      </c>
      <c r="B147" s="4" t="s">
        <v>505</v>
      </c>
      <c r="C147" s="4" t="s">
        <v>507</v>
      </c>
      <c r="D147" s="4" t="s">
        <v>506</v>
      </c>
      <c r="E147" s="29">
        <v>11400</v>
      </c>
      <c r="F147" s="63" t="s">
        <v>108</v>
      </c>
      <c r="G147" s="63" t="s">
        <v>108</v>
      </c>
      <c r="H147" s="63" t="s">
        <v>149</v>
      </c>
      <c r="I147" s="30" t="s">
        <v>290</v>
      </c>
      <c r="J147" s="10">
        <v>44081</v>
      </c>
      <c r="K147" s="63">
        <f t="shared" ca="1" si="6"/>
        <v>0</v>
      </c>
      <c r="L147" s="29" cm="1">
        <f t="array" aca="1" ref="L147" ca="1">O147-IF(ExpTaxCount=2,SUM($M147:$N147),$M147:$M147)</f>
        <v>11400</v>
      </c>
      <c r="M147" s="29">
        <f ca="1">$O147/(1+IF(ISERROR($F147),0,IF(ISNA(MATCH($F147,TaxCode,0)),0,OFFSET(Setup!$D$15,MATCH($F147,TaxCode,0),0,1,1)))+IF(ISERROR($G147),0,IF(ISNA(MATCH($G147,TaxCode,0)),0,OFFSET(Setup!$D$15,MATCH($G147,TaxCode,0),0,1,1))))*IF(ISERROR($F147),0,IF(ISNA(MATCH($F147,TaxCode,0)),0,OFFSET(Setup!$D$15,MATCH($F147,TaxCode,0),0,1,1)))</f>
        <v>0</v>
      </c>
      <c r="N147" s="29">
        <f ca="1">$O147/(1+IF(ISERROR($F147),0,IF(ISNA(MATCH($F147,TaxCode,0)),0,OFFSET(Setup!$D$15,MATCH($F147,TaxCode,0),0,1,1)))+IF(ISERROR($G147),0,IF(ISNA(MATCH($G147,TaxCode,0)),0,OFFSET(Setup!$D$15,MATCH($G147,TaxCode,0),0,1,1))))*IF(ISERROR($G147),0,IF(ISNA(MATCH($G147,TaxCode,0)),0,OFFSET(Setup!$D$15,MATCH($G147,TaxCode,0),0,1,1)))</f>
        <v>0</v>
      </c>
      <c r="O147" s="29">
        <f t="shared" si="7"/>
        <v>11400</v>
      </c>
      <c r="P147" s="63" t="str">
        <f t="shared" ca="1" si="8"/>
        <v>-</v>
      </c>
    </row>
    <row r="148" spans="1:16" ht="16" customHeight="1" x14ac:dyDescent="0.25">
      <c r="A148" s="79">
        <v>44075</v>
      </c>
      <c r="B148" s="4" t="s">
        <v>5</v>
      </c>
      <c r="C148" s="4" t="s">
        <v>35</v>
      </c>
      <c r="D148" s="4" t="s">
        <v>114</v>
      </c>
      <c r="E148" s="29">
        <v>850</v>
      </c>
      <c r="F148" s="63" t="s">
        <v>93</v>
      </c>
      <c r="G148" s="63" t="s">
        <v>108</v>
      </c>
      <c r="H148" s="63" t="s">
        <v>145</v>
      </c>
      <c r="I148" s="30" t="s">
        <v>303</v>
      </c>
      <c r="J148" s="10">
        <v>44105</v>
      </c>
      <c r="K148" s="63">
        <f t="shared" ca="1" si="6"/>
        <v>0</v>
      </c>
      <c r="L148" s="29" cm="1">
        <f t="array" aca="1" ref="L148" ca="1">O148-IF(ExpTaxCount=2,SUM($M148:$N148),$M148:$M148)</f>
        <v>739.13043478260875</v>
      </c>
      <c r="M148" s="29">
        <f ca="1">$O148/(1+IF(ISERROR($F148),0,IF(ISNA(MATCH($F148,TaxCode,0)),0,OFFSET(Setup!$D$15,MATCH($F148,TaxCode,0),0,1,1)))+IF(ISERROR($G148),0,IF(ISNA(MATCH($G148,TaxCode,0)),0,OFFSET(Setup!$D$15,MATCH($G148,TaxCode,0),0,1,1))))*IF(ISERROR($F148),0,IF(ISNA(MATCH($F148,TaxCode,0)),0,OFFSET(Setup!$D$15,MATCH($F148,TaxCode,0),0,1,1)))</f>
        <v>110.86956521739131</v>
      </c>
      <c r="N148" s="29">
        <f ca="1">$O148/(1+IF(ISERROR($F148),0,IF(ISNA(MATCH($F148,TaxCode,0)),0,OFFSET(Setup!$D$15,MATCH($F148,TaxCode,0),0,1,1)))+IF(ISERROR($G148),0,IF(ISNA(MATCH($G148,TaxCode,0)),0,OFFSET(Setup!$D$15,MATCH($G148,TaxCode,0),0,1,1))))*IF(ISERROR($G148),0,IF(ISNA(MATCH($G148,TaxCode,0)),0,OFFSET(Setup!$D$15,MATCH($G148,TaxCode,0),0,1,1)))</f>
        <v>0</v>
      </c>
      <c r="O148" s="29">
        <f t="shared" si="7"/>
        <v>850</v>
      </c>
      <c r="P148" s="63" t="str">
        <f t="shared" ca="1" si="8"/>
        <v>-</v>
      </c>
    </row>
    <row r="149" spans="1:16" ht="16" customHeight="1" x14ac:dyDescent="0.25">
      <c r="A149" s="79">
        <v>44079</v>
      </c>
      <c r="B149" s="4" t="s">
        <v>167</v>
      </c>
      <c r="C149" s="4" t="s">
        <v>110</v>
      </c>
      <c r="D149" s="4" t="s">
        <v>71</v>
      </c>
      <c r="E149" s="29">
        <v>368</v>
      </c>
      <c r="F149" s="63" t="s">
        <v>93</v>
      </c>
      <c r="G149" s="63" t="s">
        <v>108</v>
      </c>
      <c r="H149" s="63" t="s">
        <v>145</v>
      </c>
      <c r="I149" s="30" t="s">
        <v>296</v>
      </c>
      <c r="J149" s="10">
        <v>44079</v>
      </c>
      <c r="K149" s="63">
        <f t="shared" ca="1" si="6"/>
        <v>0</v>
      </c>
      <c r="L149" s="29" cm="1">
        <f t="array" aca="1" ref="L149" ca="1">O149-IF(ExpTaxCount=2,SUM($M149:$N149),$M149:$M149)</f>
        <v>320</v>
      </c>
      <c r="M149" s="29">
        <f ca="1">$O149/(1+IF(ISERROR($F149),0,IF(ISNA(MATCH($F149,TaxCode,0)),0,OFFSET(Setup!$D$15,MATCH($F149,TaxCode,0),0,1,1)))+IF(ISERROR($G149),0,IF(ISNA(MATCH($G149,TaxCode,0)),0,OFFSET(Setup!$D$15,MATCH($G149,TaxCode,0),0,1,1))))*IF(ISERROR($F149),0,IF(ISNA(MATCH($F149,TaxCode,0)),0,OFFSET(Setup!$D$15,MATCH($F149,TaxCode,0),0,1,1)))</f>
        <v>48</v>
      </c>
      <c r="N149" s="29">
        <f ca="1">$O149/(1+IF(ISERROR($F149),0,IF(ISNA(MATCH($F149,TaxCode,0)),0,OFFSET(Setup!$D$15,MATCH($F149,TaxCode,0),0,1,1)))+IF(ISERROR($G149),0,IF(ISNA(MATCH($G149,TaxCode,0)),0,OFFSET(Setup!$D$15,MATCH($G149,TaxCode,0),0,1,1))))*IF(ISERROR($G149),0,IF(ISNA(MATCH($G149,TaxCode,0)),0,OFFSET(Setup!$D$15,MATCH($G149,TaxCode,0),0,1,1)))</f>
        <v>0</v>
      </c>
      <c r="O149" s="29">
        <f t="shared" si="7"/>
        <v>368</v>
      </c>
      <c r="P149" s="63" t="str">
        <f t="shared" ca="1" si="8"/>
        <v>-</v>
      </c>
    </row>
    <row r="150" spans="1:16" ht="16" customHeight="1" x14ac:dyDescent="0.25">
      <c r="A150" s="79">
        <v>44079</v>
      </c>
      <c r="B150" s="4" t="s">
        <v>128</v>
      </c>
      <c r="C150" s="4" t="s">
        <v>172</v>
      </c>
      <c r="D150" s="4" t="s">
        <v>173</v>
      </c>
      <c r="E150" s="29">
        <v>-10000</v>
      </c>
      <c r="F150" s="63" t="s">
        <v>108</v>
      </c>
      <c r="G150" s="63" t="s">
        <v>108</v>
      </c>
      <c r="H150" s="63" t="s">
        <v>149</v>
      </c>
      <c r="I150" s="30" t="s">
        <v>275</v>
      </c>
      <c r="J150" s="10">
        <v>44079</v>
      </c>
      <c r="K150" s="63">
        <f t="shared" ca="1" si="6"/>
        <v>0</v>
      </c>
      <c r="L150" s="29" cm="1">
        <f t="array" aca="1" ref="L150" ca="1">O150-IF(ExpTaxCount=2,SUM($M150:$N150),$M150:$M150)</f>
        <v>-10000</v>
      </c>
      <c r="M150" s="29">
        <f ca="1">$O150/(1+IF(ISERROR($F150),0,IF(ISNA(MATCH($F150,TaxCode,0)),0,OFFSET(Setup!$D$15,MATCH($F150,TaxCode,0),0,1,1)))+IF(ISERROR($G150),0,IF(ISNA(MATCH($G150,TaxCode,0)),0,OFFSET(Setup!$D$15,MATCH($G150,TaxCode,0),0,1,1))))*IF(ISERROR($F150),0,IF(ISNA(MATCH($F150,TaxCode,0)),0,OFFSET(Setup!$D$15,MATCH($F150,TaxCode,0),0,1,1)))</f>
        <v>0</v>
      </c>
      <c r="N150" s="29">
        <f ca="1">$O150/(1+IF(ISERROR($F150),0,IF(ISNA(MATCH($F150,TaxCode,0)),0,OFFSET(Setup!$D$15,MATCH($F150,TaxCode,0),0,1,1)))+IF(ISERROR($G150),0,IF(ISNA(MATCH($G150,TaxCode,0)),0,OFFSET(Setup!$D$15,MATCH($G150,TaxCode,0),0,1,1))))*IF(ISERROR($G150),0,IF(ISNA(MATCH($G150,TaxCode,0)),0,OFFSET(Setup!$D$15,MATCH($G150,TaxCode,0),0,1,1)))</f>
        <v>0</v>
      </c>
      <c r="O150" s="29">
        <f t="shared" si="7"/>
        <v>-10000</v>
      </c>
      <c r="P150" s="63" t="str">
        <f t="shared" ca="1" si="8"/>
        <v>-</v>
      </c>
    </row>
    <row r="151" spans="1:16" ht="16" customHeight="1" x14ac:dyDescent="0.25">
      <c r="A151" s="79">
        <v>44079</v>
      </c>
      <c r="B151" s="4" t="s">
        <v>128</v>
      </c>
      <c r="C151" s="4" t="s">
        <v>172</v>
      </c>
      <c r="D151" s="4" t="s">
        <v>173</v>
      </c>
      <c r="E151" s="29">
        <v>10000</v>
      </c>
      <c r="F151" s="63" t="s">
        <v>108</v>
      </c>
      <c r="G151" s="63" t="s">
        <v>108</v>
      </c>
      <c r="H151" s="63" t="s">
        <v>145</v>
      </c>
      <c r="I151" s="30" t="s">
        <v>275</v>
      </c>
      <c r="J151" s="10">
        <v>44079</v>
      </c>
      <c r="K151" s="63">
        <f t="shared" ca="1" si="6"/>
        <v>0</v>
      </c>
      <c r="L151" s="29" cm="1">
        <f t="array" aca="1" ref="L151" ca="1">O151-IF(ExpTaxCount=2,SUM($M151:$N151),$M151:$M151)</f>
        <v>10000</v>
      </c>
      <c r="M151" s="29">
        <f ca="1">$O151/(1+IF(ISERROR($F151),0,IF(ISNA(MATCH($F151,TaxCode,0)),0,OFFSET(Setup!$D$15,MATCH($F151,TaxCode,0),0,1,1)))+IF(ISERROR($G151),0,IF(ISNA(MATCH($G151,TaxCode,0)),0,OFFSET(Setup!$D$15,MATCH($G151,TaxCode,0),0,1,1))))*IF(ISERROR($F151),0,IF(ISNA(MATCH($F151,TaxCode,0)),0,OFFSET(Setup!$D$15,MATCH($F151,TaxCode,0),0,1,1)))</f>
        <v>0</v>
      </c>
      <c r="N151" s="29">
        <f ca="1">$O151/(1+IF(ISERROR($F151),0,IF(ISNA(MATCH($F151,TaxCode,0)),0,OFFSET(Setup!$D$15,MATCH($F151,TaxCode,0),0,1,1)))+IF(ISERROR($G151),0,IF(ISNA(MATCH($G151,TaxCode,0)),0,OFFSET(Setup!$D$15,MATCH($G151,TaxCode,0),0,1,1))))*IF(ISERROR($G151),0,IF(ISNA(MATCH($G151,TaxCode,0)),0,OFFSET(Setup!$D$15,MATCH($G151,TaxCode,0),0,1,1)))</f>
        <v>0</v>
      </c>
      <c r="O151" s="29">
        <f t="shared" si="7"/>
        <v>10000</v>
      </c>
      <c r="P151" s="63" t="str">
        <f t="shared" ca="1" si="8"/>
        <v>-</v>
      </c>
    </row>
    <row r="152" spans="1:16" ht="16" customHeight="1" x14ac:dyDescent="0.25">
      <c r="A152" s="79">
        <v>44087</v>
      </c>
      <c r="B152" s="4" t="s">
        <v>41</v>
      </c>
      <c r="C152" s="4" t="s">
        <v>112</v>
      </c>
      <c r="D152" s="4" t="s">
        <v>117</v>
      </c>
      <c r="E152" s="29">
        <v>1300</v>
      </c>
      <c r="F152" s="63" t="s">
        <v>93</v>
      </c>
      <c r="G152" s="63" t="s">
        <v>108</v>
      </c>
      <c r="H152" s="63" t="s">
        <v>145</v>
      </c>
      <c r="I152" s="30" t="s">
        <v>304</v>
      </c>
      <c r="J152" s="10">
        <v>44117</v>
      </c>
      <c r="K152" s="63">
        <f t="shared" ca="1" si="6"/>
        <v>0</v>
      </c>
      <c r="L152" s="29" cm="1">
        <f t="array" aca="1" ref="L152" ca="1">O152-IF(ExpTaxCount=2,SUM($M152:$N152),$M152:$M152)</f>
        <v>1130.4347826086957</v>
      </c>
      <c r="M152" s="29">
        <f ca="1">$O152/(1+IF(ISERROR($F152),0,IF(ISNA(MATCH($F152,TaxCode,0)),0,OFFSET(Setup!$D$15,MATCH($F152,TaxCode,0),0,1,1)))+IF(ISERROR($G152),0,IF(ISNA(MATCH($G152,TaxCode,0)),0,OFFSET(Setup!$D$15,MATCH($G152,TaxCode,0),0,1,1))))*IF(ISERROR($F152),0,IF(ISNA(MATCH($F152,TaxCode,0)),0,OFFSET(Setup!$D$15,MATCH($F152,TaxCode,0),0,1,1)))</f>
        <v>169.56521739130434</v>
      </c>
      <c r="N152" s="29">
        <f ca="1">$O152/(1+IF(ISERROR($F152),0,IF(ISNA(MATCH($F152,TaxCode,0)),0,OFFSET(Setup!$D$15,MATCH($F152,TaxCode,0),0,1,1)))+IF(ISERROR($G152),0,IF(ISNA(MATCH($G152,TaxCode,0)),0,OFFSET(Setup!$D$15,MATCH($G152,TaxCode,0),0,1,1))))*IF(ISERROR($G152),0,IF(ISNA(MATCH($G152,TaxCode,0)),0,OFFSET(Setup!$D$15,MATCH($G152,TaxCode,0),0,1,1)))</f>
        <v>0</v>
      </c>
      <c r="O152" s="29">
        <f t="shared" si="7"/>
        <v>1300</v>
      </c>
      <c r="P152" s="63" t="str">
        <f t="shared" ca="1" si="8"/>
        <v>-</v>
      </c>
    </row>
    <row r="153" spans="1:16" ht="16" customHeight="1" x14ac:dyDescent="0.25">
      <c r="A153" s="79">
        <v>44089</v>
      </c>
      <c r="B153" s="4" t="s">
        <v>168</v>
      </c>
      <c r="C153" s="4" t="s">
        <v>109</v>
      </c>
      <c r="D153" s="4" t="s">
        <v>12</v>
      </c>
      <c r="E153" s="29">
        <v>80</v>
      </c>
      <c r="F153" s="63" t="s">
        <v>93</v>
      </c>
      <c r="G153" s="63" t="s">
        <v>108</v>
      </c>
      <c r="H153" s="63" t="s">
        <v>145</v>
      </c>
      <c r="I153" s="30" t="s">
        <v>291</v>
      </c>
      <c r="J153" s="10">
        <v>44089</v>
      </c>
      <c r="K153" s="63">
        <f t="shared" ca="1" si="6"/>
        <v>0</v>
      </c>
      <c r="L153" s="29" cm="1">
        <f t="array" aca="1" ref="L153" ca="1">O153-IF(ExpTaxCount=2,SUM($M153:$N153),$M153:$M153)</f>
        <v>69.565217391304344</v>
      </c>
      <c r="M153" s="29">
        <f ca="1">$O153/(1+IF(ISERROR($F153),0,IF(ISNA(MATCH($F153,TaxCode,0)),0,OFFSET(Setup!$D$15,MATCH($F153,TaxCode,0),0,1,1)))+IF(ISERROR($G153),0,IF(ISNA(MATCH($G153,TaxCode,0)),0,OFFSET(Setup!$D$15,MATCH($G153,TaxCode,0),0,1,1))))*IF(ISERROR($F153),0,IF(ISNA(MATCH($F153,TaxCode,0)),0,OFFSET(Setup!$D$15,MATCH($F153,TaxCode,0),0,1,1)))</f>
        <v>10.434782608695654</v>
      </c>
      <c r="N153" s="29">
        <f ca="1">$O153/(1+IF(ISERROR($F153),0,IF(ISNA(MATCH($F153,TaxCode,0)),0,OFFSET(Setup!$D$15,MATCH($F153,TaxCode,0),0,1,1)))+IF(ISERROR($G153),0,IF(ISNA(MATCH($G153,TaxCode,0)),0,OFFSET(Setup!$D$15,MATCH($G153,TaxCode,0),0,1,1))))*IF(ISERROR($G153),0,IF(ISNA(MATCH($G153,TaxCode,0)),0,OFFSET(Setup!$D$15,MATCH($G153,TaxCode,0),0,1,1)))</f>
        <v>0</v>
      </c>
      <c r="O153" s="29">
        <f t="shared" si="7"/>
        <v>80</v>
      </c>
      <c r="P153" s="63" t="str">
        <f t="shared" ca="1" si="8"/>
        <v>-</v>
      </c>
    </row>
    <row r="154" spans="1:16" ht="16" customHeight="1" x14ac:dyDescent="0.25">
      <c r="A154" s="79">
        <v>44089</v>
      </c>
      <c r="B154" s="4" t="s">
        <v>168</v>
      </c>
      <c r="C154" s="4" t="s">
        <v>109</v>
      </c>
      <c r="D154" s="4" t="s">
        <v>12</v>
      </c>
      <c r="E154" s="29">
        <v>35</v>
      </c>
      <c r="F154" s="63" t="s">
        <v>93</v>
      </c>
      <c r="G154" s="63" t="s">
        <v>108</v>
      </c>
      <c r="H154" s="63" t="s">
        <v>147</v>
      </c>
      <c r="I154" s="30" t="s">
        <v>291</v>
      </c>
      <c r="J154" s="10">
        <v>44089</v>
      </c>
      <c r="K154" s="63">
        <f t="shared" ca="1" si="6"/>
        <v>0</v>
      </c>
      <c r="L154" s="29" cm="1">
        <f t="array" aca="1" ref="L154" ca="1">O154-IF(ExpTaxCount=2,SUM($M154:$N154),$M154:$M154)</f>
        <v>30.434782608695652</v>
      </c>
      <c r="M154" s="29">
        <f ca="1">$O154/(1+IF(ISERROR($F154),0,IF(ISNA(MATCH($F154,TaxCode,0)),0,OFFSET(Setup!$D$15,MATCH($F154,TaxCode,0),0,1,1)))+IF(ISERROR($G154),0,IF(ISNA(MATCH($G154,TaxCode,0)),0,OFFSET(Setup!$D$15,MATCH($G154,TaxCode,0),0,1,1))))*IF(ISERROR($F154),0,IF(ISNA(MATCH($F154,TaxCode,0)),0,OFFSET(Setup!$D$15,MATCH($F154,TaxCode,0),0,1,1)))</f>
        <v>4.5652173913043486</v>
      </c>
      <c r="N154" s="29">
        <f ca="1">$O154/(1+IF(ISERROR($F154),0,IF(ISNA(MATCH($F154,TaxCode,0)),0,OFFSET(Setup!$D$15,MATCH($F154,TaxCode,0),0,1,1)))+IF(ISERROR($G154),0,IF(ISNA(MATCH($G154,TaxCode,0)),0,OFFSET(Setup!$D$15,MATCH($G154,TaxCode,0),0,1,1))))*IF(ISERROR($G154),0,IF(ISNA(MATCH($G154,TaxCode,0)),0,OFFSET(Setup!$D$15,MATCH($G154,TaxCode,0),0,1,1)))</f>
        <v>0</v>
      </c>
      <c r="O154" s="29">
        <f t="shared" si="7"/>
        <v>35</v>
      </c>
      <c r="P154" s="63" t="str">
        <f t="shared" ca="1" si="8"/>
        <v>-</v>
      </c>
    </row>
    <row r="155" spans="1:16" ht="16" customHeight="1" x14ac:dyDescent="0.25">
      <c r="A155" s="79">
        <v>44089</v>
      </c>
      <c r="B155" s="4" t="s">
        <v>11</v>
      </c>
      <c r="C155" s="4" t="s">
        <v>112</v>
      </c>
      <c r="D155" s="4" t="s">
        <v>504</v>
      </c>
      <c r="E155" s="29">
        <v>2300</v>
      </c>
      <c r="F155" s="63" t="s">
        <v>93</v>
      </c>
      <c r="G155" s="63" t="s">
        <v>108</v>
      </c>
      <c r="H155" s="63" t="s">
        <v>145</v>
      </c>
      <c r="I155" s="30" t="s">
        <v>289</v>
      </c>
      <c r="J155" s="10">
        <v>44107</v>
      </c>
      <c r="K155" s="63">
        <f t="shared" ca="1" si="6"/>
        <v>0</v>
      </c>
      <c r="L155" s="29" cm="1">
        <f t="array" aca="1" ref="L155" ca="1">O155-IF(ExpTaxCount=2,SUM($M155:$N155),$M155:$M155)</f>
        <v>2000</v>
      </c>
      <c r="M155" s="29">
        <f ca="1">$O155/(1+IF(ISERROR($F155),0,IF(ISNA(MATCH($F155,TaxCode,0)),0,OFFSET(Setup!$D$15,MATCH($F155,TaxCode,0),0,1,1)))+IF(ISERROR($G155),0,IF(ISNA(MATCH($G155,TaxCode,0)),0,OFFSET(Setup!$D$15,MATCH($G155,TaxCode,0),0,1,1))))*IF(ISERROR($F155),0,IF(ISNA(MATCH($F155,TaxCode,0)),0,OFFSET(Setup!$D$15,MATCH($F155,TaxCode,0),0,1,1)))</f>
        <v>300</v>
      </c>
      <c r="N155" s="29">
        <f ca="1">$O155/(1+IF(ISERROR($F155),0,IF(ISNA(MATCH($F155,TaxCode,0)),0,OFFSET(Setup!$D$15,MATCH($F155,TaxCode,0),0,1,1)))+IF(ISERROR($G155),0,IF(ISNA(MATCH($G155,TaxCode,0)),0,OFFSET(Setup!$D$15,MATCH($G155,TaxCode,0),0,1,1))))*IF(ISERROR($G155),0,IF(ISNA(MATCH($G155,TaxCode,0)),0,OFFSET(Setup!$D$15,MATCH($G155,TaxCode,0),0,1,1)))</f>
        <v>0</v>
      </c>
      <c r="O155" s="29">
        <f t="shared" si="7"/>
        <v>2300</v>
      </c>
      <c r="P155" s="63" t="str">
        <f t="shared" ca="1" si="8"/>
        <v>-</v>
      </c>
    </row>
    <row r="156" spans="1:16" ht="16" customHeight="1" x14ac:dyDescent="0.25">
      <c r="A156" s="79">
        <v>44092</v>
      </c>
      <c r="B156" s="4" t="s">
        <v>44</v>
      </c>
      <c r="C156" s="4" t="s">
        <v>508</v>
      </c>
      <c r="D156" s="4" t="s">
        <v>120</v>
      </c>
      <c r="E156" s="29">
        <v>5620</v>
      </c>
      <c r="F156" s="63" t="s">
        <v>93</v>
      </c>
      <c r="G156" s="63" t="s">
        <v>108</v>
      </c>
      <c r="H156" s="63" t="s">
        <v>145</v>
      </c>
      <c r="I156" s="30" t="s">
        <v>305</v>
      </c>
      <c r="J156" s="10">
        <v>44092</v>
      </c>
      <c r="K156" s="63">
        <f t="shared" ca="1" si="6"/>
        <v>0</v>
      </c>
      <c r="L156" s="29" cm="1">
        <f t="array" aca="1" ref="L156" ca="1">O156-IF(ExpTaxCount=2,SUM($M156:$N156),$M156:$M156)</f>
        <v>4886.95652173913</v>
      </c>
      <c r="M156" s="29">
        <f ca="1">$O156/(1+IF(ISERROR($F156),0,IF(ISNA(MATCH($F156,TaxCode,0)),0,OFFSET(Setup!$D$15,MATCH($F156,TaxCode,0),0,1,1)))+IF(ISERROR($G156),0,IF(ISNA(MATCH($G156,TaxCode,0)),0,OFFSET(Setup!$D$15,MATCH($G156,TaxCode,0),0,1,1))))*IF(ISERROR($F156),0,IF(ISNA(MATCH($F156,TaxCode,0)),0,OFFSET(Setup!$D$15,MATCH($F156,TaxCode,0),0,1,1)))</f>
        <v>733.04347826086962</v>
      </c>
      <c r="N156" s="29">
        <f ca="1">$O156/(1+IF(ISERROR($F156),0,IF(ISNA(MATCH($F156,TaxCode,0)),0,OFFSET(Setup!$D$15,MATCH($F156,TaxCode,0),0,1,1)))+IF(ISERROR($G156),0,IF(ISNA(MATCH($G156,TaxCode,0)),0,OFFSET(Setup!$D$15,MATCH($G156,TaxCode,0),0,1,1))))*IF(ISERROR($G156),0,IF(ISNA(MATCH($G156,TaxCode,0)),0,OFFSET(Setup!$D$15,MATCH($G156,TaxCode,0),0,1,1)))</f>
        <v>0</v>
      </c>
      <c r="O156" s="29">
        <f t="shared" si="7"/>
        <v>5620</v>
      </c>
      <c r="P156" s="63" t="str">
        <f t="shared" ca="1" si="8"/>
        <v>-</v>
      </c>
    </row>
    <row r="157" spans="1:16" ht="16" customHeight="1" x14ac:dyDescent="0.25">
      <c r="A157" s="79">
        <v>44092</v>
      </c>
      <c r="B157" s="4" t="s">
        <v>52</v>
      </c>
      <c r="C157" s="4" t="s">
        <v>112</v>
      </c>
      <c r="D157" s="4" t="s">
        <v>53</v>
      </c>
      <c r="E157" s="29">
        <v>6500</v>
      </c>
      <c r="F157" s="63" t="s">
        <v>93</v>
      </c>
      <c r="G157" s="63" t="s">
        <v>108</v>
      </c>
      <c r="H157" s="63" t="s">
        <v>145</v>
      </c>
      <c r="I157" s="30" t="s">
        <v>300</v>
      </c>
      <c r="J157" s="10">
        <v>44092</v>
      </c>
      <c r="K157" s="63">
        <f t="shared" ca="1" si="6"/>
        <v>0</v>
      </c>
      <c r="L157" s="29" cm="1">
        <f t="array" aca="1" ref="L157" ca="1">O157-IF(ExpTaxCount=2,SUM($M157:$N157),$M157:$M157)</f>
        <v>5652.173913043478</v>
      </c>
      <c r="M157" s="29">
        <f ca="1">$O157/(1+IF(ISERROR($F157),0,IF(ISNA(MATCH($F157,TaxCode,0)),0,OFFSET(Setup!$D$15,MATCH($F157,TaxCode,0),0,1,1)))+IF(ISERROR($G157),0,IF(ISNA(MATCH($G157,TaxCode,0)),0,OFFSET(Setup!$D$15,MATCH($G157,TaxCode,0),0,1,1))))*IF(ISERROR($F157),0,IF(ISNA(MATCH($F157,TaxCode,0)),0,OFFSET(Setup!$D$15,MATCH($F157,TaxCode,0),0,1,1)))</f>
        <v>847.82608695652186</v>
      </c>
      <c r="N157" s="29">
        <f ca="1">$O157/(1+IF(ISERROR($F157),0,IF(ISNA(MATCH($F157,TaxCode,0)),0,OFFSET(Setup!$D$15,MATCH($F157,TaxCode,0),0,1,1)))+IF(ISERROR($G157),0,IF(ISNA(MATCH($G157,TaxCode,0)),0,OFFSET(Setup!$D$15,MATCH($G157,TaxCode,0),0,1,1))))*IF(ISERROR($G157),0,IF(ISNA(MATCH($G157,TaxCode,0)),0,OFFSET(Setup!$D$15,MATCH($G157,TaxCode,0),0,1,1)))</f>
        <v>0</v>
      </c>
      <c r="O157" s="29">
        <f t="shared" si="7"/>
        <v>6500</v>
      </c>
      <c r="P157" s="63" t="str">
        <f t="shared" ca="1" si="8"/>
        <v>-</v>
      </c>
    </row>
    <row r="158" spans="1:16" ht="16" customHeight="1" x14ac:dyDescent="0.25">
      <c r="A158" s="79">
        <v>44094</v>
      </c>
      <c r="B158" s="4" t="s">
        <v>128</v>
      </c>
      <c r="C158" s="4" t="s">
        <v>172</v>
      </c>
      <c r="D158" s="4" t="s">
        <v>173</v>
      </c>
      <c r="E158" s="29">
        <v>-50000</v>
      </c>
      <c r="F158" s="63" t="s">
        <v>108</v>
      </c>
      <c r="G158" s="63" t="s">
        <v>108</v>
      </c>
      <c r="H158" s="63" t="s">
        <v>147</v>
      </c>
      <c r="I158" s="30" t="s">
        <v>275</v>
      </c>
      <c r="J158" s="10">
        <v>44094</v>
      </c>
      <c r="K158" s="63">
        <f t="shared" ca="1" si="6"/>
        <v>0</v>
      </c>
      <c r="L158" s="29" cm="1">
        <f t="array" aca="1" ref="L158" ca="1">O158-IF(ExpTaxCount=2,SUM($M158:$N158),$M158:$M158)</f>
        <v>-50000</v>
      </c>
      <c r="M158" s="29">
        <f ca="1">$O158/(1+IF(ISERROR($F158),0,IF(ISNA(MATCH($F158,TaxCode,0)),0,OFFSET(Setup!$D$15,MATCH($F158,TaxCode,0),0,1,1)))+IF(ISERROR($G158),0,IF(ISNA(MATCH($G158,TaxCode,0)),0,OFFSET(Setup!$D$15,MATCH($G158,TaxCode,0),0,1,1))))*IF(ISERROR($F158),0,IF(ISNA(MATCH($F158,TaxCode,0)),0,OFFSET(Setup!$D$15,MATCH($F158,TaxCode,0),0,1,1)))</f>
        <v>0</v>
      </c>
      <c r="N158" s="29">
        <f ca="1">$O158/(1+IF(ISERROR($F158),0,IF(ISNA(MATCH($F158,TaxCode,0)),0,OFFSET(Setup!$D$15,MATCH($F158,TaxCode,0),0,1,1)))+IF(ISERROR($G158),0,IF(ISNA(MATCH($G158,TaxCode,0)),0,OFFSET(Setup!$D$15,MATCH($G158,TaxCode,0),0,1,1))))*IF(ISERROR($G158),0,IF(ISNA(MATCH($G158,TaxCode,0)),0,OFFSET(Setup!$D$15,MATCH($G158,TaxCode,0),0,1,1)))</f>
        <v>0</v>
      </c>
      <c r="O158" s="29">
        <f t="shared" si="7"/>
        <v>-50000</v>
      </c>
      <c r="P158" s="63" t="str">
        <f t="shared" ca="1" si="8"/>
        <v>-</v>
      </c>
    </row>
    <row r="159" spans="1:16" ht="16" customHeight="1" x14ac:dyDescent="0.25">
      <c r="A159" s="79">
        <v>44094</v>
      </c>
      <c r="B159" s="4" t="s">
        <v>128</v>
      </c>
      <c r="C159" s="4" t="s">
        <v>172</v>
      </c>
      <c r="D159" s="4" t="s">
        <v>173</v>
      </c>
      <c r="E159" s="29">
        <v>50000</v>
      </c>
      <c r="F159" s="63" t="s">
        <v>108</v>
      </c>
      <c r="G159" s="63" t="s">
        <v>108</v>
      </c>
      <c r="H159" s="63" t="s">
        <v>145</v>
      </c>
      <c r="I159" s="30" t="s">
        <v>275</v>
      </c>
      <c r="J159" s="10">
        <v>44094</v>
      </c>
      <c r="K159" s="63">
        <f t="shared" ca="1" si="6"/>
        <v>0</v>
      </c>
      <c r="L159" s="29" cm="1">
        <f t="array" aca="1" ref="L159" ca="1">O159-IF(ExpTaxCount=2,SUM($M159:$N159),$M159:$M159)</f>
        <v>50000</v>
      </c>
      <c r="M159" s="29">
        <f ca="1">$O159/(1+IF(ISERROR($F159),0,IF(ISNA(MATCH($F159,TaxCode,0)),0,OFFSET(Setup!$D$15,MATCH($F159,TaxCode,0),0,1,1)))+IF(ISERROR($G159),0,IF(ISNA(MATCH($G159,TaxCode,0)),0,OFFSET(Setup!$D$15,MATCH($G159,TaxCode,0),0,1,1))))*IF(ISERROR($F159),0,IF(ISNA(MATCH($F159,TaxCode,0)),0,OFFSET(Setup!$D$15,MATCH($F159,TaxCode,0),0,1,1)))</f>
        <v>0</v>
      </c>
      <c r="N159" s="29">
        <f ca="1">$O159/(1+IF(ISERROR($F159),0,IF(ISNA(MATCH($F159,TaxCode,0)),0,OFFSET(Setup!$D$15,MATCH($F159,TaxCode,0),0,1,1)))+IF(ISERROR($G159),0,IF(ISNA(MATCH($G159,TaxCode,0)),0,OFFSET(Setup!$D$15,MATCH($G159,TaxCode,0),0,1,1))))*IF(ISERROR($G159),0,IF(ISNA(MATCH($G159,TaxCode,0)),0,OFFSET(Setup!$D$15,MATCH($G159,TaxCode,0),0,1,1)))</f>
        <v>0</v>
      </c>
      <c r="O159" s="29">
        <f t="shared" si="7"/>
        <v>50000</v>
      </c>
      <c r="P159" s="63" t="str">
        <f t="shared" ca="1" si="8"/>
        <v>-</v>
      </c>
    </row>
    <row r="160" spans="1:16" ht="16" customHeight="1" x14ac:dyDescent="0.25">
      <c r="A160" s="79">
        <v>44095</v>
      </c>
      <c r="B160" s="4" t="s">
        <v>169</v>
      </c>
      <c r="C160" s="4" t="s">
        <v>170</v>
      </c>
      <c r="D160" s="4" t="s">
        <v>171</v>
      </c>
      <c r="E160" s="29">
        <v>90</v>
      </c>
      <c r="F160" s="63" t="s">
        <v>93</v>
      </c>
      <c r="G160" s="63" t="s">
        <v>108</v>
      </c>
      <c r="H160" s="63" t="s">
        <v>151</v>
      </c>
      <c r="I160" s="30" t="s">
        <v>297</v>
      </c>
      <c r="J160" s="10">
        <v>44095</v>
      </c>
      <c r="K160" s="63">
        <f t="shared" ca="1" si="6"/>
        <v>0</v>
      </c>
      <c r="L160" s="29" cm="1">
        <f t="array" aca="1" ref="L160" ca="1">O160-IF(ExpTaxCount=2,SUM($M160:$N160),$M160:$M160)</f>
        <v>78.260869565217391</v>
      </c>
      <c r="M160" s="29">
        <f ca="1">$O160/(1+IF(ISERROR($F160),0,IF(ISNA(MATCH($F160,TaxCode,0)),0,OFFSET(Setup!$D$15,MATCH($F160,TaxCode,0),0,1,1)))+IF(ISERROR($G160),0,IF(ISNA(MATCH($G160,TaxCode,0)),0,OFFSET(Setup!$D$15,MATCH($G160,TaxCode,0),0,1,1))))*IF(ISERROR($F160),0,IF(ISNA(MATCH($F160,TaxCode,0)),0,OFFSET(Setup!$D$15,MATCH($F160,TaxCode,0),0,1,1)))</f>
        <v>11.739130434782608</v>
      </c>
      <c r="N160" s="29">
        <f ca="1">$O160/(1+IF(ISERROR($F160),0,IF(ISNA(MATCH($F160,TaxCode,0)),0,OFFSET(Setup!$D$15,MATCH($F160,TaxCode,0),0,1,1)))+IF(ISERROR($G160),0,IF(ISNA(MATCH($G160,TaxCode,0)),0,OFFSET(Setup!$D$15,MATCH($G160,TaxCode,0),0,1,1))))*IF(ISERROR($G160),0,IF(ISNA(MATCH($G160,TaxCode,0)),0,OFFSET(Setup!$D$15,MATCH($G160,TaxCode,0),0,1,1)))</f>
        <v>0</v>
      </c>
      <c r="O160" s="29">
        <f t="shared" si="7"/>
        <v>90</v>
      </c>
      <c r="P160" s="63" t="str">
        <f t="shared" ca="1" si="8"/>
        <v>-</v>
      </c>
    </row>
    <row r="161" spans="1:16" ht="16" customHeight="1" x14ac:dyDescent="0.25">
      <c r="A161" s="79">
        <v>44100</v>
      </c>
      <c r="B161" s="4" t="s">
        <v>128</v>
      </c>
      <c r="C161" s="4" t="s">
        <v>115</v>
      </c>
      <c r="D161" s="4" t="s">
        <v>26</v>
      </c>
      <c r="E161" s="29">
        <v>45000</v>
      </c>
      <c r="F161" s="63" t="s">
        <v>108</v>
      </c>
      <c r="G161" s="63" t="s">
        <v>108</v>
      </c>
      <c r="H161" s="63" t="s">
        <v>147</v>
      </c>
      <c r="I161" s="30" t="s">
        <v>366</v>
      </c>
      <c r="J161" s="10">
        <v>44100</v>
      </c>
      <c r="K161" s="63">
        <f t="shared" ca="1" si="6"/>
        <v>0</v>
      </c>
      <c r="L161" s="29" cm="1">
        <f t="array" aca="1" ref="L161" ca="1">O161-IF(ExpTaxCount=2,SUM($M161:$N161),$M161:$M161)</f>
        <v>45000</v>
      </c>
      <c r="M161" s="29">
        <f ca="1">$O161/(1+IF(ISERROR($F161),0,IF(ISNA(MATCH($F161,TaxCode,0)),0,OFFSET(Setup!$D$15,MATCH($F161,TaxCode,0),0,1,1)))+IF(ISERROR($G161),0,IF(ISNA(MATCH($G161,TaxCode,0)),0,OFFSET(Setup!$D$15,MATCH($G161,TaxCode,0),0,1,1))))*IF(ISERROR($F161),0,IF(ISNA(MATCH($F161,TaxCode,0)),0,OFFSET(Setup!$D$15,MATCH($F161,TaxCode,0),0,1,1)))</f>
        <v>0</v>
      </c>
      <c r="N161" s="29">
        <f ca="1">$O161/(1+IF(ISERROR($F161),0,IF(ISNA(MATCH($F161,TaxCode,0)),0,OFFSET(Setup!$D$15,MATCH($F161,TaxCode,0),0,1,1)))+IF(ISERROR($G161),0,IF(ISNA(MATCH($G161,TaxCode,0)),0,OFFSET(Setup!$D$15,MATCH($G161,TaxCode,0),0,1,1))))*IF(ISERROR($G161),0,IF(ISNA(MATCH($G161,TaxCode,0)),0,OFFSET(Setup!$D$15,MATCH($G161,TaxCode,0),0,1,1)))</f>
        <v>0</v>
      </c>
      <c r="O161" s="29">
        <f t="shared" si="7"/>
        <v>45000</v>
      </c>
      <c r="P161" s="63" t="str">
        <f t="shared" ca="1" si="8"/>
        <v>-</v>
      </c>
    </row>
    <row r="162" spans="1:16" ht="16" customHeight="1" x14ac:dyDescent="0.25">
      <c r="A162" s="79">
        <v>44100</v>
      </c>
      <c r="B162" s="4" t="s">
        <v>54</v>
      </c>
      <c r="C162" s="4" t="s">
        <v>110</v>
      </c>
      <c r="D162" s="4" t="s">
        <v>56</v>
      </c>
      <c r="E162" s="29">
        <v>2714.6</v>
      </c>
      <c r="F162" s="63" t="s">
        <v>108</v>
      </c>
      <c r="G162" s="63" t="s">
        <v>108</v>
      </c>
      <c r="H162" s="63" t="s">
        <v>145</v>
      </c>
      <c r="I162" s="30" t="s">
        <v>403</v>
      </c>
      <c r="J162" s="10">
        <v>44100</v>
      </c>
      <c r="K162" s="63">
        <f t="shared" ca="1" si="6"/>
        <v>0</v>
      </c>
      <c r="L162" s="29" cm="1">
        <f t="array" aca="1" ref="L162" ca="1">O162-IF(ExpTaxCount=2,SUM($M162:$N162),$M162:$M162)</f>
        <v>2714.6</v>
      </c>
      <c r="M162" s="29">
        <f ca="1">$O162/(1+IF(ISERROR($F162),0,IF(ISNA(MATCH($F162,TaxCode,0)),0,OFFSET(Setup!$D$15,MATCH($F162,TaxCode,0),0,1,1)))+IF(ISERROR($G162),0,IF(ISNA(MATCH($G162,TaxCode,0)),0,OFFSET(Setup!$D$15,MATCH($G162,TaxCode,0),0,1,1))))*IF(ISERROR($F162),0,IF(ISNA(MATCH($F162,TaxCode,0)),0,OFFSET(Setup!$D$15,MATCH($F162,TaxCode,0),0,1,1)))</f>
        <v>0</v>
      </c>
      <c r="N162" s="29">
        <f ca="1">$O162/(1+IF(ISERROR($F162),0,IF(ISNA(MATCH($F162,TaxCode,0)),0,OFFSET(Setup!$D$15,MATCH($F162,TaxCode,0),0,1,1)))+IF(ISERROR($G162),0,IF(ISNA(MATCH($G162,TaxCode,0)),0,OFFSET(Setup!$D$15,MATCH($G162,TaxCode,0),0,1,1))))*IF(ISERROR($G162),0,IF(ISNA(MATCH($G162,TaxCode,0)),0,OFFSET(Setup!$D$15,MATCH($G162,TaxCode,0),0,1,1)))</f>
        <v>0</v>
      </c>
      <c r="O162" s="29">
        <f t="shared" si="7"/>
        <v>2714.6</v>
      </c>
      <c r="P162" s="63" t="str">
        <f t="shared" ca="1" si="8"/>
        <v>-</v>
      </c>
    </row>
    <row r="163" spans="1:16" ht="16" customHeight="1" x14ac:dyDescent="0.25">
      <c r="A163" s="79">
        <v>44100</v>
      </c>
      <c r="B163" s="4" t="s">
        <v>54</v>
      </c>
      <c r="C163" s="4" t="s">
        <v>110</v>
      </c>
      <c r="D163" s="4" t="s">
        <v>55</v>
      </c>
      <c r="E163" s="29">
        <v>1534.81</v>
      </c>
      <c r="F163" s="63" t="s">
        <v>108</v>
      </c>
      <c r="G163" s="63" t="s">
        <v>108</v>
      </c>
      <c r="H163" s="63" t="s">
        <v>145</v>
      </c>
      <c r="I163" s="30" t="s">
        <v>309</v>
      </c>
      <c r="J163" s="10">
        <v>44100</v>
      </c>
      <c r="K163" s="63">
        <f t="shared" ca="1" si="6"/>
        <v>0</v>
      </c>
      <c r="L163" s="29" cm="1">
        <f t="array" aca="1" ref="L163" ca="1">O163-IF(ExpTaxCount=2,SUM($M163:$N163),$M163:$M163)</f>
        <v>1534.81</v>
      </c>
      <c r="M163" s="29">
        <f ca="1">$O163/(1+IF(ISERROR($F163),0,IF(ISNA(MATCH($F163,TaxCode,0)),0,OFFSET(Setup!$D$15,MATCH($F163,TaxCode,0),0,1,1)))+IF(ISERROR($G163),0,IF(ISNA(MATCH($G163,TaxCode,0)),0,OFFSET(Setup!$D$15,MATCH($G163,TaxCode,0),0,1,1))))*IF(ISERROR($F163),0,IF(ISNA(MATCH($F163,TaxCode,0)),0,OFFSET(Setup!$D$15,MATCH($F163,TaxCode,0),0,1,1)))</f>
        <v>0</v>
      </c>
      <c r="N163" s="29">
        <f ca="1">$O163/(1+IF(ISERROR($F163),0,IF(ISNA(MATCH($F163,TaxCode,0)),0,OFFSET(Setup!$D$15,MATCH($F163,TaxCode,0),0,1,1)))+IF(ISERROR($G163),0,IF(ISNA(MATCH($G163,TaxCode,0)),0,OFFSET(Setup!$D$15,MATCH($G163,TaxCode,0),0,1,1))))*IF(ISERROR($G163),0,IF(ISNA(MATCH($G163,TaxCode,0)),0,OFFSET(Setup!$D$15,MATCH($G163,TaxCode,0),0,1,1)))</f>
        <v>0</v>
      </c>
      <c r="O163" s="29">
        <f t="shared" si="7"/>
        <v>1534.81</v>
      </c>
      <c r="P163" s="63" t="str">
        <f t="shared" ca="1" si="8"/>
        <v>-</v>
      </c>
    </row>
    <row r="164" spans="1:16" ht="16" customHeight="1" x14ac:dyDescent="0.25">
      <c r="A164" s="79">
        <v>44100</v>
      </c>
      <c r="B164" s="4" t="s">
        <v>25</v>
      </c>
      <c r="C164" s="4" t="s">
        <v>110</v>
      </c>
      <c r="D164" s="4" t="s">
        <v>116</v>
      </c>
      <c r="E164" s="29">
        <v>13800</v>
      </c>
      <c r="F164" s="63" t="s">
        <v>93</v>
      </c>
      <c r="G164" s="63" t="s">
        <v>108</v>
      </c>
      <c r="H164" s="63" t="s">
        <v>145</v>
      </c>
      <c r="I164" s="30" t="s">
        <v>298</v>
      </c>
      <c r="J164" s="10">
        <v>44100</v>
      </c>
      <c r="K164" s="63">
        <f t="shared" ca="1" si="6"/>
        <v>0</v>
      </c>
      <c r="L164" s="29" cm="1">
        <f t="array" aca="1" ref="L164" ca="1">O164-IF(ExpTaxCount=2,SUM($M164:$N164),$M164:$M164)</f>
        <v>12000</v>
      </c>
      <c r="M164" s="29">
        <f ca="1">$O164/(1+IF(ISERROR($F164),0,IF(ISNA(MATCH($F164,TaxCode,0)),0,OFFSET(Setup!$D$15,MATCH($F164,TaxCode,0),0,1,1)))+IF(ISERROR($G164),0,IF(ISNA(MATCH($G164,TaxCode,0)),0,OFFSET(Setup!$D$15,MATCH($G164,TaxCode,0),0,1,1))))*IF(ISERROR($F164),0,IF(ISNA(MATCH($F164,TaxCode,0)),0,OFFSET(Setup!$D$15,MATCH($F164,TaxCode,0),0,1,1)))</f>
        <v>1800.0000000000002</v>
      </c>
      <c r="N164" s="29">
        <f ca="1">$O164/(1+IF(ISERROR($F164),0,IF(ISNA(MATCH($F164,TaxCode,0)),0,OFFSET(Setup!$D$15,MATCH($F164,TaxCode,0),0,1,1)))+IF(ISERROR($G164),0,IF(ISNA(MATCH($G164,TaxCode,0)),0,OFFSET(Setup!$D$15,MATCH($G164,TaxCode,0),0,1,1))))*IF(ISERROR($G164),0,IF(ISNA(MATCH($G164,TaxCode,0)),0,OFFSET(Setup!$D$15,MATCH($G164,TaxCode,0),0,1,1)))</f>
        <v>0</v>
      </c>
      <c r="O164" s="29">
        <f t="shared" si="7"/>
        <v>13800</v>
      </c>
      <c r="P164" s="63" t="str">
        <f t="shared" ca="1" si="8"/>
        <v>-</v>
      </c>
    </row>
    <row r="165" spans="1:16" ht="16" customHeight="1" x14ac:dyDescent="0.25">
      <c r="A165" s="79">
        <v>44100</v>
      </c>
      <c r="B165" s="4" t="s">
        <v>128</v>
      </c>
      <c r="C165" s="4" t="s">
        <v>115</v>
      </c>
      <c r="D165" s="4" t="s">
        <v>509</v>
      </c>
      <c r="E165" s="29">
        <v>35000</v>
      </c>
      <c r="F165" s="63" t="s">
        <v>108</v>
      </c>
      <c r="G165" s="63" t="s">
        <v>108</v>
      </c>
      <c r="H165" s="63" t="s">
        <v>147</v>
      </c>
      <c r="I165" s="30" t="s">
        <v>364</v>
      </c>
      <c r="J165" s="10">
        <v>44100</v>
      </c>
      <c r="K165" s="63">
        <f t="shared" ca="1" si="6"/>
        <v>0</v>
      </c>
      <c r="L165" s="29" cm="1">
        <f t="array" aca="1" ref="L165" ca="1">O165-IF(ExpTaxCount=2,SUM($M165:$N165),$M165:$M165)</f>
        <v>35000</v>
      </c>
      <c r="M165" s="29">
        <f ca="1">$O165/(1+IF(ISERROR($F165),0,IF(ISNA(MATCH($F165,TaxCode,0)),0,OFFSET(Setup!$D$15,MATCH($F165,TaxCode,0),0,1,1)))+IF(ISERROR($G165),0,IF(ISNA(MATCH($G165,TaxCode,0)),0,OFFSET(Setup!$D$15,MATCH($G165,TaxCode,0),0,1,1))))*IF(ISERROR($F165),0,IF(ISNA(MATCH($F165,TaxCode,0)),0,OFFSET(Setup!$D$15,MATCH($F165,TaxCode,0),0,1,1)))</f>
        <v>0</v>
      </c>
      <c r="N165" s="29">
        <f ca="1">$O165/(1+IF(ISERROR($F165),0,IF(ISNA(MATCH($F165,TaxCode,0)),0,OFFSET(Setup!$D$15,MATCH($F165,TaxCode,0),0,1,1)))+IF(ISERROR($G165),0,IF(ISNA(MATCH($G165,TaxCode,0)),0,OFFSET(Setup!$D$15,MATCH($G165,TaxCode,0),0,1,1))))*IF(ISERROR($G165),0,IF(ISNA(MATCH($G165,TaxCode,0)),0,OFFSET(Setup!$D$15,MATCH($G165,TaxCode,0),0,1,1)))</f>
        <v>0</v>
      </c>
      <c r="O165" s="29">
        <f t="shared" si="7"/>
        <v>35000</v>
      </c>
      <c r="P165" s="63" t="str">
        <f t="shared" ca="1" si="8"/>
        <v>-</v>
      </c>
    </row>
    <row r="166" spans="1:16" ht="16" customHeight="1" x14ac:dyDescent="0.25">
      <c r="A166" s="79">
        <v>44100</v>
      </c>
      <c r="B166" s="4" t="s">
        <v>128</v>
      </c>
      <c r="C166" s="4" t="s">
        <v>115</v>
      </c>
      <c r="D166" s="4" t="s">
        <v>510</v>
      </c>
      <c r="E166" s="29">
        <v>7200</v>
      </c>
      <c r="F166" s="63" t="s">
        <v>108</v>
      </c>
      <c r="G166" s="63" t="s">
        <v>108</v>
      </c>
      <c r="H166" s="63" t="s">
        <v>147</v>
      </c>
      <c r="I166" s="30" t="s">
        <v>364</v>
      </c>
      <c r="J166" s="10">
        <v>44110</v>
      </c>
      <c r="K166" s="63">
        <f t="shared" ca="1" si="6"/>
        <v>0</v>
      </c>
      <c r="L166" s="29" cm="1">
        <f t="array" aca="1" ref="L166" ca="1">O166-IF(ExpTaxCount=2,SUM($M166:$N166),$M166:$M166)</f>
        <v>7200</v>
      </c>
      <c r="M166" s="29">
        <f ca="1">$O166/(1+IF(ISERROR($F166),0,IF(ISNA(MATCH($F166,TaxCode,0)),0,OFFSET(Setup!$D$15,MATCH($F166,TaxCode,0),0,1,1)))+IF(ISERROR($G166),0,IF(ISNA(MATCH($G166,TaxCode,0)),0,OFFSET(Setup!$D$15,MATCH($G166,TaxCode,0),0,1,1))))*IF(ISERROR($F166),0,IF(ISNA(MATCH($F166,TaxCode,0)),0,OFFSET(Setup!$D$15,MATCH($F166,TaxCode,0),0,1,1)))</f>
        <v>0</v>
      </c>
      <c r="N166" s="29">
        <f ca="1">$O166/(1+IF(ISERROR($F166),0,IF(ISNA(MATCH($F166,TaxCode,0)),0,OFFSET(Setup!$D$15,MATCH($F166,TaxCode,0),0,1,1)))+IF(ISERROR($G166),0,IF(ISNA(MATCH($G166,TaxCode,0)),0,OFFSET(Setup!$D$15,MATCH($G166,TaxCode,0),0,1,1))))*IF(ISERROR($G166),0,IF(ISNA(MATCH($G166,TaxCode,0)),0,OFFSET(Setup!$D$15,MATCH($G166,TaxCode,0),0,1,1)))</f>
        <v>0</v>
      </c>
      <c r="O166" s="29">
        <f t="shared" si="7"/>
        <v>7200</v>
      </c>
      <c r="P166" s="63" t="str">
        <f t="shared" ca="1" si="8"/>
        <v>-</v>
      </c>
    </row>
    <row r="167" spans="1:16" ht="16" customHeight="1" x14ac:dyDescent="0.25">
      <c r="A167" s="79">
        <v>44100</v>
      </c>
      <c r="B167" s="4" t="s">
        <v>128</v>
      </c>
      <c r="C167" s="4" t="s">
        <v>115</v>
      </c>
      <c r="D167" s="4" t="s">
        <v>511</v>
      </c>
      <c r="E167" s="29">
        <v>9320</v>
      </c>
      <c r="F167" s="63" t="s">
        <v>108</v>
      </c>
      <c r="G167" s="63" t="s">
        <v>108</v>
      </c>
      <c r="H167" s="63" t="s">
        <v>147</v>
      </c>
      <c r="I167" s="30" t="s">
        <v>366</v>
      </c>
      <c r="J167" s="10">
        <v>44110</v>
      </c>
      <c r="K167" s="63">
        <f t="shared" ca="1" si="6"/>
        <v>0</v>
      </c>
      <c r="L167" s="29" cm="1">
        <f t="array" aca="1" ref="L167" ca="1">O167-IF(ExpTaxCount=2,SUM($M167:$N167),$M167:$M167)</f>
        <v>9320</v>
      </c>
      <c r="M167" s="29">
        <f ca="1">$O167/(1+IF(ISERROR($F167),0,IF(ISNA(MATCH($F167,TaxCode,0)),0,OFFSET(Setup!$D$15,MATCH($F167,TaxCode,0),0,1,1)))+IF(ISERROR($G167),0,IF(ISNA(MATCH($G167,TaxCode,0)),0,OFFSET(Setup!$D$15,MATCH($G167,TaxCode,0),0,1,1))))*IF(ISERROR($F167),0,IF(ISNA(MATCH($F167,TaxCode,0)),0,OFFSET(Setup!$D$15,MATCH($F167,TaxCode,0),0,1,1)))</f>
        <v>0</v>
      </c>
      <c r="N167" s="29">
        <f ca="1">$O167/(1+IF(ISERROR($F167),0,IF(ISNA(MATCH($F167,TaxCode,0)),0,OFFSET(Setup!$D$15,MATCH($F167,TaxCode,0),0,1,1)))+IF(ISERROR($G167),0,IF(ISNA(MATCH($G167,TaxCode,0)),0,OFFSET(Setup!$D$15,MATCH($G167,TaxCode,0),0,1,1))))*IF(ISERROR($G167),0,IF(ISNA(MATCH($G167,TaxCode,0)),0,OFFSET(Setup!$D$15,MATCH($G167,TaxCode,0),0,1,1)))</f>
        <v>0</v>
      </c>
      <c r="O167" s="29">
        <f t="shared" si="7"/>
        <v>9320</v>
      </c>
      <c r="P167" s="63" t="str">
        <f t="shared" ca="1" si="8"/>
        <v>-</v>
      </c>
    </row>
    <row r="168" spans="1:16" ht="16" customHeight="1" x14ac:dyDescent="0.25">
      <c r="A168" s="79">
        <v>44104</v>
      </c>
      <c r="B168" s="4" t="s">
        <v>128</v>
      </c>
      <c r="C168" s="4" t="s">
        <v>109</v>
      </c>
      <c r="D168" s="4" t="s">
        <v>174</v>
      </c>
      <c r="E168" s="29">
        <v>100</v>
      </c>
      <c r="F168" s="63" t="s">
        <v>108</v>
      </c>
      <c r="G168" s="63" t="s">
        <v>108</v>
      </c>
      <c r="H168" s="63" t="s">
        <v>145</v>
      </c>
      <c r="I168" s="30" t="s">
        <v>275</v>
      </c>
      <c r="J168" s="10">
        <v>44104</v>
      </c>
      <c r="K168" s="63">
        <f t="shared" ca="1" si="6"/>
        <v>0</v>
      </c>
      <c r="L168" s="29" cm="1">
        <f t="array" aca="1" ref="L168" ca="1">O168-IF(ExpTaxCount=2,SUM($M168:$N168),$M168:$M168)</f>
        <v>100</v>
      </c>
      <c r="M168" s="29">
        <f ca="1">$O168/(1+IF(ISERROR($F168),0,IF(ISNA(MATCH($F168,TaxCode,0)),0,OFFSET(Setup!$D$15,MATCH($F168,TaxCode,0),0,1,1)))+IF(ISERROR($G168),0,IF(ISNA(MATCH($G168,TaxCode,0)),0,OFFSET(Setup!$D$15,MATCH($G168,TaxCode,0),0,1,1))))*IF(ISERROR($F168),0,IF(ISNA(MATCH($F168,TaxCode,0)),0,OFFSET(Setup!$D$15,MATCH($F168,TaxCode,0),0,1,1)))</f>
        <v>0</v>
      </c>
      <c r="N168" s="29">
        <f ca="1">$O168/(1+IF(ISERROR($F168),0,IF(ISNA(MATCH($F168,TaxCode,0)),0,OFFSET(Setup!$D$15,MATCH($F168,TaxCode,0),0,1,1)))+IF(ISERROR($G168),0,IF(ISNA(MATCH($G168,TaxCode,0)),0,OFFSET(Setup!$D$15,MATCH($G168,TaxCode,0),0,1,1))))*IF(ISERROR($G168),0,IF(ISNA(MATCH($G168,TaxCode,0)),0,OFFSET(Setup!$D$15,MATCH($G168,TaxCode,0),0,1,1)))</f>
        <v>0</v>
      </c>
      <c r="O168" s="29">
        <f t="shared" si="7"/>
        <v>100</v>
      </c>
      <c r="P168" s="63" t="str">
        <f t="shared" ca="1" si="8"/>
        <v>-</v>
      </c>
    </row>
    <row r="169" spans="1:16" ht="16" customHeight="1" x14ac:dyDescent="0.25">
      <c r="A169" s="79">
        <v>44104</v>
      </c>
      <c r="B169" s="4" t="s">
        <v>128</v>
      </c>
      <c r="C169" s="4" t="s">
        <v>109</v>
      </c>
      <c r="D169" s="4" t="s">
        <v>174</v>
      </c>
      <c r="E169" s="29">
        <v>-100</v>
      </c>
      <c r="F169" s="63" t="s">
        <v>108</v>
      </c>
      <c r="G169" s="63" t="s">
        <v>108</v>
      </c>
      <c r="H169" s="63" t="s">
        <v>151</v>
      </c>
      <c r="I169" s="30" t="s">
        <v>275</v>
      </c>
      <c r="J169" s="10">
        <v>44104</v>
      </c>
      <c r="K169" s="63">
        <f t="shared" ca="1" si="6"/>
        <v>0</v>
      </c>
      <c r="L169" s="29" cm="1">
        <f t="array" aca="1" ref="L169" ca="1">O169-IF(ExpTaxCount=2,SUM($M169:$N169),$M169:$M169)</f>
        <v>-100</v>
      </c>
      <c r="M169" s="29">
        <f ca="1">$O169/(1+IF(ISERROR($F169),0,IF(ISNA(MATCH($F169,TaxCode,0)),0,OFFSET(Setup!$D$15,MATCH($F169,TaxCode,0),0,1,1)))+IF(ISERROR($G169),0,IF(ISNA(MATCH($G169,TaxCode,0)),0,OFFSET(Setup!$D$15,MATCH($G169,TaxCode,0),0,1,1))))*IF(ISERROR($F169),0,IF(ISNA(MATCH($F169,TaxCode,0)),0,OFFSET(Setup!$D$15,MATCH($F169,TaxCode,0),0,1,1)))</f>
        <v>0</v>
      </c>
      <c r="N169" s="29">
        <f ca="1">$O169/(1+IF(ISERROR($F169),0,IF(ISNA(MATCH($F169,TaxCode,0)),0,OFFSET(Setup!$D$15,MATCH($F169,TaxCode,0),0,1,1)))+IF(ISERROR($G169),0,IF(ISNA(MATCH($G169,TaxCode,0)),0,OFFSET(Setup!$D$15,MATCH($G169,TaxCode,0),0,1,1))))*IF(ISERROR($G169),0,IF(ISNA(MATCH($G169,TaxCode,0)),0,OFFSET(Setup!$D$15,MATCH($G169,TaxCode,0),0,1,1)))</f>
        <v>0</v>
      </c>
      <c r="O169" s="29">
        <f t="shared" si="7"/>
        <v>-100</v>
      </c>
      <c r="P169" s="63" t="str">
        <f t="shared" ca="1" si="8"/>
        <v>-</v>
      </c>
    </row>
    <row r="170" spans="1:16" ht="16" customHeight="1" x14ac:dyDescent="0.25">
      <c r="A170" s="79">
        <v>44104</v>
      </c>
      <c r="B170" s="4" t="s">
        <v>505</v>
      </c>
      <c r="C170" s="4" t="s">
        <v>507</v>
      </c>
      <c r="D170" s="4" t="s">
        <v>506</v>
      </c>
      <c r="E170" s="29">
        <v>10600</v>
      </c>
      <c r="F170" s="63" t="s">
        <v>108</v>
      </c>
      <c r="G170" s="63" t="s">
        <v>108</v>
      </c>
      <c r="H170" s="63" t="s">
        <v>149</v>
      </c>
      <c r="I170" s="30" t="s">
        <v>290</v>
      </c>
      <c r="J170" s="10">
        <v>44111</v>
      </c>
      <c r="K170" s="63">
        <f t="shared" ca="1" si="6"/>
        <v>0</v>
      </c>
      <c r="L170" s="29" cm="1">
        <f t="array" aca="1" ref="L170" ca="1">O170-IF(ExpTaxCount=2,SUM($M170:$N170),$M170:$M170)</f>
        <v>10600</v>
      </c>
      <c r="M170" s="29">
        <f ca="1">$O170/(1+IF(ISERROR($F170),0,IF(ISNA(MATCH($F170,TaxCode,0)),0,OFFSET(Setup!$D$15,MATCH($F170,TaxCode,0),0,1,1)))+IF(ISERROR($G170),0,IF(ISNA(MATCH($G170,TaxCode,0)),0,OFFSET(Setup!$D$15,MATCH($G170,TaxCode,0),0,1,1))))*IF(ISERROR($F170),0,IF(ISNA(MATCH($F170,TaxCode,0)),0,OFFSET(Setup!$D$15,MATCH($F170,TaxCode,0),0,1,1)))</f>
        <v>0</v>
      </c>
      <c r="N170" s="29">
        <f ca="1">$O170/(1+IF(ISERROR($F170),0,IF(ISNA(MATCH($F170,TaxCode,0)),0,OFFSET(Setup!$D$15,MATCH($F170,TaxCode,0),0,1,1)))+IF(ISERROR($G170),0,IF(ISNA(MATCH($G170,TaxCode,0)),0,OFFSET(Setup!$D$15,MATCH($G170,TaxCode,0),0,1,1))))*IF(ISERROR($G170),0,IF(ISNA(MATCH($G170,TaxCode,0)),0,OFFSET(Setup!$D$15,MATCH($G170,TaxCode,0),0,1,1)))</f>
        <v>0</v>
      </c>
      <c r="O170" s="29">
        <f t="shared" si="7"/>
        <v>10600</v>
      </c>
      <c r="P170" s="63" t="str">
        <f t="shared" ca="1" si="8"/>
        <v>-</v>
      </c>
    </row>
    <row r="171" spans="1:16" ht="16" customHeight="1" x14ac:dyDescent="0.25">
      <c r="A171" s="79">
        <v>44105</v>
      </c>
      <c r="B171" s="4" t="s">
        <v>5</v>
      </c>
      <c r="C171" s="4" t="s">
        <v>36</v>
      </c>
      <c r="D171" s="4" t="s">
        <v>114</v>
      </c>
      <c r="E171" s="29">
        <v>850</v>
      </c>
      <c r="F171" s="63" t="s">
        <v>93</v>
      </c>
      <c r="G171" s="63" t="s">
        <v>108</v>
      </c>
      <c r="H171" s="63" t="s">
        <v>145</v>
      </c>
      <c r="I171" s="30" t="s">
        <v>303</v>
      </c>
      <c r="J171" s="10">
        <v>44135</v>
      </c>
      <c r="K171" s="63">
        <f t="shared" ca="1" si="6"/>
        <v>0</v>
      </c>
      <c r="L171" s="29" cm="1">
        <f t="array" aca="1" ref="L171" ca="1">O171-IF(ExpTaxCount=2,SUM($M171:$N171),$M171:$M171)</f>
        <v>739.13043478260875</v>
      </c>
      <c r="M171" s="29">
        <f ca="1">$O171/(1+IF(ISERROR($F171),0,IF(ISNA(MATCH($F171,TaxCode,0)),0,OFFSET(Setup!$D$15,MATCH($F171,TaxCode,0),0,1,1)))+IF(ISERROR($G171),0,IF(ISNA(MATCH($G171,TaxCode,0)),0,OFFSET(Setup!$D$15,MATCH($G171,TaxCode,0),0,1,1))))*IF(ISERROR($F171),0,IF(ISNA(MATCH($F171,TaxCode,0)),0,OFFSET(Setup!$D$15,MATCH($F171,TaxCode,0),0,1,1)))</f>
        <v>110.86956521739131</v>
      </c>
      <c r="N171" s="29">
        <f ca="1">$O171/(1+IF(ISERROR($F171),0,IF(ISNA(MATCH($F171,TaxCode,0)),0,OFFSET(Setup!$D$15,MATCH($F171,TaxCode,0),0,1,1)))+IF(ISERROR($G171),0,IF(ISNA(MATCH($G171,TaxCode,0)),0,OFFSET(Setup!$D$15,MATCH($G171,TaxCode,0),0,1,1))))*IF(ISERROR($G171),0,IF(ISNA(MATCH($G171,TaxCode,0)),0,OFFSET(Setup!$D$15,MATCH($G171,TaxCode,0),0,1,1)))</f>
        <v>0</v>
      </c>
      <c r="O171" s="29">
        <f t="shared" si="7"/>
        <v>850</v>
      </c>
      <c r="P171" s="63" t="str">
        <f t="shared" ca="1" si="8"/>
        <v>-</v>
      </c>
    </row>
    <row r="172" spans="1:16" ht="16" customHeight="1" x14ac:dyDescent="0.25">
      <c r="A172" s="79">
        <v>44108</v>
      </c>
      <c r="B172" s="4" t="s">
        <v>24</v>
      </c>
      <c r="C172" s="4" t="s">
        <v>22</v>
      </c>
      <c r="D172" s="4" t="s">
        <v>119</v>
      </c>
      <c r="E172" s="29">
        <v>850</v>
      </c>
      <c r="F172" s="63" t="s">
        <v>93</v>
      </c>
      <c r="G172" s="63" t="s">
        <v>108</v>
      </c>
      <c r="H172" s="63" t="s">
        <v>151</v>
      </c>
      <c r="I172" s="30" t="s">
        <v>293</v>
      </c>
      <c r="J172" s="10">
        <v>44108</v>
      </c>
      <c r="K172" s="63">
        <f t="shared" ca="1" si="6"/>
        <v>0</v>
      </c>
      <c r="L172" s="29" cm="1">
        <f t="array" aca="1" ref="L172" ca="1">O172-IF(ExpTaxCount=2,SUM($M172:$N172),$M172:$M172)</f>
        <v>739.13043478260875</v>
      </c>
      <c r="M172" s="29">
        <f ca="1">$O172/(1+IF(ISERROR($F172),0,IF(ISNA(MATCH($F172,TaxCode,0)),0,OFFSET(Setup!$D$15,MATCH($F172,TaxCode,0),0,1,1)))+IF(ISERROR($G172),0,IF(ISNA(MATCH($G172,TaxCode,0)),0,OFFSET(Setup!$D$15,MATCH($G172,TaxCode,0),0,1,1))))*IF(ISERROR($F172),0,IF(ISNA(MATCH($F172,TaxCode,0)),0,OFFSET(Setup!$D$15,MATCH($F172,TaxCode,0),0,1,1)))</f>
        <v>110.86956521739131</v>
      </c>
      <c r="N172" s="29">
        <f ca="1">$O172/(1+IF(ISERROR($F172),0,IF(ISNA(MATCH($F172,TaxCode,0)),0,OFFSET(Setup!$D$15,MATCH($F172,TaxCode,0),0,1,1)))+IF(ISERROR($G172),0,IF(ISNA(MATCH($G172,TaxCode,0)),0,OFFSET(Setup!$D$15,MATCH($G172,TaxCode,0),0,1,1))))*IF(ISERROR($G172),0,IF(ISNA(MATCH($G172,TaxCode,0)),0,OFFSET(Setup!$D$15,MATCH($G172,TaxCode,0),0,1,1)))</f>
        <v>0</v>
      </c>
      <c r="O172" s="29">
        <f t="shared" si="7"/>
        <v>850</v>
      </c>
      <c r="P172" s="63" t="str">
        <f t="shared" ca="1" si="8"/>
        <v>-</v>
      </c>
    </row>
    <row r="173" spans="1:16" ht="16" customHeight="1" x14ac:dyDescent="0.25">
      <c r="A173" s="79">
        <v>44108</v>
      </c>
      <c r="B173" s="4" t="s">
        <v>44</v>
      </c>
      <c r="C173" s="4" t="s">
        <v>47</v>
      </c>
      <c r="D173" s="4" t="s">
        <v>120</v>
      </c>
      <c r="E173" s="29">
        <v>4410</v>
      </c>
      <c r="F173" s="63" t="s">
        <v>93</v>
      </c>
      <c r="G173" s="63" t="s">
        <v>108</v>
      </c>
      <c r="H173" s="63" t="s">
        <v>145</v>
      </c>
      <c r="I173" s="30" t="s">
        <v>305</v>
      </c>
      <c r="J173" s="10">
        <v>44108</v>
      </c>
      <c r="K173" s="63">
        <f t="shared" ca="1" si="6"/>
        <v>0</v>
      </c>
      <c r="L173" s="29" cm="1">
        <f t="array" aca="1" ref="L173" ca="1">O173-IF(ExpTaxCount=2,SUM($M173:$N173),$M173:$M173)</f>
        <v>3834.782608695652</v>
      </c>
      <c r="M173" s="29">
        <f ca="1">$O173/(1+IF(ISERROR($F173),0,IF(ISNA(MATCH($F173,TaxCode,0)),0,OFFSET(Setup!$D$15,MATCH($F173,TaxCode,0),0,1,1)))+IF(ISERROR($G173),0,IF(ISNA(MATCH($G173,TaxCode,0)),0,OFFSET(Setup!$D$15,MATCH($G173,TaxCode,0),0,1,1))))*IF(ISERROR($F173),0,IF(ISNA(MATCH($F173,TaxCode,0)),0,OFFSET(Setup!$D$15,MATCH($F173,TaxCode,0),0,1,1)))</f>
        <v>575.21739130434787</v>
      </c>
      <c r="N173" s="29">
        <f ca="1">$O173/(1+IF(ISERROR($F173),0,IF(ISNA(MATCH($F173,TaxCode,0)),0,OFFSET(Setup!$D$15,MATCH($F173,TaxCode,0),0,1,1)))+IF(ISERROR($G173),0,IF(ISNA(MATCH($G173,TaxCode,0)),0,OFFSET(Setup!$D$15,MATCH($G173,TaxCode,0),0,1,1))))*IF(ISERROR($G173),0,IF(ISNA(MATCH($G173,TaxCode,0)),0,OFFSET(Setup!$D$15,MATCH($G173,TaxCode,0),0,1,1)))</f>
        <v>0</v>
      </c>
      <c r="O173" s="29">
        <f t="shared" si="7"/>
        <v>4410</v>
      </c>
      <c r="P173" s="63" t="str">
        <f t="shared" ca="1" si="8"/>
        <v>-</v>
      </c>
    </row>
    <row r="174" spans="1:16" ht="16" customHeight="1" x14ac:dyDescent="0.25">
      <c r="A174" s="79">
        <v>44109</v>
      </c>
      <c r="B174" s="4" t="s">
        <v>167</v>
      </c>
      <c r="C174" s="4" t="s">
        <v>110</v>
      </c>
      <c r="D174" s="4" t="s">
        <v>71</v>
      </c>
      <c r="E174" s="29">
        <v>368</v>
      </c>
      <c r="F174" s="63" t="s">
        <v>93</v>
      </c>
      <c r="G174" s="63" t="s">
        <v>108</v>
      </c>
      <c r="H174" s="63" t="s">
        <v>145</v>
      </c>
      <c r="I174" s="30" t="s">
        <v>296</v>
      </c>
      <c r="J174" s="10">
        <v>44109</v>
      </c>
      <c r="K174" s="63">
        <f t="shared" ca="1" si="6"/>
        <v>0</v>
      </c>
      <c r="L174" s="29" cm="1">
        <f t="array" aca="1" ref="L174" ca="1">O174-IF(ExpTaxCount=2,SUM($M174:$N174),$M174:$M174)</f>
        <v>320</v>
      </c>
      <c r="M174" s="29">
        <f ca="1">$O174/(1+IF(ISERROR($F174),0,IF(ISNA(MATCH($F174,TaxCode,0)),0,OFFSET(Setup!$D$15,MATCH($F174,TaxCode,0),0,1,1)))+IF(ISERROR($G174),0,IF(ISNA(MATCH($G174,TaxCode,0)),0,OFFSET(Setup!$D$15,MATCH($G174,TaxCode,0),0,1,1))))*IF(ISERROR($F174),0,IF(ISNA(MATCH($F174,TaxCode,0)),0,OFFSET(Setup!$D$15,MATCH($F174,TaxCode,0),0,1,1)))</f>
        <v>48</v>
      </c>
      <c r="N174" s="29">
        <f ca="1">$O174/(1+IF(ISERROR($F174),0,IF(ISNA(MATCH($F174,TaxCode,0)),0,OFFSET(Setup!$D$15,MATCH($F174,TaxCode,0),0,1,1)))+IF(ISERROR($G174),0,IF(ISNA(MATCH($G174,TaxCode,0)),0,OFFSET(Setup!$D$15,MATCH($G174,TaxCode,0),0,1,1))))*IF(ISERROR($G174),0,IF(ISNA(MATCH($G174,TaxCode,0)),0,OFFSET(Setup!$D$15,MATCH($G174,TaxCode,0),0,1,1)))</f>
        <v>0</v>
      </c>
      <c r="O174" s="29">
        <f t="shared" si="7"/>
        <v>368</v>
      </c>
      <c r="P174" s="63" t="str">
        <f t="shared" ca="1" si="8"/>
        <v>-</v>
      </c>
    </row>
    <row r="175" spans="1:16" ht="16" customHeight="1" x14ac:dyDescent="0.25">
      <c r="A175" s="79">
        <v>44109</v>
      </c>
      <c r="B175" s="4" t="s">
        <v>128</v>
      </c>
      <c r="C175" s="4" t="s">
        <v>172</v>
      </c>
      <c r="D175" s="4" t="s">
        <v>173</v>
      </c>
      <c r="E175" s="29">
        <v>-16000</v>
      </c>
      <c r="F175" s="63" t="s">
        <v>108</v>
      </c>
      <c r="G175" s="63" t="s">
        <v>108</v>
      </c>
      <c r="H175" s="63" t="s">
        <v>149</v>
      </c>
      <c r="I175" s="30" t="s">
        <v>275</v>
      </c>
      <c r="J175" s="10">
        <v>44109</v>
      </c>
      <c r="K175" s="63">
        <f t="shared" ca="1" si="6"/>
        <v>0</v>
      </c>
      <c r="L175" s="29" cm="1">
        <f t="array" aca="1" ref="L175" ca="1">O175-IF(ExpTaxCount=2,SUM($M175:$N175),$M175:$M175)</f>
        <v>-16000</v>
      </c>
      <c r="M175" s="29">
        <f ca="1">$O175/(1+IF(ISERROR($F175),0,IF(ISNA(MATCH($F175,TaxCode,0)),0,OFFSET(Setup!$D$15,MATCH($F175,TaxCode,0),0,1,1)))+IF(ISERROR($G175),0,IF(ISNA(MATCH($G175,TaxCode,0)),0,OFFSET(Setup!$D$15,MATCH($G175,TaxCode,0),0,1,1))))*IF(ISERROR($F175),0,IF(ISNA(MATCH($F175,TaxCode,0)),0,OFFSET(Setup!$D$15,MATCH($F175,TaxCode,0),0,1,1)))</f>
        <v>0</v>
      </c>
      <c r="N175" s="29">
        <f ca="1">$O175/(1+IF(ISERROR($F175),0,IF(ISNA(MATCH($F175,TaxCode,0)),0,OFFSET(Setup!$D$15,MATCH($F175,TaxCode,0),0,1,1)))+IF(ISERROR($G175),0,IF(ISNA(MATCH($G175,TaxCode,0)),0,OFFSET(Setup!$D$15,MATCH($G175,TaxCode,0),0,1,1))))*IF(ISERROR($G175),0,IF(ISNA(MATCH($G175,TaxCode,0)),0,OFFSET(Setup!$D$15,MATCH($G175,TaxCode,0),0,1,1)))</f>
        <v>0</v>
      </c>
      <c r="O175" s="29">
        <f t="shared" si="7"/>
        <v>-16000</v>
      </c>
      <c r="P175" s="63" t="str">
        <f t="shared" ca="1" si="8"/>
        <v>-</v>
      </c>
    </row>
    <row r="176" spans="1:16" ht="16" customHeight="1" x14ac:dyDescent="0.25">
      <c r="A176" s="79">
        <v>44109</v>
      </c>
      <c r="B176" s="4" t="s">
        <v>128</v>
      </c>
      <c r="C176" s="4" t="s">
        <v>172</v>
      </c>
      <c r="D176" s="4" t="s">
        <v>173</v>
      </c>
      <c r="E176" s="29">
        <v>16000</v>
      </c>
      <c r="F176" s="63" t="s">
        <v>108</v>
      </c>
      <c r="G176" s="63" t="s">
        <v>108</v>
      </c>
      <c r="H176" s="63" t="s">
        <v>145</v>
      </c>
      <c r="I176" s="30" t="s">
        <v>275</v>
      </c>
      <c r="J176" s="10">
        <v>44109</v>
      </c>
      <c r="K176" s="63">
        <f t="shared" ca="1" si="6"/>
        <v>0</v>
      </c>
      <c r="L176" s="29" cm="1">
        <f t="array" aca="1" ref="L176" ca="1">O176-IF(ExpTaxCount=2,SUM($M176:$N176),$M176:$M176)</f>
        <v>16000</v>
      </c>
      <c r="M176" s="29">
        <f ca="1">$O176/(1+IF(ISERROR($F176),0,IF(ISNA(MATCH($F176,TaxCode,0)),0,OFFSET(Setup!$D$15,MATCH($F176,TaxCode,0),0,1,1)))+IF(ISERROR($G176),0,IF(ISNA(MATCH($G176,TaxCode,0)),0,OFFSET(Setup!$D$15,MATCH($G176,TaxCode,0),0,1,1))))*IF(ISERROR($F176),0,IF(ISNA(MATCH($F176,TaxCode,0)),0,OFFSET(Setup!$D$15,MATCH($F176,TaxCode,0),0,1,1)))</f>
        <v>0</v>
      </c>
      <c r="N176" s="29">
        <f ca="1">$O176/(1+IF(ISERROR($F176),0,IF(ISNA(MATCH($F176,TaxCode,0)),0,OFFSET(Setup!$D$15,MATCH($F176,TaxCode,0),0,1,1)))+IF(ISERROR($G176),0,IF(ISNA(MATCH($G176,TaxCode,0)),0,OFFSET(Setup!$D$15,MATCH($G176,TaxCode,0),0,1,1))))*IF(ISERROR($G176),0,IF(ISNA(MATCH($G176,TaxCode,0)),0,OFFSET(Setup!$D$15,MATCH($G176,TaxCode,0),0,1,1)))</f>
        <v>0</v>
      </c>
      <c r="O176" s="29">
        <f t="shared" si="7"/>
        <v>16000</v>
      </c>
      <c r="P176" s="63" t="str">
        <f t="shared" ca="1" si="8"/>
        <v>-</v>
      </c>
    </row>
    <row r="177" spans="1:16" ht="16" customHeight="1" x14ac:dyDescent="0.25">
      <c r="A177" s="79">
        <v>44119</v>
      </c>
      <c r="B177" s="4" t="s">
        <v>168</v>
      </c>
      <c r="C177" s="4" t="s">
        <v>109</v>
      </c>
      <c r="D177" s="4" t="s">
        <v>12</v>
      </c>
      <c r="E177" s="29">
        <v>80</v>
      </c>
      <c r="F177" s="63" t="s">
        <v>93</v>
      </c>
      <c r="G177" s="63" t="s">
        <v>108</v>
      </c>
      <c r="H177" s="63" t="s">
        <v>145</v>
      </c>
      <c r="I177" s="30" t="s">
        <v>291</v>
      </c>
      <c r="J177" s="10">
        <v>44119</v>
      </c>
      <c r="K177" s="63">
        <f t="shared" ca="1" si="6"/>
        <v>0</v>
      </c>
      <c r="L177" s="29" cm="1">
        <f t="array" aca="1" ref="L177" ca="1">O177-IF(ExpTaxCount=2,SUM($M177:$N177),$M177:$M177)</f>
        <v>69.565217391304344</v>
      </c>
      <c r="M177" s="29">
        <f ca="1">$O177/(1+IF(ISERROR($F177),0,IF(ISNA(MATCH($F177,TaxCode,0)),0,OFFSET(Setup!$D$15,MATCH($F177,TaxCode,0),0,1,1)))+IF(ISERROR($G177),0,IF(ISNA(MATCH($G177,TaxCode,0)),0,OFFSET(Setup!$D$15,MATCH($G177,TaxCode,0),0,1,1))))*IF(ISERROR($F177),0,IF(ISNA(MATCH($F177,TaxCode,0)),0,OFFSET(Setup!$D$15,MATCH($F177,TaxCode,0),0,1,1)))</f>
        <v>10.434782608695654</v>
      </c>
      <c r="N177" s="29">
        <f ca="1">$O177/(1+IF(ISERROR($F177),0,IF(ISNA(MATCH($F177,TaxCode,0)),0,OFFSET(Setup!$D$15,MATCH($F177,TaxCode,0),0,1,1)))+IF(ISERROR($G177),0,IF(ISNA(MATCH($G177,TaxCode,0)),0,OFFSET(Setup!$D$15,MATCH($G177,TaxCode,0),0,1,1))))*IF(ISERROR($G177),0,IF(ISNA(MATCH($G177,TaxCode,0)),0,OFFSET(Setup!$D$15,MATCH($G177,TaxCode,0),0,1,1)))</f>
        <v>0</v>
      </c>
      <c r="O177" s="29">
        <f t="shared" si="7"/>
        <v>80</v>
      </c>
      <c r="P177" s="63" t="str">
        <f t="shared" ca="1" si="8"/>
        <v>-</v>
      </c>
    </row>
    <row r="178" spans="1:16" ht="16" customHeight="1" x14ac:dyDescent="0.25">
      <c r="A178" s="79">
        <v>44119</v>
      </c>
      <c r="B178" s="4" t="s">
        <v>168</v>
      </c>
      <c r="C178" s="4" t="s">
        <v>109</v>
      </c>
      <c r="D178" s="4" t="s">
        <v>12</v>
      </c>
      <c r="E178" s="29">
        <v>35</v>
      </c>
      <c r="F178" s="63" t="s">
        <v>93</v>
      </c>
      <c r="G178" s="63" t="s">
        <v>108</v>
      </c>
      <c r="H178" s="63" t="s">
        <v>147</v>
      </c>
      <c r="I178" s="30" t="s">
        <v>291</v>
      </c>
      <c r="J178" s="10">
        <v>44119</v>
      </c>
      <c r="K178" s="63">
        <f t="shared" ca="1" si="6"/>
        <v>0</v>
      </c>
      <c r="L178" s="29" cm="1">
        <f t="array" aca="1" ref="L178" ca="1">O178-IF(ExpTaxCount=2,SUM($M178:$N178),$M178:$M178)</f>
        <v>30.434782608695652</v>
      </c>
      <c r="M178" s="29">
        <f ca="1">$O178/(1+IF(ISERROR($F178),0,IF(ISNA(MATCH($F178,TaxCode,0)),0,OFFSET(Setup!$D$15,MATCH($F178,TaxCode,0),0,1,1)))+IF(ISERROR($G178),0,IF(ISNA(MATCH($G178,TaxCode,0)),0,OFFSET(Setup!$D$15,MATCH($G178,TaxCode,0),0,1,1))))*IF(ISERROR($F178),0,IF(ISNA(MATCH($F178,TaxCode,0)),0,OFFSET(Setup!$D$15,MATCH($F178,TaxCode,0),0,1,1)))</f>
        <v>4.5652173913043486</v>
      </c>
      <c r="N178" s="29">
        <f ca="1">$O178/(1+IF(ISERROR($F178),0,IF(ISNA(MATCH($F178,TaxCode,0)),0,OFFSET(Setup!$D$15,MATCH($F178,TaxCode,0),0,1,1)))+IF(ISERROR($G178),0,IF(ISNA(MATCH($G178,TaxCode,0)),0,OFFSET(Setup!$D$15,MATCH($G178,TaxCode,0),0,1,1))))*IF(ISERROR($G178),0,IF(ISNA(MATCH($G178,TaxCode,0)),0,OFFSET(Setup!$D$15,MATCH($G178,TaxCode,0),0,1,1)))</f>
        <v>0</v>
      </c>
      <c r="O178" s="29">
        <f t="shared" si="7"/>
        <v>35</v>
      </c>
      <c r="P178" s="63" t="str">
        <f t="shared" ca="1" si="8"/>
        <v>-</v>
      </c>
    </row>
    <row r="179" spans="1:16" ht="16" customHeight="1" x14ac:dyDescent="0.25">
      <c r="A179" s="79">
        <v>44119</v>
      </c>
      <c r="B179" s="4" t="s">
        <v>11</v>
      </c>
      <c r="C179" s="4" t="s">
        <v>112</v>
      </c>
      <c r="D179" s="4" t="s">
        <v>504</v>
      </c>
      <c r="E179" s="29">
        <v>2300</v>
      </c>
      <c r="F179" s="63" t="s">
        <v>93</v>
      </c>
      <c r="G179" s="63" t="s">
        <v>108</v>
      </c>
      <c r="H179" s="63" t="s">
        <v>145</v>
      </c>
      <c r="I179" s="30" t="s">
        <v>289</v>
      </c>
      <c r="J179" s="10">
        <v>44137</v>
      </c>
      <c r="K179" s="63">
        <f t="shared" ca="1" si="6"/>
        <v>0</v>
      </c>
      <c r="L179" s="29" cm="1">
        <f t="array" aca="1" ref="L179" ca="1">O179-IF(ExpTaxCount=2,SUM($M179:$N179),$M179:$M179)</f>
        <v>2000</v>
      </c>
      <c r="M179" s="29">
        <f ca="1">$O179/(1+IF(ISERROR($F179),0,IF(ISNA(MATCH($F179,TaxCode,0)),0,OFFSET(Setup!$D$15,MATCH($F179,TaxCode,0),0,1,1)))+IF(ISERROR($G179),0,IF(ISNA(MATCH($G179,TaxCode,0)),0,OFFSET(Setup!$D$15,MATCH($G179,TaxCode,0),0,1,1))))*IF(ISERROR($F179),0,IF(ISNA(MATCH($F179,TaxCode,0)),0,OFFSET(Setup!$D$15,MATCH($F179,TaxCode,0),0,1,1)))</f>
        <v>300</v>
      </c>
      <c r="N179" s="29">
        <f ca="1">$O179/(1+IF(ISERROR($F179),0,IF(ISNA(MATCH($F179,TaxCode,0)),0,OFFSET(Setup!$D$15,MATCH($F179,TaxCode,0),0,1,1)))+IF(ISERROR($G179),0,IF(ISNA(MATCH($G179,TaxCode,0)),0,OFFSET(Setup!$D$15,MATCH($G179,TaxCode,0),0,1,1))))*IF(ISERROR($G179),0,IF(ISNA(MATCH($G179,TaxCode,0)),0,OFFSET(Setup!$D$15,MATCH($G179,TaxCode,0),0,1,1)))</f>
        <v>0</v>
      </c>
      <c r="O179" s="29">
        <f t="shared" si="7"/>
        <v>2300</v>
      </c>
      <c r="P179" s="63" t="str">
        <f t="shared" ca="1" si="8"/>
        <v>-</v>
      </c>
    </row>
    <row r="180" spans="1:16" ht="16" customHeight="1" x14ac:dyDescent="0.25">
      <c r="A180" s="79">
        <v>44124</v>
      </c>
      <c r="B180" s="4" t="s">
        <v>128</v>
      </c>
      <c r="C180" s="4" t="s">
        <v>172</v>
      </c>
      <c r="D180" s="4" t="s">
        <v>173</v>
      </c>
      <c r="E180" s="29">
        <v>-70000</v>
      </c>
      <c r="F180" s="63" t="s">
        <v>108</v>
      </c>
      <c r="G180" s="63" t="s">
        <v>108</v>
      </c>
      <c r="H180" s="63" t="s">
        <v>147</v>
      </c>
      <c r="I180" s="30" t="s">
        <v>275</v>
      </c>
      <c r="J180" s="10">
        <v>44124</v>
      </c>
      <c r="K180" s="63">
        <f t="shared" ca="1" si="6"/>
        <v>0</v>
      </c>
      <c r="L180" s="29" cm="1">
        <f t="array" aca="1" ref="L180" ca="1">O180-IF(ExpTaxCount=2,SUM($M180:$N180),$M180:$M180)</f>
        <v>-70000</v>
      </c>
      <c r="M180" s="29">
        <f ca="1">$O180/(1+IF(ISERROR($F180),0,IF(ISNA(MATCH($F180,TaxCode,0)),0,OFFSET(Setup!$D$15,MATCH($F180,TaxCode,0),0,1,1)))+IF(ISERROR($G180),0,IF(ISNA(MATCH($G180,TaxCode,0)),0,OFFSET(Setup!$D$15,MATCH($G180,TaxCode,0),0,1,1))))*IF(ISERROR($F180),0,IF(ISNA(MATCH($F180,TaxCode,0)),0,OFFSET(Setup!$D$15,MATCH($F180,TaxCode,0),0,1,1)))</f>
        <v>0</v>
      </c>
      <c r="N180" s="29">
        <f ca="1">$O180/(1+IF(ISERROR($F180),0,IF(ISNA(MATCH($F180,TaxCode,0)),0,OFFSET(Setup!$D$15,MATCH($F180,TaxCode,0),0,1,1)))+IF(ISERROR($G180),0,IF(ISNA(MATCH($G180,TaxCode,0)),0,OFFSET(Setup!$D$15,MATCH($G180,TaxCode,0),0,1,1))))*IF(ISERROR($G180),0,IF(ISNA(MATCH($G180,TaxCode,0)),0,OFFSET(Setup!$D$15,MATCH($G180,TaxCode,0),0,1,1)))</f>
        <v>0</v>
      </c>
      <c r="O180" s="29">
        <f t="shared" si="7"/>
        <v>-70000</v>
      </c>
      <c r="P180" s="63" t="str">
        <f t="shared" ca="1" si="8"/>
        <v>-</v>
      </c>
    </row>
    <row r="181" spans="1:16" ht="16" customHeight="1" x14ac:dyDescent="0.25">
      <c r="A181" s="79">
        <v>44124</v>
      </c>
      <c r="B181" s="4" t="s">
        <v>128</v>
      </c>
      <c r="C181" s="4" t="s">
        <v>172</v>
      </c>
      <c r="D181" s="4" t="s">
        <v>173</v>
      </c>
      <c r="E181" s="29">
        <v>70000</v>
      </c>
      <c r="F181" s="63" t="s">
        <v>108</v>
      </c>
      <c r="G181" s="63" t="s">
        <v>108</v>
      </c>
      <c r="H181" s="63" t="s">
        <v>145</v>
      </c>
      <c r="I181" s="30" t="s">
        <v>275</v>
      </c>
      <c r="J181" s="10">
        <v>44124</v>
      </c>
      <c r="K181" s="63">
        <f t="shared" ca="1" si="6"/>
        <v>0</v>
      </c>
      <c r="L181" s="29" cm="1">
        <f t="array" aca="1" ref="L181" ca="1">O181-IF(ExpTaxCount=2,SUM($M181:$N181),$M181:$M181)</f>
        <v>70000</v>
      </c>
      <c r="M181" s="29">
        <f ca="1">$O181/(1+IF(ISERROR($F181),0,IF(ISNA(MATCH($F181,TaxCode,0)),0,OFFSET(Setup!$D$15,MATCH($F181,TaxCode,0),0,1,1)))+IF(ISERROR($G181),0,IF(ISNA(MATCH($G181,TaxCode,0)),0,OFFSET(Setup!$D$15,MATCH($G181,TaxCode,0),0,1,1))))*IF(ISERROR($F181),0,IF(ISNA(MATCH($F181,TaxCode,0)),0,OFFSET(Setup!$D$15,MATCH($F181,TaxCode,0),0,1,1)))</f>
        <v>0</v>
      </c>
      <c r="N181" s="29">
        <f ca="1">$O181/(1+IF(ISERROR($F181),0,IF(ISNA(MATCH($F181,TaxCode,0)),0,OFFSET(Setup!$D$15,MATCH($F181,TaxCode,0),0,1,1)))+IF(ISERROR($G181),0,IF(ISNA(MATCH($G181,TaxCode,0)),0,OFFSET(Setup!$D$15,MATCH($G181,TaxCode,0),0,1,1))))*IF(ISERROR($G181),0,IF(ISNA(MATCH($G181,TaxCode,0)),0,OFFSET(Setup!$D$15,MATCH($G181,TaxCode,0),0,1,1)))</f>
        <v>0</v>
      </c>
      <c r="O181" s="29">
        <f t="shared" si="7"/>
        <v>70000</v>
      </c>
      <c r="P181" s="63" t="str">
        <f t="shared" ca="1" si="8"/>
        <v>-</v>
      </c>
    </row>
    <row r="182" spans="1:16" ht="16" customHeight="1" x14ac:dyDescent="0.25">
      <c r="A182" s="79">
        <v>44126</v>
      </c>
      <c r="B182" s="4" t="s">
        <v>19</v>
      </c>
      <c r="C182" s="4" t="s">
        <v>112</v>
      </c>
      <c r="D182" s="4" t="s">
        <v>75</v>
      </c>
      <c r="E182" s="29">
        <v>289</v>
      </c>
      <c r="F182" s="63" t="s">
        <v>93</v>
      </c>
      <c r="G182" s="63" t="s">
        <v>108</v>
      </c>
      <c r="H182" s="63" t="s">
        <v>145</v>
      </c>
      <c r="I182" s="30" t="s">
        <v>301</v>
      </c>
      <c r="J182" s="10">
        <v>44156</v>
      </c>
      <c r="K182" s="63">
        <f t="shared" ca="1" si="6"/>
        <v>0</v>
      </c>
      <c r="L182" s="29" cm="1">
        <f t="array" aca="1" ref="L182" ca="1">O182-IF(ExpTaxCount=2,SUM($M182:$N182),$M182:$M182)</f>
        <v>251.30434782608694</v>
      </c>
      <c r="M182" s="29">
        <f ca="1">$O182/(1+IF(ISERROR($F182),0,IF(ISNA(MATCH($F182,TaxCode,0)),0,OFFSET(Setup!$D$15,MATCH($F182,TaxCode,0),0,1,1)))+IF(ISERROR($G182),0,IF(ISNA(MATCH($G182,TaxCode,0)),0,OFFSET(Setup!$D$15,MATCH($G182,TaxCode,0),0,1,1))))*IF(ISERROR($F182),0,IF(ISNA(MATCH($F182,TaxCode,0)),0,OFFSET(Setup!$D$15,MATCH($F182,TaxCode,0),0,1,1)))</f>
        <v>37.695652173913047</v>
      </c>
      <c r="N182" s="29">
        <f ca="1">$O182/(1+IF(ISERROR($F182),0,IF(ISNA(MATCH($F182,TaxCode,0)),0,OFFSET(Setup!$D$15,MATCH($F182,TaxCode,0),0,1,1)))+IF(ISERROR($G182),0,IF(ISNA(MATCH($G182,TaxCode,0)),0,OFFSET(Setup!$D$15,MATCH($G182,TaxCode,0),0,1,1))))*IF(ISERROR($G182),0,IF(ISNA(MATCH($G182,TaxCode,0)),0,OFFSET(Setup!$D$15,MATCH($G182,TaxCode,0),0,1,1)))</f>
        <v>0</v>
      </c>
      <c r="O182" s="29">
        <f t="shared" si="7"/>
        <v>289</v>
      </c>
      <c r="P182" s="63" t="str">
        <f t="shared" ca="1" si="8"/>
        <v>-</v>
      </c>
    </row>
    <row r="183" spans="1:16" ht="16" customHeight="1" x14ac:dyDescent="0.25">
      <c r="A183" s="79">
        <v>44129</v>
      </c>
      <c r="B183" s="4" t="s">
        <v>48</v>
      </c>
      <c r="C183" s="4" t="s">
        <v>121</v>
      </c>
      <c r="D183" s="4" t="s">
        <v>57</v>
      </c>
      <c r="E183" s="29">
        <v>36651.199999999997</v>
      </c>
      <c r="F183" s="63" t="s">
        <v>108</v>
      </c>
      <c r="G183" s="63" t="s">
        <v>108</v>
      </c>
      <c r="H183" s="63" t="s">
        <v>145</v>
      </c>
      <c r="I183" s="30" t="s">
        <v>284</v>
      </c>
      <c r="J183" s="10">
        <v>44129</v>
      </c>
      <c r="K183" s="63">
        <f t="shared" ca="1" si="6"/>
        <v>0</v>
      </c>
      <c r="L183" s="29" cm="1">
        <f t="array" aca="1" ref="L183" ca="1">O183-IF(ExpTaxCount=2,SUM($M183:$N183),$M183:$M183)</f>
        <v>36651.199999999997</v>
      </c>
      <c r="M183" s="29">
        <f ca="1">$O183/(1+IF(ISERROR($F183),0,IF(ISNA(MATCH($F183,TaxCode,0)),0,OFFSET(Setup!$D$15,MATCH($F183,TaxCode,0),0,1,1)))+IF(ISERROR($G183),0,IF(ISNA(MATCH($G183,TaxCode,0)),0,OFFSET(Setup!$D$15,MATCH($G183,TaxCode,0),0,1,1))))*IF(ISERROR($F183),0,IF(ISNA(MATCH($F183,TaxCode,0)),0,OFFSET(Setup!$D$15,MATCH($F183,TaxCode,0),0,1,1)))</f>
        <v>0</v>
      </c>
      <c r="N183" s="29">
        <f ca="1">$O183/(1+IF(ISERROR($F183),0,IF(ISNA(MATCH($F183,TaxCode,0)),0,OFFSET(Setup!$D$15,MATCH($F183,TaxCode,0),0,1,1)))+IF(ISERROR($G183),0,IF(ISNA(MATCH($G183,TaxCode,0)),0,OFFSET(Setup!$D$15,MATCH($G183,TaxCode,0),0,1,1))))*IF(ISERROR($G183),0,IF(ISNA(MATCH($G183,TaxCode,0)),0,OFFSET(Setup!$D$15,MATCH($G183,TaxCode,0),0,1,1)))</f>
        <v>0</v>
      </c>
      <c r="O183" s="29">
        <f t="shared" si="7"/>
        <v>36651.199999999997</v>
      </c>
      <c r="P183" s="63" t="str">
        <f t="shared" ca="1" si="8"/>
        <v>-</v>
      </c>
    </row>
    <row r="184" spans="1:16" ht="16" customHeight="1" x14ac:dyDescent="0.25">
      <c r="A184" s="79">
        <v>44130</v>
      </c>
      <c r="B184" s="4" t="s">
        <v>128</v>
      </c>
      <c r="C184" s="4" t="s">
        <v>115</v>
      </c>
      <c r="D184" s="4" t="s">
        <v>26</v>
      </c>
      <c r="E184" s="29">
        <v>45000</v>
      </c>
      <c r="F184" s="63" t="s">
        <v>108</v>
      </c>
      <c r="G184" s="63" t="s">
        <v>108</v>
      </c>
      <c r="H184" s="63" t="s">
        <v>147</v>
      </c>
      <c r="I184" s="30" t="s">
        <v>366</v>
      </c>
      <c r="J184" s="10">
        <v>44130</v>
      </c>
      <c r="K184" s="63">
        <f t="shared" ca="1" si="6"/>
        <v>0</v>
      </c>
      <c r="L184" s="29" cm="1">
        <f t="array" aca="1" ref="L184" ca="1">O184-IF(ExpTaxCount=2,SUM($M184:$N184),$M184:$M184)</f>
        <v>45000</v>
      </c>
      <c r="M184" s="29">
        <f ca="1">$O184/(1+IF(ISERROR($F184),0,IF(ISNA(MATCH($F184,TaxCode,0)),0,OFFSET(Setup!$D$15,MATCH($F184,TaxCode,0),0,1,1)))+IF(ISERROR($G184),0,IF(ISNA(MATCH($G184,TaxCode,0)),0,OFFSET(Setup!$D$15,MATCH($G184,TaxCode,0),0,1,1))))*IF(ISERROR($F184),0,IF(ISNA(MATCH($F184,TaxCode,0)),0,OFFSET(Setup!$D$15,MATCH($F184,TaxCode,0),0,1,1)))</f>
        <v>0</v>
      </c>
      <c r="N184" s="29">
        <f ca="1">$O184/(1+IF(ISERROR($F184),0,IF(ISNA(MATCH($F184,TaxCode,0)),0,OFFSET(Setup!$D$15,MATCH($F184,TaxCode,0),0,1,1)))+IF(ISERROR($G184),0,IF(ISNA(MATCH($G184,TaxCode,0)),0,OFFSET(Setup!$D$15,MATCH($G184,TaxCode,0),0,1,1))))*IF(ISERROR($G184),0,IF(ISNA(MATCH($G184,TaxCode,0)),0,OFFSET(Setup!$D$15,MATCH($G184,TaxCode,0),0,1,1)))</f>
        <v>0</v>
      </c>
      <c r="O184" s="29">
        <f t="shared" si="7"/>
        <v>45000</v>
      </c>
      <c r="P184" s="63" t="str">
        <f t="shared" ca="1" si="8"/>
        <v>-</v>
      </c>
    </row>
    <row r="185" spans="1:16" ht="16" customHeight="1" x14ac:dyDescent="0.25">
      <c r="A185" s="79">
        <v>44130</v>
      </c>
      <c r="B185" s="4" t="s">
        <v>54</v>
      </c>
      <c r="C185" s="4" t="s">
        <v>110</v>
      </c>
      <c r="D185" s="4" t="s">
        <v>56</v>
      </c>
      <c r="E185" s="29">
        <v>2737.22</v>
      </c>
      <c r="F185" s="63" t="s">
        <v>108</v>
      </c>
      <c r="G185" s="63" t="s">
        <v>108</v>
      </c>
      <c r="H185" s="63" t="s">
        <v>145</v>
      </c>
      <c r="I185" s="30" t="s">
        <v>403</v>
      </c>
      <c r="J185" s="10">
        <v>44130</v>
      </c>
      <c r="K185" s="63">
        <f t="shared" ca="1" si="6"/>
        <v>0</v>
      </c>
      <c r="L185" s="29" cm="1">
        <f t="array" aca="1" ref="L185" ca="1">O185-IF(ExpTaxCount=2,SUM($M185:$N185),$M185:$M185)</f>
        <v>2737.22</v>
      </c>
      <c r="M185" s="29">
        <f ca="1">$O185/(1+IF(ISERROR($F185),0,IF(ISNA(MATCH($F185,TaxCode,0)),0,OFFSET(Setup!$D$15,MATCH($F185,TaxCode,0),0,1,1)))+IF(ISERROR($G185),0,IF(ISNA(MATCH($G185,TaxCode,0)),0,OFFSET(Setup!$D$15,MATCH($G185,TaxCode,0),0,1,1))))*IF(ISERROR($F185),0,IF(ISNA(MATCH($F185,TaxCode,0)),0,OFFSET(Setup!$D$15,MATCH($F185,TaxCode,0),0,1,1)))</f>
        <v>0</v>
      </c>
      <c r="N185" s="29">
        <f ca="1">$O185/(1+IF(ISERROR($F185),0,IF(ISNA(MATCH($F185,TaxCode,0)),0,OFFSET(Setup!$D$15,MATCH($F185,TaxCode,0),0,1,1)))+IF(ISERROR($G185),0,IF(ISNA(MATCH($G185,TaxCode,0)),0,OFFSET(Setup!$D$15,MATCH($G185,TaxCode,0),0,1,1))))*IF(ISERROR($G185),0,IF(ISNA(MATCH($G185,TaxCode,0)),0,OFFSET(Setup!$D$15,MATCH($G185,TaxCode,0),0,1,1)))</f>
        <v>0</v>
      </c>
      <c r="O185" s="29">
        <f t="shared" si="7"/>
        <v>2737.22</v>
      </c>
      <c r="P185" s="63" t="str">
        <f t="shared" ca="1" si="8"/>
        <v>-</v>
      </c>
    </row>
    <row r="186" spans="1:16" ht="16" customHeight="1" x14ac:dyDescent="0.25">
      <c r="A186" s="79">
        <v>44130</v>
      </c>
      <c r="B186" s="4" t="s">
        <v>54</v>
      </c>
      <c r="C186" s="4" t="s">
        <v>110</v>
      </c>
      <c r="D186" s="4" t="s">
        <v>55</v>
      </c>
      <c r="E186" s="29">
        <v>1512.19</v>
      </c>
      <c r="F186" s="63" t="s">
        <v>108</v>
      </c>
      <c r="G186" s="63" t="s">
        <v>108</v>
      </c>
      <c r="H186" s="63" t="s">
        <v>145</v>
      </c>
      <c r="I186" s="30" t="s">
        <v>309</v>
      </c>
      <c r="J186" s="10">
        <v>44130</v>
      </c>
      <c r="K186" s="63">
        <f t="shared" ca="1" si="6"/>
        <v>0</v>
      </c>
      <c r="L186" s="29" cm="1">
        <f t="array" aca="1" ref="L186" ca="1">O186-IF(ExpTaxCount=2,SUM($M186:$N186),$M186:$M186)</f>
        <v>1512.19</v>
      </c>
      <c r="M186" s="29">
        <f ca="1">$O186/(1+IF(ISERROR($F186),0,IF(ISNA(MATCH($F186,TaxCode,0)),0,OFFSET(Setup!$D$15,MATCH($F186,TaxCode,0),0,1,1)))+IF(ISERROR($G186),0,IF(ISNA(MATCH($G186,TaxCode,0)),0,OFFSET(Setup!$D$15,MATCH($G186,TaxCode,0),0,1,1))))*IF(ISERROR($F186),0,IF(ISNA(MATCH($F186,TaxCode,0)),0,OFFSET(Setup!$D$15,MATCH($F186,TaxCode,0),0,1,1)))</f>
        <v>0</v>
      </c>
      <c r="N186" s="29">
        <f ca="1">$O186/(1+IF(ISERROR($F186),0,IF(ISNA(MATCH($F186,TaxCode,0)),0,OFFSET(Setup!$D$15,MATCH($F186,TaxCode,0),0,1,1)))+IF(ISERROR($G186),0,IF(ISNA(MATCH($G186,TaxCode,0)),0,OFFSET(Setup!$D$15,MATCH($G186,TaxCode,0),0,1,1))))*IF(ISERROR($G186),0,IF(ISNA(MATCH($G186,TaxCode,0)),0,OFFSET(Setup!$D$15,MATCH($G186,TaxCode,0),0,1,1)))</f>
        <v>0</v>
      </c>
      <c r="O186" s="29">
        <f t="shared" si="7"/>
        <v>1512.19</v>
      </c>
      <c r="P186" s="63" t="str">
        <f t="shared" ca="1" si="8"/>
        <v>-</v>
      </c>
    </row>
    <row r="187" spans="1:16" ht="16" customHeight="1" x14ac:dyDescent="0.25">
      <c r="A187" s="79">
        <v>44130</v>
      </c>
      <c r="B187" s="4" t="s">
        <v>25</v>
      </c>
      <c r="C187" s="4" t="s">
        <v>110</v>
      </c>
      <c r="D187" s="4" t="s">
        <v>116</v>
      </c>
      <c r="E187" s="29">
        <v>13800</v>
      </c>
      <c r="F187" s="63" t="s">
        <v>93</v>
      </c>
      <c r="G187" s="63" t="s">
        <v>108</v>
      </c>
      <c r="H187" s="63" t="s">
        <v>145</v>
      </c>
      <c r="I187" s="30" t="s">
        <v>298</v>
      </c>
      <c r="J187" s="10">
        <v>44130</v>
      </c>
      <c r="K187" s="63">
        <f t="shared" ca="1" si="6"/>
        <v>0</v>
      </c>
      <c r="L187" s="29" cm="1">
        <f t="array" aca="1" ref="L187" ca="1">O187-IF(ExpTaxCount=2,SUM($M187:$N187),$M187:$M187)</f>
        <v>12000</v>
      </c>
      <c r="M187" s="29">
        <f ca="1">$O187/(1+IF(ISERROR($F187),0,IF(ISNA(MATCH($F187,TaxCode,0)),0,OFFSET(Setup!$D$15,MATCH($F187,TaxCode,0),0,1,1)))+IF(ISERROR($G187),0,IF(ISNA(MATCH($G187,TaxCode,0)),0,OFFSET(Setup!$D$15,MATCH($G187,TaxCode,0),0,1,1))))*IF(ISERROR($F187),0,IF(ISNA(MATCH($F187,TaxCode,0)),0,OFFSET(Setup!$D$15,MATCH($F187,TaxCode,0),0,1,1)))</f>
        <v>1800.0000000000002</v>
      </c>
      <c r="N187" s="29">
        <f ca="1">$O187/(1+IF(ISERROR($F187),0,IF(ISNA(MATCH($F187,TaxCode,0)),0,OFFSET(Setup!$D$15,MATCH($F187,TaxCode,0),0,1,1)))+IF(ISERROR($G187),0,IF(ISNA(MATCH($G187,TaxCode,0)),0,OFFSET(Setup!$D$15,MATCH($G187,TaxCode,0),0,1,1))))*IF(ISERROR($G187),0,IF(ISNA(MATCH($G187,TaxCode,0)),0,OFFSET(Setup!$D$15,MATCH($G187,TaxCode,0),0,1,1)))</f>
        <v>0</v>
      </c>
      <c r="O187" s="29">
        <f t="shared" si="7"/>
        <v>13800</v>
      </c>
      <c r="P187" s="63" t="str">
        <f t="shared" ca="1" si="8"/>
        <v>-</v>
      </c>
    </row>
    <row r="188" spans="1:16" ht="16" customHeight="1" x14ac:dyDescent="0.25">
      <c r="A188" s="79">
        <v>44130</v>
      </c>
      <c r="B188" s="4" t="s">
        <v>128</v>
      </c>
      <c r="C188" s="4" t="s">
        <v>115</v>
      </c>
      <c r="D188" s="4" t="s">
        <v>509</v>
      </c>
      <c r="E188" s="29">
        <v>35000</v>
      </c>
      <c r="F188" s="63" t="s">
        <v>108</v>
      </c>
      <c r="G188" s="63" t="s">
        <v>108</v>
      </c>
      <c r="H188" s="63" t="s">
        <v>147</v>
      </c>
      <c r="I188" s="30" t="s">
        <v>364</v>
      </c>
      <c r="J188" s="10">
        <v>44130</v>
      </c>
      <c r="K188" s="63">
        <f t="shared" ca="1" si="6"/>
        <v>0</v>
      </c>
      <c r="L188" s="29" cm="1">
        <f t="array" aca="1" ref="L188" ca="1">O188-IF(ExpTaxCount=2,SUM($M188:$N188),$M188:$M188)</f>
        <v>35000</v>
      </c>
      <c r="M188" s="29">
        <f ca="1">$O188/(1+IF(ISERROR($F188),0,IF(ISNA(MATCH($F188,TaxCode,0)),0,OFFSET(Setup!$D$15,MATCH($F188,TaxCode,0),0,1,1)))+IF(ISERROR($G188),0,IF(ISNA(MATCH($G188,TaxCode,0)),0,OFFSET(Setup!$D$15,MATCH($G188,TaxCode,0),0,1,1))))*IF(ISERROR($F188),0,IF(ISNA(MATCH($F188,TaxCode,0)),0,OFFSET(Setup!$D$15,MATCH($F188,TaxCode,0),0,1,1)))</f>
        <v>0</v>
      </c>
      <c r="N188" s="29">
        <f ca="1">$O188/(1+IF(ISERROR($F188),0,IF(ISNA(MATCH($F188,TaxCode,0)),0,OFFSET(Setup!$D$15,MATCH($F188,TaxCode,0),0,1,1)))+IF(ISERROR($G188),0,IF(ISNA(MATCH($G188,TaxCode,0)),0,OFFSET(Setup!$D$15,MATCH($G188,TaxCode,0),0,1,1))))*IF(ISERROR($G188),0,IF(ISNA(MATCH($G188,TaxCode,0)),0,OFFSET(Setup!$D$15,MATCH($G188,TaxCode,0),0,1,1)))</f>
        <v>0</v>
      </c>
      <c r="O188" s="29">
        <f t="shared" si="7"/>
        <v>35000</v>
      </c>
      <c r="P188" s="63" t="str">
        <f t="shared" ca="1" si="8"/>
        <v>-</v>
      </c>
    </row>
    <row r="189" spans="1:16" ht="16" customHeight="1" x14ac:dyDescent="0.25">
      <c r="A189" s="79">
        <v>44130</v>
      </c>
      <c r="B189" s="4" t="s">
        <v>128</v>
      </c>
      <c r="C189" s="4" t="s">
        <v>115</v>
      </c>
      <c r="D189" s="4" t="s">
        <v>510</v>
      </c>
      <c r="E189" s="29">
        <v>7200</v>
      </c>
      <c r="F189" s="63" t="s">
        <v>108</v>
      </c>
      <c r="G189" s="63" t="s">
        <v>108</v>
      </c>
      <c r="H189" s="63" t="s">
        <v>147</v>
      </c>
      <c r="I189" s="30" t="s">
        <v>364</v>
      </c>
      <c r="J189" s="10">
        <v>44141</v>
      </c>
      <c r="K189" s="63">
        <f t="shared" ca="1" si="6"/>
        <v>0</v>
      </c>
      <c r="L189" s="29" cm="1">
        <f t="array" aca="1" ref="L189" ca="1">O189-IF(ExpTaxCount=2,SUM($M189:$N189),$M189:$M189)</f>
        <v>7200</v>
      </c>
      <c r="M189" s="29">
        <f ca="1">$O189/(1+IF(ISERROR($F189),0,IF(ISNA(MATCH($F189,TaxCode,0)),0,OFFSET(Setup!$D$15,MATCH($F189,TaxCode,0),0,1,1)))+IF(ISERROR($G189),0,IF(ISNA(MATCH($G189,TaxCode,0)),0,OFFSET(Setup!$D$15,MATCH($G189,TaxCode,0),0,1,1))))*IF(ISERROR($F189),0,IF(ISNA(MATCH($F189,TaxCode,0)),0,OFFSET(Setup!$D$15,MATCH($F189,TaxCode,0),0,1,1)))</f>
        <v>0</v>
      </c>
      <c r="N189" s="29">
        <f ca="1">$O189/(1+IF(ISERROR($F189),0,IF(ISNA(MATCH($F189,TaxCode,0)),0,OFFSET(Setup!$D$15,MATCH($F189,TaxCode,0),0,1,1)))+IF(ISERROR($G189),0,IF(ISNA(MATCH($G189,TaxCode,0)),0,OFFSET(Setup!$D$15,MATCH($G189,TaxCode,0),0,1,1))))*IF(ISERROR($G189),0,IF(ISNA(MATCH($G189,TaxCode,0)),0,OFFSET(Setup!$D$15,MATCH($G189,TaxCode,0),0,1,1)))</f>
        <v>0</v>
      </c>
      <c r="O189" s="29">
        <f t="shared" si="7"/>
        <v>7200</v>
      </c>
      <c r="P189" s="63" t="str">
        <f t="shared" ca="1" si="8"/>
        <v>-</v>
      </c>
    </row>
    <row r="190" spans="1:16" ht="16" customHeight="1" x14ac:dyDescent="0.25">
      <c r="A190" s="79">
        <v>44130</v>
      </c>
      <c r="B190" s="4" t="s">
        <v>128</v>
      </c>
      <c r="C190" s="4" t="s">
        <v>115</v>
      </c>
      <c r="D190" s="4" t="s">
        <v>511</v>
      </c>
      <c r="E190" s="29">
        <v>9320</v>
      </c>
      <c r="F190" s="63" t="s">
        <v>108</v>
      </c>
      <c r="G190" s="63" t="s">
        <v>108</v>
      </c>
      <c r="H190" s="63" t="s">
        <v>147</v>
      </c>
      <c r="I190" s="30" t="s">
        <v>366</v>
      </c>
      <c r="J190" s="10">
        <v>44141</v>
      </c>
      <c r="K190" s="63">
        <f t="shared" ca="1" si="6"/>
        <v>0</v>
      </c>
      <c r="L190" s="29" cm="1">
        <f t="array" aca="1" ref="L190" ca="1">O190-IF(ExpTaxCount=2,SUM($M190:$N190),$M190:$M190)</f>
        <v>9320</v>
      </c>
      <c r="M190" s="29">
        <f ca="1">$O190/(1+IF(ISERROR($F190),0,IF(ISNA(MATCH($F190,TaxCode,0)),0,OFFSET(Setup!$D$15,MATCH($F190,TaxCode,0),0,1,1)))+IF(ISERROR($G190),0,IF(ISNA(MATCH($G190,TaxCode,0)),0,OFFSET(Setup!$D$15,MATCH($G190,TaxCode,0),0,1,1))))*IF(ISERROR($F190),0,IF(ISNA(MATCH($F190,TaxCode,0)),0,OFFSET(Setup!$D$15,MATCH($F190,TaxCode,0),0,1,1)))</f>
        <v>0</v>
      </c>
      <c r="N190" s="29">
        <f ca="1">$O190/(1+IF(ISERROR($F190),0,IF(ISNA(MATCH($F190,TaxCode,0)),0,OFFSET(Setup!$D$15,MATCH($F190,TaxCode,0),0,1,1)))+IF(ISERROR($G190),0,IF(ISNA(MATCH($G190,TaxCode,0)),0,OFFSET(Setup!$D$15,MATCH($G190,TaxCode,0),0,1,1))))*IF(ISERROR($G190),0,IF(ISNA(MATCH($G190,TaxCode,0)),0,OFFSET(Setup!$D$15,MATCH($G190,TaxCode,0),0,1,1)))</f>
        <v>0</v>
      </c>
      <c r="O190" s="29">
        <f t="shared" si="7"/>
        <v>9320</v>
      </c>
      <c r="P190" s="63" t="str">
        <f t="shared" ca="1" si="8"/>
        <v>-</v>
      </c>
    </row>
    <row r="191" spans="1:16" ht="16" customHeight="1" x14ac:dyDescent="0.25">
      <c r="A191" s="79">
        <v>44132</v>
      </c>
      <c r="B191" s="4" t="s">
        <v>169</v>
      </c>
      <c r="C191" s="4" t="s">
        <v>170</v>
      </c>
      <c r="D191" s="4" t="s">
        <v>171</v>
      </c>
      <c r="E191" s="29">
        <v>218</v>
      </c>
      <c r="F191" s="63" t="s">
        <v>93</v>
      </c>
      <c r="G191" s="63" t="s">
        <v>108</v>
      </c>
      <c r="H191" s="63" t="s">
        <v>151</v>
      </c>
      <c r="I191" s="30" t="s">
        <v>297</v>
      </c>
      <c r="J191" s="10">
        <v>44132</v>
      </c>
      <c r="K191" s="63">
        <f t="shared" ca="1" si="6"/>
        <v>0</v>
      </c>
      <c r="L191" s="29" cm="1">
        <f t="array" aca="1" ref="L191" ca="1">O191-IF(ExpTaxCount=2,SUM($M191:$N191),$M191:$M191)</f>
        <v>189.56521739130434</v>
      </c>
      <c r="M191" s="29">
        <f ca="1">$O191/(1+IF(ISERROR($F191),0,IF(ISNA(MATCH($F191,TaxCode,0)),0,OFFSET(Setup!$D$15,MATCH($F191,TaxCode,0),0,1,1)))+IF(ISERROR($G191),0,IF(ISNA(MATCH($G191,TaxCode,0)),0,OFFSET(Setup!$D$15,MATCH($G191,TaxCode,0),0,1,1))))*IF(ISERROR($F191),0,IF(ISNA(MATCH($F191,TaxCode,0)),0,OFFSET(Setup!$D$15,MATCH($F191,TaxCode,0),0,1,1)))</f>
        <v>28.434782608695656</v>
      </c>
      <c r="N191" s="29">
        <f ca="1">$O191/(1+IF(ISERROR($F191),0,IF(ISNA(MATCH($F191,TaxCode,0)),0,OFFSET(Setup!$D$15,MATCH($F191,TaxCode,0),0,1,1)))+IF(ISERROR($G191),0,IF(ISNA(MATCH($G191,TaxCode,0)),0,OFFSET(Setup!$D$15,MATCH($G191,TaxCode,0),0,1,1))))*IF(ISERROR($G191),0,IF(ISNA(MATCH($G191,TaxCode,0)),0,OFFSET(Setup!$D$15,MATCH($G191,TaxCode,0),0,1,1)))</f>
        <v>0</v>
      </c>
      <c r="O191" s="29">
        <f t="shared" si="7"/>
        <v>218</v>
      </c>
      <c r="P191" s="63" t="str">
        <f t="shared" ca="1" si="8"/>
        <v>-</v>
      </c>
    </row>
    <row r="192" spans="1:16" ht="16" customHeight="1" x14ac:dyDescent="0.25">
      <c r="A192" s="79">
        <v>44135</v>
      </c>
      <c r="B192" s="4" t="s">
        <v>128</v>
      </c>
      <c r="C192" s="4" t="s">
        <v>109</v>
      </c>
      <c r="D192" s="4" t="s">
        <v>174</v>
      </c>
      <c r="E192" s="29">
        <v>1068</v>
      </c>
      <c r="F192" s="63" t="s">
        <v>108</v>
      </c>
      <c r="G192" s="63" t="s">
        <v>108</v>
      </c>
      <c r="H192" s="63" t="s">
        <v>145</v>
      </c>
      <c r="I192" s="30" t="s">
        <v>275</v>
      </c>
      <c r="J192" s="10">
        <v>44135</v>
      </c>
      <c r="K192" s="63">
        <f t="shared" ca="1" si="6"/>
        <v>0</v>
      </c>
      <c r="L192" s="29" cm="1">
        <f t="array" aca="1" ref="L192" ca="1">O192-IF(ExpTaxCount=2,SUM($M192:$N192),$M192:$M192)</f>
        <v>1068</v>
      </c>
      <c r="M192" s="29">
        <f ca="1">$O192/(1+IF(ISERROR($F192),0,IF(ISNA(MATCH($F192,TaxCode,0)),0,OFFSET(Setup!$D$15,MATCH($F192,TaxCode,0),0,1,1)))+IF(ISERROR($G192),0,IF(ISNA(MATCH($G192,TaxCode,0)),0,OFFSET(Setup!$D$15,MATCH($G192,TaxCode,0),0,1,1))))*IF(ISERROR($F192),0,IF(ISNA(MATCH($F192,TaxCode,0)),0,OFFSET(Setup!$D$15,MATCH($F192,TaxCode,0),0,1,1)))</f>
        <v>0</v>
      </c>
      <c r="N192" s="29">
        <f ca="1">$O192/(1+IF(ISERROR($F192),0,IF(ISNA(MATCH($F192,TaxCode,0)),0,OFFSET(Setup!$D$15,MATCH($F192,TaxCode,0),0,1,1)))+IF(ISERROR($G192),0,IF(ISNA(MATCH($G192,TaxCode,0)),0,OFFSET(Setup!$D$15,MATCH($G192,TaxCode,0),0,1,1))))*IF(ISERROR($G192),0,IF(ISNA(MATCH($G192,TaxCode,0)),0,OFFSET(Setup!$D$15,MATCH($G192,TaxCode,0),0,1,1)))</f>
        <v>0</v>
      </c>
      <c r="O192" s="29">
        <f t="shared" si="7"/>
        <v>1068</v>
      </c>
      <c r="P192" s="63" t="str">
        <f t="shared" ca="1" si="8"/>
        <v>-</v>
      </c>
    </row>
    <row r="193" spans="1:16" ht="16" customHeight="1" x14ac:dyDescent="0.25">
      <c r="A193" s="79">
        <v>44135</v>
      </c>
      <c r="B193" s="4" t="s">
        <v>128</v>
      </c>
      <c r="C193" s="4" t="s">
        <v>109</v>
      </c>
      <c r="D193" s="4" t="s">
        <v>174</v>
      </c>
      <c r="E193" s="29">
        <v>-1068</v>
      </c>
      <c r="F193" s="63" t="s">
        <v>108</v>
      </c>
      <c r="G193" s="63" t="s">
        <v>108</v>
      </c>
      <c r="H193" s="63" t="s">
        <v>151</v>
      </c>
      <c r="I193" s="30" t="s">
        <v>275</v>
      </c>
      <c r="J193" s="10">
        <v>44135</v>
      </c>
      <c r="K193" s="63">
        <f t="shared" ca="1" si="6"/>
        <v>0</v>
      </c>
      <c r="L193" s="29" cm="1">
        <f t="array" aca="1" ref="L193" ca="1">O193-IF(ExpTaxCount=2,SUM($M193:$N193),$M193:$M193)</f>
        <v>-1068</v>
      </c>
      <c r="M193" s="29">
        <f ca="1">$O193/(1+IF(ISERROR($F193),0,IF(ISNA(MATCH($F193,TaxCode,0)),0,OFFSET(Setup!$D$15,MATCH($F193,TaxCode,0),0,1,1)))+IF(ISERROR($G193),0,IF(ISNA(MATCH($G193,TaxCode,0)),0,OFFSET(Setup!$D$15,MATCH($G193,TaxCode,0),0,1,1))))*IF(ISERROR($F193),0,IF(ISNA(MATCH($F193,TaxCode,0)),0,OFFSET(Setup!$D$15,MATCH($F193,TaxCode,0),0,1,1)))</f>
        <v>0</v>
      </c>
      <c r="N193" s="29">
        <f ca="1">$O193/(1+IF(ISERROR($F193),0,IF(ISNA(MATCH($F193,TaxCode,0)),0,OFFSET(Setup!$D$15,MATCH($F193,TaxCode,0),0,1,1)))+IF(ISERROR($G193),0,IF(ISNA(MATCH($G193,TaxCode,0)),0,OFFSET(Setup!$D$15,MATCH($G193,TaxCode,0),0,1,1))))*IF(ISERROR($G193),0,IF(ISNA(MATCH($G193,TaxCode,0)),0,OFFSET(Setup!$D$15,MATCH($G193,TaxCode,0),0,1,1)))</f>
        <v>0</v>
      </c>
      <c r="O193" s="29">
        <f t="shared" si="7"/>
        <v>-1068</v>
      </c>
      <c r="P193" s="63" t="str">
        <f t="shared" ca="1" si="8"/>
        <v>-</v>
      </c>
    </row>
    <row r="194" spans="1:16" ht="16" customHeight="1" x14ac:dyDescent="0.25">
      <c r="A194" s="79">
        <v>44135</v>
      </c>
      <c r="B194" s="4" t="s">
        <v>505</v>
      </c>
      <c r="C194" s="4" t="s">
        <v>507</v>
      </c>
      <c r="D194" s="4" t="s">
        <v>506</v>
      </c>
      <c r="E194" s="29">
        <v>10350</v>
      </c>
      <c r="F194" s="63" t="s">
        <v>108</v>
      </c>
      <c r="G194" s="63" t="s">
        <v>108</v>
      </c>
      <c r="H194" s="63" t="s">
        <v>149</v>
      </c>
      <c r="I194" s="30" t="s">
        <v>290</v>
      </c>
      <c r="J194" s="10">
        <v>44142</v>
      </c>
      <c r="K194" s="63">
        <f t="shared" ca="1" si="6"/>
        <v>0</v>
      </c>
      <c r="L194" s="29" cm="1">
        <f t="array" aca="1" ref="L194" ca="1">O194-IF(ExpTaxCount=2,SUM($M194:$N194),$M194:$M194)</f>
        <v>10350</v>
      </c>
      <c r="M194" s="29">
        <f ca="1">$O194/(1+IF(ISERROR($F194),0,IF(ISNA(MATCH($F194,TaxCode,0)),0,OFFSET(Setup!$D$15,MATCH($F194,TaxCode,0),0,1,1)))+IF(ISERROR($G194),0,IF(ISNA(MATCH($G194,TaxCode,0)),0,OFFSET(Setup!$D$15,MATCH($G194,TaxCode,0),0,1,1))))*IF(ISERROR($F194),0,IF(ISNA(MATCH($F194,TaxCode,0)),0,OFFSET(Setup!$D$15,MATCH($F194,TaxCode,0),0,1,1)))</f>
        <v>0</v>
      </c>
      <c r="N194" s="29">
        <f ca="1">$O194/(1+IF(ISERROR($F194),0,IF(ISNA(MATCH($F194,TaxCode,0)),0,OFFSET(Setup!$D$15,MATCH($F194,TaxCode,0),0,1,1)))+IF(ISERROR($G194),0,IF(ISNA(MATCH($G194,TaxCode,0)),0,OFFSET(Setup!$D$15,MATCH($G194,TaxCode,0),0,1,1))))*IF(ISERROR($G194),0,IF(ISNA(MATCH($G194,TaxCode,0)),0,OFFSET(Setup!$D$15,MATCH($G194,TaxCode,0),0,1,1)))</f>
        <v>0</v>
      </c>
      <c r="O194" s="29">
        <f t="shared" si="7"/>
        <v>10350</v>
      </c>
      <c r="P194" s="63" t="str">
        <f t="shared" ca="1" si="8"/>
        <v>-</v>
      </c>
    </row>
    <row r="195" spans="1:16" ht="16" customHeight="1" x14ac:dyDescent="0.25">
      <c r="A195" s="79">
        <v>44136</v>
      </c>
      <c r="B195" s="4" t="s">
        <v>5</v>
      </c>
      <c r="C195" s="4" t="s">
        <v>37</v>
      </c>
      <c r="D195" s="4" t="s">
        <v>114</v>
      </c>
      <c r="E195" s="29">
        <v>850</v>
      </c>
      <c r="F195" s="63" t="s">
        <v>93</v>
      </c>
      <c r="G195" s="63" t="s">
        <v>108</v>
      </c>
      <c r="H195" s="63" t="s">
        <v>145</v>
      </c>
      <c r="I195" s="30" t="s">
        <v>303</v>
      </c>
      <c r="J195" s="10">
        <v>44166</v>
      </c>
      <c r="K195" s="63">
        <f t="shared" ca="1" si="6"/>
        <v>0</v>
      </c>
      <c r="L195" s="29" cm="1">
        <f t="array" aca="1" ref="L195" ca="1">O195-IF(ExpTaxCount=2,SUM($M195:$N195),$M195:$M195)</f>
        <v>739.13043478260875</v>
      </c>
      <c r="M195" s="29">
        <f ca="1">$O195/(1+IF(ISERROR($F195),0,IF(ISNA(MATCH($F195,TaxCode,0)),0,OFFSET(Setup!$D$15,MATCH($F195,TaxCode,0),0,1,1)))+IF(ISERROR($G195),0,IF(ISNA(MATCH($G195,TaxCode,0)),0,OFFSET(Setup!$D$15,MATCH($G195,TaxCode,0),0,1,1))))*IF(ISERROR($F195),0,IF(ISNA(MATCH($F195,TaxCode,0)),0,OFFSET(Setup!$D$15,MATCH($F195,TaxCode,0),0,1,1)))</f>
        <v>110.86956521739131</v>
      </c>
      <c r="N195" s="29">
        <f ca="1">$O195/(1+IF(ISERROR($F195),0,IF(ISNA(MATCH($F195,TaxCode,0)),0,OFFSET(Setup!$D$15,MATCH($F195,TaxCode,0),0,1,1)))+IF(ISERROR($G195),0,IF(ISNA(MATCH($G195,TaxCode,0)),0,OFFSET(Setup!$D$15,MATCH($G195,TaxCode,0),0,1,1))))*IF(ISERROR($G195),0,IF(ISNA(MATCH($G195,TaxCode,0)),0,OFFSET(Setup!$D$15,MATCH($G195,TaxCode,0),0,1,1)))</f>
        <v>0</v>
      </c>
      <c r="O195" s="29">
        <f t="shared" si="7"/>
        <v>850</v>
      </c>
      <c r="P195" s="63" t="str">
        <f t="shared" ca="1" si="8"/>
        <v>-</v>
      </c>
    </row>
    <row r="196" spans="1:16" ht="16" customHeight="1" x14ac:dyDescent="0.25">
      <c r="A196" s="79">
        <v>44140</v>
      </c>
      <c r="B196" s="4" t="s">
        <v>167</v>
      </c>
      <c r="C196" s="4" t="s">
        <v>110</v>
      </c>
      <c r="D196" s="4" t="s">
        <v>71</v>
      </c>
      <c r="E196" s="29">
        <v>368</v>
      </c>
      <c r="F196" s="63" t="s">
        <v>93</v>
      </c>
      <c r="G196" s="63" t="s">
        <v>108</v>
      </c>
      <c r="H196" s="63" t="s">
        <v>145</v>
      </c>
      <c r="I196" s="30" t="s">
        <v>296</v>
      </c>
      <c r="J196" s="10">
        <v>44140</v>
      </c>
      <c r="K196" s="63">
        <f t="shared" ca="1" si="6"/>
        <v>0</v>
      </c>
      <c r="L196" s="29" cm="1">
        <f t="array" aca="1" ref="L196" ca="1">O196-IF(ExpTaxCount=2,SUM($M196:$N196),$M196:$M196)</f>
        <v>320</v>
      </c>
      <c r="M196" s="29">
        <f ca="1">$O196/(1+IF(ISERROR($F196),0,IF(ISNA(MATCH($F196,TaxCode,0)),0,OFFSET(Setup!$D$15,MATCH($F196,TaxCode,0),0,1,1)))+IF(ISERROR($G196),0,IF(ISNA(MATCH($G196,TaxCode,0)),0,OFFSET(Setup!$D$15,MATCH($G196,TaxCode,0),0,1,1))))*IF(ISERROR($F196),0,IF(ISNA(MATCH($F196,TaxCode,0)),0,OFFSET(Setup!$D$15,MATCH($F196,TaxCode,0),0,1,1)))</f>
        <v>48</v>
      </c>
      <c r="N196" s="29">
        <f ca="1">$O196/(1+IF(ISERROR($F196),0,IF(ISNA(MATCH($F196,TaxCode,0)),0,OFFSET(Setup!$D$15,MATCH($F196,TaxCode,0),0,1,1)))+IF(ISERROR($G196),0,IF(ISNA(MATCH($G196,TaxCode,0)),0,OFFSET(Setup!$D$15,MATCH($G196,TaxCode,0),0,1,1))))*IF(ISERROR($G196),0,IF(ISNA(MATCH($G196,TaxCode,0)),0,OFFSET(Setup!$D$15,MATCH($G196,TaxCode,0),0,1,1)))</f>
        <v>0</v>
      </c>
      <c r="O196" s="29">
        <f t="shared" si="7"/>
        <v>368</v>
      </c>
      <c r="P196" s="63" t="str">
        <f t="shared" ca="1" si="8"/>
        <v>-</v>
      </c>
    </row>
    <row r="197" spans="1:16" ht="16" customHeight="1" x14ac:dyDescent="0.25">
      <c r="A197" s="79">
        <v>44140</v>
      </c>
      <c r="B197" s="4" t="s">
        <v>13</v>
      </c>
      <c r="C197" s="4" t="s">
        <v>16</v>
      </c>
      <c r="D197" s="4" t="s">
        <v>82</v>
      </c>
      <c r="E197" s="29">
        <v>4427.5</v>
      </c>
      <c r="F197" s="63" t="s">
        <v>93</v>
      </c>
      <c r="G197" s="63" t="s">
        <v>108</v>
      </c>
      <c r="H197" s="63" t="s">
        <v>145</v>
      </c>
      <c r="I197" s="30" t="s">
        <v>292</v>
      </c>
      <c r="J197" s="10">
        <v>44170</v>
      </c>
      <c r="K197" s="63">
        <f t="shared" ref="K197:K260" ca="1" si="9">IF(AND($A197&lt;=$L$2,OR($J197&gt;$L$2,ISBLANK($J197))),$E197,0)</f>
        <v>0</v>
      </c>
      <c r="L197" s="29" cm="1">
        <f t="array" aca="1" ref="L197" ca="1">O197-IF(ExpTaxCount=2,SUM($M197:$N197),$M197:$M197)</f>
        <v>3850</v>
      </c>
      <c r="M197" s="29">
        <f ca="1">$O197/(1+IF(ISERROR($F197),0,IF(ISNA(MATCH($F197,TaxCode,0)),0,OFFSET(Setup!$D$15,MATCH($F197,TaxCode,0),0,1,1)))+IF(ISERROR($G197),0,IF(ISNA(MATCH($G197,TaxCode,0)),0,OFFSET(Setup!$D$15,MATCH($G197,TaxCode,0),0,1,1))))*IF(ISERROR($F197),0,IF(ISNA(MATCH($F197,TaxCode,0)),0,OFFSET(Setup!$D$15,MATCH($F197,TaxCode,0),0,1,1)))</f>
        <v>577.5</v>
      </c>
      <c r="N197" s="29">
        <f ca="1">$O197/(1+IF(ISERROR($F197),0,IF(ISNA(MATCH($F197,TaxCode,0)),0,OFFSET(Setup!$D$15,MATCH($F197,TaxCode,0),0,1,1)))+IF(ISERROR($G197),0,IF(ISNA(MATCH($G197,TaxCode,0)),0,OFFSET(Setup!$D$15,MATCH($G197,TaxCode,0),0,1,1))))*IF(ISERROR($G197),0,IF(ISNA(MATCH($G197,TaxCode,0)),0,OFFSET(Setup!$D$15,MATCH($G197,TaxCode,0),0,1,1)))</f>
        <v>0</v>
      </c>
      <c r="O197" s="29">
        <f t="shared" ref="O197:O260" si="10">E197</f>
        <v>4427.5</v>
      </c>
      <c r="P197" s="63" t="str">
        <f t="shared" ref="P197:P260" ca="1" si="11">IF(AND(ISBLANK(J197)=FALSE,J197&lt;A197),"E1",IF(AND(ISBLANK(I197)=FALSE,ISNA(MATCH($I197,AccountNo,0))),"E2",IF(AND(ISBLANK(H197)=FALSE,ISNA(MATCH($H197,BankCode,0))),"E3","-")))</f>
        <v>-</v>
      </c>
    </row>
    <row r="198" spans="1:16" ht="16" customHeight="1" x14ac:dyDescent="0.25">
      <c r="A198" s="79">
        <v>44140</v>
      </c>
      <c r="B198" s="4" t="s">
        <v>128</v>
      </c>
      <c r="C198" s="4" t="s">
        <v>172</v>
      </c>
      <c r="D198" s="4" t="s">
        <v>173</v>
      </c>
      <c r="E198" s="29">
        <v>-10000</v>
      </c>
      <c r="F198" s="63" t="s">
        <v>108</v>
      </c>
      <c r="G198" s="63" t="s">
        <v>108</v>
      </c>
      <c r="H198" s="63" t="s">
        <v>149</v>
      </c>
      <c r="I198" s="30" t="s">
        <v>275</v>
      </c>
      <c r="J198" s="10">
        <v>44140</v>
      </c>
      <c r="K198" s="63">
        <f t="shared" ca="1" si="9"/>
        <v>0</v>
      </c>
      <c r="L198" s="29" cm="1">
        <f t="array" aca="1" ref="L198" ca="1">O198-IF(ExpTaxCount=2,SUM($M198:$N198),$M198:$M198)</f>
        <v>-10000</v>
      </c>
      <c r="M198" s="29">
        <f ca="1">$O198/(1+IF(ISERROR($F198),0,IF(ISNA(MATCH($F198,TaxCode,0)),0,OFFSET(Setup!$D$15,MATCH($F198,TaxCode,0),0,1,1)))+IF(ISERROR($G198),0,IF(ISNA(MATCH($G198,TaxCode,0)),0,OFFSET(Setup!$D$15,MATCH($G198,TaxCode,0),0,1,1))))*IF(ISERROR($F198),0,IF(ISNA(MATCH($F198,TaxCode,0)),0,OFFSET(Setup!$D$15,MATCH($F198,TaxCode,0),0,1,1)))</f>
        <v>0</v>
      </c>
      <c r="N198" s="29">
        <f ca="1">$O198/(1+IF(ISERROR($F198),0,IF(ISNA(MATCH($F198,TaxCode,0)),0,OFFSET(Setup!$D$15,MATCH($F198,TaxCode,0),0,1,1)))+IF(ISERROR($G198),0,IF(ISNA(MATCH($G198,TaxCode,0)),0,OFFSET(Setup!$D$15,MATCH($G198,TaxCode,0),0,1,1))))*IF(ISERROR($G198),0,IF(ISNA(MATCH($G198,TaxCode,0)),0,OFFSET(Setup!$D$15,MATCH($G198,TaxCode,0),0,1,1)))</f>
        <v>0</v>
      </c>
      <c r="O198" s="29">
        <f t="shared" si="10"/>
        <v>-10000</v>
      </c>
      <c r="P198" s="63" t="str">
        <f t="shared" ca="1" si="11"/>
        <v>-</v>
      </c>
    </row>
    <row r="199" spans="1:16" ht="16" customHeight="1" x14ac:dyDescent="0.25">
      <c r="A199" s="79">
        <v>44140</v>
      </c>
      <c r="B199" s="4" t="s">
        <v>128</v>
      </c>
      <c r="C199" s="4" t="s">
        <v>172</v>
      </c>
      <c r="D199" s="4" t="s">
        <v>173</v>
      </c>
      <c r="E199" s="29">
        <v>10000</v>
      </c>
      <c r="F199" s="63" t="s">
        <v>108</v>
      </c>
      <c r="G199" s="63" t="s">
        <v>108</v>
      </c>
      <c r="H199" s="63" t="s">
        <v>145</v>
      </c>
      <c r="I199" s="30" t="s">
        <v>275</v>
      </c>
      <c r="J199" s="10">
        <v>44140</v>
      </c>
      <c r="K199" s="63">
        <f t="shared" ca="1" si="9"/>
        <v>0</v>
      </c>
      <c r="L199" s="29" cm="1">
        <f t="array" aca="1" ref="L199" ca="1">O199-IF(ExpTaxCount=2,SUM($M199:$N199),$M199:$M199)</f>
        <v>10000</v>
      </c>
      <c r="M199" s="29">
        <f ca="1">$O199/(1+IF(ISERROR($F199),0,IF(ISNA(MATCH($F199,TaxCode,0)),0,OFFSET(Setup!$D$15,MATCH($F199,TaxCode,0),0,1,1)))+IF(ISERROR($G199),0,IF(ISNA(MATCH($G199,TaxCode,0)),0,OFFSET(Setup!$D$15,MATCH($G199,TaxCode,0),0,1,1))))*IF(ISERROR($F199),0,IF(ISNA(MATCH($F199,TaxCode,0)),0,OFFSET(Setup!$D$15,MATCH($F199,TaxCode,0),0,1,1)))</f>
        <v>0</v>
      </c>
      <c r="N199" s="29">
        <f ca="1">$O199/(1+IF(ISERROR($F199),0,IF(ISNA(MATCH($F199,TaxCode,0)),0,OFFSET(Setup!$D$15,MATCH($F199,TaxCode,0),0,1,1)))+IF(ISERROR($G199),0,IF(ISNA(MATCH($G199,TaxCode,0)),0,OFFSET(Setup!$D$15,MATCH($G199,TaxCode,0),0,1,1))))*IF(ISERROR($G199),0,IF(ISNA(MATCH($G199,TaxCode,0)),0,OFFSET(Setup!$D$15,MATCH($G199,TaxCode,0),0,1,1)))</f>
        <v>0</v>
      </c>
      <c r="O199" s="29">
        <f t="shared" si="10"/>
        <v>10000</v>
      </c>
      <c r="P199" s="63" t="str">
        <f t="shared" ca="1" si="11"/>
        <v>-</v>
      </c>
    </row>
    <row r="200" spans="1:16" ht="16" customHeight="1" x14ac:dyDescent="0.25">
      <c r="A200" s="79">
        <v>44150</v>
      </c>
      <c r="B200" s="4" t="s">
        <v>168</v>
      </c>
      <c r="C200" s="4" t="s">
        <v>109</v>
      </c>
      <c r="D200" s="4" t="s">
        <v>12</v>
      </c>
      <c r="E200" s="29">
        <v>80</v>
      </c>
      <c r="F200" s="63" t="s">
        <v>93</v>
      </c>
      <c r="G200" s="63" t="s">
        <v>108</v>
      </c>
      <c r="H200" s="63" t="s">
        <v>145</v>
      </c>
      <c r="I200" s="30" t="s">
        <v>291</v>
      </c>
      <c r="J200" s="10">
        <v>44150</v>
      </c>
      <c r="K200" s="63">
        <f t="shared" ca="1" si="9"/>
        <v>0</v>
      </c>
      <c r="L200" s="29" cm="1">
        <f t="array" aca="1" ref="L200" ca="1">O200-IF(ExpTaxCount=2,SUM($M200:$N200),$M200:$M200)</f>
        <v>69.565217391304344</v>
      </c>
      <c r="M200" s="29">
        <f ca="1">$O200/(1+IF(ISERROR($F200),0,IF(ISNA(MATCH($F200,TaxCode,0)),0,OFFSET(Setup!$D$15,MATCH($F200,TaxCode,0),0,1,1)))+IF(ISERROR($G200),0,IF(ISNA(MATCH($G200,TaxCode,0)),0,OFFSET(Setup!$D$15,MATCH($G200,TaxCode,0),0,1,1))))*IF(ISERROR($F200),0,IF(ISNA(MATCH($F200,TaxCode,0)),0,OFFSET(Setup!$D$15,MATCH($F200,TaxCode,0),0,1,1)))</f>
        <v>10.434782608695654</v>
      </c>
      <c r="N200" s="29">
        <f ca="1">$O200/(1+IF(ISERROR($F200),0,IF(ISNA(MATCH($F200,TaxCode,0)),0,OFFSET(Setup!$D$15,MATCH($F200,TaxCode,0),0,1,1)))+IF(ISERROR($G200),0,IF(ISNA(MATCH($G200,TaxCode,0)),0,OFFSET(Setup!$D$15,MATCH($G200,TaxCode,0),0,1,1))))*IF(ISERROR($G200),0,IF(ISNA(MATCH($G200,TaxCode,0)),0,OFFSET(Setup!$D$15,MATCH($G200,TaxCode,0),0,1,1)))</f>
        <v>0</v>
      </c>
      <c r="O200" s="29">
        <f t="shared" si="10"/>
        <v>80</v>
      </c>
      <c r="P200" s="63" t="str">
        <f t="shared" ca="1" si="11"/>
        <v>-</v>
      </c>
    </row>
    <row r="201" spans="1:16" ht="16" customHeight="1" x14ac:dyDescent="0.25">
      <c r="A201" s="79">
        <v>44150</v>
      </c>
      <c r="B201" s="4" t="s">
        <v>168</v>
      </c>
      <c r="C201" s="4" t="s">
        <v>109</v>
      </c>
      <c r="D201" s="4" t="s">
        <v>12</v>
      </c>
      <c r="E201" s="29">
        <v>35</v>
      </c>
      <c r="F201" s="63" t="s">
        <v>93</v>
      </c>
      <c r="G201" s="63" t="s">
        <v>108</v>
      </c>
      <c r="H201" s="63" t="s">
        <v>147</v>
      </c>
      <c r="I201" s="30" t="s">
        <v>291</v>
      </c>
      <c r="J201" s="10">
        <v>44150</v>
      </c>
      <c r="K201" s="63">
        <f t="shared" ca="1" si="9"/>
        <v>0</v>
      </c>
      <c r="L201" s="29" cm="1">
        <f t="array" aca="1" ref="L201" ca="1">O201-IF(ExpTaxCount=2,SUM($M201:$N201),$M201:$M201)</f>
        <v>30.434782608695652</v>
      </c>
      <c r="M201" s="29">
        <f ca="1">$O201/(1+IF(ISERROR($F201),0,IF(ISNA(MATCH($F201,TaxCode,0)),0,OFFSET(Setup!$D$15,MATCH($F201,TaxCode,0),0,1,1)))+IF(ISERROR($G201),0,IF(ISNA(MATCH($G201,TaxCode,0)),0,OFFSET(Setup!$D$15,MATCH($G201,TaxCode,0),0,1,1))))*IF(ISERROR($F201),0,IF(ISNA(MATCH($F201,TaxCode,0)),0,OFFSET(Setup!$D$15,MATCH($F201,TaxCode,0),0,1,1)))</f>
        <v>4.5652173913043486</v>
      </c>
      <c r="N201" s="29">
        <f ca="1">$O201/(1+IF(ISERROR($F201),0,IF(ISNA(MATCH($F201,TaxCode,0)),0,OFFSET(Setup!$D$15,MATCH($F201,TaxCode,0),0,1,1)))+IF(ISERROR($G201),0,IF(ISNA(MATCH($G201,TaxCode,0)),0,OFFSET(Setup!$D$15,MATCH($G201,TaxCode,0),0,1,1))))*IF(ISERROR($G201),0,IF(ISNA(MATCH($G201,TaxCode,0)),0,OFFSET(Setup!$D$15,MATCH($G201,TaxCode,0),0,1,1)))</f>
        <v>0</v>
      </c>
      <c r="O201" s="29">
        <f t="shared" si="10"/>
        <v>35</v>
      </c>
      <c r="P201" s="63" t="str">
        <f t="shared" ca="1" si="11"/>
        <v>-</v>
      </c>
    </row>
    <row r="202" spans="1:16" ht="16" customHeight="1" x14ac:dyDescent="0.25">
      <c r="A202" s="79">
        <v>44150</v>
      </c>
      <c r="B202" s="4" t="s">
        <v>11</v>
      </c>
      <c r="C202" s="4" t="s">
        <v>112</v>
      </c>
      <c r="D202" s="4" t="s">
        <v>504</v>
      </c>
      <c r="E202" s="29">
        <v>2300</v>
      </c>
      <c r="F202" s="63" t="s">
        <v>93</v>
      </c>
      <c r="G202" s="63" t="s">
        <v>108</v>
      </c>
      <c r="H202" s="63" t="s">
        <v>145</v>
      </c>
      <c r="I202" s="30" t="s">
        <v>289</v>
      </c>
      <c r="J202" s="10">
        <v>44168</v>
      </c>
      <c r="K202" s="63">
        <f t="shared" ca="1" si="9"/>
        <v>0</v>
      </c>
      <c r="L202" s="29" cm="1">
        <f t="array" aca="1" ref="L202" ca="1">O202-IF(ExpTaxCount=2,SUM($M202:$N202),$M202:$M202)</f>
        <v>2000</v>
      </c>
      <c r="M202" s="29">
        <f ca="1">$O202/(1+IF(ISERROR($F202),0,IF(ISNA(MATCH($F202,TaxCode,0)),0,OFFSET(Setup!$D$15,MATCH($F202,TaxCode,0),0,1,1)))+IF(ISERROR($G202),0,IF(ISNA(MATCH($G202,TaxCode,0)),0,OFFSET(Setup!$D$15,MATCH($G202,TaxCode,0),0,1,1))))*IF(ISERROR($F202),0,IF(ISNA(MATCH($F202,TaxCode,0)),0,OFFSET(Setup!$D$15,MATCH($F202,TaxCode,0),0,1,1)))</f>
        <v>300</v>
      </c>
      <c r="N202" s="29">
        <f ca="1">$O202/(1+IF(ISERROR($F202),0,IF(ISNA(MATCH($F202,TaxCode,0)),0,OFFSET(Setup!$D$15,MATCH($F202,TaxCode,0),0,1,1)))+IF(ISERROR($G202),0,IF(ISNA(MATCH($G202,TaxCode,0)),0,OFFSET(Setup!$D$15,MATCH($G202,TaxCode,0),0,1,1))))*IF(ISERROR($G202),0,IF(ISNA(MATCH($G202,TaxCode,0)),0,OFFSET(Setup!$D$15,MATCH($G202,TaxCode,0),0,1,1)))</f>
        <v>0</v>
      </c>
      <c r="O202" s="29">
        <f t="shared" si="10"/>
        <v>2300</v>
      </c>
      <c r="P202" s="63" t="str">
        <f t="shared" ca="1" si="11"/>
        <v>-</v>
      </c>
    </row>
    <row r="203" spans="1:16" ht="16" customHeight="1" x14ac:dyDescent="0.25">
      <c r="A203" s="79">
        <v>44154</v>
      </c>
      <c r="B203" s="4" t="s">
        <v>169</v>
      </c>
      <c r="C203" s="4" t="s">
        <v>170</v>
      </c>
      <c r="D203" s="4" t="s">
        <v>171</v>
      </c>
      <c r="E203" s="29">
        <v>102</v>
      </c>
      <c r="F203" s="63" t="s">
        <v>93</v>
      </c>
      <c r="G203" s="63" t="s">
        <v>108</v>
      </c>
      <c r="H203" s="63" t="s">
        <v>151</v>
      </c>
      <c r="I203" s="30" t="s">
        <v>297</v>
      </c>
      <c r="J203" s="10">
        <v>44154</v>
      </c>
      <c r="K203" s="63">
        <f t="shared" ca="1" si="9"/>
        <v>0</v>
      </c>
      <c r="L203" s="29" cm="1">
        <f t="array" aca="1" ref="L203" ca="1">O203-IF(ExpTaxCount=2,SUM($M203:$N203),$M203:$M203)</f>
        <v>88.695652173913047</v>
      </c>
      <c r="M203" s="29">
        <f ca="1">$O203/(1+IF(ISERROR($F203),0,IF(ISNA(MATCH($F203,TaxCode,0)),0,OFFSET(Setup!$D$15,MATCH($F203,TaxCode,0),0,1,1)))+IF(ISERROR($G203),0,IF(ISNA(MATCH($G203,TaxCode,0)),0,OFFSET(Setup!$D$15,MATCH($G203,TaxCode,0),0,1,1))))*IF(ISERROR($F203),0,IF(ISNA(MATCH($F203,TaxCode,0)),0,OFFSET(Setup!$D$15,MATCH($F203,TaxCode,0),0,1,1)))</f>
        <v>13.304347826086957</v>
      </c>
      <c r="N203" s="29">
        <f ca="1">$O203/(1+IF(ISERROR($F203),0,IF(ISNA(MATCH($F203,TaxCode,0)),0,OFFSET(Setup!$D$15,MATCH($F203,TaxCode,0),0,1,1)))+IF(ISERROR($G203),0,IF(ISNA(MATCH($G203,TaxCode,0)),0,OFFSET(Setup!$D$15,MATCH($G203,TaxCode,0),0,1,1))))*IF(ISERROR($G203),0,IF(ISNA(MATCH($G203,TaxCode,0)),0,OFFSET(Setup!$D$15,MATCH($G203,TaxCode,0),0,1,1)))</f>
        <v>0</v>
      </c>
      <c r="O203" s="29">
        <f t="shared" si="10"/>
        <v>102</v>
      </c>
      <c r="P203" s="63" t="str">
        <f t="shared" ca="1" si="11"/>
        <v>-</v>
      </c>
    </row>
    <row r="204" spans="1:16" ht="16" customHeight="1" x14ac:dyDescent="0.25">
      <c r="A204" s="79">
        <v>44155</v>
      </c>
      <c r="B204" s="4" t="s">
        <v>128</v>
      </c>
      <c r="C204" s="4" t="s">
        <v>172</v>
      </c>
      <c r="D204" s="4" t="s">
        <v>173</v>
      </c>
      <c r="E204" s="29">
        <v>-150000</v>
      </c>
      <c r="F204" s="63" t="s">
        <v>108</v>
      </c>
      <c r="G204" s="63" t="s">
        <v>108</v>
      </c>
      <c r="H204" s="63" t="s">
        <v>147</v>
      </c>
      <c r="I204" s="30" t="s">
        <v>275</v>
      </c>
      <c r="J204" s="10">
        <v>44155</v>
      </c>
      <c r="K204" s="63">
        <f t="shared" ca="1" si="9"/>
        <v>0</v>
      </c>
      <c r="L204" s="29" cm="1">
        <f t="array" aca="1" ref="L204" ca="1">O204-IF(ExpTaxCount=2,SUM($M204:$N204),$M204:$M204)</f>
        <v>-150000</v>
      </c>
      <c r="M204" s="29">
        <f ca="1">$O204/(1+IF(ISERROR($F204),0,IF(ISNA(MATCH($F204,TaxCode,0)),0,OFFSET(Setup!$D$15,MATCH($F204,TaxCode,0),0,1,1)))+IF(ISERROR($G204),0,IF(ISNA(MATCH($G204,TaxCode,0)),0,OFFSET(Setup!$D$15,MATCH($G204,TaxCode,0),0,1,1))))*IF(ISERROR($F204),0,IF(ISNA(MATCH($F204,TaxCode,0)),0,OFFSET(Setup!$D$15,MATCH($F204,TaxCode,0),0,1,1)))</f>
        <v>0</v>
      </c>
      <c r="N204" s="29">
        <f ca="1">$O204/(1+IF(ISERROR($F204),0,IF(ISNA(MATCH($F204,TaxCode,0)),0,OFFSET(Setup!$D$15,MATCH($F204,TaxCode,0),0,1,1)))+IF(ISERROR($G204),0,IF(ISNA(MATCH($G204,TaxCode,0)),0,OFFSET(Setup!$D$15,MATCH($G204,TaxCode,0),0,1,1))))*IF(ISERROR($G204),0,IF(ISNA(MATCH($G204,TaxCode,0)),0,OFFSET(Setup!$D$15,MATCH($G204,TaxCode,0),0,1,1)))</f>
        <v>0</v>
      </c>
      <c r="O204" s="29">
        <f t="shared" si="10"/>
        <v>-150000</v>
      </c>
      <c r="P204" s="63" t="str">
        <f t="shared" ca="1" si="11"/>
        <v>-</v>
      </c>
    </row>
    <row r="205" spans="1:16" ht="16" customHeight="1" x14ac:dyDescent="0.25">
      <c r="A205" s="79">
        <v>44155</v>
      </c>
      <c r="B205" s="4" t="s">
        <v>128</v>
      </c>
      <c r="C205" s="4" t="s">
        <v>172</v>
      </c>
      <c r="D205" s="4" t="s">
        <v>173</v>
      </c>
      <c r="E205" s="29">
        <v>150000</v>
      </c>
      <c r="F205" s="63" t="s">
        <v>108</v>
      </c>
      <c r="G205" s="63" t="s">
        <v>108</v>
      </c>
      <c r="H205" s="63" t="s">
        <v>145</v>
      </c>
      <c r="I205" s="30" t="s">
        <v>275</v>
      </c>
      <c r="J205" s="10">
        <v>44155</v>
      </c>
      <c r="K205" s="63">
        <f t="shared" ca="1" si="9"/>
        <v>0</v>
      </c>
      <c r="L205" s="29" cm="1">
        <f t="array" aca="1" ref="L205" ca="1">O205-IF(ExpTaxCount=2,SUM($M205:$N205),$M205:$M205)</f>
        <v>150000</v>
      </c>
      <c r="M205" s="29">
        <f ca="1">$O205/(1+IF(ISERROR($F205),0,IF(ISNA(MATCH($F205,TaxCode,0)),0,OFFSET(Setup!$D$15,MATCH($F205,TaxCode,0),0,1,1)))+IF(ISERROR($G205),0,IF(ISNA(MATCH($G205,TaxCode,0)),0,OFFSET(Setup!$D$15,MATCH($G205,TaxCode,0),0,1,1))))*IF(ISERROR($F205),0,IF(ISNA(MATCH($F205,TaxCode,0)),0,OFFSET(Setup!$D$15,MATCH($F205,TaxCode,0),0,1,1)))</f>
        <v>0</v>
      </c>
      <c r="N205" s="29">
        <f ca="1">$O205/(1+IF(ISERROR($F205),0,IF(ISNA(MATCH($F205,TaxCode,0)),0,OFFSET(Setup!$D$15,MATCH($F205,TaxCode,0),0,1,1)))+IF(ISERROR($G205),0,IF(ISNA(MATCH($G205,TaxCode,0)),0,OFFSET(Setup!$D$15,MATCH($G205,TaxCode,0),0,1,1))))*IF(ISERROR($G205),0,IF(ISNA(MATCH($G205,TaxCode,0)),0,OFFSET(Setup!$D$15,MATCH($G205,TaxCode,0),0,1,1)))</f>
        <v>0</v>
      </c>
      <c r="O205" s="29">
        <f t="shared" si="10"/>
        <v>150000</v>
      </c>
      <c r="P205" s="63" t="str">
        <f t="shared" ca="1" si="11"/>
        <v>-</v>
      </c>
    </row>
    <row r="206" spans="1:16" ht="16" customHeight="1" x14ac:dyDescent="0.25">
      <c r="A206" s="79">
        <v>44161</v>
      </c>
      <c r="B206" s="4" t="s">
        <v>128</v>
      </c>
      <c r="C206" s="4" t="s">
        <v>115</v>
      </c>
      <c r="D206" s="4" t="s">
        <v>26</v>
      </c>
      <c r="E206" s="29">
        <v>45000</v>
      </c>
      <c r="F206" s="63" t="s">
        <v>108</v>
      </c>
      <c r="G206" s="63" t="s">
        <v>108</v>
      </c>
      <c r="H206" s="63" t="s">
        <v>147</v>
      </c>
      <c r="I206" s="30" t="s">
        <v>366</v>
      </c>
      <c r="J206" s="10">
        <v>44161</v>
      </c>
      <c r="K206" s="63">
        <f t="shared" ca="1" si="9"/>
        <v>0</v>
      </c>
      <c r="L206" s="29" cm="1">
        <f t="array" aca="1" ref="L206" ca="1">O206-IF(ExpTaxCount=2,SUM($M206:$N206),$M206:$M206)</f>
        <v>45000</v>
      </c>
      <c r="M206" s="29">
        <f ca="1">$O206/(1+IF(ISERROR($F206),0,IF(ISNA(MATCH($F206,TaxCode,0)),0,OFFSET(Setup!$D$15,MATCH($F206,TaxCode,0),0,1,1)))+IF(ISERROR($G206),0,IF(ISNA(MATCH($G206,TaxCode,0)),0,OFFSET(Setup!$D$15,MATCH($G206,TaxCode,0),0,1,1))))*IF(ISERROR($F206),0,IF(ISNA(MATCH($F206,TaxCode,0)),0,OFFSET(Setup!$D$15,MATCH($F206,TaxCode,0),0,1,1)))</f>
        <v>0</v>
      </c>
      <c r="N206" s="29">
        <f ca="1">$O206/(1+IF(ISERROR($F206),0,IF(ISNA(MATCH($F206,TaxCode,0)),0,OFFSET(Setup!$D$15,MATCH($F206,TaxCode,0),0,1,1)))+IF(ISERROR($G206),0,IF(ISNA(MATCH($G206,TaxCode,0)),0,OFFSET(Setup!$D$15,MATCH($G206,TaxCode,0),0,1,1))))*IF(ISERROR($G206),0,IF(ISNA(MATCH($G206,TaxCode,0)),0,OFFSET(Setup!$D$15,MATCH($G206,TaxCode,0),0,1,1)))</f>
        <v>0</v>
      </c>
      <c r="O206" s="29">
        <f t="shared" si="10"/>
        <v>45000</v>
      </c>
      <c r="P206" s="63" t="str">
        <f t="shared" ca="1" si="11"/>
        <v>-</v>
      </c>
    </row>
    <row r="207" spans="1:16" ht="16" customHeight="1" x14ac:dyDescent="0.25">
      <c r="A207" s="79">
        <v>44161</v>
      </c>
      <c r="B207" s="4" t="s">
        <v>54</v>
      </c>
      <c r="C207" s="4" t="s">
        <v>110</v>
      </c>
      <c r="D207" s="4" t="s">
        <v>56</v>
      </c>
      <c r="E207" s="29">
        <v>2760.03</v>
      </c>
      <c r="F207" s="63" t="s">
        <v>108</v>
      </c>
      <c r="G207" s="63" t="s">
        <v>108</v>
      </c>
      <c r="H207" s="63" t="s">
        <v>145</v>
      </c>
      <c r="I207" s="30" t="s">
        <v>403</v>
      </c>
      <c r="J207" s="10">
        <v>44161</v>
      </c>
      <c r="K207" s="63">
        <f t="shared" ca="1" si="9"/>
        <v>0</v>
      </c>
      <c r="L207" s="29" cm="1">
        <f t="array" aca="1" ref="L207" ca="1">O207-IF(ExpTaxCount=2,SUM($M207:$N207),$M207:$M207)</f>
        <v>2760.03</v>
      </c>
      <c r="M207" s="29">
        <f ca="1">$O207/(1+IF(ISERROR($F207),0,IF(ISNA(MATCH($F207,TaxCode,0)),0,OFFSET(Setup!$D$15,MATCH($F207,TaxCode,0),0,1,1)))+IF(ISERROR($G207),0,IF(ISNA(MATCH($G207,TaxCode,0)),0,OFFSET(Setup!$D$15,MATCH($G207,TaxCode,0),0,1,1))))*IF(ISERROR($F207),0,IF(ISNA(MATCH($F207,TaxCode,0)),0,OFFSET(Setup!$D$15,MATCH($F207,TaxCode,0),0,1,1)))</f>
        <v>0</v>
      </c>
      <c r="N207" s="29">
        <f ca="1">$O207/(1+IF(ISERROR($F207),0,IF(ISNA(MATCH($F207,TaxCode,0)),0,OFFSET(Setup!$D$15,MATCH($F207,TaxCode,0),0,1,1)))+IF(ISERROR($G207),0,IF(ISNA(MATCH($G207,TaxCode,0)),0,OFFSET(Setup!$D$15,MATCH($G207,TaxCode,0),0,1,1))))*IF(ISERROR($G207),0,IF(ISNA(MATCH($G207,TaxCode,0)),0,OFFSET(Setup!$D$15,MATCH($G207,TaxCode,0),0,1,1)))</f>
        <v>0</v>
      </c>
      <c r="O207" s="29">
        <f t="shared" si="10"/>
        <v>2760.03</v>
      </c>
      <c r="P207" s="63" t="str">
        <f t="shared" ca="1" si="11"/>
        <v>-</v>
      </c>
    </row>
    <row r="208" spans="1:16" ht="16" customHeight="1" x14ac:dyDescent="0.25">
      <c r="A208" s="79">
        <v>44161</v>
      </c>
      <c r="B208" s="4" t="s">
        <v>54</v>
      </c>
      <c r="C208" s="4" t="s">
        <v>110</v>
      </c>
      <c r="D208" s="4" t="s">
        <v>55</v>
      </c>
      <c r="E208" s="29">
        <v>1489.38</v>
      </c>
      <c r="F208" s="63" t="s">
        <v>108</v>
      </c>
      <c r="G208" s="63" t="s">
        <v>108</v>
      </c>
      <c r="H208" s="63" t="s">
        <v>145</v>
      </c>
      <c r="I208" s="30" t="s">
        <v>309</v>
      </c>
      <c r="J208" s="10">
        <v>44161</v>
      </c>
      <c r="K208" s="63">
        <f t="shared" ca="1" si="9"/>
        <v>0</v>
      </c>
      <c r="L208" s="29" cm="1">
        <f t="array" aca="1" ref="L208" ca="1">O208-IF(ExpTaxCount=2,SUM($M208:$N208),$M208:$M208)</f>
        <v>1489.38</v>
      </c>
      <c r="M208" s="29">
        <f ca="1">$O208/(1+IF(ISERROR($F208),0,IF(ISNA(MATCH($F208,TaxCode,0)),0,OFFSET(Setup!$D$15,MATCH($F208,TaxCode,0),0,1,1)))+IF(ISERROR($G208),0,IF(ISNA(MATCH($G208,TaxCode,0)),0,OFFSET(Setup!$D$15,MATCH($G208,TaxCode,0),0,1,1))))*IF(ISERROR($F208),0,IF(ISNA(MATCH($F208,TaxCode,0)),0,OFFSET(Setup!$D$15,MATCH($F208,TaxCode,0),0,1,1)))</f>
        <v>0</v>
      </c>
      <c r="N208" s="29">
        <f ca="1">$O208/(1+IF(ISERROR($F208),0,IF(ISNA(MATCH($F208,TaxCode,0)),0,OFFSET(Setup!$D$15,MATCH($F208,TaxCode,0),0,1,1)))+IF(ISERROR($G208),0,IF(ISNA(MATCH($G208,TaxCode,0)),0,OFFSET(Setup!$D$15,MATCH($G208,TaxCode,0),0,1,1))))*IF(ISERROR($G208),0,IF(ISNA(MATCH($G208,TaxCode,0)),0,OFFSET(Setup!$D$15,MATCH($G208,TaxCode,0),0,1,1)))</f>
        <v>0</v>
      </c>
      <c r="O208" s="29">
        <f t="shared" si="10"/>
        <v>1489.38</v>
      </c>
      <c r="P208" s="63" t="str">
        <f t="shared" ca="1" si="11"/>
        <v>-</v>
      </c>
    </row>
    <row r="209" spans="1:16" ht="16" customHeight="1" x14ac:dyDescent="0.25">
      <c r="A209" s="79">
        <v>44161</v>
      </c>
      <c r="B209" s="4" t="s">
        <v>25</v>
      </c>
      <c r="C209" s="4" t="s">
        <v>110</v>
      </c>
      <c r="D209" s="4" t="s">
        <v>116</v>
      </c>
      <c r="E209" s="29">
        <v>13800</v>
      </c>
      <c r="F209" s="63" t="s">
        <v>93</v>
      </c>
      <c r="G209" s="63" t="s">
        <v>108</v>
      </c>
      <c r="H209" s="63" t="s">
        <v>145</v>
      </c>
      <c r="I209" s="30" t="s">
        <v>298</v>
      </c>
      <c r="J209" s="10">
        <v>44161</v>
      </c>
      <c r="K209" s="63">
        <f t="shared" ca="1" si="9"/>
        <v>0</v>
      </c>
      <c r="L209" s="29" cm="1">
        <f t="array" aca="1" ref="L209" ca="1">O209-IF(ExpTaxCount=2,SUM($M209:$N209),$M209:$M209)</f>
        <v>12000</v>
      </c>
      <c r="M209" s="29">
        <f ca="1">$O209/(1+IF(ISERROR($F209),0,IF(ISNA(MATCH($F209,TaxCode,0)),0,OFFSET(Setup!$D$15,MATCH($F209,TaxCode,0),0,1,1)))+IF(ISERROR($G209),0,IF(ISNA(MATCH($G209,TaxCode,0)),0,OFFSET(Setup!$D$15,MATCH($G209,TaxCode,0),0,1,1))))*IF(ISERROR($F209),0,IF(ISNA(MATCH($F209,TaxCode,0)),0,OFFSET(Setup!$D$15,MATCH($F209,TaxCode,0),0,1,1)))</f>
        <v>1800.0000000000002</v>
      </c>
      <c r="N209" s="29">
        <f ca="1">$O209/(1+IF(ISERROR($F209),0,IF(ISNA(MATCH($F209,TaxCode,0)),0,OFFSET(Setup!$D$15,MATCH($F209,TaxCode,0),0,1,1)))+IF(ISERROR($G209),0,IF(ISNA(MATCH($G209,TaxCode,0)),0,OFFSET(Setup!$D$15,MATCH($G209,TaxCode,0),0,1,1))))*IF(ISERROR($G209),0,IF(ISNA(MATCH($G209,TaxCode,0)),0,OFFSET(Setup!$D$15,MATCH($G209,TaxCode,0),0,1,1)))</f>
        <v>0</v>
      </c>
      <c r="O209" s="29">
        <f t="shared" si="10"/>
        <v>13800</v>
      </c>
      <c r="P209" s="63" t="str">
        <f t="shared" ca="1" si="11"/>
        <v>-</v>
      </c>
    </row>
    <row r="210" spans="1:16" ht="16" customHeight="1" x14ac:dyDescent="0.25">
      <c r="A210" s="79">
        <v>44161</v>
      </c>
      <c r="B210" s="4" t="s">
        <v>128</v>
      </c>
      <c r="C210" s="4" t="s">
        <v>115</v>
      </c>
      <c r="D210" s="4" t="s">
        <v>509</v>
      </c>
      <c r="E210" s="29">
        <v>35000</v>
      </c>
      <c r="F210" s="63" t="s">
        <v>108</v>
      </c>
      <c r="G210" s="63" t="s">
        <v>108</v>
      </c>
      <c r="H210" s="63" t="s">
        <v>147</v>
      </c>
      <c r="I210" s="30" t="s">
        <v>364</v>
      </c>
      <c r="J210" s="10">
        <v>44161</v>
      </c>
      <c r="K210" s="63">
        <f t="shared" ca="1" si="9"/>
        <v>0</v>
      </c>
      <c r="L210" s="29" cm="1">
        <f t="array" aca="1" ref="L210" ca="1">O210-IF(ExpTaxCount=2,SUM($M210:$N210),$M210:$M210)</f>
        <v>35000</v>
      </c>
      <c r="M210" s="29">
        <f ca="1">$O210/(1+IF(ISERROR($F210),0,IF(ISNA(MATCH($F210,TaxCode,0)),0,OFFSET(Setup!$D$15,MATCH($F210,TaxCode,0),0,1,1)))+IF(ISERROR($G210),0,IF(ISNA(MATCH($G210,TaxCode,0)),0,OFFSET(Setup!$D$15,MATCH($G210,TaxCode,0),0,1,1))))*IF(ISERROR($F210),0,IF(ISNA(MATCH($F210,TaxCode,0)),0,OFFSET(Setup!$D$15,MATCH($F210,TaxCode,0),0,1,1)))</f>
        <v>0</v>
      </c>
      <c r="N210" s="29">
        <f ca="1">$O210/(1+IF(ISERROR($F210),0,IF(ISNA(MATCH($F210,TaxCode,0)),0,OFFSET(Setup!$D$15,MATCH($F210,TaxCode,0),0,1,1)))+IF(ISERROR($G210),0,IF(ISNA(MATCH($G210,TaxCode,0)),0,OFFSET(Setup!$D$15,MATCH($G210,TaxCode,0),0,1,1))))*IF(ISERROR($G210),0,IF(ISNA(MATCH($G210,TaxCode,0)),0,OFFSET(Setup!$D$15,MATCH($G210,TaxCode,0),0,1,1)))</f>
        <v>0</v>
      </c>
      <c r="O210" s="29">
        <f t="shared" si="10"/>
        <v>35000</v>
      </c>
      <c r="P210" s="63" t="str">
        <f t="shared" ca="1" si="11"/>
        <v>-</v>
      </c>
    </row>
    <row r="211" spans="1:16" ht="16" customHeight="1" x14ac:dyDescent="0.25">
      <c r="A211" s="79">
        <v>44161</v>
      </c>
      <c r="B211" s="4" t="s">
        <v>128</v>
      </c>
      <c r="C211" s="4" t="s">
        <v>115</v>
      </c>
      <c r="D211" s="4" t="s">
        <v>510</v>
      </c>
      <c r="E211" s="29">
        <v>7200</v>
      </c>
      <c r="F211" s="63" t="s">
        <v>108</v>
      </c>
      <c r="G211" s="63" t="s">
        <v>108</v>
      </c>
      <c r="H211" s="63" t="s">
        <v>147</v>
      </c>
      <c r="I211" s="30" t="s">
        <v>364</v>
      </c>
      <c r="J211" s="10">
        <v>44171</v>
      </c>
      <c r="K211" s="63">
        <f t="shared" ca="1" si="9"/>
        <v>0</v>
      </c>
      <c r="L211" s="29" cm="1">
        <f t="array" aca="1" ref="L211" ca="1">O211-IF(ExpTaxCount=2,SUM($M211:$N211),$M211:$M211)</f>
        <v>7200</v>
      </c>
      <c r="M211" s="29">
        <f ca="1">$O211/(1+IF(ISERROR($F211),0,IF(ISNA(MATCH($F211,TaxCode,0)),0,OFFSET(Setup!$D$15,MATCH($F211,TaxCode,0),0,1,1)))+IF(ISERROR($G211),0,IF(ISNA(MATCH($G211,TaxCode,0)),0,OFFSET(Setup!$D$15,MATCH($G211,TaxCode,0),0,1,1))))*IF(ISERROR($F211),0,IF(ISNA(MATCH($F211,TaxCode,0)),0,OFFSET(Setup!$D$15,MATCH($F211,TaxCode,0),0,1,1)))</f>
        <v>0</v>
      </c>
      <c r="N211" s="29">
        <f ca="1">$O211/(1+IF(ISERROR($F211),0,IF(ISNA(MATCH($F211,TaxCode,0)),0,OFFSET(Setup!$D$15,MATCH($F211,TaxCode,0),0,1,1)))+IF(ISERROR($G211),0,IF(ISNA(MATCH($G211,TaxCode,0)),0,OFFSET(Setup!$D$15,MATCH($G211,TaxCode,0),0,1,1))))*IF(ISERROR($G211),0,IF(ISNA(MATCH($G211,TaxCode,0)),0,OFFSET(Setup!$D$15,MATCH($G211,TaxCode,0),0,1,1)))</f>
        <v>0</v>
      </c>
      <c r="O211" s="29">
        <f t="shared" si="10"/>
        <v>7200</v>
      </c>
      <c r="P211" s="63" t="str">
        <f t="shared" ca="1" si="11"/>
        <v>-</v>
      </c>
    </row>
    <row r="212" spans="1:16" ht="16" customHeight="1" x14ac:dyDescent="0.25">
      <c r="A212" s="79">
        <v>44161</v>
      </c>
      <c r="B212" s="4" t="s">
        <v>128</v>
      </c>
      <c r="C212" s="4" t="s">
        <v>115</v>
      </c>
      <c r="D212" s="4" t="s">
        <v>511</v>
      </c>
      <c r="E212" s="29">
        <v>9320</v>
      </c>
      <c r="F212" s="63" t="s">
        <v>108</v>
      </c>
      <c r="G212" s="63" t="s">
        <v>108</v>
      </c>
      <c r="H212" s="63" t="s">
        <v>147</v>
      </c>
      <c r="I212" s="30" t="s">
        <v>366</v>
      </c>
      <c r="J212" s="10">
        <v>44171</v>
      </c>
      <c r="K212" s="63">
        <f t="shared" ca="1" si="9"/>
        <v>0</v>
      </c>
      <c r="L212" s="29" cm="1">
        <f t="array" aca="1" ref="L212" ca="1">O212-IF(ExpTaxCount=2,SUM($M212:$N212),$M212:$M212)</f>
        <v>9320</v>
      </c>
      <c r="M212" s="29">
        <f ca="1">$O212/(1+IF(ISERROR($F212),0,IF(ISNA(MATCH($F212,TaxCode,0)),0,OFFSET(Setup!$D$15,MATCH($F212,TaxCode,0),0,1,1)))+IF(ISERROR($G212),0,IF(ISNA(MATCH($G212,TaxCode,0)),0,OFFSET(Setup!$D$15,MATCH($G212,TaxCode,0),0,1,1))))*IF(ISERROR($F212),0,IF(ISNA(MATCH($F212,TaxCode,0)),0,OFFSET(Setup!$D$15,MATCH($F212,TaxCode,0),0,1,1)))</f>
        <v>0</v>
      </c>
      <c r="N212" s="29">
        <f ca="1">$O212/(1+IF(ISERROR($F212),0,IF(ISNA(MATCH($F212,TaxCode,0)),0,OFFSET(Setup!$D$15,MATCH($F212,TaxCode,0),0,1,1)))+IF(ISERROR($G212),0,IF(ISNA(MATCH($G212,TaxCode,0)),0,OFFSET(Setup!$D$15,MATCH($G212,TaxCode,0),0,1,1))))*IF(ISERROR($G212),0,IF(ISNA(MATCH($G212,TaxCode,0)),0,OFFSET(Setup!$D$15,MATCH($G212,TaxCode,0),0,1,1)))</f>
        <v>0</v>
      </c>
      <c r="O212" s="29">
        <f t="shared" si="10"/>
        <v>9320</v>
      </c>
      <c r="P212" s="63" t="str">
        <f t="shared" ca="1" si="11"/>
        <v>-</v>
      </c>
    </row>
    <row r="213" spans="1:16" ht="16" customHeight="1" x14ac:dyDescent="0.25">
      <c r="A213" s="79">
        <v>44165</v>
      </c>
      <c r="B213" s="4" t="s">
        <v>128</v>
      </c>
      <c r="C213" s="4" t="s">
        <v>109</v>
      </c>
      <c r="D213" s="4" t="s">
        <v>174</v>
      </c>
      <c r="E213" s="29">
        <v>102</v>
      </c>
      <c r="F213" s="63" t="s">
        <v>108</v>
      </c>
      <c r="G213" s="63" t="s">
        <v>108</v>
      </c>
      <c r="H213" s="63" t="s">
        <v>145</v>
      </c>
      <c r="I213" s="30" t="s">
        <v>275</v>
      </c>
      <c r="J213" s="10">
        <v>44165</v>
      </c>
      <c r="K213" s="63">
        <f t="shared" ca="1" si="9"/>
        <v>0</v>
      </c>
      <c r="L213" s="29" cm="1">
        <f t="array" aca="1" ref="L213" ca="1">O213-IF(ExpTaxCount=2,SUM($M213:$N213),$M213:$M213)</f>
        <v>102</v>
      </c>
      <c r="M213" s="29">
        <f ca="1">$O213/(1+IF(ISERROR($F213),0,IF(ISNA(MATCH($F213,TaxCode,0)),0,OFFSET(Setup!$D$15,MATCH($F213,TaxCode,0),0,1,1)))+IF(ISERROR($G213),0,IF(ISNA(MATCH($G213,TaxCode,0)),0,OFFSET(Setup!$D$15,MATCH($G213,TaxCode,0),0,1,1))))*IF(ISERROR($F213),0,IF(ISNA(MATCH($F213,TaxCode,0)),0,OFFSET(Setup!$D$15,MATCH($F213,TaxCode,0),0,1,1)))</f>
        <v>0</v>
      </c>
      <c r="N213" s="29">
        <f ca="1">$O213/(1+IF(ISERROR($F213),0,IF(ISNA(MATCH($F213,TaxCode,0)),0,OFFSET(Setup!$D$15,MATCH($F213,TaxCode,0),0,1,1)))+IF(ISERROR($G213),0,IF(ISNA(MATCH($G213,TaxCode,0)),0,OFFSET(Setup!$D$15,MATCH($G213,TaxCode,0),0,1,1))))*IF(ISERROR($G213),0,IF(ISNA(MATCH($G213,TaxCode,0)),0,OFFSET(Setup!$D$15,MATCH($G213,TaxCode,0),0,1,1)))</f>
        <v>0</v>
      </c>
      <c r="O213" s="29">
        <f t="shared" si="10"/>
        <v>102</v>
      </c>
      <c r="P213" s="63" t="str">
        <f t="shared" ca="1" si="11"/>
        <v>-</v>
      </c>
    </row>
    <row r="214" spans="1:16" ht="16" customHeight="1" x14ac:dyDescent="0.25">
      <c r="A214" s="79">
        <v>44165</v>
      </c>
      <c r="B214" s="4" t="s">
        <v>128</v>
      </c>
      <c r="C214" s="4" t="s">
        <v>109</v>
      </c>
      <c r="D214" s="4" t="s">
        <v>174</v>
      </c>
      <c r="E214" s="29">
        <v>-102</v>
      </c>
      <c r="F214" s="63" t="s">
        <v>108</v>
      </c>
      <c r="G214" s="63" t="s">
        <v>108</v>
      </c>
      <c r="H214" s="63" t="s">
        <v>151</v>
      </c>
      <c r="I214" s="30" t="s">
        <v>275</v>
      </c>
      <c r="J214" s="10">
        <v>44165</v>
      </c>
      <c r="K214" s="63">
        <f t="shared" ca="1" si="9"/>
        <v>0</v>
      </c>
      <c r="L214" s="29" cm="1">
        <f t="array" aca="1" ref="L214" ca="1">O214-IF(ExpTaxCount=2,SUM($M214:$N214),$M214:$M214)</f>
        <v>-102</v>
      </c>
      <c r="M214" s="29">
        <f ca="1">$O214/(1+IF(ISERROR($F214),0,IF(ISNA(MATCH($F214,TaxCode,0)),0,OFFSET(Setup!$D$15,MATCH($F214,TaxCode,0),0,1,1)))+IF(ISERROR($G214),0,IF(ISNA(MATCH($G214,TaxCode,0)),0,OFFSET(Setup!$D$15,MATCH($G214,TaxCode,0),0,1,1))))*IF(ISERROR($F214),0,IF(ISNA(MATCH($F214,TaxCode,0)),0,OFFSET(Setup!$D$15,MATCH($F214,TaxCode,0),0,1,1)))</f>
        <v>0</v>
      </c>
      <c r="N214" s="29">
        <f ca="1">$O214/(1+IF(ISERROR($F214),0,IF(ISNA(MATCH($F214,TaxCode,0)),0,OFFSET(Setup!$D$15,MATCH($F214,TaxCode,0),0,1,1)))+IF(ISERROR($G214),0,IF(ISNA(MATCH($G214,TaxCode,0)),0,OFFSET(Setup!$D$15,MATCH($G214,TaxCode,0),0,1,1))))*IF(ISERROR($G214),0,IF(ISNA(MATCH($G214,TaxCode,0)),0,OFFSET(Setup!$D$15,MATCH($G214,TaxCode,0),0,1,1)))</f>
        <v>0</v>
      </c>
      <c r="O214" s="29">
        <f t="shared" si="10"/>
        <v>-102</v>
      </c>
      <c r="P214" s="63" t="str">
        <f t="shared" ca="1" si="11"/>
        <v>-</v>
      </c>
    </row>
    <row r="215" spans="1:16" ht="16" customHeight="1" x14ac:dyDescent="0.25">
      <c r="A215" s="79">
        <v>44165</v>
      </c>
      <c r="B215" s="4" t="s">
        <v>505</v>
      </c>
      <c r="C215" s="4" t="s">
        <v>507</v>
      </c>
      <c r="D215" s="4" t="s">
        <v>506</v>
      </c>
      <c r="E215" s="29">
        <v>10240</v>
      </c>
      <c r="F215" s="63" t="s">
        <v>108</v>
      </c>
      <c r="G215" s="63" t="s">
        <v>108</v>
      </c>
      <c r="H215" s="63" t="s">
        <v>149</v>
      </c>
      <c r="I215" s="30" t="s">
        <v>290</v>
      </c>
      <c r="J215" s="10">
        <v>44172</v>
      </c>
      <c r="K215" s="63">
        <f t="shared" ca="1" si="9"/>
        <v>0</v>
      </c>
      <c r="L215" s="29" cm="1">
        <f t="array" aca="1" ref="L215" ca="1">O215-IF(ExpTaxCount=2,SUM($M215:$N215),$M215:$M215)</f>
        <v>10240</v>
      </c>
      <c r="M215" s="29">
        <f ca="1">$O215/(1+IF(ISERROR($F215),0,IF(ISNA(MATCH($F215,TaxCode,0)),0,OFFSET(Setup!$D$15,MATCH($F215,TaxCode,0),0,1,1)))+IF(ISERROR($G215),0,IF(ISNA(MATCH($G215,TaxCode,0)),0,OFFSET(Setup!$D$15,MATCH($G215,TaxCode,0),0,1,1))))*IF(ISERROR($F215),0,IF(ISNA(MATCH($F215,TaxCode,0)),0,OFFSET(Setup!$D$15,MATCH($F215,TaxCode,0),0,1,1)))</f>
        <v>0</v>
      </c>
      <c r="N215" s="29">
        <f ca="1">$O215/(1+IF(ISERROR($F215),0,IF(ISNA(MATCH($F215,TaxCode,0)),0,OFFSET(Setup!$D$15,MATCH($F215,TaxCode,0),0,1,1)))+IF(ISERROR($G215),0,IF(ISNA(MATCH($G215,TaxCode,0)),0,OFFSET(Setup!$D$15,MATCH($G215,TaxCode,0),0,1,1))))*IF(ISERROR($G215),0,IF(ISNA(MATCH($G215,TaxCode,0)),0,OFFSET(Setup!$D$15,MATCH($G215,TaxCode,0),0,1,1)))</f>
        <v>0</v>
      </c>
      <c r="O215" s="29">
        <f t="shared" si="10"/>
        <v>10240</v>
      </c>
      <c r="P215" s="63" t="str">
        <f t="shared" ca="1" si="11"/>
        <v>-</v>
      </c>
    </row>
    <row r="216" spans="1:16" ht="16" customHeight="1" x14ac:dyDescent="0.25">
      <c r="A216" s="79">
        <v>44166</v>
      </c>
      <c r="B216" s="4" t="s">
        <v>5</v>
      </c>
      <c r="C216" s="4" t="s">
        <v>38</v>
      </c>
      <c r="D216" s="4" t="s">
        <v>114</v>
      </c>
      <c r="E216" s="29">
        <v>850</v>
      </c>
      <c r="F216" s="63" t="s">
        <v>93</v>
      </c>
      <c r="G216" s="63" t="s">
        <v>108</v>
      </c>
      <c r="H216" s="63" t="s">
        <v>145</v>
      </c>
      <c r="I216" s="30" t="s">
        <v>303</v>
      </c>
      <c r="J216" s="10">
        <v>44196</v>
      </c>
      <c r="K216" s="63">
        <f t="shared" ca="1" si="9"/>
        <v>0</v>
      </c>
      <c r="L216" s="29" cm="1">
        <f t="array" aca="1" ref="L216" ca="1">O216-IF(ExpTaxCount=2,SUM($M216:$N216),$M216:$M216)</f>
        <v>739.13043478260875</v>
      </c>
      <c r="M216" s="29">
        <f ca="1">$O216/(1+IF(ISERROR($F216),0,IF(ISNA(MATCH($F216,TaxCode,0)),0,OFFSET(Setup!$D$15,MATCH($F216,TaxCode,0),0,1,1)))+IF(ISERROR($G216),0,IF(ISNA(MATCH($G216,TaxCode,0)),0,OFFSET(Setup!$D$15,MATCH($G216,TaxCode,0),0,1,1))))*IF(ISERROR($F216),0,IF(ISNA(MATCH($F216,TaxCode,0)),0,OFFSET(Setup!$D$15,MATCH($F216,TaxCode,0),0,1,1)))</f>
        <v>110.86956521739131</v>
      </c>
      <c r="N216" s="29">
        <f ca="1">$O216/(1+IF(ISERROR($F216),0,IF(ISNA(MATCH($F216,TaxCode,0)),0,OFFSET(Setup!$D$15,MATCH($F216,TaxCode,0),0,1,1)))+IF(ISERROR($G216),0,IF(ISNA(MATCH($G216,TaxCode,0)),0,OFFSET(Setup!$D$15,MATCH($G216,TaxCode,0),0,1,1))))*IF(ISERROR($G216),0,IF(ISNA(MATCH($G216,TaxCode,0)),0,OFFSET(Setup!$D$15,MATCH($G216,TaxCode,0),0,1,1)))</f>
        <v>0</v>
      </c>
      <c r="O216" s="29">
        <f t="shared" si="10"/>
        <v>850</v>
      </c>
      <c r="P216" s="63" t="str">
        <f t="shared" ca="1" si="11"/>
        <v>-</v>
      </c>
    </row>
    <row r="217" spans="1:16" ht="16" customHeight="1" x14ac:dyDescent="0.25">
      <c r="A217" s="79">
        <v>44170</v>
      </c>
      <c r="B217" s="4" t="s">
        <v>167</v>
      </c>
      <c r="C217" s="4" t="s">
        <v>110</v>
      </c>
      <c r="D217" s="4" t="s">
        <v>71</v>
      </c>
      <c r="E217" s="29">
        <v>368</v>
      </c>
      <c r="F217" s="63" t="s">
        <v>93</v>
      </c>
      <c r="G217" s="63" t="s">
        <v>108</v>
      </c>
      <c r="H217" s="63" t="s">
        <v>145</v>
      </c>
      <c r="I217" s="30" t="s">
        <v>296</v>
      </c>
      <c r="J217" s="10">
        <v>44170</v>
      </c>
      <c r="K217" s="63">
        <f t="shared" ca="1" si="9"/>
        <v>0</v>
      </c>
      <c r="L217" s="29" cm="1">
        <f t="array" aca="1" ref="L217" ca="1">O217-IF(ExpTaxCount=2,SUM($M217:$N217),$M217:$M217)</f>
        <v>320</v>
      </c>
      <c r="M217" s="29">
        <f ca="1">$O217/(1+IF(ISERROR($F217),0,IF(ISNA(MATCH($F217,TaxCode,0)),0,OFFSET(Setup!$D$15,MATCH($F217,TaxCode,0),0,1,1)))+IF(ISERROR($G217),0,IF(ISNA(MATCH($G217,TaxCode,0)),0,OFFSET(Setup!$D$15,MATCH($G217,TaxCode,0),0,1,1))))*IF(ISERROR($F217),0,IF(ISNA(MATCH($F217,TaxCode,0)),0,OFFSET(Setup!$D$15,MATCH($F217,TaxCode,0),0,1,1)))</f>
        <v>48</v>
      </c>
      <c r="N217" s="29">
        <f ca="1">$O217/(1+IF(ISERROR($F217),0,IF(ISNA(MATCH($F217,TaxCode,0)),0,OFFSET(Setup!$D$15,MATCH($F217,TaxCode,0),0,1,1)))+IF(ISERROR($G217),0,IF(ISNA(MATCH($G217,TaxCode,0)),0,OFFSET(Setup!$D$15,MATCH($G217,TaxCode,0),0,1,1))))*IF(ISERROR($G217),0,IF(ISNA(MATCH($G217,TaxCode,0)),0,OFFSET(Setup!$D$15,MATCH($G217,TaxCode,0),0,1,1)))</f>
        <v>0</v>
      </c>
      <c r="O217" s="29">
        <f t="shared" si="10"/>
        <v>368</v>
      </c>
      <c r="P217" s="63" t="str">
        <f t="shared" ca="1" si="11"/>
        <v>-</v>
      </c>
    </row>
    <row r="218" spans="1:16" ht="16" customHeight="1" x14ac:dyDescent="0.25">
      <c r="A218" s="79">
        <v>44170</v>
      </c>
      <c r="B218" s="4" t="s">
        <v>128</v>
      </c>
      <c r="C218" s="4" t="s">
        <v>172</v>
      </c>
      <c r="D218" s="4" t="s">
        <v>173</v>
      </c>
      <c r="E218" s="29">
        <v>-10000</v>
      </c>
      <c r="F218" s="63" t="s">
        <v>108</v>
      </c>
      <c r="G218" s="63" t="s">
        <v>108</v>
      </c>
      <c r="H218" s="63" t="s">
        <v>149</v>
      </c>
      <c r="I218" s="30" t="s">
        <v>275</v>
      </c>
      <c r="J218" s="10">
        <v>44170</v>
      </c>
      <c r="K218" s="63">
        <f t="shared" ca="1" si="9"/>
        <v>0</v>
      </c>
      <c r="L218" s="29" cm="1">
        <f t="array" aca="1" ref="L218" ca="1">O218-IF(ExpTaxCount=2,SUM($M218:$N218),$M218:$M218)</f>
        <v>-10000</v>
      </c>
      <c r="M218" s="29">
        <f ca="1">$O218/(1+IF(ISERROR($F218),0,IF(ISNA(MATCH($F218,TaxCode,0)),0,OFFSET(Setup!$D$15,MATCH($F218,TaxCode,0),0,1,1)))+IF(ISERROR($G218),0,IF(ISNA(MATCH($G218,TaxCode,0)),0,OFFSET(Setup!$D$15,MATCH($G218,TaxCode,0),0,1,1))))*IF(ISERROR($F218),0,IF(ISNA(MATCH($F218,TaxCode,0)),0,OFFSET(Setup!$D$15,MATCH($F218,TaxCode,0),0,1,1)))</f>
        <v>0</v>
      </c>
      <c r="N218" s="29">
        <f ca="1">$O218/(1+IF(ISERROR($F218),0,IF(ISNA(MATCH($F218,TaxCode,0)),0,OFFSET(Setup!$D$15,MATCH($F218,TaxCode,0),0,1,1)))+IF(ISERROR($G218),0,IF(ISNA(MATCH($G218,TaxCode,0)),0,OFFSET(Setup!$D$15,MATCH($G218,TaxCode,0),0,1,1))))*IF(ISERROR($G218),0,IF(ISNA(MATCH($G218,TaxCode,0)),0,OFFSET(Setup!$D$15,MATCH($G218,TaxCode,0),0,1,1)))</f>
        <v>0</v>
      </c>
      <c r="O218" s="29">
        <f t="shared" si="10"/>
        <v>-10000</v>
      </c>
      <c r="P218" s="63" t="str">
        <f t="shared" ca="1" si="11"/>
        <v>-</v>
      </c>
    </row>
    <row r="219" spans="1:16" ht="16" customHeight="1" x14ac:dyDescent="0.25">
      <c r="A219" s="79">
        <v>44170</v>
      </c>
      <c r="B219" s="4" t="s">
        <v>128</v>
      </c>
      <c r="C219" s="4" t="s">
        <v>172</v>
      </c>
      <c r="D219" s="4" t="s">
        <v>173</v>
      </c>
      <c r="E219" s="29">
        <v>10000</v>
      </c>
      <c r="F219" s="63" t="s">
        <v>108</v>
      </c>
      <c r="G219" s="63" t="s">
        <v>108</v>
      </c>
      <c r="H219" s="63" t="s">
        <v>145</v>
      </c>
      <c r="I219" s="30" t="s">
        <v>275</v>
      </c>
      <c r="J219" s="10">
        <v>44170</v>
      </c>
      <c r="K219" s="63">
        <f t="shared" ca="1" si="9"/>
        <v>0</v>
      </c>
      <c r="L219" s="29" cm="1">
        <f t="array" aca="1" ref="L219" ca="1">O219-IF(ExpTaxCount=2,SUM($M219:$N219),$M219:$M219)</f>
        <v>10000</v>
      </c>
      <c r="M219" s="29">
        <f ca="1">$O219/(1+IF(ISERROR($F219),0,IF(ISNA(MATCH($F219,TaxCode,0)),0,OFFSET(Setup!$D$15,MATCH($F219,TaxCode,0),0,1,1)))+IF(ISERROR($G219),0,IF(ISNA(MATCH($G219,TaxCode,0)),0,OFFSET(Setup!$D$15,MATCH($G219,TaxCode,0),0,1,1))))*IF(ISERROR($F219),0,IF(ISNA(MATCH($F219,TaxCode,0)),0,OFFSET(Setup!$D$15,MATCH($F219,TaxCode,0),0,1,1)))</f>
        <v>0</v>
      </c>
      <c r="N219" s="29">
        <f ca="1">$O219/(1+IF(ISERROR($F219),0,IF(ISNA(MATCH($F219,TaxCode,0)),0,OFFSET(Setup!$D$15,MATCH($F219,TaxCode,0),0,1,1)))+IF(ISERROR($G219),0,IF(ISNA(MATCH($G219,TaxCode,0)),0,OFFSET(Setup!$D$15,MATCH($G219,TaxCode,0),0,1,1))))*IF(ISERROR($G219),0,IF(ISNA(MATCH($G219,TaxCode,0)),0,OFFSET(Setup!$D$15,MATCH($G219,TaxCode,0),0,1,1)))</f>
        <v>0</v>
      </c>
      <c r="O219" s="29">
        <f t="shared" si="10"/>
        <v>10000</v>
      </c>
      <c r="P219" s="63" t="str">
        <f t="shared" ca="1" si="11"/>
        <v>-</v>
      </c>
    </row>
    <row r="220" spans="1:16" ht="16" customHeight="1" x14ac:dyDescent="0.25">
      <c r="A220" s="79">
        <v>44171</v>
      </c>
      <c r="B220" s="4" t="s">
        <v>169</v>
      </c>
      <c r="C220" s="4" t="s">
        <v>170</v>
      </c>
      <c r="D220" s="4" t="s">
        <v>171</v>
      </c>
      <c r="E220" s="29">
        <v>96</v>
      </c>
      <c r="F220" s="63" t="s">
        <v>93</v>
      </c>
      <c r="G220" s="63" t="s">
        <v>108</v>
      </c>
      <c r="H220" s="63" t="s">
        <v>151</v>
      </c>
      <c r="I220" s="30" t="s">
        <v>297</v>
      </c>
      <c r="J220" s="10">
        <v>44171</v>
      </c>
      <c r="K220" s="63">
        <f t="shared" ca="1" si="9"/>
        <v>0</v>
      </c>
      <c r="L220" s="29" cm="1">
        <f t="array" aca="1" ref="L220" ca="1">O220-IF(ExpTaxCount=2,SUM($M220:$N220),$M220:$M220)</f>
        <v>83.478260869565219</v>
      </c>
      <c r="M220" s="29">
        <f ca="1">$O220/(1+IF(ISERROR($F220),0,IF(ISNA(MATCH($F220,TaxCode,0)),0,OFFSET(Setup!$D$15,MATCH($F220,TaxCode,0),0,1,1)))+IF(ISERROR($G220),0,IF(ISNA(MATCH($G220,TaxCode,0)),0,OFFSET(Setup!$D$15,MATCH($G220,TaxCode,0),0,1,1))))*IF(ISERROR($F220),0,IF(ISNA(MATCH($F220,TaxCode,0)),0,OFFSET(Setup!$D$15,MATCH($F220,TaxCode,0),0,1,1)))</f>
        <v>12.521739130434783</v>
      </c>
      <c r="N220" s="29">
        <f ca="1">$O220/(1+IF(ISERROR($F220),0,IF(ISNA(MATCH($F220,TaxCode,0)),0,OFFSET(Setup!$D$15,MATCH($F220,TaxCode,0),0,1,1)))+IF(ISERROR($G220),0,IF(ISNA(MATCH($G220,TaxCode,0)),0,OFFSET(Setup!$D$15,MATCH($G220,TaxCode,0),0,1,1))))*IF(ISERROR($G220),0,IF(ISNA(MATCH($G220,TaxCode,0)),0,OFFSET(Setup!$D$15,MATCH($G220,TaxCode,0),0,1,1)))</f>
        <v>0</v>
      </c>
      <c r="O220" s="29">
        <f t="shared" si="10"/>
        <v>96</v>
      </c>
      <c r="P220" s="63" t="str">
        <f t="shared" ca="1" si="11"/>
        <v>-</v>
      </c>
    </row>
    <row r="221" spans="1:16" ht="16" customHeight="1" x14ac:dyDescent="0.25">
      <c r="A221" s="79">
        <v>44180</v>
      </c>
      <c r="B221" s="4" t="s">
        <v>168</v>
      </c>
      <c r="C221" s="4" t="s">
        <v>109</v>
      </c>
      <c r="D221" s="4" t="s">
        <v>12</v>
      </c>
      <c r="E221" s="29">
        <v>80</v>
      </c>
      <c r="F221" s="63" t="s">
        <v>93</v>
      </c>
      <c r="G221" s="63" t="s">
        <v>108</v>
      </c>
      <c r="H221" s="63" t="s">
        <v>145</v>
      </c>
      <c r="I221" s="30" t="s">
        <v>291</v>
      </c>
      <c r="J221" s="10">
        <v>44180</v>
      </c>
      <c r="K221" s="63">
        <f t="shared" ca="1" si="9"/>
        <v>0</v>
      </c>
      <c r="L221" s="29" cm="1">
        <f t="array" aca="1" ref="L221" ca="1">O221-IF(ExpTaxCount=2,SUM($M221:$N221),$M221:$M221)</f>
        <v>69.565217391304344</v>
      </c>
      <c r="M221" s="29">
        <f ca="1">$O221/(1+IF(ISERROR($F221),0,IF(ISNA(MATCH($F221,TaxCode,0)),0,OFFSET(Setup!$D$15,MATCH($F221,TaxCode,0),0,1,1)))+IF(ISERROR($G221),0,IF(ISNA(MATCH($G221,TaxCode,0)),0,OFFSET(Setup!$D$15,MATCH($G221,TaxCode,0),0,1,1))))*IF(ISERROR($F221),0,IF(ISNA(MATCH($F221,TaxCode,0)),0,OFFSET(Setup!$D$15,MATCH($F221,TaxCode,0),0,1,1)))</f>
        <v>10.434782608695654</v>
      </c>
      <c r="N221" s="29">
        <f ca="1">$O221/(1+IF(ISERROR($F221),0,IF(ISNA(MATCH($F221,TaxCode,0)),0,OFFSET(Setup!$D$15,MATCH($F221,TaxCode,0),0,1,1)))+IF(ISERROR($G221),0,IF(ISNA(MATCH($G221,TaxCode,0)),0,OFFSET(Setup!$D$15,MATCH($G221,TaxCode,0),0,1,1))))*IF(ISERROR($G221),0,IF(ISNA(MATCH($G221,TaxCode,0)),0,OFFSET(Setup!$D$15,MATCH($G221,TaxCode,0),0,1,1)))</f>
        <v>0</v>
      </c>
      <c r="O221" s="29">
        <f t="shared" si="10"/>
        <v>80</v>
      </c>
      <c r="P221" s="63" t="str">
        <f t="shared" ca="1" si="11"/>
        <v>-</v>
      </c>
    </row>
    <row r="222" spans="1:16" ht="16" customHeight="1" x14ac:dyDescent="0.25">
      <c r="A222" s="79">
        <v>44180</v>
      </c>
      <c r="B222" s="4" t="s">
        <v>168</v>
      </c>
      <c r="C222" s="4" t="s">
        <v>109</v>
      </c>
      <c r="D222" s="4" t="s">
        <v>12</v>
      </c>
      <c r="E222" s="29">
        <v>35</v>
      </c>
      <c r="F222" s="63" t="s">
        <v>93</v>
      </c>
      <c r="G222" s="63" t="s">
        <v>108</v>
      </c>
      <c r="H222" s="63" t="s">
        <v>147</v>
      </c>
      <c r="I222" s="30" t="s">
        <v>291</v>
      </c>
      <c r="J222" s="10">
        <v>44180</v>
      </c>
      <c r="K222" s="63">
        <f t="shared" ca="1" si="9"/>
        <v>0</v>
      </c>
      <c r="L222" s="29" cm="1">
        <f t="array" aca="1" ref="L222" ca="1">O222-IF(ExpTaxCount=2,SUM($M222:$N222),$M222:$M222)</f>
        <v>30.434782608695652</v>
      </c>
      <c r="M222" s="29">
        <f ca="1">$O222/(1+IF(ISERROR($F222),0,IF(ISNA(MATCH($F222,TaxCode,0)),0,OFFSET(Setup!$D$15,MATCH($F222,TaxCode,0),0,1,1)))+IF(ISERROR($G222),0,IF(ISNA(MATCH($G222,TaxCode,0)),0,OFFSET(Setup!$D$15,MATCH($G222,TaxCode,0),0,1,1))))*IF(ISERROR($F222),0,IF(ISNA(MATCH($F222,TaxCode,0)),0,OFFSET(Setup!$D$15,MATCH($F222,TaxCode,0),0,1,1)))</f>
        <v>4.5652173913043486</v>
      </c>
      <c r="N222" s="29">
        <f ca="1">$O222/(1+IF(ISERROR($F222),0,IF(ISNA(MATCH($F222,TaxCode,0)),0,OFFSET(Setup!$D$15,MATCH($F222,TaxCode,0),0,1,1)))+IF(ISERROR($G222),0,IF(ISNA(MATCH($G222,TaxCode,0)),0,OFFSET(Setup!$D$15,MATCH($G222,TaxCode,0),0,1,1))))*IF(ISERROR($G222),0,IF(ISNA(MATCH($G222,TaxCode,0)),0,OFFSET(Setup!$D$15,MATCH($G222,TaxCode,0),0,1,1)))</f>
        <v>0</v>
      </c>
      <c r="O222" s="29">
        <f t="shared" si="10"/>
        <v>35</v>
      </c>
      <c r="P222" s="63" t="str">
        <f t="shared" ca="1" si="11"/>
        <v>-</v>
      </c>
    </row>
    <row r="223" spans="1:16" ht="16" customHeight="1" x14ac:dyDescent="0.25">
      <c r="A223" s="79">
        <v>44180</v>
      </c>
      <c r="B223" s="4" t="s">
        <v>11</v>
      </c>
      <c r="C223" s="4" t="s">
        <v>112</v>
      </c>
      <c r="D223" s="4" t="s">
        <v>504</v>
      </c>
      <c r="E223" s="29">
        <v>2300</v>
      </c>
      <c r="F223" s="63" t="s">
        <v>93</v>
      </c>
      <c r="G223" s="63" t="s">
        <v>108</v>
      </c>
      <c r="H223" s="63" t="s">
        <v>145</v>
      </c>
      <c r="I223" s="30" t="s">
        <v>289</v>
      </c>
      <c r="J223" s="10">
        <v>44198</v>
      </c>
      <c r="K223" s="63">
        <f t="shared" ca="1" si="9"/>
        <v>0</v>
      </c>
      <c r="L223" s="29" cm="1">
        <f t="array" aca="1" ref="L223" ca="1">O223-IF(ExpTaxCount=2,SUM($M223:$N223),$M223:$M223)</f>
        <v>2000</v>
      </c>
      <c r="M223" s="29">
        <f ca="1">$O223/(1+IF(ISERROR($F223),0,IF(ISNA(MATCH($F223,TaxCode,0)),0,OFFSET(Setup!$D$15,MATCH($F223,TaxCode,0),0,1,1)))+IF(ISERROR($G223),0,IF(ISNA(MATCH($G223,TaxCode,0)),0,OFFSET(Setup!$D$15,MATCH($G223,TaxCode,0),0,1,1))))*IF(ISERROR($F223),0,IF(ISNA(MATCH($F223,TaxCode,0)),0,OFFSET(Setup!$D$15,MATCH($F223,TaxCode,0),0,1,1)))</f>
        <v>300</v>
      </c>
      <c r="N223" s="29">
        <f ca="1">$O223/(1+IF(ISERROR($F223),0,IF(ISNA(MATCH($F223,TaxCode,0)),0,OFFSET(Setup!$D$15,MATCH($F223,TaxCode,0),0,1,1)))+IF(ISERROR($G223),0,IF(ISNA(MATCH($G223,TaxCode,0)),0,OFFSET(Setup!$D$15,MATCH($G223,TaxCode,0),0,1,1))))*IF(ISERROR($G223),0,IF(ISNA(MATCH($G223,TaxCode,0)),0,OFFSET(Setup!$D$15,MATCH($G223,TaxCode,0),0,1,1)))</f>
        <v>0</v>
      </c>
      <c r="O223" s="29">
        <f t="shared" si="10"/>
        <v>2300</v>
      </c>
      <c r="P223" s="63" t="str">
        <f t="shared" ca="1" si="11"/>
        <v>-</v>
      </c>
    </row>
    <row r="224" spans="1:16" ht="16" customHeight="1" x14ac:dyDescent="0.25">
      <c r="A224" s="79">
        <v>44182</v>
      </c>
      <c r="B224" s="4" t="s">
        <v>27</v>
      </c>
      <c r="C224" s="4" t="s">
        <v>127</v>
      </c>
      <c r="D224" s="4" t="s">
        <v>123</v>
      </c>
      <c r="E224" s="29">
        <v>120</v>
      </c>
      <c r="F224" s="63" t="s">
        <v>93</v>
      </c>
      <c r="G224" s="63" t="s">
        <v>108</v>
      </c>
      <c r="H224" s="63" t="s">
        <v>145</v>
      </c>
      <c r="I224" s="30" t="s">
        <v>299</v>
      </c>
      <c r="J224" s="10">
        <v>44212</v>
      </c>
      <c r="K224" s="63">
        <f t="shared" ca="1" si="9"/>
        <v>0</v>
      </c>
      <c r="L224" s="29" cm="1">
        <f t="array" aca="1" ref="L224" ca="1">O224-IF(ExpTaxCount=2,SUM($M224:$N224),$M224:$M224)</f>
        <v>104.34782608695652</v>
      </c>
      <c r="M224" s="29">
        <f ca="1">$O224/(1+IF(ISERROR($F224),0,IF(ISNA(MATCH($F224,TaxCode,0)),0,OFFSET(Setup!$D$15,MATCH($F224,TaxCode,0),0,1,1)))+IF(ISERROR($G224),0,IF(ISNA(MATCH($G224,TaxCode,0)),0,OFFSET(Setup!$D$15,MATCH($G224,TaxCode,0),0,1,1))))*IF(ISERROR($F224),0,IF(ISNA(MATCH($F224,TaxCode,0)),0,OFFSET(Setup!$D$15,MATCH($F224,TaxCode,0),0,1,1)))</f>
        <v>15.652173913043478</v>
      </c>
      <c r="N224" s="29">
        <f ca="1">$O224/(1+IF(ISERROR($F224),0,IF(ISNA(MATCH($F224,TaxCode,0)),0,OFFSET(Setup!$D$15,MATCH($F224,TaxCode,0),0,1,1)))+IF(ISERROR($G224),0,IF(ISNA(MATCH($G224,TaxCode,0)),0,OFFSET(Setup!$D$15,MATCH($G224,TaxCode,0),0,1,1))))*IF(ISERROR($G224),0,IF(ISNA(MATCH($G224,TaxCode,0)),0,OFFSET(Setup!$D$15,MATCH($G224,TaxCode,0),0,1,1)))</f>
        <v>0</v>
      </c>
      <c r="O224" s="29">
        <f t="shared" si="10"/>
        <v>120</v>
      </c>
      <c r="P224" s="63" t="str">
        <f t="shared" ca="1" si="11"/>
        <v>-</v>
      </c>
    </row>
    <row r="225" spans="1:16" ht="16" customHeight="1" x14ac:dyDescent="0.25">
      <c r="A225" s="79">
        <v>44182</v>
      </c>
      <c r="B225" s="4" t="s">
        <v>19</v>
      </c>
      <c r="C225" s="4" t="s">
        <v>112</v>
      </c>
      <c r="D225" s="4" t="s">
        <v>75</v>
      </c>
      <c r="E225" s="29">
        <v>310</v>
      </c>
      <c r="F225" s="63" t="s">
        <v>93</v>
      </c>
      <c r="G225" s="63" t="s">
        <v>108</v>
      </c>
      <c r="H225" s="63" t="s">
        <v>145</v>
      </c>
      <c r="I225" s="30" t="s">
        <v>301</v>
      </c>
      <c r="J225" s="10">
        <v>44212</v>
      </c>
      <c r="K225" s="63">
        <f t="shared" ca="1" si="9"/>
        <v>0</v>
      </c>
      <c r="L225" s="29" cm="1">
        <f t="array" aca="1" ref="L225" ca="1">O225-IF(ExpTaxCount=2,SUM($M225:$N225),$M225:$M225)</f>
        <v>269.56521739130437</v>
      </c>
      <c r="M225" s="29">
        <f ca="1">$O225/(1+IF(ISERROR($F225),0,IF(ISNA(MATCH($F225,TaxCode,0)),0,OFFSET(Setup!$D$15,MATCH($F225,TaxCode,0),0,1,1)))+IF(ISERROR($G225),0,IF(ISNA(MATCH($G225,TaxCode,0)),0,OFFSET(Setup!$D$15,MATCH($G225,TaxCode,0),0,1,1))))*IF(ISERROR($F225),0,IF(ISNA(MATCH($F225,TaxCode,0)),0,OFFSET(Setup!$D$15,MATCH($F225,TaxCode,0),0,1,1)))</f>
        <v>40.434782608695656</v>
      </c>
      <c r="N225" s="29">
        <f ca="1">$O225/(1+IF(ISERROR($F225),0,IF(ISNA(MATCH($F225,TaxCode,0)),0,OFFSET(Setup!$D$15,MATCH($F225,TaxCode,0),0,1,1)))+IF(ISERROR($G225),0,IF(ISNA(MATCH($G225,TaxCode,0)),0,OFFSET(Setup!$D$15,MATCH($G225,TaxCode,0),0,1,1))))*IF(ISERROR($G225),0,IF(ISNA(MATCH($G225,TaxCode,0)),0,OFFSET(Setup!$D$15,MATCH($G225,TaxCode,0),0,1,1)))</f>
        <v>0</v>
      </c>
      <c r="O225" s="29">
        <f t="shared" si="10"/>
        <v>310</v>
      </c>
      <c r="P225" s="63" t="str">
        <f t="shared" ca="1" si="11"/>
        <v>-</v>
      </c>
    </row>
    <row r="226" spans="1:16" ht="16" customHeight="1" x14ac:dyDescent="0.25">
      <c r="A226" s="79">
        <v>44185</v>
      </c>
      <c r="B226" s="4" t="s">
        <v>128</v>
      </c>
      <c r="C226" s="4" t="s">
        <v>172</v>
      </c>
      <c r="D226" s="4" t="s">
        <v>173</v>
      </c>
      <c r="E226" s="29">
        <v>-90000</v>
      </c>
      <c r="F226" s="63" t="s">
        <v>108</v>
      </c>
      <c r="G226" s="63" t="s">
        <v>108</v>
      </c>
      <c r="H226" s="63" t="s">
        <v>147</v>
      </c>
      <c r="I226" s="30" t="s">
        <v>275</v>
      </c>
      <c r="J226" s="10">
        <v>44185</v>
      </c>
      <c r="K226" s="63">
        <f t="shared" ca="1" si="9"/>
        <v>0</v>
      </c>
      <c r="L226" s="29" cm="1">
        <f t="array" aca="1" ref="L226" ca="1">O226-IF(ExpTaxCount=2,SUM($M226:$N226),$M226:$M226)</f>
        <v>-90000</v>
      </c>
      <c r="M226" s="29">
        <f ca="1">$O226/(1+IF(ISERROR($F226),0,IF(ISNA(MATCH($F226,TaxCode,0)),0,OFFSET(Setup!$D$15,MATCH($F226,TaxCode,0),0,1,1)))+IF(ISERROR($G226),0,IF(ISNA(MATCH($G226,TaxCode,0)),0,OFFSET(Setup!$D$15,MATCH($G226,TaxCode,0),0,1,1))))*IF(ISERROR($F226),0,IF(ISNA(MATCH($F226,TaxCode,0)),0,OFFSET(Setup!$D$15,MATCH($F226,TaxCode,0),0,1,1)))</f>
        <v>0</v>
      </c>
      <c r="N226" s="29">
        <f ca="1">$O226/(1+IF(ISERROR($F226),0,IF(ISNA(MATCH($F226,TaxCode,0)),0,OFFSET(Setup!$D$15,MATCH($F226,TaxCode,0),0,1,1)))+IF(ISERROR($G226),0,IF(ISNA(MATCH($G226,TaxCode,0)),0,OFFSET(Setup!$D$15,MATCH($G226,TaxCode,0),0,1,1))))*IF(ISERROR($G226),0,IF(ISNA(MATCH($G226,TaxCode,0)),0,OFFSET(Setup!$D$15,MATCH($G226,TaxCode,0),0,1,1)))</f>
        <v>0</v>
      </c>
      <c r="O226" s="29">
        <f t="shared" si="10"/>
        <v>-90000</v>
      </c>
      <c r="P226" s="63" t="str">
        <f t="shared" ca="1" si="11"/>
        <v>-</v>
      </c>
    </row>
    <row r="227" spans="1:16" ht="16" customHeight="1" x14ac:dyDescent="0.25">
      <c r="A227" s="79">
        <v>44185</v>
      </c>
      <c r="B227" s="4" t="s">
        <v>128</v>
      </c>
      <c r="C227" s="4" t="s">
        <v>172</v>
      </c>
      <c r="D227" s="4" t="s">
        <v>173</v>
      </c>
      <c r="E227" s="29">
        <v>90000</v>
      </c>
      <c r="F227" s="63" t="s">
        <v>108</v>
      </c>
      <c r="G227" s="63" t="s">
        <v>108</v>
      </c>
      <c r="H227" s="63" t="s">
        <v>145</v>
      </c>
      <c r="I227" s="30" t="s">
        <v>275</v>
      </c>
      <c r="J227" s="10">
        <v>44185</v>
      </c>
      <c r="K227" s="63">
        <f t="shared" ca="1" si="9"/>
        <v>0</v>
      </c>
      <c r="L227" s="29" cm="1">
        <f t="array" aca="1" ref="L227" ca="1">O227-IF(ExpTaxCount=2,SUM($M227:$N227),$M227:$M227)</f>
        <v>90000</v>
      </c>
      <c r="M227" s="29">
        <f ca="1">$O227/(1+IF(ISERROR($F227),0,IF(ISNA(MATCH($F227,TaxCode,0)),0,OFFSET(Setup!$D$15,MATCH($F227,TaxCode,0),0,1,1)))+IF(ISERROR($G227),0,IF(ISNA(MATCH($G227,TaxCode,0)),0,OFFSET(Setup!$D$15,MATCH($G227,TaxCode,0),0,1,1))))*IF(ISERROR($F227),0,IF(ISNA(MATCH($F227,TaxCode,0)),0,OFFSET(Setup!$D$15,MATCH($F227,TaxCode,0),0,1,1)))</f>
        <v>0</v>
      </c>
      <c r="N227" s="29">
        <f ca="1">$O227/(1+IF(ISERROR($F227),0,IF(ISNA(MATCH($F227,TaxCode,0)),0,OFFSET(Setup!$D$15,MATCH($F227,TaxCode,0),0,1,1)))+IF(ISERROR($G227),0,IF(ISNA(MATCH($G227,TaxCode,0)),0,OFFSET(Setup!$D$15,MATCH($G227,TaxCode,0),0,1,1))))*IF(ISERROR($G227),0,IF(ISNA(MATCH($G227,TaxCode,0)),0,OFFSET(Setup!$D$15,MATCH($G227,TaxCode,0),0,1,1)))</f>
        <v>0</v>
      </c>
      <c r="O227" s="29">
        <f t="shared" si="10"/>
        <v>90000</v>
      </c>
      <c r="P227" s="63" t="str">
        <f t="shared" ca="1" si="11"/>
        <v>-</v>
      </c>
    </row>
    <row r="228" spans="1:16" ht="16" customHeight="1" x14ac:dyDescent="0.25">
      <c r="A228" s="79">
        <v>44187</v>
      </c>
      <c r="B228" s="4" t="s">
        <v>24</v>
      </c>
      <c r="C228" s="4" t="s">
        <v>23</v>
      </c>
      <c r="D228" s="4" t="s">
        <v>119</v>
      </c>
      <c r="E228" s="29">
        <v>648</v>
      </c>
      <c r="F228" s="63" t="s">
        <v>93</v>
      </c>
      <c r="G228" s="63" t="s">
        <v>108</v>
      </c>
      <c r="H228" s="63" t="s">
        <v>151</v>
      </c>
      <c r="I228" s="30" t="s">
        <v>293</v>
      </c>
      <c r="J228" s="10">
        <v>44187</v>
      </c>
      <c r="K228" s="63">
        <f t="shared" ca="1" si="9"/>
        <v>0</v>
      </c>
      <c r="L228" s="29" cm="1">
        <f t="array" aca="1" ref="L228" ca="1">O228-IF(ExpTaxCount=2,SUM($M228:$N228),$M228:$M228)</f>
        <v>563.47826086956525</v>
      </c>
      <c r="M228" s="29">
        <f ca="1">$O228/(1+IF(ISERROR($F228),0,IF(ISNA(MATCH($F228,TaxCode,0)),0,OFFSET(Setup!$D$15,MATCH($F228,TaxCode,0),0,1,1)))+IF(ISERROR($G228),0,IF(ISNA(MATCH($G228,TaxCode,0)),0,OFFSET(Setup!$D$15,MATCH($G228,TaxCode,0),0,1,1))))*IF(ISERROR($F228),0,IF(ISNA(MATCH($F228,TaxCode,0)),0,OFFSET(Setup!$D$15,MATCH($F228,TaxCode,0),0,1,1)))</f>
        <v>84.521739130434781</v>
      </c>
      <c r="N228" s="29">
        <f ca="1">$O228/(1+IF(ISERROR($F228),0,IF(ISNA(MATCH($F228,TaxCode,0)),0,OFFSET(Setup!$D$15,MATCH($F228,TaxCode,0),0,1,1)))+IF(ISERROR($G228),0,IF(ISNA(MATCH($G228,TaxCode,0)),0,OFFSET(Setup!$D$15,MATCH($G228,TaxCode,0),0,1,1))))*IF(ISERROR($G228),0,IF(ISNA(MATCH($G228,TaxCode,0)),0,OFFSET(Setup!$D$15,MATCH($G228,TaxCode,0),0,1,1)))</f>
        <v>0</v>
      </c>
      <c r="O228" s="29">
        <f t="shared" si="10"/>
        <v>648</v>
      </c>
      <c r="P228" s="63" t="str">
        <f t="shared" ca="1" si="11"/>
        <v>-</v>
      </c>
    </row>
    <row r="229" spans="1:16" ht="16" customHeight="1" x14ac:dyDescent="0.25">
      <c r="A229" s="79">
        <v>44190</v>
      </c>
      <c r="B229" s="4" t="s">
        <v>48</v>
      </c>
      <c r="C229" s="4" t="s">
        <v>121</v>
      </c>
      <c r="D229" s="4" t="s">
        <v>57</v>
      </c>
      <c r="E229" s="29">
        <v>40976.74</v>
      </c>
      <c r="F229" s="63" t="s">
        <v>108</v>
      </c>
      <c r="G229" s="63" t="s">
        <v>108</v>
      </c>
      <c r="H229" s="63" t="s">
        <v>145</v>
      </c>
      <c r="I229" s="30" t="s">
        <v>284</v>
      </c>
      <c r="J229" s="10">
        <v>44190</v>
      </c>
      <c r="K229" s="63">
        <f t="shared" ca="1" si="9"/>
        <v>0</v>
      </c>
      <c r="L229" s="29" cm="1">
        <f t="array" aca="1" ref="L229" ca="1">O229-IF(ExpTaxCount=2,SUM($M229:$N229),$M229:$M229)</f>
        <v>40976.74</v>
      </c>
      <c r="M229" s="29">
        <f ca="1">$O229/(1+IF(ISERROR($F229),0,IF(ISNA(MATCH($F229,TaxCode,0)),0,OFFSET(Setup!$D$15,MATCH($F229,TaxCode,0),0,1,1)))+IF(ISERROR($G229),0,IF(ISNA(MATCH($G229,TaxCode,0)),0,OFFSET(Setup!$D$15,MATCH($G229,TaxCode,0),0,1,1))))*IF(ISERROR($F229),0,IF(ISNA(MATCH($F229,TaxCode,0)),0,OFFSET(Setup!$D$15,MATCH($F229,TaxCode,0),0,1,1)))</f>
        <v>0</v>
      </c>
      <c r="N229" s="29">
        <f ca="1">$O229/(1+IF(ISERROR($F229),0,IF(ISNA(MATCH($F229,TaxCode,0)),0,OFFSET(Setup!$D$15,MATCH($F229,TaxCode,0),0,1,1)))+IF(ISERROR($G229),0,IF(ISNA(MATCH($G229,TaxCode,0)),0,OFFSET(Setup!$D$15,MATCH($G229,TaxCode,0),0,1,1))))*IF(ISERROR($G229),0,IF(ISNA(MATCH($G229,TaxCode,0)),0,OFFSET(Setup!$D$15,MATCH($G229,TaxCode,0),0,1,1)))</f>
        <v>0</v>
      </c>
      <c r="O229" s="29">
        <f t="shared" si="10"/>
        <v>40976.74</v>
      </c>
      <c r="P229" s="63" t="str">
        <f t="shared" ca="1" si="11"/>
        <v>-</v>
      </c>
    </row>
    <row r="230" spans="1:16" ht="16" customHeight="1" x14ac:dyDescent="0.25">
      <c r="A230" s="79">
        <v>44191</v>
      </c>
      <c r="B230" s="4" t="s">
        <v>128</v>
      </c>
      <c r="C230" s="4" t="s">
        <v>115</v>
      </c>
      <c r="D230" s="4" t="s">
        <v>26</v>
      </c>
      <c r="E230" s="29">
        <v>75000</v>
      </c>
      <c r="F230" s="63" t="s">
        <v>108</v>
      </c>
      <c r="G230" s="63" t="s">
        <v>108</v>
      </c>
      <c r="H230" s="63" t="s">
        <v>147</v>
      </c>
      <c r="I230" s="30" t="s">
        <v>366</v>
      </c>
      <c r="J230" s="10">
        <v>44191</v>
      </c>
      <c r="K230" s="63">
        <f t="shared" ca="1" si="9"/>
        <v>0</v>
      </c>
      <c r="L230" s="29" cm="1">
        <f t="array" aca="1" ref="L230" ca="1">O230-IF(ExpTaxCount=2,SUM($M230:$N230),$M230:$M230)</f>
        <v>75000</v>
      </c>
      <c r="M230" s="29">
        <f ca="1">$O230/(1+IF(ISERROR($F230),0,IF(ISNA(MATCH($F230,TaxCode,0)),0,OFFSET(Setup!$D$15,MATCH($F230,TaxCode,0),0,1,1)))+IF(ISERROR($G230),0,IF(ISNA(MATCH($G230,TaxCode,0)),0,OFFSET(Setup!$D$15,MATCH($G230,TaxCode,0),0,1,1))))*IF(ISERROR($F230),0,IF(ISNA(MATCH($F230,TaxCode,0)),0,OFFSET(Setup!$D$15,MATCH($F230,TaxCode,0),0,1,1)))</f>
        <v>0</v>
      </c>
      <c r="N230" s="29">
        <f ca="1">$O230/(1+IF(ISERROR($F230),0,IF(ISNA(MATCH($F230,TaxCode,0)),0,OFFSET(Setup!$D$15,MATCH($F230,TaxCode,0),0,1,1)))+IF(ISERROR($G230),0,IF(ISNA(MATCH($G230,TaxCode,0)),0,OFFSET(Setup!$D$15,MATCH($G230,TaxCode,0),0,1,1))))*IF(ISERROR($G230),0,IF(ISNA(MATCH($G230,TaxCode,0)),0,OFFSET(Setup!$D$15,MATCH($G230,TaxCode,0),0,1,1)))</f>
        <v>0</v>
      </c>
      <c r="O230" s="29">
        <f t="shared" si="10"/>
        <v>75000</v>
      </c>
      <c r="P230" s="63" t="str">
        <f t="shared" ca="1" si="11"/>
        <v>-</v>
      </c>
    </row>
    <row r="231" spans="1:16" ht="16" customHeight="1" x14ac:dyDescent="0.25">
      <c r="A231" s="79">
        <v>44191</v>
      </c>
      <c r="B231" s="4" t="s">
        <v>54</v>
      </c>
      <c r="C231" s="4" t="s">
        <v>110</v>
      </c>
      <c r="D231" s="4" t="s">
        <v>56</v>
      </c>
      <c r="E231" s="29">
        <v>2783.03</v>
      </c>
      <c r="F231" s="63" t="s">
        <v>108</v>
      </c>
      <c r="G231" s="63" t="s">
        <v>108</v>
      </c>
      <c r="H231" s="63" t="s">
        <v>145</v>
      </c>
      <c r="I231" s="30" t="s">
        <v>403</v>
      </c>
      <c r="J231" s="10">
        <v>44191</v>
      </c>
      <c r="K231" s="63">
        <f t="shared" ca="1" si="9"/>
        <v>0</v>
      </c>
      <c r="L231" s="29" cm="1">
        <f t="array" aca="1" ref="L231" ca="1">O231-IF(ExpTaxCount=2,SUM($M231:$N231),$M231:$M231)</f>
        <v>2783.03</v>
      </c>
      <c r="M231" s="29">
        <f ca="1">$O231/(1+IF(ISERROR($F231),0,IF(ISNA(MATCH($F231,TaxCode,0)),0,OFFSET(Setup!$D$15,MATCH($F231,TaxCode,0),0,1,1)))+IF(ISERROR($G231),0,IF(ISNA(MATCH($G231,TaxCode,0)),0,OFFSET(Setup!$D$15,MATCH($G231,TaxCode,0),0,1,1))))*IF(ISERROR($F231),0,IF(ISNA(MATCH($F231,TaxCode,0)),0,OFFSET(Setup!$D$15,MATCH($F231,TaxCode,0),0,1,1)))</f>
        <v>0</v>
      </c>
      <c r="N231" s="29">
        <f ca="1">$O231/(1+IF(ISERROR($F231),0,IF(ISNA(MATCH($F231,TaxCode,0)),0,OFFSET(Setup!$D$15,MATCH($F231,TaxCode,0),0,1,1)))+IF(ISERROR($G231),0,IF(ISNA(MATCH($G231,TaxCode,0)),0,OFFSET(Setup!$D$15,MATCH($G231,TaxCode,0),0,1,1))))*IF(ISERROR($G231),0,IF(ISNA(MATCH($G231,TaxCode,0)),0,OFFSET(Setup!$D$15,MATCH($G231,TaxCode,0),0,1,1)))</f>
        <v>0</v>
      </c>
      <c r="O231" s="29">
        <f t="shared" si="10"/>
        <v>2783.03</v>
      </c>
      <c r="P231" s="63" t="str">
        <f t="shared" ca="1" si="11"/>
        <v>-</v>
      </c>
    </row>
    <row r="232" spans="1:16" ht="16" customHeight="1" x14ac:dyDescent="0.25">
      <c r="A232" s="79">
        <v>44191</v>
      </c>
      <c r="B232" s="4" t="s">
        <v>54</v>
      </c>
      <c r="C232" s="4" t="s">
        <v>110</v>
      </c>
      <c r="D232" s="4" t="s">
        <v>55</v>
      </c>
      <c r="E232" s="29">
        <v>1466.38</v>
      </c>
      <c r="F232" s="63" t="s">
        <v>108</v>
      </c>
      <c r="G232" s="63" t="s">
        <v>108</v>
      </c>
      <c r="H232" s="63" t="s">
        <v>145</v>
      </c>
      <c r="I232" s="30" t="s">
        <v>309</v>
      </c>
      <c r="J232" s="10">
        <v>44191</v>
      </c>
      <c r="K232" s="63">
        <f t="shared" ca="1" si="9"/>
        <v>0</v>
      </c>
      <c r="L232" s="29" cm="1">
        <f t="array" aca="1" ref="L232" ca="1">O232-IF(ExpTaxCount=2,SUM($M232:$N232),$M232:$M232)</f>
        <v>1466.38</v>
      </c>
      <c r="M232" s="29">
        <f ca="1">$O232/(1+IF(ISERROR($F232),0,IF(ISNA(MATCH($F232,TaxCode,0)),0,OFFSET(Setup!$D$15,MATCH($F232,TaxCode,0),0,1,1)))+IF(ISERROR($G232),0,IF(ISNA(MATCH($G232,TaxCode,0)),0,OFFSET(Setup!$D$15,MATCH($G232,TaxCode,0),0,1,1))))*IF(ISERROR($F232),0,IF(ISNA(MATCH($F232,TaxCode,0)),0,OFFSET(Setup!$D$15,MATCH($F232,TaxCode,0),0,1,1)))</f>
        <v>0</v>
      </c>
      <c r="N232" s="29">
        <f ca="1">$O232/(1+IF(ISERROR($F232),0,IF(ISNA(MATCH($F232,TaxCode,0)),0,OFFSET(Setup!$D$15,MATCH($F232,TaxCode,0),0,1,1)))+IF(ISERROR($G232),0,IF(ISNA(MATCH($G232,TaxCode,0)),0,OFFSET(Setup!$D$15,MATCH($G232,TaxCode,0),0,1,1))))*IF(ISERROR($G232),0,IF(ISNA(MATCH($G232,TaxCode,0)),0,OFFSET(Setup!$D$15,MATCH($G232,TaxCode,0),0,1,1)))</f>
        <v>0</v>
      </c>
      <c r="O232" s="29">
        <f t="shared" si="10"/>
        <v>1466.38</v>
      </c>
      <c r="P232" s="63" t="str">
        <f t="shared" ca="1" si="11"/>
        <v>-</v>
      </c>
    </row>
    <row r="233" spans="1:16" ht="16" customHeight="1" x14ac:dyDescent="0.25">
      <c r="A233" s="79">
        <v>44191</v>
      </c>
      <c r="B233" s="4" t="s">
        <v>25</v>
      </c>
      <c r="C233" s="4" t="s">
        <v>110</v>
      </c>
      <c r="D233" s="4" t="s">
        <v>116</v>
      </c>
      <c r="E233" s="29">
        <v>13800</v>
      </c>
      <c r="F233" s="63" t="s">
        <v>93</v>
      </c>
      <c r="G233" s="63" t="s">
        <v>108</v>
      </c>
      <c r="H233" s="63" t="s">
        <v>145</v>
      </c>
      <c r="I233" s="30" t="s">
        <v>298</v>
      </c>
      <c r="J233" s="10">
        <v>44191</v>
      </c>
      <c r="K233" s="63">
        <f t="shared" ca="1" si="9"/>
        <v>0</v>
      </c>
      <c r="L233" s="29" cm="1">
        <f t="array" aca="1" ref="L233" ca="1">O233-IF(ExpTaxCount=2,SUM($M233:$N233),$M233:$M233)</f>
        <v>12000</v>
      </c>
      <c r="M233" s="29">
        <f ca="1">$O233/(1+IF(ISERROR($F233),0,IF(ISNA(MATCH($F233,TaxCode,0)),0,OFFSET(Setup!$D$15,MATCH($F233,TaxCode,0),0,1,1)))+IF(ISERROR($G233),0,IF(ISNA(MATCH($G233,TaxCode,0)),0,OFFSET(Setup!$D$15,MATCH($G233,TaxCode,0),0,1,1))))*IF(ISERROR($F233),0,IF(ISNA(MATCH($F233,TaxCode,0)),0,OFFSET(Setup!$D$15,MATCH($F233,TaxCode,0),0,1,1)))</f>
        <v>1800.0000000000002</v>
      </c>
      <c r="N233" s="29">
        <f ca="1">$O233/(1+IF(ISERROR($F233),0,IF(ISNA(MATCH($F233,TaxCode,0)),0,OFFSET(Setup!$D$15,MATCH($F233,TaxCode,0),0,1,1)))+IF(ISERROR($G233),0,IF(ISNA(MATCH($G233,TaxCode,0)),0,OFFSET(Setup!$D$15,MATCH($G233,TaxCode,0),0,1,1))))*IF(ISERROR($G233),0,IF(ISNA(MATCH($G233,TaxCode,0)),0,OFFSET(Setup!$D$15,MATCH($G233,TaxCode,0),0,1,1)))</f>
        <v>0</v>
      </c>
      <c r="O233" s="29">
        <f t="shared" si="10"/>
        <v>13800</v>
      </c>
      <c r="P233" s="63" t="str">
        <f t="shared" ca="1" si="11"/>
        <v>-</v>
      </c>
    </row>
    <row r="234" spans="1:16" ht="16" customHeight="1" x14ac:dyDescent="0.25">
      <c r="A234" s="79">
        <v>44191</v>
      </c>
      <c r="B234" s="4" t="s">
        <v>128</v>
      </c>
      <c r="C234" s="4" t="s">
        <v>115</v>
      </c>
      <c r="D234" s="4" t="s">
        <v>509</v>
      </c>
      <c r="E234" s="29">
        <v>70000</v>
      </c>
      <c r="F234" s="63" t="s">
        <v>108</v>
      </c>
      <c r="G234" s="63" t="s">
        <v>108</v>
      </c>
      <c r="H234" s="63" t="s">
        <v>147</v>
      </c>
      <c r="I234" s="30" t="s">
        <v>364</v>
      </c>
      <c r="J234" s="10">
        <v>44191</v>
      </c>
      <c r="K234" s="63">
        <f t="shared" ca="1" si="9"/>
        <v>0</v>
      </c>
      <c r="L234" s="29" cm="1">
        <f t="array" aca="1" ref="L234" ca="1">O234-IF(ExpTaxCount=2,SUM($M234:$N234),$M234:$M234)</f>
        <v>70000</v>
      </c>
      <c r="M234" s="29">
        <f ca="1">$O234/(1+IF(ISERROR($F234),0,IF(ISNA(MATCH($F234,TaxCode,0)),0,OFFSET(Setup!$D$15,MATCH($F234,TaxCode,0),0,1,1)))+IF(ISERROR($G234),0,IF(ISNA(MATCH($G234,TaxCode,0)),0,OFFSET(Setup!$D$15,MATCH($G234,TaxCode,0),0,1,1))))*IF(ISERROR($F234),0,IF(ISNA(MATCH($F234,TaxCode,0)),0,OFFSET(Setup!$D$15,MATCH($F234,TaxCode,0),0,1,1)))</f>
        <v>0</v>
      </c>
      <c r="N234" s="29">
        <f ca="1">$O234/(1+IF(ISERROR($F234),0,IF(ISNA(MATCH($F234,TaxCode,0)),0,OFFSET(Setup!$D$15,MATCH($F234,TaxCode,0),0,1,1)))+IF(ISERROR($G234),0,IF(ISNA(MATCH($G234,TaxCode,0)),0,OFFSET(Setup!$D$15,MATCH($G234,TaxCode,0),0,1,1))))*IF(ISERROR($G234),0,IF(ISNA(MATCH($G234,TaxCode,0)),0,OFFSET(Setup!$D$15,MATCH($G234,TaxCode,0),0,1,1)))</f>
        <v>0</v>
      </c>
      <c r="O234" s="29">
        <f t="shared" si="10"/>
        <v>70000</v>
      </c>
      <c r="P234" s="63" t="str">
        <f t="shared" ca="1" si="11"/>
        <v>-</v>
      </c>
    </row>
    <row r="235" spans="1:16" ht="16" customHeight="1" x14ac:dyDescent="0.25">
      <c r="A235" s="79">
        <v>44191</v>
      </c>
      <c r="B235" s="4" t="s">
        <v>128</v>
      </c>
      <c r="C235" s="4" t="s">
        <v>115</v>
      </c>
      <c r="D235" s="4" t="s">
        <v>510</v>
      </c>
      <c r="E235" s="29">
        <v>14400</v>
      </c>
      <c r="F235" s="63" t="s">
        <v>108</v>
      </c>
      <c r="G235" s="63" t="s">
        <v>108</v>
      </c>
      <c r="H235" s="63" t="s">
        <v>147</v>
      </c>
      <c r="I235" s="30" t="s">
        <v>364</v>
      </c>
      <c r="J235" s="10">
        <v>44202</v>
      </c>
      <c r="K235" s="63">
        <f t="shared" ca="1" si="9"/>
        <v>0</v>
      </c>
      <c r="L235" s="29" cm="1">
        <f t="array" aca="1" ref="L235" ca="1">O235-IF(ExpTaxCount=2,SUM($M235:$N235),$M235:$M235)</f>
        <v>14400</v>
      </c>
      <c r="M235" s="29">
        <f ca="1">$O235/(1+IF(ISERROR($F235),0,IF(ISNA(MATCH($F235,TaxCode,0)),0,OFFSET(Setup!$D$15,MATCH($F235,TaxCode,0),0,1,1)))+IF(ISERROR($G235),0,IF(ISNA(MATCH($G235,TaxCode,0)),0,OFFSET(Setup!$D$15,MATCH($G235,TaxCode,0),0,1,1))))*IF(ISERROR($F235),0,IF(ISNA(MATCH($F235,TaxCode,0)),0,OFFSET(Setup!$D$15,MATCH($F235,TaxCode,0),0,1,1)))</f>
        <v>0</v>
      </c>
      <c r="N235" s="29">
        <f ca="1">$O235/(1+IF(ISERROR($F235),0,IF(ISNA(MATCH($F235,TaxCode,0)),0,OFFSET(Setup!$D$15,MATCH($F235,TaxCode,0),0,1,1)))+IF(ISERROR($G235),0,IF(ISNA(MATCH($G235,TaxCode,0)),0,OFFSET(Setup!$D$15,MATCH($G235,TaxCode,0),0,1,1))))*IF(ISERROR($G235),0,IF(ISNA(MATCH($G235,TaxCode,0)),0,OFFSET(Setup!$D$15,MATCH($G235,TaxCode,0),0,1,1)))</f>
        <v>0</v>
      </c>
      <c r="O235" s="29">
        <f t="shared" si="10"/>
        <v>14400</v>
      </c>
      <c r="P235" s="63" t="str">
        <f t="shared" ca="1" si="11"/>
        <v>-</v>
      </c>
    </row>
    <row r="236" spans="1:16" ht="16" customHeight="1" x14ac:dyDescent="0.25">
      <c r="A236" s="79">
        <v>44191</v>
      </c>
      <c r="B236" s="4" t="s">
        <v>128</v>
      </c>
      <c r="C236" s="4" t="s">
        <v>115</v>
      </c>
      <c r="D236" s="4" t="s">
        <v>511</v>
      </c>
      <c r="E236" s="29">
        <v>13200</v>
      </c>
      <c r="F236" s="63" t="s">
        <v>108</v>
      </c>
      <c r="G236" s="63" t="s">
        <v>108</v>
      </c>
      <c r="H236" s="63" t="s">
        <v>147</v>
      </c>
      <c r="I236" s="30" t="s">
        <v>366</v>
      </c>
      <c r="J236" s="10">
        <v>44202</v>
      </c>
      <c r="K236" s="63">
        <f t="shared" ca="1" si="9"/>
        <v>0</v>
      </c>
      <c r="L236" s="29" cm="1">
        <f t="array" aca="1" ref="L236" ca="1">O236-IF(ExpTaxCount=2,SUM($M236:$N236),$M236:$M236)</f>
        <v>13200</v>
      </c>
      <c r="M236" s="29">
        <f ca="1">$O236/(1+IF(ISERROR($F236),0,IF(ISNA(MATCH($F236,TaxCode,0)),0,OFFSET(Setup!$D$15,MATCH($F236,TaxCode,0),0,1,1)))+IF(ISERROR($G236),0,IF(ISNA(MATCH($G236,TaxCode,0)),0,OFFSET(Setup!$D$15,MATCH($G236,TaxCode,0),0,1,1))))*IF(ISERROR($F236),0,IF(ISNA(MATCH($F236,TaxCode,0)),0,OFFSET(Setup!$D$15,MATCH($F236,TaxCode,0),0,1,1)))</f>
        <v>0</v>
      </c>
      <c r="N236" s="29">
        <f ca="1">$O236/(1+IF(ISERROR($F236),0,IF(ISNA(MATCH($F236,TaxCode,0)),0,OFFSET(Setup!$D$15,MATCH($F236,TaxCode,0),0,1,1)))+IF(ISERROR($G236),0,IF(ISNA(MATCH($G236,TaxCode,0)),0,OFFSET(Setup!$D$15,MATCH($G236,TaxCode,0),0,1,1))))*IF(ISERROR($G236),0,IF(ISNA(MATCH($G236,TaxCode,0)),0,OFFSET(Setup!$D$15,MATCH($G236,TaxCode,0),0,1,1)))</f>
        <v>0</v>
      </c>
      <c r="O236" s="29">
        <f t="shared" si="10"/>
        <v>13200</v>
      </c>
      <c r="P236" s="63" t="str">
        <f t="shared" ca="1" si="11"/>
        <v>-</v>
      </c>
    </row>
    <row r="237" spans="1:16" ht="16" customHeight="1" x14ac:dyDescent="0.25">
      <c r="A237" s="79">
        <v>44196</v>
      </c>
      <c r="B237" s="4" t="s">
        <v>128</v>
      </c>
      <c r="C237" s="4" t="s">
        <v>109</v>
      </c>
      <c r="D237" s="4" t="s">
        <v>174</v>
      </c>
      <c r="E237" s="29">
        <v>744</v>
      </c>
      <c r="F237" s="63" t="s">
        <v>108</v>
      </c>
      <c r="G237" s="63" t="s">
        <v>108</v>
      </c>
      <c r="H237" s="63" t="s">
        <v>145</v>
      </c>
      <c r="I237" s="30" t="s">
        <v>275</v>
      </c>
      <c r="J237" s="10">
        <v>44196</v>
      </c>
      <c r="K237" s="63">
        <f t="shared" ca="1" si="9"/>
        <v>0</v>
      </c>
      <c r="L237" s="29" cm="1">
        <f t="array" aca="1" ref="L237" ca="1">O237-IF(ExpTaxCount=2,SUM($M237:$N237),$M237:$M237)</f>
        <v>744</v>
      </c>
      <c r="M237" s="29">
        <f ca="1">$O237/(1+IF(ISERROR($F237),0,IF(ISNA(MATCH($F237,TaxCode,0)),0,OFFSET(Setup!$D$15,MATCH($F237,TaxCode,0),0,1,1)))+IF(ISERROR($G237),0,IF(ISNA(MATCH($G237,TaxCode,0)),0,OFFSET(Setup!$D$15,MATCH($G237,TaxCode,0),0,1,1))))*IF(ISERROR($F237),0,IF(ISNA(MATCH($F237,TaxCode,0)),0,OFFSET(Setup!$D$15,MATCH($F237,TaxCode,0),0,1,1)))</f>
        <v>0</v>
      </c>
      <c r="N237" s="29">
        <f ca="1">$O237/(1+IF(ISERROR($F237),0,IF(ISNA(MATCH($F237,TaxCode,0)),0,OFFSET(Setup!$D$15,MATCH($F237,TaxCode,0),0,1,1)))+IF(ISERROR($G237),0,IF(ISNA(MATCH($G237,TaxCode,0)),0,OFFSET(Setup!$D$15,MATCH($G237,TaxCode,0),0,1,1))))*IF(ISERROR($G237),0,IF(ISNA(MATCH($G237,TaxCode,0)),0,OFFSET(Setup!$D$15,MATCH($G237,TaxCode,0),0,1,1)))</f>
        <v>0</v>
      </c>
      <c r="O237" s="29">
        <f t="shared" si="10"/>
        <v>744</v>
      </c>
      <c r="P237" s="63" t="str">
        <f t="shared" ca="1" si="11"/>
        <v>-</v>
      </c>
    </row>
    <row r="238" spans="1:16" ht="16" customHeight="1" x14ac:dyDescent="0.25">
      <c r="A238" s="79">
        <v>44196</v>
      </c>
      <c r="B238" s="4" t="s">
        <v>128</v>
      </c>
      <c r="C238" s="4" t="s">
        <v>109</v>
      </c>
      <c r="D238" s="4" t="s">
        <v>174</v>
      </c>
      <c r="E238" s="29">
        <v>-744</v>
      </c>
      <c r="F238" s="63" t="s">
        <v>108</v>
      </c>
      <c r="G238" s="63" t="s">
        <v>108</v>
      </c>
      <c r="H238" s="63" t="s">
        <v>151</v>
      </c>
      <c r="I238" s="30" t="s">
        <v>275</v>
      </c>
      <c r="J238" s="10">
        <v>44196</v>
      </c>
      <c r="K238" s="63">
        <f t="shared" ca="1" si="9"/>
        <v>0</v>
      </c>
      <c r="L238" s="29" cm="1">
        <f t="array" aca="1" ref="L238" ca="1">O238-IF(ExpTaxCount=2,SUM($M238:$N238),$M238:$M238)</f>
        <v>-744</v>
      </c>
      <c r="M238" s="29">
        <f ca="1">$O238/(1+IF(ISERROR($F238),0,IF(ISNA(MATCH($F238,TaxCode,0)),0,OFFSET(Setup!$D$15,MATCH($F238,TaxCode,0),0,1,1)))+IF(ISERROR($G238),0,IF(ISNA(MATCH($G238,TaxCode,0)),0,OFFSET(Setup!$D$15,MATCH($G238,TaxCode,0),0,1,1))))*IF(ISERROR($F238),0,IF(ISNA(MATCH($F238,TaxCode,0)),0,OFFSET(Setup!$D$15,MATCH($F238,TaxCode,0),0,1,1)))</f>
        <v>0</v>
      </c>
      <c r="N238" s="29">
        <f ca="1">$O238/(1+IF(ISERROR($F238),0,IF(ISNA(MATCH($F238,TaxCode,0)),0,OFFSET(Setup!$D$15,MATCH($F238,TaxCode,0),0,1,1)))+IF(ISERROR($G238),0,IF(ISNA(MATCH($G238,TaxCode,0)),0,OFFSET(Setup!$D$15,MATCH($G238,TaxCode,0),0,1,1))))*IF(ISERROR($G238),0,IF(ISNA(MATCH($G238,TaxCode,0)),0,OFFSET(Setup!$D$15,MATCH($G238,TaxCode,0),0,1,1)))</f>
        <v>0</v>
      </c>
      <c r="O238" s="29">
        <f t="shared" si="10"/>
        <v>-744</v>
      </c>
      <c r="P238" s="63" t="str">
        <f t="shared" ca="1" si="11"/>
        <v>-</v>
      </c>
    </row>
    <row r="239" spans="1:16" ht="16" customHeight="1" x14ac:dyDescent="0.25">
      <c r="A239" s="79">
        <v>44196</v>
      </c>
      <c r="B239" s="4" t="s">
        <v>505</v>
      </c>
      <c r="C239" s="4" t="s">
        <v>507</v>
      </c>
      <c r="D239" s="4" t="s">
        <v>506</v>
      </c>
      <c r="E239" s="29">
        <v>10580</v>
      </c>
      <c r="F239" s="63" t="s">
        <v>108</v>
      </c>
      <c r="G239" s="63" t="s">
        <v>108</v>
      </c>
      <c r="H239" s="63" t="s">
        <v>149</v>
      </c>
      <c r="I239" s="30" t="s">
        <v>290</v>
      </c>
      <c r="J239" s="10">
        <v>44203</v>
      </c>
      <c r="K239" s="63">
        <f t="shared" ca="1" si="9"/>
        <v>0</v>
      </c>
      <c r="L239" s="29" cm="1">
        <f t="array" aca="1" ref="L239" ca="1">O239-IF(ExpTaxCount=2,SUM($M239:$N239),$M239:$M239)</f>
        <v>10580</v>
      </c>
      <c r="M239" s="29">
        <f ca="1">$O239/(1+IF(ISERROR($F239),0,IF(ISNA(MATCH($F239,TaxCode,0)),0,OFFSET(Setup!$D$15,MATCH($F239,TaxCode,0),0,1,1)))+IF(ISERROR($G239),0,IF(ISNA(MATCH($G239,TaxCode,0)),0,OFFSET(Setup!$D$15,MATCH($G239,TaxCode,0),0,1,1))))*IF(ISERROR($F239),0,IF(ISNA(MATCH($F239,TaxCode,0)),0,OFFSET(Setup!$D$15,MATCH($F239,TaxCode,0),0,1,1)))</f>
        <v>0</v>
      </c>
      <c r="N239" s="29">
        <f ca="1">$O239/(1+IF(ISERROR($F239),0,IF(ISNA(MATCH($F239,TaxCode,0)),0,OFFSET(Setup!$D$15,MATCH($F239,TaxCode,0),0,1,1)))+IF(ISERROR($G239),0,IF(ISNA(MATCH($G239,TaxCode,0)),0,OFFSET(Setup!$D$15,MATCH($G239,TaxCode,0),0,1,1))))*IF(ISERROR($G239),0,IF(ISNA(MATCH($G239,TaxCode,0)),0,OFFSET(Setup!$D$15,MATCH($G239,TaxCode,0),0,1,1)))</f>
        <v>0</v>
      </c>
      <c r="O239" s="29">
        <f t="shared" si="10"/>
        <v>10580</v>
      </c>
      <c r="P239" s="63" t="str">
        <f t="shared" ca="1" si="11"/>
        <v>-</v>
      </c>
    </row>
    <row r="240" spans="1:16" ht="16" customHeight="1" x14ac:dyDescent="0.25">
      <c r="A240" s="79">
        <v>44197</v>
      </c>
      <c r="B240" s="4" t="s">
        <v>5</v>
      </c>
      <c r="C240" s="4" t="s">
        <v>39</v>
      </c>
      <c r="D240" s="4" t="s">
        <v>114</v>
      </c>
      <c r="E240" s="29">
        <v>850</v>
      </c>
      <c r="F240" s="63" t="s">
        <v>93</v>
      </c>
      <c r="G240" s="63" t="s">
        <v>108</v>
      </c>
      <c r="H240" s="63" t="s">
        <v>145</v>
      </c>
      <c r="I240" s="30" t="s">
        <v>303</v>
      </c>
      <c r="J240" s="10">
        <v>44227</v>
      </c>
      <c r="K240" s="63">
        <f t="shared" ca="1" si="9"/>
        <v>0</v>
      </c>
      <c r="L240" s="29" cm="1">
        <f t="array" aca="1" ref="L240" ca="1">O240-IF(ExpTaxCount=2,SUM($M240:$N240),$M240:$M240)</f>
        <v>739.13043478260875</v>
      </c>
      <c r="M240" s="29">
        <f ca="1">$O240/(1+IF(ISERROR($F240),0,IF(ISNA(MATCH($F240,TaxCode,0)),0,OFFSET(Setup!$D$15,MATCH($F240,TaxCode,0),0,1,1)))+IF(ISERROR($G240),0,IF(ISNA(MATCH($G240,TaxCode,0)),0,OFFSET(Setup!$D$15,MATCH($G240,TaxCode,0),0,1,1))))*IF(ISERROR($F240),0,IF(ISNA(MATCH($F240,TaxCode,0)),0,OFFSET(Setup!$D$15,MATCH($F240,TaxCode,0),0,1,1)))</f>
        <v>110.86956521739131</v>
      </c>
      <c r="N240" s="29">
        <f ca="1">$O240/(1+IF(ISERROR($F240),0,IF(ISNA(MATCH($F240,TaxCode,0)),0,OFFSET(Setup!$D$15,MATCH($F240,TaxCode,0),0,1,1)))+IF(ISERROR($G240),0,IF(ISNA(MATCH($G240,TaxCode,0)),0,OFFSET(Setup!$D$15,MATCH($G240,TaxCode,0),0,1,1))))*IF(ISERROR($G240),0,IF(ISNA(MATCH($G240,TaxCode,0)),0,OFFSET(Setup!$D$15,MATCH($G240,TaxCode,0),0,1,1)))</f>
        <v>0</v>
      </c>
      <c r="O240" s="29">
        <f t="shared" si="10"/>
        <v>850</v>
      </c>
      <c r="P240" s="63" t="str">
        <f t="shared" ca="1" si="11"/>
        <v>-</v>
      </c>
    </row>
    <row r="241" spans="1:16" ht="16" customHeight="1" x14ac:dyDescent="0.25">
      <c r="A241" s="79">
        <v>44201</v>
      </c>
      <c r="B241" s="4" t="s">
        <v>167</v>
      </c>
      <c r="C241" s="4" t="s">
        <v>110</v>
      </c>
      <c r="D241" s="4" t="s">
        <v>71</v>
      </c>
      <c r="E241" s="29">
        <v>368</v>
      </c>
      <c r="F241" s="63" t="s">
        <v>93</v>
      </c>
      <c r="G241" s="63" t="s">
        <v>108</v>
      </c>
      <c r="H241" s="63" t="s">
        <v>145</v>
      </c>
      <c r="I241" s="30" t="s">
        <v>296</v>
      </c>
      <c r="J241" s="10">
        <v>44201</v>
      </c>
      <c r="K241" s="63">
        <f t="shared" ca="1" si="9"/>
        <v>0</v>
      </c>
      <c r="L241" s="29" cm="1">
        <f t="array" aca="1" ref="L241" ca="1">O241-IF(ExpTaxCount=2,SUM($M241:$N241),$M241:$M241)</f>
        <v>320</v>
      </c>
      <c r="M241" s="29">
        <f ca="1">$O241/(1+IF(ISERROR($F241),0,IF(ISNA(MATCH($F241,TaxCode,0)),0,OFFSET(Setup!$D$15,MATCH($F241,TaxCode,0),0,1,1)))+IF(ISERROR($G241),0,IF(ISNA(MATCH($G241,TaxCode,0)),0,OFFSET(Setup!$D$15,MATCH($G241,TaxCode,0),0,1,1))))*IF(ISERROR($F241),0,IF(ISNA(MATCH($F241,TaxCode,0)),0,OFFSET(Setup!$D$15,MATCH($F241,TaxCode,0),0,1,1)))</f>
        <v>48</v>
      </c>
      <c r="N241" s="29">
        <f ca="1">$O241/(1+IF(ISERROR($F241),0,IF(ISNA(MATCH($F241,TaxCode,0)),0,OFFSET(Setup!$D$15,MATCH($F241,TaxCode,0),0,1,1)))+IF(ISERROR($G241),0,IF(ISNA(MATCH($G241,TaxCode,0)),0,OFFSET(Setup!$D$15,MATCH($G241,TaxCode,0),0,1,1))))*IF(ISERROR($G241),0,IF(ISNA(MATCH($G241,TaxCode,0)),0,OFFSET(Setup!$D$15,MATCH($G241,TaxCode,0),0,1,1)))</f>
        <v>0</v>
      </c>
      <c r="O241" s="29">
        <f t="shared" si="10"/>
        <v>368</v>
      </c>
      <c r="P241" s="63" t="str">
        <f t="shared" ca="1" si="11"/>
        <v>-</v>
      </c>
    </row>
    <row r="242" spans="1:16" ht="16" customHeight="1" x14ac:dyDescent="0.25">
      <c r="A242" s="79">
        <v>44201</v>
      </c>
      <c r="B242" s="4" t="s">
        <v>128</v>
      </c>
      <c r="C242" s="4" t="s">
        <v>172</v>
      </c>
      <c r="D242" s="4" t="s">
        <v>173</v>
      </c>
      <c r="E242" s="29">
        <v>-10000</v>
      </c>
      <c r="F242" s="63" t="s">
        <v>108</v>
      </c>
      <c r="G242" s="63" t="s">
        <v>108</v>
      </c>
      <c r="H242" s="63" t="s">
        <v>149</v>
      </c>
      <c r="I242" s="30" t="s">
        <v>275</v>
      </c>
      <c r="J242" s="10">
        <v>44201</v>
      </c>
      <c r="K242" s="63">
        <f t="shared" ca="1" si="9"/>
        <v>0</v>
      </c>
      <c r="L242" s="29" cm="1">
        <f t="array" aca="1" ref="L242" ca="1">O242-IF(ExpTaxCount=2,SUM($M242:$N242),$M242:$M242)</f>
        <v>-10000</v>
      </c>
      <c r="M242" s="29">
        <f ca="1">$O242/(1+IF(ISERROR($F242),0,IF(ISNA(MATCH($F242,TaxCode,0)),0,OFFSET(Setup!$D$15,MATCH($F242,TaxCode,0),0,1,1)))+IF(ISERROR($G242),0,IF(ISNA(MATCH($G242,TaxCode,0)),0,OFFSET(Setup!$D$15,MATCH($G242,TaxCode,0),0,1,1))))*IF(ISERROR($F242),0,IF(ISNA(MATCH($F242,TaxCode,0)),0,OFFSET(Setup!$D$15,MATCH($F242,TaxCode,0),0,1,1)))</f>
        <v>0</v>
      </c>
      <c r="N242" s="29">
        <f ca="1">$O242/(1+IF(ISERROR($F242),0,IF(ISNA(MATCH($F242,TaxCode,0)),0,OFFSET(Setup!$D$15,MATCH($F242,TaxCode,0),0,1,1)))+IF(ISERROR($G242),0,IF(ISNA(MATCH($G242,TaxCode,0)),0,OFFSET(Setup!$D$15,MATCH($G242,TaxCode,0),0,1,1))))*IF(ISERROR($G242),0,IF(ISNA(MATCH($G242,TaxCode,0)),0,OFFSET(Setup!$D$15,MATCH($G242,TaxCode,0),0,1,1)))</f>
        <v>0</v>
      </c>
      <c r="O242" s="29">
        <f t="shared" si="10"/>
        <v>-10000</v>
      </c>
      <c r="P242" s="63" t="str">
        <f t="shared" ca="1" si="11"/>
        <v>-</v>
      </c>
    </row>
    <row r="243" spans="1:16" ht="16" customHeight="1" x14ac:dyDescent="0.25">
      <c r="A243" s="79">
        <v>44201</v>
      </c>
      <c r="B243" s="4" t="s">
        <v>128</v>
      </c>
      <c r="C243" s="4" t="s">
        <v>172</v>
      </c>
      <c r="D243" s="4" t="s">
        <v>173</v>
      </c>
      <c r="E243" s="29">
        <v>10000</v>
      </c>
      <c r="F243" s="63" t="s">
        <v>108</v>
      </c>
      <c r="G243" s="63" t="s">
        <v>108</v>
      </c>
      <c r="H243" s="63" t="s">
        <v>145</v>
      </c>
      <c r="I243" s="30" t="s">
        <v>275</v>
      </c>
      <c r="J243" s="10">
        <v>44201</v>
      </c>
      <c r="K243" s="63">
        <f t="shared" ca="1" si="9"/>
        <v>0</v>
      </c>
      <c r="L243" s="29" cm="1">
        <f t="array" aca="1" ref="L243" ca="1">O243-IF(ExpTaxCount=2,SUM($M243:$N243),$M243:$M243)</f>
        <v>10000</v>
      </c>
      <c r="M243" s="29">
        <f ca="1">$O243/(1+IF(ISERROR($F243),0,IF(ISNA(MATCH($F243,TaxCode,0)),0,OFFSET(Setup!$D$15,MATCH($F243,TaxCode,0),0,1,1)))+IF(ISERROR($G243),0,IF(ISNA(MATCH($G243,TaxCode,0)),0,OFFSET(Setup!$D$15,MATCH($G243,TaxCode,0),0,1,1))))*IF(ISERROR($F243),0,IF(ISNA(MATCH($F243,TaxCode,0)),0,OFFSET(Setup!$D$15,MATCH($F243,TaxCode,0),0,1,1)))</f>
        <v>0</v>
      </c>
      <c r="N243" s="29">
        <f ca="1">$O243/(1+IF(ISERROR($F243),0,IF(ISNA(MATCH($F243,TaxCode,0)),0,OFFSET(Setup!$D$15,MATCH($F243,TaxCode,0),0,1,1)))+IF(ISERROR($G243),0,IF(ISNA(MATCH($G243,TaxCode,0)),0,OFFSET(Setup!$D$15,MATCH($G243,TaxCode,0),0,1,1))))*IF(ISERROR($G243),0,IF(ISNA(MATCH($G243,TaxCode,0)),0,OFFSET(Setup!$D$15,MATCH($G243,TaxCode,0),0,1,1)))</f>
        <v>0</v>
      </c>
      <c r="O243" s="29">
        <f t="shared" si="10"/>
        <v>10000</v>
      </c>
      <c r="P243" s="63" t="str">
        <f t="shared" ca="1" si="11"/>
        <v>-</v>
      </c>
    </row>
    <row r="244" spans="1:16" ht="16" customHeight="1" x14ac:dyDescent="0.25">
      <c r="A244" s="79">
        <v>44211</v>
      </c>
      <c r="B244" s="4" t="s">
        <v>168</v>
      </c>
      <c r="C244" s="4" t="s">
        <v>109</v>
      </c>
      <c r="D244" s="4" t="s">
        <v>12</v>
      </c>
      <c r="E244" s="29">
        <v>80</v>
      </c>
      <c r="F244" s="63" t="s">
        <v>93</v>
      </c>
      <c r="G244" s="63" t="s">
        <v>108</v>
      </c>
      <c r="H244" s="63" t="s">
        <v>145</v>
      </c>
      <c r="I244" s="30" t="s">
        <v>291</v>
      </c>
      <c r="J244" s="10">
        <v>44211</v>
      </c>
      <c r="K244" s="63">
        <f t="shared" ca="1" si="9"/>
        <v>0</v>
      </c>
      <c r="L244" s="29" cm="1">
        <f t="array" aca="1" ref="L244" ca="1">O244-IF(ExpTaxCount=2,SUM($M244:$N244),$M244:$M244)</f>
        <v>69.565217391304344</v>
      </c>
      <c r="M244" s="29">
        <f ca="1">$O244/(1+IF(ISERROR($F244),0,IF(ISNA(MATCH($F244,TaxCode,0)),0,OFFSET(Setup!$D$15,MATCH($F244,TaxCode,0),0,1,1)))+IF(ISERROR($G244),0,IF(ISNA(MATCH($G244,TaxCode,0)),0,OFFSET(Setup!$D$15,MATCH($G244,TaxCode,0),0,1,1))))*IF(ISERROR($F244),0,IF(ISNA(MATCH($F244,TaxCode,0)),0,OFFSET(Setup!$D$15,MATCH($F244,TaxCode,0),0,1,1)))</f>
        <v>10.434782608695654</v>
      </c>
      <c r="N244" s="29">
        <f ca="1">$O244/(1+IF(ISERROR($F244),0,IF(ISNA(MATCH($F244,TaxCode,0)),0,OFFSET(Setup!$D$15,MATCH($F244,TaxCode,0),0,1,1)))+IF(ISERROR($G244),0,IF(ISNA(MATCH($G244,TaxCode,0)),0,OFFSET(Setup!$D$15,MATCH($G244,TaxCode,0),0,1,1))))*IF(ISERROR($G244),0,IF(ISNA(MATCH($G244,TaxCode,0)),0,OFFSET(Setup!$D$15,MATCH($G244,TaxCode,0),0,1,1)))</f>
        <v>0</v>
      </c>
      <c r="O244" s="29">
        <f t="shared" si="10"/>
        <v>80</v>
      </c>
      <c r="P244" s="63" t="str">
        <f t="shared" ca="1" si="11"/>
        <v>-</v>
      </c>
    </row>
    <row r="245" spans="1:16" ht="16" customHeight="1" x14ac:dyDescent="0.25">
      <c r="A245" s="79">
        <v>44211</v>
      </c>
      <c r="B245" s="4" t="s">
        <v>168</v>
      </c>
      <c r="C245" s="4" t="s">
        <v>109</v>
      </c>
      <c r="D245" s="4" t="s">
        <v>12</v>
      </c>
      <c r="E245" s="29">
        <v>35</v>
      </c>
      <c r="F245" s="63" t="s">
        <v>93</v>
      </c>
      <c r="G245" s="63" t="s">
        <v>108</v>
      </c>
      <c r="H245" s="63" t="s">
        <v>147</v>
      </c>
      <c r="I245" s="30" t="s">
        <v>291</v>
      </c>
      <c r="J245" s="10">
        <v>44211</v>
      </c>
      <c r="K245" s="63">
        <f t="shared" ca="1" si="9"/>
        <v>0</v>
      </c>
      <c r="L245" s="29" cm="1">
        <f t="array" aca="1" ref="L245" ca="1">O245-IF(ExpTaxCount=2,SUM($M245:$N245),$M245:$M245)</f>
        <v>30.434782608695652</v>
      </c>
      <c r="M245" s="29">
        <f ca="1">$O245/(1+IF(ISERROR($F245),0,IF(ISNA(MATCH($F245,TaxCode,0)),0,OFFSET(Setup!$D$15,MATCH($F245,TaxCode,0),0,1,1)))+IF(ISERROR($G245),0,IF(ISNA(MATCH($G245,TaxCode,0)),0,OFFSET(Setup!$D$15,MATCH($G245,TaxCode,0),0,1,1))))*IF(ISERROR($F245),0,IF(ISNA(MATCH($F245,TaxCode,0)),0,OFFSET(Setup!$D$15,MATCH($F245,TaxCode,0),0,1,1)))</f>
        <v>4.5652173913043486</v>
      </c>
      <c r="N245" s="29">
        <f ca="1">$O245/(1+IF(ISERROR($F245),0,IF(ISNA(MATCH($F245,TaxCode,0)),0,OFFSET(Setup!$D$15,MATCH($F245,TaxCode,0),0,1,1)))+IF(ISERROR($G245),0,IF(ISNA(MATCH($G245,TaxCode,0)),0,OFFSET(Setup!$D$15,MATCH($G245,TaxCode,0),0,1,1))))*IF(ISERROR($G245),0,IF(ISNA(MATCH($G245,TaxCode,0)),0,OFFSET(Setup!$D$15,MATCH($G245,TaxCode,0),0,1,1)))</f>
        <v>0</v>
      </c>
      <c r="O245" s="29">
        <f t="shared" si="10"/>
        <v>35</v>
      </c>
      <c r="P245" s="63" t="str">
        <f t="shared" ca="1" si="11"/>
        <v>-</v>
      </c>
    </row>
    <row r="246" spans="1:16" ht="16" customHeight="1" x14ac:dyDescent="0.25">
      <c r="A246" s="79">
        <v>44211</v>
      </c>
      <c r="B246" s="4" t="s">
        <v>11</v>
      </c>
      <c r="C246" s="4" t="s">
        <v>112</v>
      </c>
      <c r="D246" s="4" t="s">
        <v>504</v>
      </c>
      <c r="E246" s="29">
        <v>2300</v>
      </c>
      <c r="F246" s="63" t="s">
        <v>93</v>
      </c>
      <c r="G246" s="63" t="s">
        <v>108</v>
      </c>
      <c r="H246" s="63" t="s">
        <v>145</v>
      </c>
      <c r="I246" s="30" t="s">
        <v>289</v>
      </c>
      <c r="J246" s="10">
        <v>44229</v>
      </c>
      <c r="K246" s="63">
        <f t="shared" ca="1" si="9"/>
        <v>0</v>
      </c>
      <c r="L246" s="29" cm="1">
        <f t="array" aca="1" ref="L246" ca="1">O246-IF(ExpTaxCount=2,SUM($M246:$N246),$M246:$M246)</f>
        <v>2000</v>
      </c>
      <c r="M246" s="29">
        <f ca="1">$O246/(1+IF(ISERROR($F246),0,IF(ISNA(MATCH($F246,TaxCode,0)),0,OFFSET(Setup!$D$15,MATCH($F246,TaxCode,0),0,1,1)))+IF(ISERROR($G246),0,IF(ISNA(MATCH($G246,TaxCode,0)),0,OFFSET(Setup!$D$15,MATCH($G246,TaxCode,0),0,1,1))))*IF(ISERROR($F246),0,IF(ISNA(MATCH($F246,TaxCode,0)),0,OFFSET(Setup!$D$15,MATCH($F246,TaxCode,0),0,1,1)))</f>
        <v>300</v>
      </c>
      <c r="N246" s="29">
        <f ca="1">$O246/(1+IF(ISERROR($F246),0,IF(ISNA(MATCH($F246,TaxCode,0)),0,OFFSET(Setup!$D$15,MATCH($F246,TaxCode,0),0,1,1)))+IF(ISERROR($G246),0,IF(ISNA(MATCH($G246,TaxCode,0)),0,OFFSET(Setup!$D$15,MATCH($G246,TaxCode,0),0,1,1))))*IF(ISERROR($G246),0,IF(ISNA(MATCH($G246,TaxCode,0)),0,OFFSET(Setup!$D$15,MATCH($G246,TaxCode,0),0,1,1)))</f>
        <v>0</v>
      </c>
      <c r="O246" s="29">
        <f t="shared" si="10"/>
        <v>2300</v>
      </c>
      <c r="P246" s="63" t="str">
        <f t="shared" ca="1" si="11"/>
        <v>-</v>
      </c>
    </row>
    <row r="247" spans="1:16" ht="16" customHeight="1" x14ac:dyDescent="0.25">
      <c r="A247" s="79">
        <v>44212</v>
      </c>
      <c r="B247" s="4" t="s">
        <v>169</v>
      </c>
      <c r="C247" s="4" t="s">
        <v>170</v>
      </c>
      <c r="D247" s="4" t="s">
        <v>171</v>
      </c>
      <c r="E247" s="29">
        <v>105</v>
      </c>
      <c r="F247" s="63" t="s">
        <v>93</v>
      </c>
      <c r="G247" s="63" t="s">
        <v>108</v>
      </c>
      <c r="H247" s="63" t="s">
        <v>151</v>
      </c>
      <c r="I247" s="30" t="s">
        <v>297</v>
      </c>
      <c r="J247" s="10">
        <v>44212</v>
      </c>
      <c r="K247" s="63">
        <f t="shared" ca="1" si="9"/>
        <v>0</v>
      </c>
      <c r="L247" s="29" cm="1">
        <f t="array" aca="1" ref="L247" ca="1">O247-IF(ExpTaxCount=2,SUM($M247:$N247),$M247:$M247)</f>
        <v>91.304347826086953</v>
      </c>
      <c r="M247" s="29">
        <f ca="1">$O247/(1+IF(ISERROR($F247),0,IF(ISNA(MATCH($F247,TaxCode,0)),0,OFFSET(Setup!$D$15,MATCH($F247,TaxCode,0),0,1,1)))+IF(ISERROR($G247),0,IF(ISNA(MATCH($G247,TaxCode,0)),0,OFFSET(Setup!$D$15,MATCH($G247,TaxCode,0),0,1,1))))*IF(ISERROR($F247),0,IF(ISNA(MATCH($F247,TaxCode,0)),0,OFFSET(Setup!$D$15,MATCH($F247,TaxCode,0),0,1,1)))</f>
        <v>13.695652173913045</v>
      </c>
      <c r="N247" s="29">
        <f ca="1">$O247/(1+IF(ISERROR($F247),0,IF(ISNA(MATCH($F247,TaxCode,0)),0,OFFSET(Setup!$D$15,MATCH($F247,TaxCode,0),0,1,1)))+IF(ISERROR($G247),0,IF(ISNA(MATCH($G247,TaxCode,0)),0,OFFSET(Setup!$D$15,MATCH($G247,TaxCode,0),0,1,1))))*IF(ISERROR($G247),0,IF(ISNA(MATCH($G247,TaxCode,0)),0,OFFSET(Setup!$D$15,MATCH($G247,TaxCode,0),0,1,1)))</f>
        <v>0</v>
      </c>
      <c r="O247" s="29">
        <f t="shared" si="10"/>
        <v>105</v>
      </c>
      <c r="P247" s="63" t="str">
        <f t="shared" ca="1" si="11"/>
        <v>-</v>
      </c>
    </row>
    <row r="248" spans="1:16" ht="16" customHeight="1" x14ac:dyDescent="0.25">
      <c r="A248" s="79">
        <v>44216</v>
      </c>
      <c r="B248" s="4" t="s">
        <v>128</v>
      </c>
      <c r="C248" s="4" t="s">
        <v>172</v>
      </c>
      <c r="D248" s="4" t="s">
        <v>173</v>
      </c>
      <c r="E248" s="29">
        <v>-50000</v>
      </c>
      <c r="F248" s="63" t="s">
        <v>108</v>
      </c>
      <c r="G248" s="63" t="s">
        <v>108</v>
      </c>
      <c r="H248" s="63" t="s">
        <v>147</v>
      </c>
      <c r="I248" s="30" t="s">
        <v>275</v>
      </c>
      <c r="J248" s="10">
        <v>44216</v>
      </c>
      <c r="K248" s="63">
        <f t="shared" ca="1" si="9"/>
        <v>0</v>
      </c>
      <c r="L248" s="29" cm="1">
        <f t="array" aca="1" ref="L248" ca="1">O248-IF(ExpTaxCount=2,SUM($M248:$N248),$M248:$M248)</f>
        <v>-50000</v>
      </c>
      <c r="M248" s="29">
        <f ca="1">$O248/(1+IF(ISERROR($F248),0,IF(ISNA(MATCH($F248,TaxCode,0)),0,OFFSET(Setup!$D$15,MATCH($F248,TaxCode,0),0,1,1)))+IF(ISERROR($G248),0,IF(ISNA(MATCH($G248,TaxCode,0)),0,OFFSET(Setup!$D$15,MATCH($G248,TaxCode,0),0,1,1))))*IF(ISERROR($F248),0,IF(ISNA(MATCH($F248,TaxCode,0)),0,OFFSET(Setup!$D$15,MATCH($F248,TaxCode,0),0,1,1)))</f>
        <v>0</v>
      </c>
      <c r="N248" s="29">
        <f ca="1">$O248/(1+IF(ISERROR($F248),0,IF(ISNA(MATCH($F248,TaxCode,0)),0,OFFSET(Setup!$D$15,MATCH($F248,TaxCode,0),0,1,1)))+IF(ISERROR($G248),0,IF(ISNA(MATCH($G248,TaxCode,0)),0,OFFSET(Setup!$D$15,MATCH($G248,TaxCode,0),0,1,1))))*IF(ISERROR($G248),0,IF(ISNA(MATCH($G248,TaxCode,0)),0,OFFSET(Setup!$D$15,MATCH($G248,TaxCode,0),0,1,1)))</f>
        <v>0</v>
      </c>
      <c r="O248" s="29">
        <f t="shared" si="10"/>
        <v>-50000</v>
      </c>
      <c r="P248" s="63" t="str">
        <f t="shared" ca="1" si="11"/>
        <v>-</v>
      </c>
    </row>
    <row r="249" spans="1:16" ht="16" customHeight="1" x14ac:dyDescent="0.25">
      <c r="A249" s="79">
        <v>44216</v>
      </c>
      <c r="B249" s="4" t="s">
        <v>128</v>
      </c>
      <c r="C249" s="4" t="s">
        <v>172</v>
      </c>
      <c r="D249" s="4" t="s">
        <v>173</v>
      </c>
      <c r="E249" s="29">
        <v>50000</v>
      </c>
      <c r="F249" s="63" t="s">
        <v>108</v>
      </c>
      <c r="G249" s="63" t="s">
        <v>108</v>
      </c>
      <c r="H249" s="63" t="s">
        <v>145</v>
      </c>
      <c r="I249" s="30" t="s">
        <v>275</v>
      </c>
      <c r="J249" s="10">
        <v>44216</v>
      </c>
      <c r="K249" s="63">
        <f t="shared" ca="1" si="9"/>
        <v>0</v>
      </c>
      <c r="L249" s="29" cm="1">
        <f t="array" aca="1" ref="L249" ca="1">O249-IF(ExpTaxCount=2,SUM($M249:$N249),$M249:$M249)</f>
        <v>50000</v>
      </c>
      <c r="M249" s="29">
        <f ca="1">$O249/(1+IF(ISERROR($F249),0,IF(ISNA(MATCH($F249,TaxCode,0)),0,OFFSET(Setup!$D$15,MATCH($F249,TaxCode,0),0,1,1)))+IF(ISERROR($G249),0,IF(ISNA(MATCH($G249,TaxCode,0)),0,OFFSET(Setup!$D$15,MATCH($G249,TaxCode,0),0,1,1))))*IF(ISERROR($F249),0,IF(ISNA(MATCH($F249,TaxCode,0)),0,OFFSET(Setup!$D$15,MATCH($F249,TaxCode,0),0,1,1)))</f>
        <v>0</v>
      </c>
      <c r="N249" s="29">
        <f ca="1">$O249/(1+IF(ISERROR($F249),0,IF(ISNA(MATCH($F249,TaxCode,0)),0,OFFSET(Setup!$D$15,MATCH($F249,TaxCode,0),0,1,1)))+IF(ISERROR($G249),0,IF(ISNA(MATCH($G249,TaxCode,0)),0,OFFSET(Setup!$D$15,MATCH($G249,TaxCode,0),0,1,1))))*IF(ISERROR($G249),0,IF(ISNA(MATCH($G249,TaxCode,0)),0,OFFSET(Setup!$D$15,MATCH($G249,TaxCode,0),0,1,1)))</f>
        <v>0</v>
      </c>
      <c r="O249" s="29">
        <f t="shared" si="10"/>
        <v>50000</v>
      </c>
      <c r="P249" s="63" t="str">
        <f t="shared" ca="1" si="11"/>
        <v>-</v>
      </c>
    </row>
    <row r="250" spans="1:16" ht="16" customHeight="1" x14ac:dyDescent="0.25">
      <c r="A250" s="79">
        <v>44222</v>
      </c>
      <c r="B250" s="4" t="s">
        <v>128</v>
      </c>
      <c r="C250" s="4" t="s">
        <v>115</v>
      </c>
      <c r="D250" s="4" t="s">
        <v>26</v>
      </c>
      <c r="E250" s="29">
        <v>45000</v>
      </c>
      <c r="F250" s="63" t="s">
        <v>108</v>
      </c>
      <c r="G250" s="63" t="s">
        <v>108</v>
      </c>
      <c r="H250" s="63" t="s">
        <v>147</v>
      </c>
      <c r="I250" s="30" t="s">
        <v>366</v>
      </c>
      <c r="J250" s="10">
        <v>44222</v>
      </c>
      <c r="K250" s="63">
        <f t="shared" ca="1" si="9"/>
        <v>0</v>
      </c>
      <c r="L250" s="29" cm="1">
        <f t="array" aca="1" ref="L250" ca="1">O250-IF(ExpTaxCount=2,SUM($M250:$N250),$M250:$M250)</f>
        <v>45000</v>
      </c>
      <c r="M250" s="29">
        <f ca="1">$O250/(1+IF(ISERROR($F250),0,IF(ISNA(MATCH($F250,TaxCode,0)),0,OFFSET(Setup!$D$15,MATCH($F250,TaxCode,0),0,1,1)))+IF(ISERROR($G250),0,IF(ISNA(MATCH($G250,TaxCode,0)),0,OFFSET(Setup!$D$15,MATCH($G250,TaxCode,0),0,1,1))))*IF(ISERROR($F250),0,IF(ISNA(MATCH($F250,TaxCode,0)),0,OFFSET(Setup!$D$15,MATCH($F250,TaxCode,0),0,1,1)))</f>
        <v>0</v>
      </c>
      <c r="N250" s="29">
        <f ca="1">$O250/(1+IF(ISERROR($F250),0,IF(ISNA(MATCH($F250,TaxCode,0)),0,OFFSET(Setup!$D$15,MATCH($F250,TaxCode,0),0,1,1)))+IF(ISERROR($G250),0,IF(ISNA(MATCH($G250,TaxCode,0)),0,OFFSET(Setup!$D$15,MATCH($G250,TaxCode,0),0,1,1))))*IF(ISERROR($G250),0,IF(ISNA(MATCH($G250,TaxCode,0)),0,OFFSET(Setup!$D$15,MATCH($G250,TaxCode,0),0,1,1)))</f>
        <v>0</v>
      </c>
      <c r="O250" s="29">
        <f t="shared" si="10"/>
        <v>45000</v>
      </c>
      <c r="P250" s="63" t="str">
        <f t="shared" ca="1" si="11"/>
        <v>-</v>
      </c>
    </row>
    <row r="251" spans="1:16" ht="16" customHeight="1" x14ac:dyDescent="0.25">
      <c r="A251" s="79">
        <v>44222</v>
      </c>
      <c r="B251" s="4" t="s">
        <v>54</v>
      </c>
      <c r="C251" s="4" t="s">
        <v>110</v>
      </c>
      <c r="D251" s="4" t="s">
        <v>56</v>
      </c>
      <c r="E251" s="29">
        <v>3451.91</v>
      </c>
      <c r="F251" s="63" t="s">
        <v>108</v>
      </c>
      <c r="G251" s="63" t="s">
        <v>108</v>
      </c>
      <c r="H251" s="63" t="s">
        <v>145</v>
      </c>
      <c r="I251" s="30" t="s">
        <v>403</v>
      </c>
      <c r="J251" s="10">
        <v>44222</v>
      </c>
      <c r="K251" s="63">
        <f t="shared" ca="1" si="9"/>
        <v>0</v>
      </c>
      <c r="L251" s="29" cm="1">
        <f t="array" aca="1" ref="L251" ca="1">O251-IF(ExpTaxCount=2,SUM($M251:$N251),$M251:$M251)</f>
        <v>3451.91</v>
      </c>
      <c r="M251" s="29">
        <f ca="1">$O251/(1+IF(ISERROR($F251),0,IF(ISNA(MATCH($F251,TaxCode,0)),0,OFFSET(Setup!$D$15,MATCH($F251,TaxCode,0),0,1,1)))+IF(ISERROR($G251),0,IF(ISNA(MATCH($G251,TaxCode,0)),0,OFFSET(Setup!$D$15,MATCH($G251,TaxCode,0),0,1,1))))*IF(ISERROR($F251),0,IF(ISNA(MATCH($F251,TaxCode,0)),0,OFFSET(Setup!$D$15,MATCH($F251,TaxCode,0),0,1,1)))</f>
        <v>0</v>
      </c>
      <c r="N251" s="29">
        <f ca="1">$O251/(1+IF(ISERROR($F251),0,IF(ISNA(MATCH($F251,TaxCode,0)),0,OFFSET(Setup!$D$15,MATCH($F251,TaxCode,0),0,1,1)))+IF(ISERROR($G251),0,IF(ISNA(MATCH($G251,TaxCode,0)),0,OFFSET(Setup!$D$15,MATCH($G251,TaxCode,0),0,1,1))))*IF(ISERROR($G251),0,IF(ISNA(MATCH($G251,TaxCode,0)),0,OFFSET(Setup!$D$15,MATCH($G251,TaxCode,0),0,1,1)))</f>
        <v>0</v>
      </c>
      <c r="O251" s="29">
        <f t="shared" si="10"/>
        <v>3451.91</v>
      </c>
      <c r="P251" s="63" t="str">
        <f t="shared" ca="1" si="11"/>
        <v>-</v>
      </c>
    </row>
    <row r="252" spans="1:16" ht="16" customHeight="1" x14ac:dyDescent="0.25">
      <c r="A252" s="79">
        <v>44222</v>
      </c>
      <c r="B252" s="4" t="s">
        <v>54</v>
      </c>
      <c r="C252" s="4" t="s">
        <v>110</v>
      </c>
      <c r="D252" s="4" t="s">
        <v>55</v>
      </c>
      <c r="E252" s="29">
        <v>1859.85</v>
      </c>
      <c r="F252" s="63" t="s">
        <v>108</v>
      </c>
      <c r="G252" s="63" t="s">
        <v>108</v>
      </c>
      <c r="H252" s="63" t="s">
        <v>145</v>
      </c>
      <c r="I252" s="30" t="s">
        <v>309</v>
      </c>
      <c r="J252" s="10">
        <v>44222</v>
      </c>
      <c r="K252" s="63">
        <f t="shared" ca="1" si="9"/>
        <v>0</v>
      </c>
      <c r="L252" s="29" cm="1">
        <f t="array" aca="1" ref="L252" ca="1">O252-IF(ExpTaxCount=2,SUM($M252:$N252),$M252:$M252)</f>
        <v>1859.85</v>
      </c>
      <c r="M252" s="29">
        <f ca="1">$O252/(1+IF(ISERROR($F252),0,IF(ISNA(MATCH($F252,TaxCode,0)),0,OFFSET(Setup!$D$15,MATCH($F252,TaxCode,0),0,1,1)))+IF(ISERROR($G252),0,IF(ISNA(MATCH($G252,TaxCode,0)),0,OFFSET(Setup!$D$15,MATCH($G252,TaxCode,0),0,1,1))))*IF(ISERROR($F252),0,IF(ISNA(MATCH($F252,TaxCode,0)),0,OFFSET(Setup!$D$15,MATCH($F252,TaxCode,0),0,1,1)))</f>
        <v>0</v>
      </c>
      <c r="N252" s="29">
        <f ca="1">$O252/(1+IF(ISERROR($F252),0,IF(ISNA(MATCH($F252,TaxCode,0)),0,OFFSET(Setup!$D$15,MATCH($F252,TaxCode,0),0,1,1)))+IF(ISERROR($G252),0,IF(ISNA(MATCH($G252,TaxCode,0)),0,OFFSET(Setup!$D$15,MATCH($G252,TaxCode,0),0,1,1))))*IF(ISERROR($G252),0,IF(ISNA(MATCH($G252,TaxCode,0)),0,OFFSET(Setup!$D$15,MATCH($G252,TaxCode,0),0,1,1)))</f>
        <v>0</v>
      </c>
      <c r="O252" s="29">
        <f t="shared" si="10"/>
        <v>1859.85</v>
      </c>
      <c r="P252" s="63" t="str">
        <f t="shared" ca="1" si="11"/>
        <v>-</v>
      </c>
    </row>
    <row r="253" spans="1:16" ht="16" customHeight="1" x14ac:dyDescent="0.25">
      <c r="A253" s="79">
        <v>44222</v>
      </c>
      <c r="B253" s="4" t="s">
        <v>25</v>
      </c>
      <c r="C253" s="4" t="s">
        <v>110</v>
      </c>
      <c r="D253" s="4" t="s">
        <v>116</v>
      </c>
      <c r="E253" s="29">
        <v>13800</v>
      </c>
      <c r="F253" s="63" t="s">
        <v>93</v>
      </c>
      <c r="G253" s="63" t="s">
        <v>108</v>
      </c>
      <c r="H253" s="63" t="s">
        <v>145</v>
      </c>
      <c r="I253" s="30" t="s">
        <v>298</v>
      </c>
      <c r="J253" s="10">
        <v>44222</v>
      </c>
      <c r="K253" s="63">
        <f t="shared" ca="1" si="9"/>
        <v>0</v>
      </c>
      <c r="L253" s="29" cm="1">
        <f t="array" aca="1" ref="L253" ca="1">O253-IF(ExpTaxCount=2,SUM($M253:$N253),$M253:$M253)</f>
        <v>12000</v>
      </c>
      <c r="M253" s="29">
        <f ca="1">$O253/(1+IF(ISERROR($F253),0,IF(ISNA(MATCH($F253,TaxCode,0)),0,OFFSET(Setup!$D$15,MATCH($F253,TaxCode,0),0,1,1)))+IF(ISERROR($G253),0,IF(ISNA(MATCH($G253,TaxCode,0)),0,OFFSET(Setup!$D$15,MATCH($G253,TaxCode,0),0,1,1))))*IF(ISERROR($F253),0,IF(ISNA(MATCH($F253,TaxCode,0)),0,OFFSET(Setup!$D$15,MATCH($F253,TaxCode,0),0,1,1)))</f>
        <v>1800.0000000000002</v>
      </c>
      <c r="N253" s="29">
        <f ca="1">$O253/(1+IF(ISERROR($F253),0,IF(ISNA(MATCH($F253,TaxCode,0)),0,OFFSET(Setup!$D$15,MATCH($F253,TaxCode,0),0,1,1)))+IF(ISERROR($G253),0,IF(ISNA(MATCH($G253,TaxCode,0)),0,OFFSET(Setup!$D$15,MATCH($G253,TaxCode,0),0,1,1))))*IF(ISERROR($G253),0,IF(ISNA(MATCH($G253,TaxCode,0)),0,OFFSET(Setup!$D$15,MATCH($G253,TaxCode,0),0,1,1)))</f>
        <v>0</v>
      </c>
      <c r="O253" s="29">
        <f t="shared" si="10"/>
        <v>13800</v>
      </c>
      <c r="P253" s="63" t="str">
        <f t="shared" ca="1" si="11"/>
        <v>-</v>
      </c>
    </row>
    <row r="254" spans="1:16" ht="16" customHeight="1" x14ac:dyDescent="0.25">
      <c r="A254" s="79">
        <v>44222</v>
      </c>
      <c r="B254" s="4" t="s">
        <v>41</v>
      </c>
      <c r="C254" s="4" t="s">
        <v>112</v>
      </c>
      <c r="D254" s="4" t="s">
        <v>78</v>
      </c>
      <c r="E254" s="29">
        <v>2100</v>
      </c>
      <c r="F254" s="63" t="s">
        <v>93</v>
      </c>
      <c r="G254" s="63" t="s">
        <v>108</v>
      </c>
      <c r="H254" s="63" t="s">
        <v>145</v>
      </c>
      <c r="I254" s="30" t="s">
        <v>304</v>
      </c>
      <c r="J254" s="10">
        <v>44227</v>
      </c>
      <c r="K254" s="63">
        <f t="shared" ca="1" si="9"/>
        <v>0</v>
      </c>
      <c r="L254" s="29" cm="1">
        <f t="array" aca="1" ref="L254" ca="1">O254-IF(ExpTaxCount=2,SUM($M254:$N254),$M254:$M254)</f>
        <v>1826.086956521739</v>
      </c>
      <c r="M254" s="29">
        <f ca="1">$O254/(1+IF(ISERROR($F254),0,IF(ISNA(MATCH($F254,TaxCode,0)),0,OFFSET(Setup!$D$15,MATCH($F254,TaxCode,0),0,1,1)))+IF(ISERROR($G254),0,IF(ISNA(MATCH($G254,TaxCode,0)),0,OFFSET(Setup!$D$15,MATCH($G254,TaxCode,0),0,1,1))))*IF(ISERROR($F254),0,IF(ISNA(MATCH($F254,TaxCode,0)),0,OFFSET(Setup!$D$15,MATCH($F254,TaxCode,0),0,1,1)))</f>
        <v>273.91304347826087</v>
      </c>
      <c r="N254" s="29">
        <f ca="1">$O254/(1+IF(ISERROR($F254),0,IF(ISNA(MATCH($F254,TaxCode,0)),0,OFFSET(Setup!$D$15,MATCH($F254,TaxCode,0),0,1,1)))+IF(ISERROR($G254),0,IF(ISNA(MATCH($G254,TaxCode,0)),0,OFFSET(Setup!$D$15,MATCH($G254,TaxCode,0),0,1,1))))*IF(ISERROR($G254),0,IF(ISNA(MATCH($G254,TaxCode,0)),0,OFFSET(Setup!$D$15,MATCH($G254,TaxCode,0),0,1,1)))</f>
        <v>0</v>
      </c>
      <c r="O254" s="29">
        <f t="shared" si="10"/>
        <v>2100</v>
      </c>
      <c r="P254" s="63" t="str">
        <f t="shared" ca="1" si="11"/>
        <v>-</v>
      </c>
    </row>
    <row r="255" spans="1:16" ht="16" customHeight="1" x14ac:dyDescent="0.25">
      <c r="A255" s="79">
        <v>44222</v>
      </c>
      <c r="B255" s="4" t="s">
        <v>128</v>
      </c>
      <c r="C255" s="4" t="s">
        <v>115</v>
      </c>
      <c r="D255" s="4" t="s">
        <v>509</v>
      </c>
      <c r="E255" s="29">
        <v>35000</v>
      </c>
      <c r="F255" s="63" t="s">
        <v>108</v>
      </c>
      <c r="G255" s="63" t="s">
        <v>108</v>
      </c>
      <c r="H255" s="63" t="s">
        <v>147</v>
      </c>
      <c r="I255" s="30" t="s">
        <v>364</v>
      </c>
      <c r="J255" s="10">
        <v>44222</v>
      </c>
      <c r="K255" s="63">
        <f t="shared" ca="1" si="9"/>
        <v>0</v>
      </c>
      <c r="L255" s="29" cm="1">
        <f t="array" aca="1" ref="L255" ca="1">O255-IF(ExpTaxCount=2,SUM($M255:$N255),$M255:$M255)</f>
        <v>35000</v>
      </c>
      <c r="M255" s="29">
        <f ca="1">$O255/(1+IF(ISERROR($F255),0,IF(ISNA(MATCH($F255,TaxCode,0)),0,OFFSET(Setup!$D$15,MATCH($F255,TaxCode,0),0,1,1)))+IF(ISERROR($G255),0,IF(ISNA(MATCH($G255,TaxCode,0)),0,OFFSET(Setup!$D$15,MATCH($G255,TaxCode,0),0,1,1))))*IF(ISERROR($F255),0,IF(ISNA(MATCH($F255,TaxCode,0)),0,OFFSET(Setup!$D$15,MATCH($F255,TaxCode,0),0,1,1)))</f>
        <v>0</v>
      </c>
      <c r="N255" s="29">
        <f ca="1">$O255/(1+IF(ISERROR($F255),0,IF(ISNA(MATCH($F255,TaxCode,0)),0,OFFSET(Setup!$D$15,MATCH($F255,TaxCode,0),0,1,1)))+IF(ISERROR($G255),0,IF(ISNA(MATCH($G255,TaxCode,0)),0,OFFSET(Setup!$D$15,MATCH($G255,TaxCode,0),0,1,1))))*IF(ISERROR($G255),0,IF(ISNA(MATCH($G255,TaxCode,0)),0,OFFSET(Setup!$D$15,MATCH($G255,TaxCode,0),0,1,1)))</f>
        <v>0</v>
      </c>
      <c r="O255" s="29">
        <f t="shared" si="10"/>
        <v>35000</v>
      </c>
      <c r="P255" s="63" t="str">
        <f t="shared" ca="1" si="11"/>
        <v>-</v>
      </c>
    </row>
    <row r="256" spans="1:16" ht="16" customHeight="1" x14ac:dyDescent="0.25">
      <c r="A256" s="79">
        <v>44222</v>
      </c>
      <c r="B256" s="4" t="s">
        <v>128</v>
      </c>
      <c r="C256" s="4" t="s">
        <v>115</v>
      </c>
      <c r="D256" s="4" t="s">
        <v>510</v>
      </c>
      <c r="E256" s="29">
        <v>7200</v>
      </c>
      <c r="F256" s="63" t="s">
        <v>108</v>
      </c>
      <c r="G256" s="63" t="s">
        <v>108</v>
      </c>
      <c r="H256" s="63" t="s">
        <v>147</v>
      </c>
      <c r="I256" s="30" t="s">
        <v>364</v>
      </c>
      <c r="J256" s="10">
        <v>44233</v>
      </c>
      <c r="K256" s="63">
        <f t="shared" ca="1" si="9"/>
        <v>0</v>
      </c>
      <c r="L256" s="29" cm="1">
        <f t="array" aca="1" ref="L256" ca="1">O256-IF(ExpTaxCount=2,SUM($M256:$N256),$M256:$M256)</f>
        <v>7200</v>
      </c>
      <c r="M256" s="29">
        <f ca="1">$O256/(1+IF(ISERROR($F256),0,IF(ISNA(MATCH($F256,TaxCode,0)),0,OFFSET(Setup!$D$15,MATCH($F256,TaxCode,0),0,1,1)))+IF(ISERROR($G256),0,IF(ISNA(MATCH($G256,TaxCode,0)),0,OFFSET(Setup!$D$15,MATCH($G256,TaxCode,0),0,1,1))))*IF(ISERROR($F256),0,IF(ISNA(MATCH($F256,TaxCode,0)),0,OFFSET(Setup!$D$15,MATCH($F256,TaxCode,0),0,1,1)))</f>
        <v>0</v>
      </c>
      <c r="N256" s="29">
        <f ca="1">$O256/(1+IF(ISERROR($F256),0,IF(ISNA(MATCH($F256,TaxCode,0)),0,OFFSET(Setup!$D$15,MATCH($F256,TaxCode,0),0,1,1)))+IF(ISERROR($G256),0,IF(ISNA(MATCH($G256,TaxCode,0)),0,OFFSET(Setup!$D$15,MATCH($G256,TaxCode,0),0,1,1))))*IF(ISERROR($G256),0,IF(ISNA(MATCH($G256,TaxCode,0)),0,OFFSET(Setup!$D$15,MATCH($G256,TaxCode,0),0,1,1)))</f>
        <v>0</v>
      </c>
      <c r="O256" s="29">
        <f t="shared" si="10"/>
        <v>7200</v>
      </c>
      <c r="P256" s="63" t="str">
        <f t="shared" ca="1" si="11"/>
        <v>-</v>
      </c>
    </row>
    <row r="257" spans="1:16" ht="16" customHeight="1" x14ac:dyDescent="0.25">
      <c r="A257" s="79">
        <v>44222</v>
      </c>
      <c r="B257" s="4" t="s">
        <v>128</v>
      </c>
      <c r="C257" s="4" t="s">
        <v>115</v>
      </c>
      <c r="D257" s="4" t="s">
        <v>511</v>
      </c>
      <c r="E257" s="29">
        <v>9320</v>
      </c>
      <c r="F257" s="63" t="s">
        <v>108</v>
      </c>
      <c r="G257" s="63" t="s">
        <v>108</v>
      </c>
      <c r="H257" s="63" t="s">
        <v>147</v>
      </c>
      <c r="I257" s="30" t="s">
        <v>366</v>
      </c>
      <c r="J257" s="10">
        <v>44233</v>
      </c>
      <c r="K257" s="63">
        <f t="shared" ca="1" si="9"/>
        <v>0</v>
      </c>
      <c r="L257" s="29" cm="1">
        <f t="array" aca="1" ref="L257" ca="1">O257-IF(ExpTaxCount=2,SUM($M257:$N257),$M257:$M257)</f>
        <v>9320</v>
      </c>
      <c r="M257" s="29">
        <f ca="1">$O257/(1+IF(ISERROR($F257),0,IF(ISNA(MATCH($F257,TaxCode,0)),0,OFFSET(Setup!$D$15,MATCH($F257,TaxCode,0),0,1,1)))+IF(ISERROR($G257),0,IF(ISNA(MATCH($G257,TaxCode,0)),0,OFFSET(Setup!$D$15,MATCH($G257,TaxCode,0),0,1,1))))*IF(ISERROR($F257),0,IF(ISNA(MATCH($F257,TaxCode,0)),0,OFFSET(Setup!$D$15,MATCH($F257,TaxCode,0),0,1,1)))</f>
        <v>0</v>
      </c>
      <c r="N257" s="29">
        <f ca="1">$O257/(1+IF(ISERROR($F257),0,IF(ISNA(MATCH($F257,TaxCode,0)),0,OFFSET(Setup!$D$15,MATCH($F257,TaxCode,0),0,1,1)))+IF(ISERROR($G257),0,IF(ISNA(MATCH($G257,TaxCode,0)),0,OFFSET(Setup!$D$15,MATCH($G257,TaxCode,0),0,1,1))))*IF(ISERROR($G257),0,IF(ISNA(MATCH($G257,TaxCode,0)),0,OFFSET(Setup!$D$15,MATCH($G257,TaxCode,0),0,1,1)))</f>
        <v>0</v>
      </c>
      <c r="O257" s="29">
        <f t="shared" si="10"/>
        <v>9320</v>
      </c>
      <c r="P257" s="63" t="str">
        <f t="shared" ca="1" si="11"/>
        <v>-</v>
      </c>
    </row>
    <row r="258" spans="1:16" ht="16" customHeight="1" x14ac:dyDescent="0.25">
      <c r="A258" s="79">
        <v>44227</v>
      </c>
      <c r="B258" s="4" t="s">
        <v>128</v>
      </c>
      <c r="C258" s="4" t="s">
        <v>109</v>
      </c>
      <c r="D258" s="4" t="s">
        <v>174</v>
      </c>
      <c r="E258" s="29">
        <v>100</v>
      </c>
      <c r="F258" s="63" t="s">
        <v>108</v>
      </c>
      <c r="G258" s="63" t="s">
        <v>108</v>
      </c>
      <c r="H258" s="63" t="s">
        <v>145</v>
      </c>
      <c r="I258" s="30" t="s">
        <v>275</v>
      </c>
      <c r="J258" s="10">
        <v>44227</v>
      </c>
      <c r="K258" s="63">
        <f t="shared" ca="1" si="9"/>
        <v>0</v>
      </c>
      <c r="L258" s="29" cm="1">
        <f t="array" aca="1" ref="L258" ca="1">O258-IF(ExpTaxCount=2,SUM($M258:$N258),$M258:$M258)</f>
        <v>100</v>
      </c>
      <c r="M258" s="29">
        <f ca="1">$O258/(1+IF(ISERROR($F258),0,IF(ISNA(MATCH($F258,TaxCode,0)),0,OFFSET(Setup!$D$15,MATCH($F258,TaxCode,0),0,1,1)))+IF(ISERROR($G258),0,IF(ISNA(MATCH($G258,TaxCode,0)),0,OFFSET(Setup!$D$15,MATCH($G258,TaxCode,0),0,1,1))))*IF(ISERROR($F258),0,IF(ISNA(MATCH($F258,TaxCode,0)),0,OFFSET(Setup!$D$15,MATCH($F258,TaxCode,0),0,1,1)))</f>
        <v>0</v>
      </c>
      <c r="N258" s="29">
        <f ca="1">$O258/(1+IF(ISERROR($F258),0,IF(ISNA(MATCH($F258,TaxCode,0)),0,OFFSET(Setup!$D$15,MATCH($F258,TaxCode,0),0,1,1)))+IF(ISERROR($G258),0,IF(ISNA(MATCH($G258,TaxCode,0)),0,OFFSET(Setup!$D$15,MATCH($G258,TaxCode,0),0,1,1))))*IF(ISERROR($G258),0,IF(ISNA(MATCH($G258,TaxCode,0)),0,OFFSET(Setup!$D$15,MATCH($G258,TaxCode,0),0,1,1)))</f>
        <v>0</v>
      </c>
      <c r="O258" s="29">
        <f t="shared" si="10"/>
        <v>100</v>
      </c>
      <c r="P258" s="63" t="str">
        <f t="shared" ca="1" si="11"/>
        <v>-</v>
      </c>
    </row>
    <row r="259" spans="1:16" ht="16" customHeight="1" x14ac:dyDescent="0.25">
      <c r="A259" s="79">
        <v>44227</v>
      </c>
      <c r="B259" s="4" t="s">
        <v>128</v>
      </c>
      <c r="C259" s="4" t="s">
        <v>109</v>
      </c>
      <c r="D259" s="4" t="s">
        <v>174</v>
      </c>
      <c r="E259" s="29">
        <v>-100</v>
      </c>
      <c r="F259" s="63" t="s">
        <v>108</v>
      </c>
      <c r="G259" s="63" t="s">
        <v>108</v>
      </c>
      <c r="H259" s="63" t="s">
        <v>151</v>
      </c>
      <c r="I259" s="30" t="s">
        <v>275</v>
      </c>
      <c r="J259" s="10">
        <v>44227</v>
      </c>
      <c r="K259" s="63">
        <f t="shared" ca="1" si="9"/>
        <v>0</v>
      </c>
      <c r="L259" s="29" cm="1">
        <f t="array" aca="1" ref="L259" ca="1">O259-IF(ExpTaxCount=2,SUM($M259:$N259),$M259:$M259)</f>
        <v>-100</v>
      </c>
      <c r="M259" s="29">
        <f ca="1">$O259/(1+IF(ISERROR($F259),0,IF(ISNA(MATCH($F259,TaxCode,0)),0,OFFSET(Setup!$D$15,MATCH($F259,TaxCode,0),0,1,1)))+IF(ISERROR($G259),0,IF(ISNA(MATCH($G259,TaxCode,0)),0,OFFSET(Setup!$D$15,MATCH($G259,TaxCode,0),0,1,1))))*IF(ISERROR($F259),0,IF(ISNA(MATCH($F259,TaxCode,0)),0,OFFSET(Setup!$D$15,MATCH($F259,TaxCode,0),0,1,1)))</f>
        <v>0</v>
      </c>
      <c r="N259" s="29">
        <f ca="1">$O259/(1+IF(ISERROR($F259),0,IF(ISNA(MATCH($F259,TaxCode,0)),0,OFFSET(Setup!$D$15,MATCH($F259,TaxCode,0),0,1,1)))+IF(ISERROR($G259),0,IF(ISNA(MATCH($G259,TaxCode,0)),0,OFFSET(Setup!$D$15,MATCH($G259,TaxCode,0),0,1,1))))*IF(ISERROR($G259),0,IF(ISNA(MATCH($G259,TaxCode,0)),0,OFFSET(Setup!$D$15,MATCH($G259,TaxCode,0),0,1,1)))</f>
        <v>0</v>
      </c>
      <c r="O259" s="29">
        <f t="shared" si="10"/>
        <v>-100</v>
      </c>
      <c r="P259" s="63" t="str">
        <f t="shared" ca="1" si="11"/>
        <v>-</v>
      </c>
    </row>
    <row r="260" spans="1:16" ht="16" customHeight="1" x14ac:dyDescent="0.25">
      <c r="A260" s="79">
        <v>44227</v>
      </c>
      <c r="B260" s="4" t="s">
        <v>505</v>
      </c>
      <c r="C260" s="4" t="s">
        <v>507</v>
      </c>
      <c r="D260" s="4" t="s">
        <v>506</v>
      </c>
      <c r="E260" s="29">
        <v>11203</v>
      </c>
      <c r="F260" s="63" t="s">
        <v>108</v>
      </c>
      <c r="G260" s="63" t="s">
        <v>108</v>
      </c>
      <c r="H260" s="63" t="s">
        <v>149</v>
      </c>
      <c r="I260" s="30" t="s">
        <v>290</v>
      </c>
      <c r="J260" s="10">
        <v>44234</v>
      </c>
      <c r="K260" s="63">
        <f t="shared" ca="1" si="9"/>
        <v>0</v>
      </c>
      <c r="L260" s="29" cm="1">
        <f t="array" aca="1" ref="L260" ca="1">O260-IF(ExpTaxCount=2,SUM($M260:$N260),$M260:$M260)</f>
        <v>11203</v>
      </c>
      <c r="M260" s="29">
        <f ca="1">$O260/(1+IF(ISERROR($F260),0,IF(ISNA(MATCH($F260,TaxCode,0)),0,OFFSET(Setup!$D$15,MATCH($F260,TaxCode,0),0,1,1)))+IF(ISERROR($G260),0,IF(ISNA(MATCH($G260,TaxCode,0)),0,OFFSET(Setup!$D$15,MATCH($G260,TaxCode,0),0,1,1))))*IF(ISERROR($F260),0,IF(ISNA(MATCH($F260,TaxCode,0)),0,OFFSET(Setup!$D$15,MATCH($F260,TaxCode,0),0,1,1)))</f>
        <v>0</v>
      </c>
      <c r="N260" s="29">
        <f ca="1">$O260/(1+IF(ISERROR($F260),0,IF(ISNA(MATCH($F260,TaxCode,0)),0,OFFSET(Setup!$D$15,MATCH($F260,TaxCode,0),0,1,1)))+IF(ISERROR($G260),0,IF(ISNA(MATCH($G260,TaxCode,0)),0,OFFSET(Setup!$D$15,MATCH($G260,TaxCode,0),0,1,1))))*IF(ISERROR($G260),0,IF(ISNA(MATCH($G260,TaxCode,0)),0,OFFSET(Setup!$D$15,MATCH($G260,TaxCode,0),0,1,1)))</f>
        <v>0</v>
      </c>
      <c r="O260" s="29">
        <f t="shared" si="10"/>
        <v>11203</v>
      </c>
      <c r="P260" s="63" t="str">
        <f t="shared" ca="1" si="11"/>
        <v>-</v>
      </c>
    </row>
    <row r="261" spans="1:16" ht="16" customHeight="1" x14ac:dyDescent="0.25">
      <c r="A261" s="79">
        <v>44228</v>
      </c>
      <c r="B261" s="4" t="s">
        <v>5</v>
      </c>
      <c r="C261" s="4" t="s">
        <v>40</v>
      </c>
      <c r="D261" s="4" t="s">
        <v>114</v>
      </c>
      <c r="E261" s="29">
        <v>850</v>
      </c>
      <c r="F261" s="63" t="s">
        <v>93</v>
      </c>
      <c r="G261" s="63" t="s">
        <v>108</v>
      </c>
      <c r="H261" s="63" t="s">
        <v>145</v>
      </c>
      <c r="I261" s="30" t="s">
        <v>303</v>
      </c>
      <c r="K261" s="63">
        <f t="shared" ref="K261:K293" ca="1" si="12">IF(AND($A261&lt;=$L$2,OR($J261&gt;$L$2,ISBLANK($J261))),$E261,0)</f>
        <v>850</v>
      </c>
      <c r="L261" s="29" cm="1">
        <f t="array" aca="1" ref="L261" ca="1">O261-IF(ExpTaxCount=2,SUM($M261:$N261),$M261:$M261)</f>
        <v>739.13043478260875</v>
      </c>
      <c r="M261" s="29">
        <f ca="1">$O261/(1+IF(ISERROR($F261),0,IF(ISNA(MATCH($F261,TaxCode,0)),0,OFFSET(Setup!$D$15,MATCH($F261,TaxCode,0),0,1,1)))+IF(ISERROR($G261),0,IF(ISNA(MATCH($G261,TaxCode,0)),0,OFFSET(Setup!$D$15,MATCH($G261,TaxCode,0),0,1,1))))*IF(ISERROR($F261),0,IF(ISNA(MATCH($F261,TaxCode,0)),0,OFFSET(Setup!$D$15,MATCH($F261,TaxCode,0),0,1,1)))</f>
        <v>110.86956521739131</v>
      </c>
      <c r="N261" s="29">
        <f ca="1">$O261/(1+IF(ISERROR($F261),0,IF(ISNA(MATCH($F261,TaxCode,0)),0,OFFSET(Setup!$D$15,MATCH($F261,TaxCode,0),0,1,1)))+IF(ISERROR($G261),0,IF(ISNA(MATCH($G261,TaxCode,0)),0,OFFSET(Setup!$D$15,MATCH($G261,TaxCode,0),0,1,1))))*IF(ISERROR($G261),0,IF(ISNA(MATCH($G261,TaxCode,0)),0,OFFSET(Setup!$D$15,MATCH($G261,TaxCode,0),0,1,1)))</f>
        <v>0</v>
      </c>
      <c r="O261" s="29">
        <f t="shared" ref="O261:O293" si="13">E261</f>
        <v>850</v>
      </c>
      <c r="P261" s="63" t="str">
        <f t="shared" ref="P261:P293" ca="1" si="14">IF(AND(ISBLANK(J261)=FALSE,J261&lt;A261),"E1",IF(AND(ISBLANK(I261)=FALSE,ISNA(MATCH($I261,AccountNo,0))),"E2",IF(AND(ISBLANK(H261)=FALSE,ISNA(MATCH($H261,BankCode,0))),"E3","-")))</f>
        <v>-</v>
      </c>
    </row>
    <row r="262" spans="1:16" ht="16" customHeight="1" x14ac:dyDescent="0.25">
      <c r="A262" s="79">
        <v>44232</v>
      </c>
      <c r="B262" s="4" t="s">
        <v>167</v>
      </c>
      <c r="C262" s="4" t="s">
        <v>110</v>
      </c>
      <c r="D262" s="4" t="s">
        <v>71</v>
      </c>
      <c r="E262" s="29">
        <v>368</v>
      </c>
      <c r="F262" s="63" t="s">
        <v>93</v>
      </c>
      <c r="G262" s="63" t="s">
        <v>108</v>
      </c>
      <c r="H262" s="63" t="s">
        <v>145</v>
      </c>
      <c r="I262" s="30" t="s">
        <v>296</v>
      </c>
      <c r="J262" s="10">
        <v>44232</v>
      </c>
      <c r="K262" s="63">
        <f t="shared" ca="1" si="12"/>
        <v>0</v>
      </c>
      <c r="L262" s="29" cm="1">
        <f t="array" aca="1" ref="L262" ca="1">O262-IF(ExpTaxCount=2,SUM($M262:$N262),$M262:$M262)</f>
        <v>320</v>
      </c>
      <c r="M262" s="29">
        <f ca="1">$O262/(1+IF(ISERROR($F262),0,IF(ISNA(MATCH($F262,TaxCode,0)),0,OFFSET(Setup!$D$15,MATCH($F262,TaxCode,0),0,1,1)))+IF(ISERROR($G262),0,IF(ISNA(MATCH($G262,TaxCode,0)),0,OFFSET(Setup!$D$15,MATCH($G262,TaxCode,0),0,1,1))))*IF(ISERROR($F262),0,IF(ISNA(MATCH($F262,TaxCode,0)),0,OFFSET(Setup!$D$15,MATCH($F262,TaxCode,0),0,1,1)))</f>
        <v>48</v>
      </c>
      <c r="N262" s="29">
        <f ca="1">$O262/(1+IF(ISERROR($F262),0,IF(ISNA(MATCH($F262,TaxCode,0)),0,OFFSET(Setup!$D$15,MATCH($F262,TaxCode,0),0,1,1)))+IF(ISERROR($G262),0,IF(ISNA(MATCH($G262,TaxCode,0)),0,OFFSET(Setup!$D$15,MATCH($G262,TaxCode,0),0,1,1))))*IF(ISERROR($G262),0,IF(ISNA(MATCH($G262,TaxCode,0)),0,OFFSET(Setup!$D$15,MATCH($G262,TaxCode,0),0,1,1)))</f>
        <v>0</v>
      </c>
      <c r="O262" s="29">
        <f t="shared" si="13"/>
        <v>368</v>
      </c>
      <c r="P262" s="63" t="str">
        <f t="shared" ca="1" si="14"/>
        <v>-</v>
      </c>
    </row>
    <row r="263" spans="1:16" ht="16" customHeight="1" x14ac:dyDescent="0.25">
      <c r="A263" s="79">
        <v>44232</v>
      </c>
      <c r="B263" s="4" t="s">
        <v>128</v>
      </c>
      <c r="C263" s="4" t="s">
        <v>172</v>
      </c>
      <c r="D263" s="4" t="s">
        <v>173</v>
      </c>
      <c r="E263" s="29">
        <v>-15000</v>
      </c>
      <c r="F263" s="63" t="s">
        <v>108</v>
      </c>
      <c r="G263" s="63" t="s">
        <v>108</v>
      </c>
      <c r="H263" s="63" t="s">
        <v>149</v>
      </c>
      <c r="I263" s="30" t="s">
        <v>275</v>
      </c>
      <c r="J263" s="10">
        <v>44232</v>
      </c>
      <c r="K263" s="63">
        <f t="shared" ca="1" si="12"/>
        <v>0</v>
      </c>
      <c r="L263" s="29" cm="1">
        <f t="array" aca="1" ref="L263" ca="1">O263-IF(ExpTaxCount=2,SUM($M263:$N263),$M263:$M263)</f>
        <v>-15000</v>
      </c>
      <c r="M263" s="29">
        <f ca="1">$O263/(1+IF(ISERROR($F263),0,IF(ISNA(MATCH($F263,TaxCode,0)),0,OFFSET(Setup!$D$15,MATCH($F263,TaxCode,0),0,1,1)))+IF(ISERROR($G263),0,IF(ISNA(MATCH($G263,TaxCode,0)),0,OFFSET(Setup!$D$15,MATCH($G263,TaxCode,0),0,1,1))))*IF(ISERROR($F263),0,IF(ISNA(MATCH($F263,TaxCode,0)),0,OFFSET(Setup!$D$15,MATCH($F263,TaxCode,0),0,1,1)))</f>
        <v>0</v>
      </c>
      <c r="N263" s="29">
        <f ca="1">$O263/(1+IF(ISERROR($F263),0,IF(ISNA(MATCH($F263,TaxCode,0)),0,OFFSET(Setup!$D$15,MATCH($F263,TaxCode,0),0,1,1)))+IF(ISERROR($G263),0,IF(ISNA(MATCH($G263,TaxCode,0)),0,OFFSET(Setup!$D$15,MATCH($G263,TaxCode,0),0,1,1))))*IF(ISERROR($G263),0,IF(ISNA(MATCH($G263,TaxCode,0)),0,OFFSET(Setup!$D$15,MATCH($G263,TaxCode,0),0,1,1)))</f>
        <v>0</v>
      </c>
      <c r="O263" s="29">
        <f t="shared" si="13"/>
        <v>-15000</v>
      </c>
      <c r="P263" s="63" t="str">
        <f t="shared" ca="1" si="14"/>
        <v>-</v>
      </c>
    </row>
    <row r="264" spans="1:16" ht="16" customHeight="1" x14ac:dyDescent="0.25">
      <c r="A264" s="79">
        <v>44232</v>
      </c>
      <c r="B264" s="4" t="s">
        <v>128</v>
      </c>
      <c r="C264" s="4" t="s">
        <v>172</v>
      </c>
      <c r="D264" s="4" t="s">
        <v>173</v>
      </c>
      <c r="E264" s="29">
        <v>15000</v>
      </c>
      <c r="F264" s="63" t="s">
        <v>108</v>
      </c>
      <c r="G264" s="63" t="s">
        <v>108</v>
      </c>
      <c r="H264" s="63" t="s">
        <v>145</v>
      </c>
      <c r="I264" s="30" t="s">
        <v>275</v>
      </c>
      <c r="J264" s="10">
        <v>44232</v>
      </c>
      <c r="K264" s="63">
        <f t="shared" ca="1" si="12"/>
        <v>0</v>
      </c>
      <c r="L264" s="29" cm="1">
        <f t="array" aca="1" ref="L264" ca="1">O264-IF(ExpTaxCount=2,SUM($M264:$N264),$M264:$M264)</f>
        <v>15000</v>
      </c>
      <c r="M264" s="29">
        <f ca="1">$O264/(1+IF(ISERROR($F264),0,IF(ISNA(MATCH($F264,TaxCode,0)),0,OFFSET(Setup!$D$15,MATCH($F264,TaxCode,0),0,1,1)))+IF(ISERROR($G264),0,IF(ISNA(MATCH($G264,TaxCode,0)),0,OFFSET(Setup!$D$15,MATCH($G264,TaxCode,0),0,1,1))))*IF(ISERROR($F264),0,IF(ISNA(MATCH($F264,TaxCode,0)),0,OFFSET(Setup!$D$15,MATCH($F264,TaxCode,0),0,1,1)))</f>
        <v>0</v>
      </c>
      <c r="N264" s="29">
        <f ca="1">$O264/(1+IF(ISERROR($F264),0,IF(ISNA(MATCH($F264,TaxCode,0)),0,OFFSET(Setup!$D$15,MATCH($F264,TaxCode,0),0,1,1)))+IF(ISERROR($G264),0,IF(ISNA(MATCH($G264,TaxCode,0)),0,OFFSET(Setup!$D$15,MATCH($G264,TaxCode,0),0,1,1))))*IF(ISERROR($G264),0,IF(ISNA(MATCH($G264,TaxCode,0)),0,OFFSET(Setup!$D$15,MATCH($G264,TaxCode,0),0,1,1)))</f>
        <v>0</v>
      </c>
      <c r="O264" s="29">
        <f t="shared" si="13"/>
        <v>15000</v>
      </c>
      <c r="P264" s="63" t="str">
        <f t="shared" ca="1" si="14"/>
        <v>-</v>
      </c>
    </row>
    <row r="265" spans="1:16" ht="16" customHeight="1" x14ac:dyDescent="0.25">
      <c r="A265" s="79">
        <v>44238</v>
      </c>
      <c r="B265" s="4" t="s">
        <v>19</v>
      </c>
      <c r="C265" s="4" t="s">
        <v>112</v>
      </c>
      <c r="D265" s="4" t="s">
        <v>75</v>
      </c>
      <c r="E265" s="29">
        <v>289</v>
      </c>
      <c r="F265" s="63" t="s">
        <v>93</v>
      </c>
      <c r="G265" s="63" t="s">
        <v>108</v>
      </c>
      <c r="H265" s="63" t="s">
        <v>145</v>
      </c>
      <c r="I265" s="30" t="s">
        <v>301</v>
      </c>
      <c r="K265" s="63">
        <f t="shared" ca="1" si="12"/>
        <v>289</v>
      </c>
      <c r="L265" s="29" cm="1">
        <f t="array" aca="1" ref="L265" ca="1">O265-IF(ExpTaxCount=2,SUM($M265:$N265),$M265:$M265)</f>
        <v>251.30434782608694</v>
      </c>
      <c r="M265" s="29">
        <f ca="1">$O265/(1+IF(ISERROR($F265),0,IF(ISNA(MATCH($F265,TaxCode,0)),0,OFFSET(Setup!$D$15,MATCH($F265,TaxCode,0),0,1,1)))+IF(ISERROR($G265),0,IF(ISNA(MATCH($G265,TaxCode,0)),0,OFFSET(Setup!$D$15,MATCH($G265,TaxCode,0),0,1,1))))*IF(ISERROR($F265),0,IF(ISNA(MATCH($F265,TaxCode,0)),0,OFFSET(Setup!$D$15,MATCH($F265,TaxCode,0),0,1,1)))</f>
        <v>37.695652173913047</v>
      </c>
      <c r="N265" s="29">
        <f ca="1">$O265/(1+IF(ISERROR($F265),0,IF(ISNA(MATCH($F265,TaxCode,0)),0,OFFSET(Setup!$D$15,MATCH($F265,TaxCode,0),0,1,1)))+IF(ISERROR($G265),0,IF(ISNA(MATCH($G265,TaxCode,0)),0,OFFSET(Setup!$D$15,MATCH($G265,TaxCode,0),0,1,1))))*IF(ISERROR($G265),0,IF(ISNA(MATCH($G265,TaxCode,0)),0,OFFSET(Setup!$D$15,MATCH($G265,TaxCode,0),0,1,1)))</f>
        <v>0</v>
      </c>
      <c r="O265" s="29">
        <f t="shared" si="13"/>
        <v>289</v>
      </c>
      <c r="P265" s="63" t="str">
        <f t="shared" ca="1" si="14"/>
        <v>-</v>
      </c>
    </row>
    <row r="266" spans="1:16" ht="16" customHeight="1" x14ac:dyDescent="0.25">
      <c r="A266" s="79">
        <v>44242</v>
      </c>
      <c r="B266" s="4" t="s">
        <v>168</v>
      </c>
      <c r="C266" s="4" t="s">
        <v>109</v>
      </c>
      <c r="D266" s="4" t="s">
        <v>12</v>
      </c>
      <c r="E266" s="29">
        <v>80</v>
      </c>
      <c r="F266" s="63" t="s">
        <v>93</v>
      </c>
      <c r="G266" s="63" t="s">
        <v>108</v>
      </c>
      <c r="H266" s="63" t="s">
        <v>145</v>
      </c>
      <c r="I266" s="30" t="s">
        <v>291</v>
      </c>
      <c r="J266" s="10">
        <v>44242</v>
      </c>
      <c r="K266" s="63">
        <f t="shared" ca="1" si="12"/>
        <v>0</v>
      </c>
      <c r="L266" s="29" cm="1">
        <f t="array" aca="1" ref="L266" ca="1">O266-IF(ExpTaxCount=2,SUM($M266:$N266),$M266:$M266)</f>
        <v>69.565217391304344</v>
      </c>
      <c r="M266" s="29">
        <f ca="1">$O266/(1+IF(ISERROR($F266),0,IF(ISNA(MATCH($F266,TaxCode,0)),0,OFFSET(Setup!$D$15,MATCH($F266,TaxCode,0),0,1,1)))+IF(ISERROR($G266),0,IF(ISNA(MATCH($G266,TaxCode,0)),0,OFFSET(Setup!$D$15,MATCH($G266,TaxCode,0),0,1,1))))*IF(ISERROR($F266),0,IF(ISNA(MATCH($F266,TaxCode,0)),0,OFFSET(Setup!$D$15,MATCH($F266,TaxCode,0),0,1,1)))</f>
        <v>10.434782608695654</v>
      </c>
      <c r="N266" s="29">
        <f ca="1">$O266/(1+IF(ISERROR($F266),0,IF(ISNA(MATCH($F266,TaxCode,0)),0,OFFSET(Setup!$D$15,MATCH($F266,TaxCode,0),0,1,1)))+IF(ISERROR($G266),0,IF(ISNA(MATCH($G266,TaxCode,0)),0,OFFSET(Setup!$D$15,MATCH($G266,TaxCode,0),0,1,1))))*IF(ISERROR($G266),0,IF(ISNA(MATCH($G266,TaxCode,0)),0,OFFSET(Setup!$D$15,MATCH($G266,TaxCode,0),0,1,1)))</f>
        <v>0</v>
      </c>
      <c r="O266" s="29">
        <f t="shared" si="13"/>
        <v>80</v>
      </c>
      <c r="P266" s="63" t="str">
        <f t="shared" ca="1" si="14"/>
        <v>-</v>
      </c>
    </row>
    <row r="267" spans="1:16" ht="16" customHeight="1" x14ac:dyDescent="0.25">
      <c r="A267" s="79">
        <v>44242</v>
      </c>
      <c r="B267" s="4" t="s">
        <v>168</v>
      </c>
      <c r="C267" s="4" t="s">
        <v>109</v>
      </c>
      <c r="D267" s="4" t="s">
        <v>12</v>
      </c>
      <c r="E267" s="29">
        <v>35</v>
      </c>
      <c r="F267" s="63" t="s">
        <v>93</v>
      </c>
      <c r="G267" s="63" t="s">
        <v>108</v>
      </c>
      <c r="H267" s="63" t="s">
        <v>147</v>
      </c>
      <c r="I267" s="30" t="s">
        <v>291</v>
      </c>
      <c r="J267" s="10">
        <v>44242</v>
      </c>
      <c r="K267" s="63">
        <f t="shared" ca="1" si="12"/>
        <v>0</v>
      </c>
      <c r="L267" s="29" cm="1">
        <f t="array" aca="1" ref="L267" ca="1">O267-IF(ExpTaxCount=2,SUM($M267:$N267),$M267:$M267)</f>
        <v>30.434782608695652</v>
      </c>
      <c r="M267" s="29">
        <f ca="1">$O267/(1+IF(ISERROR($F267),0,IF(ISNA(MATCH($F267,TaxCode,0)),0,OFFSET(Setup!$D$15,MATCH($F267,TaxCode,0),0,1,1)))+IF(ISERROR($G267),0,IF(ISNA(MATCH($G267,TaxCode,0)),0,OFFSET(Setup!$D$15,MATCH($G267,TaxCode,0),0,1,1))))*IF(ISERROR($F267),0,IF(ISNA(MATCH($F267,TaxCode,0)),0,OFFSET(Setup!$D$15,MATCH($F267,TaxCode,0),0,1,1)))</f>
        <v>4.5652173913043486</v>
      </c>
      <c r="N267" s="29">
        <f ca="1">$O267/(1+IF(ISERROR($F267),0,IF(ISNA(MATCH($F267,TaxCode,0)),0,OFFSET(Setup!$D$15,MATCH($F267,TaxCode,0),0,1,1)))+IF(ISERROR($G267),0,IF(ISNA(MATCH($G267,TaxCode,0)),0,OFFSET(Setup!$D$15,MATCH($G267,TaxCode,0),0,1,1))))*IF(ISERROR($G267),0,IF(ISNA(MATCH($G267,TaxCode,0)),0,OFFSET(Setup!$D$15,MATCH($G267,TaxCode,0),0,1,1)))</f>
        <v>0</v>
      </c>
      <c r="O267" s="29">
        <f t="shared" si="13"/>
        <v>35</v>
      </c>
      <c r="P267" s="63" t="str">
        <f t="shared" ca="1" si="14"/>
        <v>-</v>
      </c>
    </row>
    <row r="268" spans="1:16" ht="16" customHeight="1" x14ac:dyDescent="0.25">
      <c r="A268" s="79">
        <v>44242</v>
      </c>
      <c r="B268" s="4" t="s">
        <v>11</v>
      </c>
      <c r="C268" s="4" t="s">
        <v>112</v>
      </c>
      <c r="D268" s="4" t="s">
        <v>504</v>
      </c>
      <c r="E268" s="29">
        <v>2300</v>
      </c>
      <c r="F268" s="63" t="s">
        <v>93</v>
      </c>
      <c r="G268" s="63" t="s">
        <v>108</v>
      </c>
      <c r="H268" s="63" t="s">
        <v>145</v>
      </c>
      <c r="I268" s="30" t="s">
        <v>289</v>
      </c>
      <c r="K268" s="63">
        <f t="shared" ca="1" si="12"/>
        <v>2300</v>
      </c>
      <c r="L268" s="29" cm="1">
        <f t="array" aca="1" ref="L268" ca="1">O268-IF(ExpTaxCount=2,SUM($M268:$N268),$M268:$M268)</f>
        <v>2000</v>
      </c>
      <c r="M268" s="29">
        <f ca="1">$O268/(1+IF(ISERROR($F268),0,IF(ISNA(MATCH($F268,TaxCode,0)),0,OFFSET(Setup!$D$15,MATCH($F268,TaxCode,0),0,1,1)))+IF(ISERROR($G268),0,IF(ISNA(MATCH($G268,TaxCode,0)),0,OFFSET(Setup!$D$15,MATCH($G268,TaxCode,0),0,1,1))))*IF(ISERROR($F268),0,IF(ISNA(MATCH($F268,TaxCode,0)),0,OFFSET(Setup!$D$15,MATCH($F268,TaxCode,0),0,1,1)))</f>
        <v>300</v>
      </c>
      <c r="N268" s="29">
        <f ca="1">$O268/(1+IF(ISERROR($F268),0,IF(ISNA(MATCH($F268,TaxCode,0)),0,OFFSET(Setup!$D$15,MATCH($F268,TaxCode,0),0,1,1)))+IF(ISERROR($G268),0,IF(ISNA(MATCH($G268,TaxCode,0)),0,OFFSET(Setup!$D$15,MATCH($G268,TaxCode,0),0,1,1))))*IF(ISERROR($G268),0,IF(ISNA(MATCH($G268,TaxCode,0)),0,OFFSET(Setup!$D$15,MATCH($G268,TaxCode,0),0,1,1)))</f>
        <v>0</v>
      </c>
      <c r="O268" s="29">
        <f t="shared" si="13"/>
        <v>2300</v>
      </c>
      <c r="P268" s="63" t="str">
        <f t="shared" ca="1" si="14"/>
        <v>-</v>
      </c>
    </row>
    <row r="269" spans="1:16" ht="16" customHeight="1" x14ac:dyDescent="0.25">
      <c r="A269" s="79">
        <v>44247</v>
      </c>
      <c r="B269" s="4" t="s">
        <v>128</v>
      </c>
      <c r="C269" s="4" t="s">
        <v>172</v>
      </c>
      <c r="D269" s="4" t="s">
        <v>173</v>
      </c>
      <c r="E269" s="29">
        <v>-80000</v>
      </c>
      <c r="F269" s="63" t="s">
        <v>108</v>
      </c>
      <c r="G269" s="63" t="s">
        <v>108</v>
      </c>
      <c r="H269" s="63" t="s">
        <v>147</v>
      </c>
      <c r="I269" s="30" t="s">
        <v>275</v>
      </c>
      <c r="J269" s="10">
        <v>44247</v>
      </c>
      <c r="K269" s="63">
        <f t="shared" ca="1" si="12"/>
        <v>0</v>
      </c>
      <c r="L269" s="29" cm="1">
        <f t="array" aca="1" ref="L269" ca="1">O269-IF(ExpTaxCount=2,SUM($M269:$N269),$M269:$M269)</f>
        <v>-80000</v>
      </c>
      <c r="M269" s="29">
        <f ca="1">$O269/(1+IF(ISERROR($F269),0,IF(ISNA(MATCH($F269,TaxCode,0)),0,OFFSET(Setup!$D$15,MATCH($F269,TaxCode,0),0,1,1)))+IF(ISERROR($G269),0,IF(ISNA(MATCH($G269,TaxCode,0)),0,OFFSET(Setup!$D$15,MATCH($G269,TaxCode,0),0,1,1))))*IF(ISERROR($F269),0,IF(ISNA(MATCH($F269,TaxCode,0)),0,OFFSET(Setup!$D$15,MATCH($F269,TaxCode,0),0,1,1)))</f>
        <v>0</v>
      </c>
      <c r="N269" s="29">
        <f ca="1">$O269/(1+IF(ISERROR($F269),0,IF(ISNA(MATCH($F269,TaxCode,0)),0,OFFSET(Setup!$D$15,MATCH($F269,TaxCode,0),0,1,1)))+IF(ISERROR($G269),0,IF(ISNA(MATCH($G269,TaxCode,0)),0,OFFSET(Setup!$D$15,MATCH($G269,TaxCode,0),0,1,1))))*IF(ISERROR($G269),0,IF(ISNA(MATCH($G269,TaxCode,0)),0,OFFSET(Setup!$D$15,MATCH($G269,TaxCode,0),0,1,1)))</f>
        <v>0</v>
      </c>
      <c r="O269" s="29">
        <f t="shared" si="13"/>
        <v>-80000</v>
      </c>
      <c r="P269" s="63" t="str">
        <f t="shared" ca="1" si="14"/>
        <v>-</v>
      </c>
    </row>
    <row r="270" spans="1:16" ht="16" customHeight="1" x14ac:dyDescent="0.25">
      <c r="A270" s="79">
        <v>44247</v>
      </c>
      <c r="B270" s="4" t="s">
        <v>128</v>
      </c>
      <c r="C270" s="4" t="s">
        <v>172</v>
      </c>
      <c r="D270" s="4" t="s">
        <v>173</v>
      </c>
      <c r="E270" s="29">
        <v>80000</v>
      </c>
      <c r="F270" s="63" t="s">
        <v>108</v>
      </c>
      <c r="G270" s="63" t="s">
        <v>108</v>
      </c>
      <c r="H270" s="63" t="s">
        <v>145</v>
      </c>
      <c r="I270" s="30" t="s">
        <v>275</v>
      </c>
      <c r="J270" s="10">
        <v>44247</v>
      </c>
      <c r="K270" s="63">
        <f t="shared" ca="1" si="12"/>
        <v>0</v>
      </c>
      <c r="L270" s="29" cm="1">
        <f t="array" aca="1" ref="L270" ca="1">O270-IF(ExpTaxCount=2,SUM($M270:$N270),$M270:$M270)</f>
        <v>80000</v>
      </c>
      <c r="M270" s="29">
        <f ca="1">$O270/(1+IF(ISERROR($F270),0,IF(ISNA(MATCH($F270,TaxCode,0)),0,OFFSET(Setup!$D$15,MATCH($F270,TaxCode,0),0,1,1)))+IF(ISERROR($G270),0,IF(ISNA(MATCH($G270,TaxCode,0)),0,OFFSET(Setup!$D$15,MATCH($G270,TaxCode,0),0,1,1))))*IF(ISERROR($F270),0,IF(ISNA(MATCH($F270,TaxCode,0)),0,OFFSET(Setup!$D$15,MATCH($F270,TaxCode,0),0,1,1)))</f>
        <v>0</v>
      </c>
      <c r="N270" s="29">
        <f ca="1">$O270/(1+IF(ISERROR($F270),0,IF(ISNA(MATCH($F270,TaxCode,0)),0,OFFSET(Setup!$D$15,MATCH($F270,TaxCode,0),0,1,1)))+IF(ISERROR($G270),0,IF(ISNA(MATCH($G270,TaxCode,0)),0,OFFSET(Setup!$D$15,MATCH($G270,TaxCode,0),0,1,1))))*IF(ISERROR($G270),0,IF(ISNA(MATCH($G270,TaxCode,0)),0,OFFSET(Setup!$D$15,MATCH($G270,TaxCode,0),0,1,1)))</f>
        <v>0</v>
      </c>
      <c r="O270" s="29">
        <f t="shared" si="13"/>
        <v>80000</v>
      </c>
      <c r="P270" s="63" t="str">
        <f t="shared" ca="1" si="14"/>
        <v>-</v>
      </c>
    </row>
    <row r="271" spans="1:16" ht="16" customHeight="1" x14ac:dyDescent="0.25">
      <c r="A271" s="79">
        <v>44252</v>
      </c>
      <c r="B271" s="4" t="s">
        <v>48</v>
      </c>
      <c r="C271" s="4" t="s">
        <v>121</v>
      </c>
      <c r="D271" s="4" t="s">
        <v>57</v>
      </c>
      <c r="E271" s="29">
        <v>31218.52</v>
      </c>
      <c r="F271" s="63" t="s">
        <v>108</v>
      </c>
      <c r="G271" s="63" t="s">
        <v>108</v>
      </c>
      <c r="H271" s="63" t="s">
        <v>145</v>
      </c>
      <c r="I271" s="30" t="s">
        <v>284</v>
      </c>
      <c r="J271" s="10">
        <v>44252</v>
      </c>
      <c r="K271" s="63">
        <f t="shared" ca="1" si="12"/>
        <v>0</v>
      </c>
      <c r="L271" s="29" cm="1">
        <f t="array" aca="1" ref="L271" ca="1">O271-IF(ExpTaxCount=2,SUM($M271:$N271),$M271:$M271)</f>
        <v>31218.52</v>
      </c>
      <c r="M271" s="29">
        <f ca="1">$O271/(1+IF(ISERROR($F271),0,IF(ISNA(MATCH($F271,TaxCode,0)),0,OFFSET(Setup!$D$15,MATCH($F271,TaxCode,0),0,1,1)))+IF(ISERROR($G271),0,IF(ISNA(MATCH($G271,TaxCode,0)),0,OFFSET(Setup!$D$15,MATCH($G271,TaxCode,0),0,1,1))))*IF(ISERROR($F271),0,IF(ISNA(MATCH($F271,TaxCode,0)),0,OFFSET(Setup!$D$15,MATCH($F271,TaxCode,0),0,1,1)))</f>
        <v>0</v>
      </c>
      <c r="N271" s="29">
        <f ca="1">$O271/(1+IF(ISERROR($F271),0,IF(ISNA(MATCH($F271,TaxCode,0)),0,OFFSET(Setup!$D$15,MATCH($F271,TaxCode,0),0,1,1)))+IF(ISERROR($G271),0,IF(ISNA(MATCH($G271,TaxCode,0)),0,OFFSET(Setup!$D$15,MATCH($G271,TaxCode,0),0,1,1))))*IF(ISERROR($G271),0,IF(ISNA(MATCH($G271,TaxCode,0)),0,OFFSET(Setup!$D$15,MATCH($G271,TaxCode,0),0,1,1)))</f>
        <v>0</v>
      </c>
      <c r="O271" s="29">
        <f t="shared" si="13"/>
        <v>31218.52</v>
      </c>
      <c r="P271" s="63" t="str">
        <f t="shared" ca="1" si="14"/>
        <v>-</v>
      </c>
    </row>
    <row r="272" spans="1:16" ht="16" customHeight="1" x14ac:dyDescent="0.25">
      <c r="A272" s="79">
        <v>44252</v>
      </c>
      <c r="B272" s="4" t="s">
        <v>169</v>
      </c>
      <c r="C272" s="4" t="s">
        <v>170</v>
      </c>
      <c r="D272" s="4" t="s">
        <v>171</v>
      </c>
      <c r="E272" s="29">
        <v>75</v>
      </c>
      <c r="F272" s="63" t="s">
        <v>93</v>
      </c>
      <c r="G272" s="63" t="s">
        <v>108</v>
      </c>
      <c r="H272" s="63" t="s">
        <v>151</v>
      </c>
      <c r="I272" s="30" t="s">
        <v>297</v>
      </c>
      <c r="J272" s="10">
        <v>44252</v>
      </c>
      <c r="K272" s="63">
        <f t="shared" ca="1" si="12"/>
        <v>0</v>
      </c>
      <c r="L272" s="29" cm="1">
        <f t="array" aca="1" ref="L272" ca="1">O272-IF(ExpTaxCount=2,SUM($M272:$N272),$M272:$M272)</f>
        <v>65.217391304347828</v>
      </c>
      <c r="M272" s="29">
        <f ca="1">$O272/(1+IF(ISERROR($F272),0,IF(ISNA(MATCH($F272,TaxCode,0)),0,OFFSET(Setup!$D$15,MATCH($F272,TaxCode,0),0,1,1)))+IF(ISERROR($G272),0,IF(ISNA(MATCH($G272,TaxCode,0)),0,OFFSET(Setup!$D$15,MATCH($G272,TaxCode,0),0,1,1))))*IF(ISERROR($F272),0,IF(ISNA(MATCH($F272,TaxCode,0)),0,OFFSET(Setup!$D$15,MATCH($F272,TaxCode,0),0,1,1)))</f>
        <v>9.7826086956521738</v>
      </c>
      <c r="N272" s="29">
        <f ca="1">$O272/(1+IF(ISERROR($F272),0,IF(ISNA(MATCH($F272,TaxCode,0)),0,OFFSET(Setup!$D$15,MATCH($F272,TaxCode,0),0,1,1)))+IF(ISERROR($G272),0,IF(ISNA(MATCH($G272,TaxCode,0)),0,OFFSET(Setup!$D$15,MATCH($G272,TaxCode,0),0,1,1))))*IF(ISERROR($G272),0,IF(ISNA(MATCH($G272,TaxCode,0)),0,OFFSET(Setup!$D$15,MATCH($G272,TaxCode,0),0,1,1)))</f>
        <v>0</v>
      </c>
      <c r="O272" s="29">
        <f t="shared" si="13"/>
        <v>75</v>
      </c>
      <c r="P272" s="63" t="str">
        <f t="shared" ca="1" si="14"/>
        <v>-</v>
      </c>
    </row>
    <row r="273" spans="1:16" ht="16" customHeight="1" x14ac:dyDescent="0.25">
      <c r="A273" s="79">
        <v>44253</v>
      </c>
      <c r="B273" s="4" t="s">
        <v>9</v>
      </c>
      <c r="C273" s="4" t="s">
        <v>112</v>
      </c>
      <c r="D273" s="4" t="s">
        <v>8</v>
      </c>
      <c r="E273" s="29">
        <v>11730</v>
      </c>
      <c r="F273" s="63" t="s">
        <v>93</v>
      </c>
      <c r="G273" s="63" t="s">
        <v>108</v>
      </c>
      <c r="H273" s="63" t="s">
        <v>145</v>
      </c>
      <c r="I273" s="30" t="s">
        <v>245</v>
      </c>
      <c r="K273" s="63">
        <f t="shared" ca="1" si="12"/>
        <v>11730</v>
      </c>
      <c r="L273" s="29" cm="1">
        <f t="array" aca="1" ref="L273" ca="1">O273-IF(ExpTaxCount=2,SUM($M273:$N273),$M273:$M273)</f>
        <v>10200</v>
      </c>
      <c r="M273" s="29">
        <f ca="1">$O273/(1+IF(ISERROR($F273),0,IF(ISNA(MATCH($F273,TaxCode,0)),0,OFFSET(Setup!$D$15,MATCH($F273,TaxCode,0),0,1,1)))+IF(ISERROR($G273),0,IF(ISNA(MATCH($G273,TaxCode,0)),0,OFFSET(Setup!$D$15,MATCH($G273,TaxCode,0),0,1,1))))*IF(ISERROR($F273),0,IF(ISNA(MATCH($F273,TaxCode,0)),0,OFFSET(Setup!$D$15,MATCH($F273,TaxCode,0),0,1,1)))</f>
        <v>1530</v>
      </c>
      <c r="N273" s="29">
        <f ca="1">$O273/(1+IF(ISERROR($F273),0,IF(ISNA(MATCH($F273,TaxCode,0)),0,OFFSET(Setup!$D$15,MATCH($F273,TaxCode,0),0,1,1)))+IF(ISERROR($G273),0,IF(ISNA(MATCH($G273,TaxCode,0)),0,OFFSET(Setup!$D$15,MATCH($G273,TaxCode,0),0,1,1))))*IF(ISERROR($G273),0,IF(ISNA(MATCH($G273,TaxCode,0)),0,OFFSET(Setup!$D$15,MATCH($G273,TaxCode,0),0,1,1)))</f>
        <v>0</v>
      </c>
      <c r="O273" s="29">
        <f t="shared" si="13"/>
        <v>11730</v>
      </c>
      <c r="P273" s="63" t="str">
        <f t="shared" ca="1" si="14"/>
        <v>-</v>
      </c>
    </row>
    <row r="274" spans="1:16" ht="16" customHeight="1" x14ac:dyDescent="0.25">
      <c r="A274" s="79">
        <v>44253</v>
      </c>
      <c r="B274" s="4" t="s">
        <v>128</v>
      </c>
      <c r="C274" s="4" t="s">
        <v>115</v>
      </c>
      <c r="D274" s="4" t="s">
        <v>26</v>
      </c>
      <c r="E274" s="29">
        <v>45000</v>
      </c>
      <c r="F274" s="63" t="s">
        <v>108</v>
      </c>
      <c r="G274" s="63" t="s">
        <v>108</v>
      </c>
      <c r="H274" s="63" t="s">
        <v>147</v>
      </c>
      <c r="I274" s="30" t="s">
        <v>366</v>
      </c>
      <c r="J274" s="10">
        <v>44253</v>
      </c>
      <c r="K274" s="63">
        <f t="shared" ca="1" si="12"/>
        <v>0</v>
      </c>
      <c r="L274" s="29" cm="1">
        <f t="array" aca="1" ref="L274" ca="1">O274-IF(ExpTaxCount=2,SUM($M274:$N274),$M274:$M274)</f>
        <v>45000</v>
      </c>
      <c r="M274" s="29">
        <f ca="1">$O274/(1+IF(ISERROR($F274),0,IF(ISNA(MATCH($F274,TaxCode,0)),0,OFFSET(Setup!$D$15,MATCH($F274,TaxCode,0),0,1,1)))+IF(ISERROR($G274),0,IF(ISNA(MATCH($G274,TaxCode,0)),0,OFFSET(Setup!$D$15,MATCH($G274,TaxCode,0),0,1,1))))*IF(ISERROR($F274),0,IF(ISNA(MATCH($F274,TaxCode,0)),0,OFFSET(Setup!$D$15,MATCH($F274,TaxCode,0),0,1,1)))</f>
        <v>0</v>
      </c>
      <c r="N274" s="29">
        <f ca="1">$O274/(1+IF(ISERROR($F274),0,IF(ISNA(MATCH($F274,TaxCode,0)),0,OFFSET(Setup!$D$15,MATCH($F274,TaxCode,0),0,1,1)))+IF(ISERROR($G274),0,IF(ISNA(MATCH($G274,TaxCode,0)),0,OFFSET(Setup!$D$15,MATCH($G274,TaxCode,0),0,1,1))))*IF(ISERROR($G274),0,IF(ISNA(MATCH($G274,TaxCode,0)),0,OFFSET(Setup!$D$15,MATCH($G274,TaxCode,0),0,1,1)))</f>
        <v>0</v>
      </c>
      <c r="O274" s="29">
        <f t="shared" si="13"/>
        <v>45000</v>
      </c>
      <c r="P274" s="63" t="str">
        <f t="shared" ca="1" si="14"/>
        <v>-</v>
      </c>
    </row>
    <row r="275" spans="1:16" ht="16" customHeight="1" x14ac:dyDescent="0.25">
      <c r="A275" s="79">
        <v>44253</v>
      </c>
      <c r="B275" s="4" t="s">
        <v>54</v>
      </c>
      <c r="C275" s="4" t="s">
        <v>110</v>
      </c>
      <c r="D275" s="4" t="s">
        <v>56</v>
      </c>
      <c r="E275" s="29">
        <v>3480.68</v>
      </c>
      <c r="F275" s="63" t="s">
        <v>108</v>
      </c>
      <c r="G275" s="63" t="s">
        <v>108</v>
      </c>
      <c r="H275" s="63" t="s">
        <v>145</v>
      </c>
      <c r="I275" s="30" t="s">
        <v>403</v>
      </c>
      <c r="J275" s="10">
        <v>44253</v>
      </c>
      <c r="K275" s="63">
        <f t="shared" ca="1" si="12"/>
        <v>0</v>
      </c>
      <c r="L275" s="29" cm="1">
        <f t="array" aca="1" ref="L275" ca="1">O275-IF(ExpTaxCount=2,SUM($M275:$N275),$M275:$M275)</f>
        <v>3480.68</v>
      </c>
      <c r="M275" s="29">
        <f ca="1">$O275/(1+IF(ISERROR($F275),0,IF(ISNA(MATCH($F275,TaxCode,0)),0,OFFSET(Setup!$D$15,MATCH($F275,TaxCode,0),0,1,1)))+IF(ISERROR($G275),0,IF(ISNA(MATCH($G275,TaxCode,0)),0,OFFSET(Setup!$D$15,MATCH($G275,TaxCode,0),0,1,1))))*IF(ISERROR($F275),0,IF(ISNA(MATCH($F275,TaxCode,0)),0,OFFSET(Setup!$D$15,MATCH($F275,TaxCode,0),0,1,1)))</f>
        <v>0</v>
      </c>
      <c r="N275" s="29">
        <f ca="1">$O275/(1+IF(ISERROR($F275),0,IF(ISNA(MATCH($F275,TaxCode,0)),0,OFFSET(Setup!$D$15,MATCH($F275,TaxCode,0),0,1,1)))+IF(ISERROR($G275),0,IF(ISNA(MATCH($G275,TaxCode,0)),0,OFFSET(Setup!$D$15,MATCH($G275,TaxCode,0),0,1,1))))*IF(ISERROR($G275),0,IF(ISNA(MATCH($G275,TaxCode,0)),0,OFFSET(Setup!$D$15,MATCH($G275,TaxCode,0),0,1,1)))</f>
        <v>0</v>
      </c>
      <c r="O275" s="29">
        <f t="shared" si="13"/>
        <v>3480.68</v>
      </c>
      <c r="P275" s="63" t="str">
        <f t="shared" ca="1" si="14"/>
        <v>-</v>
      </c>
    </row>
    <row r="276" spans="1:16" ht="16" customHeight="1" x14ac:dyDescent="0.25">
      <c r="A276" s="79">
        <v>44253</v>
      </c>
      <c r="B276" s="4" t="s">
        <v>54</v>
      </c>
      <c r="C276" s="4" t="s">
        <v>110</v>
      </c>
      <c r="D276" s="4" t="s">
        <v>55</v>
      </c>
      <c r="E276" s="29">
        <v>1831.09</v>
      </c>
      <c r="F276" s="63" t="s">
        <v>108</v>
      </c>
      <c r="G276" s="63" t="s">
        <v>108</v>
      </c>
      <c r="H276" s="63" t="s">
        <v>145</v>
      </c>
      <c r="I276" s="30" t="s">
        <v>309</v>
      </c>
      <c r="J276" s="10">
        <v>44253</v>
      </c>
      <c r="K276" s="63">
        <f t="shared" ca="1" si="12"/>
        <v>0</v>
      </c>
      <c r="L276" s="29" cm="1">
        <f t="array" aca="1" ref="L276" ca="1">O276-IF(ExpTaxCount=2,SUM($M276:$N276),$M276:$M276)</f>
        <v>1831.09</v>
      </c>
      <c r="M276" s="29">
        <f ca="1">$O276/(1+IF(ISERROR($F276),0,IF(ISNA(MATCH($F276,TaxCode,0)),0,OFFSET(Setup!$D$15,MATCH($F276,TaxCode,0),0,1,1)))+IF(ISERROR($G276),0,IF(ISNA(MATCH($G276,TaxCode,0)),0,OFFSET(Setup!$D$15,MATCH($G276,TaxCode,0),0,1,1))))*IF(ISERROR($F276),0,IF(ISNA(MATCH($F276,TaxCode,0)),0,OFFSET(Setup!$D$15,MATCH($F276,TaxCode,0),0,1,1)))</f>
        <v>0</v>
      </c>
      <c r="N276" s="29">
        <f ca="1">$O276/(1+IF(ISERROR($F276),0,IF(ISNA(MATCH($F276,TaxCode,0)),0,OFFSET(Setup!$D$15,MATCH($F276,TaxCode,0),0,1,1)))+IF(ISERROR($G276),0,IF(ISNA(MATCH($G276,TaxCode,0)),0,OFFSET(Setup!$D$15,MATCH($G276,TaxCode,0),0,1,1))))*IF(ISERROR($G276),0,IF(ISNA(MATCH($G276,TaxCode,0)),0,OFFSET(Setup!$D$15,MATCH($G276,TaxCode,0),0,1,1)))</f>
        <v>0</v>
      </c>
      <c r="O276" s="29">
        <f t="shared" si="13"/>
        <v>1831.09</v>
      </c>
      <c r="P276" s="63" t="str">
        <f t="shared" ca="1" si="14"/>
        <v>-</v>
      </c>
    </row>
    <row r="277" spans="1:16" ht="16" customHeight="1" x14ac:dyDescent="0.25">
      <c r="A277" s="79">
        <v>44253</v>
      </c>
      <c r="B277" s="4" t="s">
        <v>25</v>
      </c>
      <c r="C277" s="4" t="s">
        <v>110</v>
      </c>
      <c r="D277" s="4" t="s">
        <v>116</v>
      </c>
      <c r="E277" s="29">
        <v>13800</v>
      </c>
      <c r="F277" s="63" t="s">
        <v>93</v>
      </c>
      <c r="G277" s="63" t="s">
        <v>108</v>
      </c>
      <c r="H277" s="63" t="s">
        <v>145</v>
      </c>
      <c r="I277" s="30" t="s">
        <v>298</v>
      </c>
      <c r="J277" s="10">
        <v>44253</v>
      </c>
      <c r="K277" s="63">
        <f t="shared" ca="1" si="12"/>
        <v>0</v>
      </c>
      <c r="L277" s="29" cm="1">
        <f t="array" aca="1" ref="L277" ca="1">O277-IF(ExpTaxCount=2,SUM($M277:$N277),$M277:$M277)</f>
        <v>12000</v>
      </c>
      <c r="M277" s="29">
        <f ca="1">$O277/(1+IF(ISERROR($F277),0,IF(ISNA(MATCH($F277,TaxCode,0)),0,OFFSET(Setup!$D$15,MATCH($F277,TaxCode,0),0,1,1)))+IF(ISERROR($G277),0,IF(ISNA(MATCH($G277,TaxCode,0)),0,OFFSET(Setup!$D$15,MATCH($G277,TaxCode,0),0,1,1))))*IF(ISERROR($F277),0,IF(ISNA(MATCH($F277,TaxCode,0)),0,OFFSET(Setup!$D$15,MATCH($F277,TaxCode,0),0,1,1)))</f>
        <v>1800.0000000000002</v>
      </c>
      <c r="N277" s="29">
        <f ca="1">$O277/(1+IF(ISERROR($F277),0,IF(ISNA(MATCH($F277,TaxCode,0)),0,OFFSET(Setup!$D$15,MATCH($F277,TaxCode,0),0,1,1)))+IF(ISERROR($G277),0,IF(ISNA(MATCH($G277,TaxCode,0)),0,OFFSET(Setup!$D$15,MATCH($G277,TaxCode,0),0,1,1))))*IF(ISERROR($G277),0,IF(ISNA(MATCH($G277,TaxCode,0)),0,OFFSET(Setup!$D$15,MATCH($G277,TaxCode,0),0,1,1)))</f>
        <v>0</v>
      </c>
      <c r="O277" s="29">
        <f t="shared" si="13"/>
        <v>13800</v>
      </c>
      <c r="P277" s="63" t="str">
        <f t="shared" ca="1" si="14"/>
        <v>-</v>
      </c>
    </row>
    <row r="278" spans="1:16" ht="16" customHeight="1" x14ac:dyDescent="0.25">
      <c r="A278" s="79">
        <v>44253</v>
      </c>
      <c r="B278" s="4" t="s">
        <v>128</v>
      </c>
      <c r="C278" s="4" t="s">
        <v>115</v>
      </c>
      <c r="D278" s="4" t="s">
        <v>509</v>
      </c>
      <c r="E278" s="29">
        <v>35000</v>
      </c>
      <c r="F278" s="63" t="s">
        <v>108</v>
      </c>
      <c r="G278" s="63" t="s">
        <v>108</v>
      </c>
      <c r="H278" s="63" t="s">
        <v>147</v>
      </c>
      <c r="I278" s="30" t="s">
        <v>364</v>
      </c>
      <c r="J278" s="10">
        <v>44253</v>
      </c>
      <c r="K278" s="63">
        <f t="shared" ca="1" si="12"/>
        <v>0</v>
      </c>
      <c r="L278" s="29" cm="1">
        <f t="array" aca="1" ref="L278" ca="1">O278-IF(ExpTaxCount=2,SUM($M278:$N278),$M278:$M278)</f>
        <v>35000</v>
      </c>
      <c r="M278" s="29">
        <f ca="1">$O278/(1+IF(ISERROR($F278),0,IF(ISNA(MATCH($F278,TaxCode,0)),0,OFFSET(Setup!$D$15,MATCH($F278,TaxCode,0),0,1,1)))+IF(ISERROR($G278),0,IF(ISNA(MATCH($G278,TaxCode,0)),0,OFFSET(Setup!$D$15,MATCH($G278,TaxCode,0),0,1,1))))*IF(ISERROR($F278),0,IF(ISNA(MATCH($F278,TaxCode,0)),0,OFFSET(Setup!$D$15,MATCH($F278,TaxCode,0),0,1,1)))</f>
        <v>0</v>
      </c>
      <c r="N278" s="29">
        <f ca="1">$O278/(1+IF(ISERROR($F278),0,IF(ISNA(MATCH($F278,TaxCode,0)),0,OFFSET(Setup!$D$15,MATCH($F278,TaxCode,0),0,1,1)))+IF(ISERROR($G278),0,IF(ISNA(MATCH($G278,TaxCode,0)),0,OFFSET(Setup!$D$15,MATCH($G278,TaxCode,0),0,1,1))))*IF(ISERROR($G278),0,IF(ISNA(MATCH($G278,TaxCode,0)),0,OFFSET(Setup!$D$15,MATCH($G278,TaxCode,0),0,1,1)))</f>
        <v>0</v>
      </c>
      <c r="O278" s="29">
        <f t="shared" si="13"/>
        <v>35000</v>
      </c>
      <c r="P278" s="63" t="str">
        <f t="shared" ca="1" si="14"/>
        <v>-</v>
      </c>
    </row>
    <row r="279" spans="1:16" ht="16" customHeight="1" x14ac:dyDescent="0.25">
      <c r="A279" s="79">
        <v>44253</v>
      </c>
      <c r="B279" s="4" t="s">
        <v>128</v>
      </c>
      <c r="C279" s="4" t="s">
        <v>115</v>
      </c>
      <c r="D279" s="4" t="s">
        <v>510</v>
      </c>
      <c r="E279" s="29">
        <v>7200</v>
      </c>
      <c r="F279" s="63" t="s">
        <v>108</v>
      </c>
      <c r="G279" s="63" t="s">
        <v>108</v>
      </c>
      <c r="H279" s="63" t="s">
        <v>147</v>
      </c>
      <c r="I279" s="30" t="s">
        <v>364</v>
      </c>
      <c r="K279" s="63">
        <f t="shared" ca="1" si="12"/>
        <v>7200</v>
      </c>
      <c r="L279" s="29" cm="1">
        <f t="array" aca="1" ref="L279" ca="1">O279-IF(ExpTaxCount=2,SUM($M279:$N279),$M279:$M279)</f>
        <v>7200</v>
      </c>
      <c r="M279" s="29">
        <f ca="1">$O279/(1+IF(ISERROR($F279),0,IF(ISNA(MATCH($F279,TaxCode,0)),0,OFFSET(Setup!$D$15,MATCH($F279,TaxCode,0),0,1,1)))+IF(ISERROR($G279),0,IF(ISNA(MATCH($G279,TaxCode,0)),0,OFFSET(Setup!$D$15,MATCH($G279,TaxCode,0),0,1,1))))*IF(ISERROR($F279),0,IF(ISNA(MATCH($F279,TaxCode,0)),0,OFFSET(Setup!$D$15,MATCH($F279,TaxCode,0),0,1,1)))</f>
        <v>0</v>
      </c>
      <c r="N279" s="29">
        <f ca="1">$O279/(1+IF(ISERROR($F279),0,IF(ISNA(MATCH($F279,TaxCode,0)),0,OFFSET(Setup!$D$15,MATCH($F279,TaxCode,0),0,1,1)))+IF(ISERROR($G279),0,IF(ISNA(MATCH($G279,TaxCode,0)),0,OFFSET(Setup!$D$15,MATCH($G279,TaxCode,0),0,1,1))))*IF(ISERROR($G279),0,IF(ISNA(MATCH($G279,TaxCode,0)),0,OFFSET(Setup!$D$15,MATCH($G279,TaxCode,0),0,1,1)))</f>
        <v>0</v>
      </c>
      <c r="O279" s="29">
        <f t="shared" si="13"/>
        <v>7200</v>
      </c>
      <c r="P279" s="63" t="str">
        <f t="shared" ca="1" si="14"/>
        <v>-</v>
      </c>
    </row>
    <row r="280" spans="1:16" ht="16" customHeight="1" x14ac:dyDescent="0.25">
      <c r="A280" s="79">
        <v>44253</v>
      </c>
      <c r="B280" s="4" t="s">
        <v>128</v>
      </c>
      <c r="C280" s="4" t="s">
        <v>115</v>
      </c>
      <c r="D280" s="4" t="s">
        <v>511</v>
      </c>
      <c r="E280" s="29">
        <v>9320</v>
      </c>
      <c r="F280" s="63" t="s">
        <v>108</v>
      </c>
      <c r="G280" s="63" t="s">
        <v>108</v>
      </c>
      <c r="H280" s="63" t="s">
        <v>147</v>
      </c>
      <c r="I280" s="30" t="s">
        <v>366</v>
      </c>
      <c r="K280" s="63">
        <f t="shared" ca="1" si="12"/>
        <v>9320</v>
      </c>
      <c r="L280" s="29" cm="1">
        <f t="array" aca="1" ref="L280" ca="1">O280-IF(ExpTaxCount=2,SUM($M280:$N280),$M280:$M280)</f>
        <v>9320</v>
      </c>
      <c r="M280" s="29">
        <f ca="1">$O280/(1+IF(ISERROR($F280),0,IF(ISNA(MATCH($F280,TaxCode,0)),0,OFFSET(Setup!$D$15,MATCH($F280,TaxCode,0),0,1,1)))+IF(ISERROR($G280),0,IF(ISNA(MATCH($G280,TaxCode,0)),0,OFFSET(Setup!$D$15,MATCH($G280,TaxCode,0),0,1,1))))*IF(ISERROR($F280),0,IF(ISNA(MATCH($F280,TaxCode,0)),0,OFFSET(Setup!$D$15,MATCH($F280,TaxCode,0),0,1,1)))</f>
        <v>0</v>
      </c>
      <c r="N280" s="29">
        <f ca="1">$O280/(1+IF(ISERROR($F280),0,IF(ISNA(MATCH($F280,TaxCode,0)),0,OFFSET(Setup!$D$15,MATCH($F280,TaxCode,0),0,1,1)))+IF(ISERROR($G280),0,IF(ISNA(MATCH($G280,TaxCode,0)),0,OFFSET(Setup!$D$15,MATCH($G280,TaxCode,0),0,1,1))))*IF(ISERROR($G280),0,IF(ISNA(MATCH($G280,TaxCode,0)),0,OFFSET(Setup!$D$15,MATCH($G280,TaxCode,0),0,1,1)))</f>
        <v>0</v>
      </c>
      <c r="O280" s="29">
        <f t="shared" si="13"/>
        <v>9320</v>
      </c>
      <c r="P280" s="63" t="str">
        <f t="shared" ca="1" si="14"/>
        <v>-</v>
      </c>
    </row>
    <row r="281" spans="1:16" ht="16" customHeight="1" x14ac:dyDescent="0.25">
      <c r="A281" s="79">
        <v>44255</v>
      </c>
      <c r="B281" s="4" t="s">
        <v>13</v>
      </c>
      <c r="C281" s="4" t="s">
        <v>18</v>
      </c>
      <c r="D281" s="4" t="s">
        <v>82</v>
      </c>
      <c r="E281" s="29">
        <v>17250</v>
      </c>
      <c r="F281" s="63" t="s">
        <v>93</v>
      </c>
      <c r="G281" s="63" t="s">
        <v>108</v>
      </c>
      <c r="H281" s="63" t="s">
        <v>145</v>
      </c>
      <c r="I281" s="30" t="s">
        <v>292</v>
      </c>
      <c r="K281" s="63">
        <f t="shared" ca="1" si="12"/>
        <v>17250</v>
      </c>
      <c r="L281" s="29" cm="1">
        <f t="array" aca="1" ref="L281" ca="1">O281-IF(ExpTaxCount=2,SUM($M281:$N281),$M281:$M281)</f>
        <v>15000</v>
      </c>
      <c r="M281" s="29">
        <f ca="1">$O281/(1+IF(ISERROR($F281),0,IF(ISNA(MATCH($F281,TaxCode,0)),0,OFFSET(Setup!$D$15,MATCH($F281,TaxCode,0),0,1,1)))+IF(ISERROR($G281),0,IF(ISNA(MATCH($G281,TaxCode,0)),0,OFFSET(Setup!$D$15,MATCH($G281,TaxCode,0),0,1,1))))*IF(ISERROR($F281),0,IF(ISNA(MATCH($F281,TaxCode,0)),0,OFFSET(Setup!$D$15,MATCH($F281,TaxCode,0),0,1,1)))</f>
        <v>2250</v>
      </c>
      <c r="N281" s="29">
        <f ca="1">$O281/(1+IF(ISERROR($F281),0,IF(ISNA(MATCH($F281,TaxCode,0)),0,OFFSET(Setup!$D$15,MATCH($F281,TaxCode,0),0,1,1)))+IF(ISERROR($G281),0,IF(ISNA(MATCH($G281,TaxCode,0)),0,OFFSET(Setup!$D$15,MATCH($G281,TaxCode,0),0,1,1))))*IF(ISERROR($G281),0,IF(ISNA(MATCH($G281,TaxCode,0)),0,OFFSET(Setup!$D$15,MATCH($G281,TaxCode,0),0,1,1)))</f>
        <v>0</v>
      </c>
      <c r="O281" s="29">
        <f t="shared" si="13"/>
        <v>17250</v>
      </c>
      <c r="P281" s="63" t="str">
        <f t="shared" ca="1" si="14"/>
        <v>-</v>
      </c>
    </row>
    <row r="282" spans="1:16" ht="16" customHeight="1" x14ac:dyDescent="0.25">
      <c r="A282" s="79">
        <v>44255</v>
      </c>
      <c r="B282" s="4" t="s">
        <v>128</v>
      </c>
      <c r="C282" s="4" t="s">
        <v>109</v>
      </c>
      <c r="D282" s="4" t="s">
        <v>174</v>
      </c>
      <c r="E282" s="29">
        <v>75</v>
      </c>
      <c r="F282" s="63" t="s">
        <v>108</v>
      </c>
      <c r="G282" s="63" t="s">
        <v>108</v>
      </c>
      <c r="H282" s="63" t="s">
        <v>145</v>
      </c>
      <c r="I282" s="30" t="s">
        <v>275</v>
      </c>
      <c r="J282" s="10">
        <v>44255</v>
      </c>
      <c r="K282" s="63">
        <f t="shared" ca="1" si="12"/>
        <v>0</v>
      </c>
      <c r="L282" s="29" cm="1">
        <f t="array" aca="1" ref="L282" ca="1">O282-IF(ExpTaxCount=2,SUM($M282:$N282),$M282:$M282)</f>
        <v>75</v>
      </c>
      <c r="M282" s="29">
        <f ca="1">$O282/(1+IF(ISERROR($F282),0,IF(ISNA(MATCH($F282,TaxCode,0)),0,OFFSET(Setup!$D$15,MATCH($F282,TaxCode,0),0,1,1)))+IF(ISERROR($G282),0,IF(ISNA(MATCH($G282,TaxCode,0)),0,OFFSET(Setup!$D$15,MATCH($G282,TaxCode,0),0,1,1))))*IF(ISERROR($F282),0,IF(ISNA(MATCH($F282,TaxCode,0)),0,OFFSET(Setup!$D$15,MATCH($F282,TaxCode,0),0,1,1)))</f>
        <v>0</v>
      </c>
      <c r="N282" s="29">
        <f ca="1">$O282/(1+IF(ISERROR($F282),0,IF(ISNA(MATCH($F282,TaxCode,0)),0,OFFSET(Setup!$D$15,MATCH($F282,TaxCode,0),0,1,1)))+IF(ISERROR($G282),0,IF(ISNA(MATCH($G282,TaxCode,0)),0,OFFSET(Setup!$D$15,MATCH($G282,TaxCode,0),0,1,1))))*IF(ISERROR($G282),0,IF(ISNA(MATCH($G282,TaxCode,0)),0,OFFSET(Setup!$D$15,MATCH($G282,TaxCode,0),0,1,1)))</f>
        <v>0</v>
      </c>
      <c r="O282" s="29">
        <f t="shared" si="13"/>
        <v>75</v>
      </c>
      <c r="P282" s="63" t="str">
        <f t="shared" ca="1" si="14"/>
        <v>-</v>
      </c>
    </row>
    <row r="283" spans="1:16" ht="16" customHeight="1" x14ac:dyDescent="0.25">
      <c r="A283" s="79">
        <v>44255</v>
      </c>
      <c r="B283" s="4" t="s">
        <v>128</v>
      </c>
      <c r="C283" s="4" t="s">
        <v>109</v>
      </c>
      <c r="D283" s="4" t="s">
        <v>174</v>
      </c>
      <c r="E283" s="29">
        <v>-75</v>
      </c>
      <c r="F283" s="63" t="s">
        <v>108</v>
      </c>
      <c r="G283" s="63" t="s">
        <v>108</v>
      </c>
      <c r="H283" s="63" t="s">
        <v>151</v>
      </c>
      <c r="I283" s="30" t="s">
        <v>275</v>
      </c>
      <c r="J283" s="10">
        <v>44255</v>
      </c>
      <c r="K283" s="63">
        <f t="shared" ca="1" si="12"/>
        <v>0</v>
      </c>
      <c r="L283" s="29" cm="1">
        <f t="array" aca="1" ref="L283" ca="1">O283-IF(ExpTaxCount=2,SUM($M283:$N283),$M283:$M283)</f>
        <v>-75</v>
      </c>
      <c r="M283" s="29">
        <f ca="1">$O283/(1+IF(ISERROR($F283),0,IF(ISNA(MATCH($F283,TaxCode,0)),0,OFFSET(Setup!$D$15,MATCH($F283,TaxCode,0),0,1,1)))+IF(ISERROR($G283),0,IF(ISNA(MATCH($G283,TaxCode,0)),0,OFFSET(Setup!$D$15,MATCH($G283,TaxCode,0),0,1,1))))*IF(ISERROR($F283),0,IF(ISNA(MATCH($F283,TaxCode,0)),0,OFFSET(Setup!$D$15,MATCH($F283,TaxCode,0),0,1,1)))</f>
        <v>0</v>
      </c>
      <c r="N283" s="29">
        <f ca="1">$O283/(1+IF(ISERROR($F283),0,IF(ISNA(MATCH($F283,TaxCode,0)),0,OFFSET(Setup!$D$15,MATCH($F283,TaxCode,0),0,1,1)))+IF(ISERROR($G283),0,IF(ISNA(MATCH($G283,TaxCode,0)),0,OFFSET(Setup!$D$15,MATCH($G283,TaxCode,0),0,1,1))))*IF(ISERROR($G283),0,IF(ISNA(MATCH($G283,TaxCode,0)),0,OFFSET(Setup!$D$15,MATCH($G283,TaxCode,0),0,1,1)))</f>
        <v>0</v>
      </c>
      <c r="O283" s="29">
        <f t="shared" si="13"/>
        <v>-75</v>
      </c>
      <c r="P283" s="63" t="str">
        <f t="shared" ca="1" si="14"/>
        <v>-</v>
      </c>
    </row>
    <row r="284" spans="1:16" ht="16" customHeight="1" x14ac:dyDescent="0.25">
      <c r="A284" s="79">
        <v>44255</v>
      </c>
      <c r="B284" s="4" t="s">
        <v>48</v>
      </c>
      <c r="C284" s="4" t="s">
        <v>121</v>
      </c>
      <c r="D284" s="4" t="s">
        <v>122</v>
      </c>
      <c r="E284" s="29">
        <v>24185</v>
      </c>
      <c r="F284" s="63" t="s">
        <v>108</v>
      </c>
      <c r="G284" s="63" t="s">
        <v>108</v>
      </c>
      <c r="H284" s="63" t="s">
        <v>145</v>
      </c>
      <c r="I284" s="30" t="s">
        <v>310</v>
      </c>
      <c r="J284" s="10">
        <v>44255</v>
      </c>
      <c r="K284" s="63">
        <f t="shared" ca="1" si="12"/>
        <v>0</v>
      </c>
      <c r="L284" s="29" cm="1">
        <f t="array" aca="1" ref="L284" ca="1">O284-IF(ExpTaxCount=2,SUM($M284:$N284),$M284:$M284)</f>
        <v>24185</v>
      </c>
      <c r="M284" s="29">
        <f ca="1">$O284/(1+IF(ISERROR($F284),0,IF(ISNA(MATCH($F284,TaxCode,0)),0,OFFSET(Setup!$D$15,MATCH($F284,TaxCode,0),0,1,1)))+IF(ISERROR($G284),0,IF(ISNA(MATCH($G284,TaxCode,0)),0,OFFSET(Setup!$D$15,MATCH($G284,TaxCode,0),0,1,1))))*IF(ISERROR($F284),0,IF(ISNA(MATCH($F284,TaxCode,0)),0,OFFSET(Setup!$D$15,MATCH($F284,TaxCode,0),0,1,1)))</f>
        <v>0</v>
      </c>
      <c r="N284" s="29">
        <f ca="1">$O284/(1+IF(ISERROR($F284),0,IF(ISNA(MATCH($F284,TaxCode,0)),0,OFFSET(Setup!$D$15,MATCH($F284,TaxCode,0),0,1,1)))+IF(ISERROR($G284),0,IF(ISNA(MATCH($G284,TaxCode,0)),0,OFFSET(Setup!$D$15,MATCH($G284,TaxCode,0),0,1,1))))*IF(ISERROR($G284),0,IF(ISNA(MATCH($G284,TaxCode,0)),0,OFFSET(Setup!$D$15,MATCH($G284,TaxCode,0),0,1,1)))</f>
        <v>0</v>
      </c>
      <c r="O284" s="29">
        <f t="shared" si="13"/>
        <v>24185</v>
      </c>
      <c r="P284" s="63" t="str">
        <f t="shared" ca="1" si="14"/>
        <v>-</v>
      </c>
    </row>
    <row r="285" spans="1:16" ht="16" customHeight="1" x14ac:dyDescent="0.25">
      <c r="A285" s="79">
        <v>44255</v>
      </c>
      <c r="B285" s="4" t="s">
        <v>394</v>
      </c>
      <c r="C285" s="4" t="s">
        <v>395</v>
      </c>
      <c r="D285" s="4" t="s">
        <v>105</v>
      </c>
      <c r="E285" s="29">
        <v>18232</v>
      </c>
      <c r="F285" s="63" t="s">
        <v>108</v>
      </c>
      <c r="G285" s="63" t="s">
        <v>108</v>
      </c>
      <c r="H285" s="63" t="s">
        <v>217</v>
      </c>
      <c r="I285" s="30" t="s">
        <v>307</v>
      </c>
      <c r="J285" s="10">
        <v>44255</v>
      </c>
      <c r="K285" s="63">
        <f t="shared" ca="1" si="12"/>
        <v>0</v>
      </c>
      <c r="L285" s="29" cm="1">
        <f t="array" aca="1" ref="L285" ca="1">O285-IF(ExpTaxCount=2,SUM($M285:$N285),$M285:$M285)</f>
        <v>18232</v>
      </c>
      <c r="M285" s="29">
        <f ca="1">$O285/(1+IF(ISERROR($F285),0,IF(ISNA(MATCH($F285,TaxCode,0)),0,OFFSET(Setup!$D$15,MATCH($F285,TaxCode,0),0,1,1)))+IF(ISERROR($G285),0,IF(ISNA(MATCH($G285,TaxCode,0)),0,OFFSET(Setup!$D$15,MATCH($G285,TaxCode,0),0,1,1))))*IF(ISERROR($F285),0,IF(ISNA(MATCH($F285,TaxCode,0)),0,OFFSET(Setup!$D$15,MATCH($F285,TaxCode,0),0,1,1)))</f>
        <v>0</v>
      </c>
      <c r="N285" s="29">
        <f ca="1">$O285/(1+IF(ISERROR($F285),0,IF(ISNA(MATCH($F285,TaxCode,0)),0,OFFSET(Setup!$D$15,MATCH($F285,TaxCode,0),0,1,1)))+IF(ISERROR($G285),0,IF(ISNA(MATCH($G285,TaxCode,0)),0,OFFSET(Setup!$D$15,MATCH($G285,TaxCode,0),0,1,1))))*IF(ISERROR($G285),0,IF(ISNA(MATCH($G285,TaxCode,0)),0,OFFSET(Setup!$D$15,MATCH($G285,TaxCode,0),0,1,1)))</f>
        <v>0</v>
      </c>
      <c r="O285" s="29">
        <f t="shared" si="13"/>
        <v>18232</v>
      </c>
      <c r="P285" s="63" t="str">
        <f t="shared" ca="1" si="14"/>
        <v>-</v>
      </c>
    </row>
    <row r="286" spans="1:16" ht="16" customHeight="1" x14ac:dyDescent="0.25">
      <c r="A286" s="79">
        <v>44255</v>
      </c>
      <c r="B286" s="4" t="s">
        <v>394</v>
      </c>
      <c r="C286" s="4" t="s">
        <v>395</v>
      </c>
      <c r="D286" s="4" t="s">
        <v>105</v>
      </c>
      <c r="E286" s="29">
        <v>12190</v>
      </c>
      <c r="F286" s="63" t="s">
        <v>108</v>
      </c>
      <c r="G286" s="63" t="s">
        <v>108</v>
      </c>
      <c r="H286" s="63" t="s">
        <v>217</v>
      </c>
      <c r="I286" s="30" t="s">
        <v>307</v>
      </c>
      <c r="J286" s="10">
        <v>44255</v>
      </c>
      <c r="K286" s="63">
        <f t="shared" ca="1" si="12"/>
        <v>0</v>
      </c>
      <c r="L286" s="29" cm="1">
        <f t="array" aca="1" ref="L286" ca="1">O286-IF(ExpTaxCount=2,SUM($M286:$N286),$M286:$M286)</f>
        <v>12190</v>
      </c>
      <c r="M286" s="29">
        <f ca="1">$O286/(1+IF(ISERROR($F286),0,IF(ISNA(MATCH($F286,TaxCode,0)),0,OFFSET(Setup!$D$15,MATCH($F286,TaxCode,0),0,1,1)))+IF(ISERROR($G286),0,IF(ISNA(MATCH($G286,TaxCode,0)),0,OFFSET(Setup!$D$15,MATCH($G286,TaxCode,0),0,1,1))))*IF(ISERROR($F286),0,IF(ISNA(MATCH($F286,TaxCode,0)),0,OFFSET(Setup!$D$15,MATCH($F286,TaxCode,0),0,1,1)))</f>
        <v>0</v>
      </c>
      <c r="N286" s="29">
        <f ca="1">$O286/(1+IF(ISERROR($F286),0,IF(ISNA(MATCH($F286,TaxCode,0)),0,OFFSET(Setup!$D$15,MATCH($F286,TaxCode,0),0,1,1)))+IF(ISERROR($G286),0,IF(ISNA(MATCH($G286,TaxCode,0)),0,OFFSET(Setup!$D$15,MATCH($G286,TaxCode,0),0,1,1))))*IF(ISERROR($G286),0,IF(ISNA(MATCH($G286,TaxCode,0)),0,OFFSET(Setup!$D$15,MATCH($G286,TaxCode,0),0,1,1)))</f>
        <v>0</v>
      </c>
      <c r="O286" s="29">
        <f t="shared" si="13"/>
        <v>12190</v>
      </c>
      <c r="P286" s="63" t="str">
        <f t="shared" ca="1" si="14"/>
        <v>-</v>
      </c>
    </row>
    <row r="287" spans="1:16" ht="16" customHeight="1" x14ac:dyDescent="0.25">
      <c r="A287" s="79">
        <v>44255</v>
      </c>
      <c r="B287" s="4" t="s">
        <v>394</v>
      </c>
      <c r="C287" s="4" t="s">
        <v>395</v>
      </c>
      <c r="D287" s="4" t="s">
        <v>105</v>
      </c>
      <c r="E287" s="29">
        <v>-18232</v>
      </c>
      <c r="F287" s="63" t="s">
        <v>108</v>
      </c>
      <c r="G287" s="63" t="s">
        <v>108</v>
      </c>
      <c r="H287" s="63" t="s">
        <v>217</v>
      </c>
      <c r="I287" s="30" t="s">
        <v>250</v>
      </c>
      <c r="J287" s="10">
        <v>44255</v>
      </c>
      <c r="K287" s="63">
        <f t="shared" ca="1" si="12"/>
        <v>0</v>
      </c>
      <c r="L287" s="29" cm="1">
        <f t="array" aca="1" ref="L287" ca="1">O287-IF(ExpTaxCount=2,SUM($M287:$N287),$M287:$M287)</f>
        <v>-18232</v>
      </c>
      <c r="M287" s="29">
        <f ca="1">$O287/(1+IF(ISERROR($F287),0,IF(ISNA(MATCH($F287,TaxCode,0)),0,OFFSET(Setup!$D$15,MATCH($F287,TaxCode,0),0,1,1)))+IF(ISERROR($G287),0,IF(ISNA(MATCH($G287,TaxCode,0)),0,OFFSET(Setup!$D$15,MATCH($G287,TaxCode,0),0,1,1))))*IF(ISERROR($F287),0,IF(ISNA(MATCH($F287,TaxCode,0)),0,OFFSET(Setup!$D$15,MATCH($F287,TaxCode,0),0,1,1)))</f>
        <v>0</v>
      </c>
      <c r="N287" s="29">
        <f ca="1">$O287/(1+IF(ISERROR($F287),0,IF(ISNA(MATCH($F287,TaxCode,0)),0,OFFSET(Setup!$D$15,MATCH($F287,TaxCode,0),0,1,1)))+IF(ISERROR($G287),0,IF(ISNA(MATCH($G287,TaxCode,0)),0,OFFSET(Setup!$D$15,MATCH($G287,TaxCode,0),0,1,1))))*IF(ISERROR($G287),0,IF(ISNA(MATCH($G287,TaxCode,0)),0,OFFSET(Setup!$D$15,MATCH($G287,TaxCode,0),0,1,1)))</f>
        <v>0</v>
      </c>
      <c r="O287" s="29">
        <f t="shared" si="13"/>
        <v>-18232</v>
      </c>
      <c r="P287" s="63" t="str">
        <f t="shared" ca="1" si="14"/>
        <v>-</v>
      </c>
    </row>
    <row r="288" spans="1:16" ht="16" customHeight="1" x14ac:dyDescent="0.25">
      <c r="A288" s="79">
        <v>44255</v>
      </c>
      <c r="B288" s="4" t="s">
        <v>394</v>
      </c>
      <c r="C288" s="4" t="s">
        <v>395</v>
      </c>
      <c r="D288" s="4" t="s">
        <v>105</v>
      </c>
      <c r="E288" s="29">
        <v>-12190</v>
      </c>
      <c r="F288" s="63" t="s">
        <v>108</v>
      </c>
      <c r="G288" s="63" t="s">
        <v>108</v>
      </c>
      <c r="H288" s="63" t="s">
        <v>217</v>
      </c>
      <c r="I288" s="30" t="s">
        <v>251</v>
      </c>
      <c r="J288" s="10">
        <v>44255</v>
      </c>
      <c r="K288" s="63">
        <f t="shared" ca="1" si="12"/>
        <v>0</v>
      </c>
      <c r="L288" s="29" cm="1">
        <f t="array" aca="1" ref="L288" ca="1">O288-IF(ExpTaxCount=2,SUM($M288:$N288),$M288:$M288)</f>
        <v>-12190</v>
      </c>
      <c r="M288" s="29">
        <f ca="1">$O288/(1+IF(ISERROR($F288),0,IF(ISNA(MATCH($F288,TaxCode,0)),0,OFFSET(Setup!$D$15,MATCH($F288,TaxCode,0),0,1,1)))+IF(ISERROR($G288),0,IF(ISNA(MATCH($G288,TaxCode,0)),0,OFFSET(Setup!$D$15,MATCH($G288,TaxCode,0),0,1,1))))*IF(ISERROR($F288),0,IF(ISNA(MATCH($F288,TaxCode,0)),0,OFFSET(Setup!$D$15,MATCH($F288,TaxCode,0),0,1,1)))</f>
        <v>0</v>
      </c>
      <c r="N288" s="29">
        <f ca="1">$O288/(1+IF(ISERROR($F288),0,IF(ISNA(MATCH($F288,TaxCode,0)),0,OFFSET(Setup!$D$15,MATCH($F288,TaxCode,0),0,1,1)))+IF(ISERROR($G288),0,IF(ISNA(MATCH($G288,TaxCode,0)),0,OFFSET(Setup!$D$15,MATCH($G288,TaxCode,0),0,1,1))))*IF(ISERROR($G288),0,IF(ISNA(MATCH($G288,TaxCode,0)),0,OFFSET(Setup!$D$15,MATCH($G288,TaxCode,0),0,1,1)))</f>
        <v>0</v>
      </c>
      <c r="O288" s="29">
        <f t="shared" si="13"/>
        <v>-12190</v>
      </c>
      <c r="P288" s="63" t="str">
        <f t="shared" ca="1" si="14"/>
        <v>-</v>
      </c>
    </row>
    <row r="289" spans="1:16" ht="16" customHeight="1" x14ac:dyDescent="0.25">
      <c r="A289" s="79">
        <v>44255</v>
      </c>
      <c r="B289" s="4" t="s">
        <v>394</v>
      </c>
      <c r="C289" s="4" t="s">
        <v>395</v>
      </c>
      <c r="D289" s="4" t="s">
        <v>237</v>
      </c>
      <c r="E289" s="29">
        <v>14720</v>
      </c>
      <c r="F289" s="63" t="s">
        <v>108</v>
      </c>
      <c r="G289" s="63" t="s">
        <v>108</v>
      </c>
      <c r="H289" s="63" t="s">
        <v>217</v>
      </c>
      <c r="I289" s="30" t="s">
        <v>308</v>
      </c>
      <c r="J289" s="10">
        <v>44255</v>
      </c>
      <c r="K289" s="63">
        <f t="shared" ca="1" si="12"/>
        <v>0</v>
      </c>
      <c r="L289" s="29" cm="1">
        <f t="array" aca="1" ref="L289" ca="1">O289-IF(ExpTaxCount=2,SUM($M289:$N289),$M289:$M289)</f>
        <v>14720</v>
      </c>
      <c r="M289" s="29">
        <f ca="1">$O289/(1+IF(ISERROR($F289),0,IF(ISNA(MATCH($F289,TaxCode,0)),0,OFFSET(Setup!$D$15,MATCH($F289,TaxCode,0),0,1,1)))+IF(ISERROR($G289),0,IF(ISNA(MATCH($G289,TaxCode,0)),0,OFFSET(Setup!$D$15,MATCH($G289,TaxCode,0),0,1,1))))*IF(ISERROR($F289),0,IF(ISNA(MATCH($F289,TaxCode,0)),0,OFFSET(Setup!$D$15,MATCH($F289,TaxCode,0),0,1,1)))</f>
        <v>0</v>
      </c>
      <c r="N289" s="29">
        <f ca="1">$O289/(1+IF(ISERROR($F289),0,IF(ISNA(MATCH($F289,TaxCode,0)),0,OFFSET(Setup!$D$15,MATCH($F289,TaxCode,0),0,1,1)))+IF(ISERROR($G289),0,IF(ISNA(MATCH($G289,TaxCode,0)),0,OFFSET(Setup!$D$15,MATCH($G289,TaxCode,0),0,1,1))))*IF(ISERROR($G289),0,IF(ISNA(MATCH($G289,TaxCode,0)),0,OFFSET(Setup!$D$15,MATCH($G289,TaxCode,0),0,1,1)))</f>
        <v>0</v>
      </c>
      <c r="O289" s="29">
        <f t="shared" si="13"/>
        <v>14720</v>
      </c>
      <c r="P289" s="63" t="str">
        <f t="shared" ca="1" si="14"/>
        <v>-</v>
      </c>
    </row>
    <row r="290" spans="1:16" ht="16" customHeight="1" x14ac:dyDescent="0.25">
      <c r="A290" s="79">
        <v>44255</v>
      </c>
      <c r="B290" s="4" t="s">
        <v>394</v>
      </c>
      <c r="C290" s="4" t="s">
        <v>395</v>
      </c>
      <c r="D290" s="4" t="s">
        <v>237</v>
      </c>
      <c r="E290" s="29">
        <v>-14720</v>
      </c>
      <c r="F290" s="63" t="s">
        <v>108</v>
      </c>
      <c r="G290" s="63" t="s">
        <v>108</v>
      </c>
      <c r="H290" s="63" t="s">
        <v>217</v>
      </c>
      <c r="I290" s="30" t="s">
        <v>261</v>
      </c>
      <c r="J290" s="10">
        <v>44255</v>
      </c>
      <c r="K290" s="63">
        <f t="shared" ca="1" si="12"/>
        <v>0</v>
      </c>
      <c r="L290" s="29" cm="1">
        <f t="array" aca="1" ref="L290" ca="1">O290-IF(ExpTaxCount=2,SUM($M290:$N290),$M290:$M290)</f>
        <v>-14720</v>
      </c>
      <c r="M290" s="29">
        <f ca="1">$O290/(1+IF(ISERROR($F290),0,IF(ISNA(MATCH($F290,TaxCode,0)),0,OFFSET(Setup!$D$15,MATCH($F290,TaxCode,0),0,1,1)))+IF(ISERROR($G290),0,IF(ISNA(MATCH($G290,TaxCode,0)),0,OFFSET(Setup!$D$15,MATCH($G290,TaxCode,0),0,1,1))))*IF(ISERROR($F290),0,IF(ISNA(MATCH($F290,TaxCode,0)),0,OFFSET(Setup!$D$15,MATCH($F290,TaxCode,0),0,1,1)))</f>
        <v>0</v>
      </c>
      <c r="N290" s="29">
        <f ca="1">$O290/(1+IF(ISERROR($F290),0,IF(ISNA(MATCH($F290,TaxCode,0)),0,OFFSET(Setup!$D$15,MATCH($F290,TaxCode,0),0,1,1)))+IF(ISERROR($G290),0,IF(ISNA(MATCH($G290,TaxCode,0)),0,OFFSET(Setup!$D$15,MATCH($G290,TaxCode,0),0,1,1))))*IF(ISERROR($G290),0,IF(ISNA(MATCH($G290,TaxCode,0)),0,OFFSET(Setup!$D$15,MATCH($G290,TaxCode,0),0,1,1)))</f>
        <v>0</v>
      </c>
      <c r="O290" s="29">
        <f t="shared" si="13"/>
        <v>-14720</v>
      </c>
      <c r="P290" s="63" t="str">
        <f t="shared" ca="1" si="14"/>
        <v>-</v>
      </c>
    </row>
    <row r="291" spans="1:16" ht="16" customHeight="1" x14ac:dyDescent="0.25">
      <c r="A291" s="79">
        <v>44255</v>
      </c>
      <c r="B291" s="4" t="s">
        <v>394</v>
      </c>
      <c r="C291" s="4" t="s">
        <v>395</v>
      </c>
      <c r="D291" s="4" t="s">
        <v>530</v>
      </c>
      <c r="E291" s="29">
        <v>50000</v>
      </c>
      <c r="F291" s="63" t="s">
        <v>108</v>
      </c>
      <c r="G291" s="63" t="s">
        <v>108</v>
      </c>
      <c r="H291" s="63" t="s">
        <v>217</v>
      </c>
      <c r="I291" s="30" t="s">
        <v>315</v>
      </c>
      <c r="J291" s="10">
        <v>44255</v>
      </c>
      <c r="K291" s="63">
        <f t="shared" ca="1" si="12"/>
        <v>0</v>
      </c>
      <c r="L291" s="29" cm="1">
        <f t="array" aca="1" ref="L291" ca="1">O291-IF(ExpTaxCount=2,SUM($M291:$N291),$M291:$M291)</f>
        <v>50000</v>
      </c>
      <c r="M291" s="29">
        <f ca="1">$O291/(1+IF(ISERROR($F291),0,IF(ISNA(MATCH($F291,TaxCode,0)),0,OFFSET(Setup!$D$15,MATCH($F291,TaxCode,0),0,1,1)))+IF(ISERROR($G291),0,IF(ISNA(MATCH($G291,TaxCode,0)),0,OFFSET(Setup!$D$15,MATCH($G291,TaxCode,0),0,1,1))))*IF(ISERROR($F291),0,IF(ISNA(MATCH($F291,TaxCode,0)),0,OFFSET(Setup!$D$15,MATCH($F291,TaxCode,0),0,1,1)))</f>
        <v>0</v>
      </c>
      <c r="N291" s="29">
        <f ca="1">$O291/(1+IF(ISERROR($F291),0,IF(ISNA(MATCH($F291,TaxCode,0)),0,OFFSET(Setup!$D$15,MATCH($F291,TaxCode,0),0,1,1)))+IF(ISERROR($G291),0,IF(ISNA(MATCH($G291,TaxCode,0)),0,OFFSET(Setup!$D$15,MATCH($G291,TaxCode,0),0,1,1))))*IF(ISERROR($G291),0,IF(ISNA(MATCH($G291,TaxCode,0)),0,OFFSET(Setup!$D$15,MATCH($G291,TaxCode,0),0,1,1)))</f>
        <v>0</v>
      </c>
      <c r="O291" s="29">
        <f t="shared" si="13"/>
        <v>50000</v>
      </c>
      <c r="P291" s="63" t="str">
        <f t="shared" ca="1" si="14"/>
        <v>-</v>
      </c>
    </row>
    <row r="292" spans="1:16" ht="16" customHeight="1" x14ac:dyDescent="0.25">
      <c r="A292" s="79">
        <v>44255</v>
      </c>
      <c r="B292" s="4" t="s">
        <v>394</v>
      </c>
      <c r="C292" s="4" t="s">
        <v>395</v>
      </c>
      <c r="D292" s="4" t="s">
        <v>530</v>
      </c>
      <c r="E292" s="29">
        <v>-50000</v>
      </c>
      <c r="F292" s="63" t="s">
        <v>108</v>
      </c>
      <c r="G292" s="63" t="s">
        <v>108</v>
      </c>
      <c r="H292" s="63" t="s">
        <v>217</v>
      </c>
      <c r="I292" s="30" t="s">
        <v>281</v>
      </c>
      <c r="J292" s="10">
        <v>44255</v>
      </c>
      <c r="K292" s="63">
        <f t="shared" ca="1" si="12"/>
        <v>0</v>
      </c>
      <c r="L292" s="29" cm="1">
        <f t="array" aca="1" ref="L292" ca="1">O292-IF(ExpTaxCount=2,SUM($M292:$N292),$M292:$M292)</f>
        <v>-50000</v>
      </c>
      <c r="M292" s="29">
        <f ca="1">$O292/(1+IF(ISERROR($F292),0,IF(ISNA(MATCH($F292,TaxCode,0)),0,OFFSET(Setup!$D$15,MATCH($F292,TaxCode,0),0,1,1)))+IF(ISERROR($G292),0,IF(ISNA(MATCH($G292,TaxCode,0)),0,OFFSET(Setup!$D$15,MATCH($G292,TaxCode,0),0,1,1))))*IF(ISERROR($F292),0,IF(ISNA(MATCH($F292,TaxCode,0)),0,OFFSET(Setup!$D$15,MATCH($F292,TaxCode,0),0,1,1)))</f>
        <v>0</v>
      </c>
      <c r="N292" s="29">
        <f ca="1">$O292/(1+IF(ISERROR($F292),0,IF(ISNA(MATCH($F292,TaxCode,0)),0,OFFSET(Setup!$D$15,MATCH($F292,TaxCode,0),0,1,1)))+IF(ISERROR($G292),0,IF(ISNA(MATCH($G292,TaxCode,0)),0,OFFSET(Setup!$D$15,MATCH($G292,TaxCode,0),0,1,1))))*IF(ISERROR($G292),0,IF(ISNA(MATCH($G292,TaxCode,0)),0,OFFSET(Setup!$D$15,MATCH($G292,TaxCode,0),0,1,1)))</f>
        <v>0</v>
      </c>
      <c r="O292" s="29">
        <f t="shared" si="13"/>
        <v>-50000</v>
      </c>
      <c r="P292" s="63" t="str">
        <f t="shared" ca="1" si="14"/>
        <v>-</v>
      </c>
    </row>
    <row r="293" spans="1:16" ht="16" customHeight="1" x14ac:dyDescent="0.25">
      <c r="A293" s="79">
        <v>44255</v>
      </c>
      <c r="B293" s="4" t="s">
        <v>505</v>
      </c>
      <c r="C293" s="4" t="s">
        <v>507</v>
      </c>
      <c r="D293" s="4" t="s">
        <v>506</v>
      </c>
      <c r="E293" s="29">
        <v>12100</v>
      </c>
      <c r="F293" s="63" t="s">
        <v>108</v>
      </c>
      <c r="G293" s="63" t="s">
        <v>108</v>
      </c>
      <c r="H293" s="63" t="s">
        <v>149</v>
      </c>
      <c r="I293" s="30" t="s">
        <v>290</v>
      </c>
      <c r="K293" s="63">
        <f t="shared" ca="1" si="12"/>
        <v>12100</v>
      </c>
      <c r="L293" s="29" cm="1">
        <f t="array" aca="1" ref="L293" ca="1">O293-IF(ExpTaxCount=2,SUM($M293:$N293),$M293:$M293)</f>
        <v>12100</v>
      </c>
      <c r="M293" s="29">
        <f ca="1">$O293/(1+IF(ISERROR($F293),0,IF(ISNA(MATCH($F293,TaxCode,0)),0,OFFSET(Setup!$D$15,MATCH($F293,TaxCode,0),0,1,1)))+IF(ISERROR($G293),0,IF(ISNA(MATCH($G293,TaxCode,0)),0,OFFSET(Setup!$D$15,MATCH($G293,TaxCode,0),0,1,1))))*IF(ISERROR($F293),0,IF(ISNA(MATCH($F293,TaxCode,0)),0,OFFSET(Setup!$D$15,MATCH($F293,TaxCode,0),0,1,1)))</f>
        <v>0</v>
      </c>
      <c r="N293" s="29">
        <f ca="1">$O293/(1+IF(ISERROR($F293),0,IF(ISNA(MATCH($F293,TaxCode,0)),0,OFFSET(Setup!$D$15,MATCH($F293,TaxCode,0),0,1,1)))+IF(ISERROR($G293),0,IF(ISNA(MATCH($G293,TaxCode,0)),0,OFFSET(Setup!$D$15,MATCH($G293,TaxCode,0),0,1,1))))*IF(ISERROR($G293),0,IF(ISNA(MATCH($G293,TaxCode,0)),0,OFFSET(Setup!$D$15,MATCH($G293,TaxCode,0),0,1,1)))</f>
        <v>0</v>
      </c>
      <c r="O293" s="29">
        <f t="shared" si="13"/>
        <v>12100</v>
      </c>
      <c r="P293" s="63" t="str">
        <f t="shared" ca="1" si="14"/>
        <v>-</v>
      </c>
    </row>
  </sheetData>
  <sheetProtection autoFilter="0"/>
  <phoneticPr fontId="2" type="noConversion"/>
  <conditionalFormatting sqref="I4">
    <cfRule type="expression" dxfId="23" priority="3">
      <formula>COUNTIF(ExpError,"E2")&gt;0=TRUE</formula>
    </cfRule>
  </conditionalFormatting>
  <conditionalFormatting sqref="J4">
    <cfRule type="expression" dxfId="22" priority="2">
      <formula>COUNTIF(ExpError,"E1")&gt;0=TRUE</formula>
    </cfRule>
  </conditionalFormatting>
  <conditionalFormatting sqref="H4">
    <cfRule type="expression" dxfId="21" priority="1">
      <formula>COUNTIF(ExpError,"E3")&gt;0=TRUE</formula>
    </cfRule>
  </conditionalFormatting>
  <dataValidations count="5">
    <dataValidation type="list" allowBlank="1" showInputMessage="1" showErrorMessage="1" errorTitle="Invalid Data" error="Select a valid item from the list box." sqref="F5:G293" xr:uid="{00000000-0002-0000-0800-000000000000}">
      <formula1>TaxCode</formula1>
    </dataValidation>
    <dataValidation type="date" operator="greaterThan" allowBlank="1" showInputMessage="1" showErrorMessage="1" errorTitle="Invalid Date" error="Enter a valid date in accordance with the regional date settings that are specified in the System Control Panel." sqref="J5:J293 A5:A293" xr:uid="{00000000-0002-0000-0800-000001000000}">
      <formula1>36526</formula1>
    </dataValidation>
    <dataValidation type="list" allowBlank="1" showInputMessage="1" showErrorMessage="1" errorTitle="Invalid Account" error="All accounts must be created on the Accounts sheet before being available for selection. The account number that you entered does not exist. Select a valid account number from the list box." sqref="I5:I293" xr:uid="{00000000-0002-0000-0800-000002000000}">
      <formula1>AccountSelect</formula1>
    </dataValidation>
    <dataValidation allowBlank="1" showInputMessage="1" showErrorMessage="1" errorTitle="Invalid Supplier" error="Add the supplier name to the Supplier sheet before selecting the appropriate entry." sqref="B5:B293" xr:uid="{00000000-0002-0000-0800-000003000000}"/>
    <dataValidation type="list" allowBlank="1" showInputMessage="1" showErrorMessage="1" errorTitle="Invalid Data" error="Select a valid item from the list box." sqref="H5:H293" xr:uid="{00000000-0002-0000-0800-000004000000}">
      <formula1>BankCode</formula1>
    </dataValidation>
  </dataValidations>
  <pageMargins left="0.59055118110236227" right="0.59055118110236227" top="0.59055118110236227" bottom="0.59055118110236227" header="0.39370078740157483" footer="0.39370078740157483"/>
  <pageSetup paperSize="9" scale="68" fitToHeight="0" orientation="landscape" r:id="rId1"/>
  <headerFooter alignWithMargins="0">
    <oddFooter>Page &amp;P of &amp;N</oddFooter>
  </headerFooter>
  <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P52"/>
  <sheetViews>
    <sheetView zoomScale="95" zoomScaleNormal="95" workbookViewId="0">
      <pane xSplit="2" ySplit="4" topLeftCell="C5" activePane="bottomRight" state="frozen"/>
      <selection pane="topRight" activeCell="C1" sqref="C1"/>
      <selection pane="bottomLeft" activeCell="A7" sqref="A7"/>
      <selection pane="bottomRight" activeCell="A4" sqref="A4"/>
    </sheetView>
  </sheetViews>
  <sheetFormatPr defaultColWidth="9.08984375" defaultRowHeight="16" customHeight="1" x14ac:dyDescent="0.25"/>
  <cols>
    <col min="1" max="1" width="8.6328125" style="183" customWidth="1"/>
    <col min="2" max="2" width="44.81640625" style="4" customWidth="1"/>
    <col min="3" max="5" width="14.81640625" style="29" customWidth="1"/>
    <col min="6" max="14" width="14.81640625" style="4" customWidth="1"/>
    <col min="15" max="16" width="15.81640625" style="3" customWidth="1"/>
    <col min="17" max="16384" width="9.08984375" style="4"/>
  </cols>
  <sheetData>
    <row r="1" spans="1:16" ht="16" customHeight="1" x14ac:dyDescent="0.3">
      <c r="B1" s="25" t="str">
        <f>IF(ISBLANK(Setup!$C$4),"Example Limited",Setup!$C$4)</f>
        <v>Example (Pty) Limited</v>
      </c>
      <c r="K1" s="5"/>
    </row>
    <row r="2" spans="1:16" ht="16" customHeight="1" x14ac:dyDescent="0.25">
      <c r="B2" s="23" t="s">
        <v>379</v>
      </c>
      <c r="P2" s="80">
        <f ca="1">DATE(YEAR($C$4)-1,MONTH($C$4),1)</f>
        <v>43525</v>
      </c>
    </row>
    <row r="3" spans="1:16" ht="16" customHeight="1" x14ac:dyDescent="0.25">
      <c r="B3" s="7" t="s">
        <v>350</v>
      </c>
      <c r="P3" s="80">
        <f ca="1">DATE(YEAR($P$2)+1,MONTH($P$2),0)</f>
        <v>43890</v>
      </c>
    </row>
    <row r="4" spans="1:16" s="85" customFormat="1" ht="18" customHeight="1" x14ac:dyDescent="0.25">
      <c r="A4" s="81" t="s">
        <v>357</v>
      </c>
      <c r="B4" s="81" t="s">
        <v>61</v>
      </c>
      <c r="C4" s="82">
        <f ca="1">DATE(YEAR(Setup!$D$10),MONTH(Setup!$D$10)+1,0)</f>
        <v>43921</v>
      </c>
      <c r="D4" s="83">
        <f t="shared" ref="D4:M4" ca="1" si="0">DATE(YEAR(C4),MONTH(C4)+2,0)</f>
        <v>43951</v>
      </c>
      <c r="E4" s="83">
        <f t="shared" ca="1" si="0"/>
        <v>43982</v>
      </c>
      <c r="F4" s="83">
        <f t="shared" ca="1" si="0"/>
        <v>44012</v>
      </c>
      <c r="G4" s="83">
        <f t="shared" ca="1" si="0"/>
        <v>44043</v>
      </c>
      <c r="H4" s="83">
        <f t="shared" ca="1" si="0"/>
        <v>44074</v>
      </c>
      <c r="I4" s="83">
        <f t="shared" ca="1" si="0"/>
        <v>44104</v>
      </c>
      <c r="J4" s="83">
        <f t="shared" ca="1" si="0"/>
        <v>44135</v>
      </c>
      <c r="K4" s="83">
        <f t="shared" ca="1" si="0"/>
        <v>44165</v>
      </c>
      <c r="L4" s="83">
        <f t="shared" ca="1" si="0"/>
        <v>44196</v>
      </c>
      <c r="M4" s="83">
        <f t="shared" ca="1" si="0"/>
        <v>44227</v>
      </c>
      <c r="N4" s="83">
        <f ca="1">DATE(YEAR(M4),MONTH(M4)+2,0)</f>
        <v>44255</v>
      </c>
      <c r="O4" s="84" t="str">
        <f ca="1">"Total "&amp;YEAR($N4)</f>
        <v>Total 2021</v>
      </c>
      <c r="P4" s="84" t="str">
        <f ca="1">"Total "&amp;YEAR($N4)-1</f>
        <v>Total 2020</v>
      </c>
    </row>
    <row r="5" spans="1:16" ht="16" customHeight="1" x14ac:dyDescent="0.25">
      <c r="A5" s="183" t="s">
        <v>317</v>
      </c>
      <c r="B5" s="17" t="str">
        <f ca="1">IF(RIGHT($A5,1)="G",IF(ISNA(VLOOKUP(LEFT($A5,LEN($A5)-1),GroupAll,COLUMN(Groups!$B$4),0)),"Group Not Found",VLOOKUP(LEFT($A5,LEN($A5)-1),GroupAll,COLUMN(Groups!$B$4),0)),IF(ISNA(VLOOKUP($A5,AccountAll,COLUMN(TB!$B$4),0)),"Account Not Found",VLOOKUP($A5,AccountAll,COLUMN(TB!$B$4),0)))</f>
        <v>Software Sales</v>
      </c>
      <c r="C5" s="29" cm="1">
        <f t="array" aca="1" ref="C5" ca="1">IF(RIGHT($A5,1)="G",SUMIFS(IncExcl,IncDocDate,"&gt;="&amp;DATE(YEAR(C$4),MONTH(C$4),1),IncDocDate,"&lt;="&amp;C$4,IncAccount,LEFT($A5,5)&amp;"*")-SUMIFS(ExpExcl,ExpDocDate,"&gt;="&amp;DATE(YEAR(C$4),MONTH(C$4),1),ExpDocDate,"&lt;="&amp;C$4,ExpAccount,LEFT($A5,5)&amp;"*"),SUMIFS(IncExcl,IncDocDate,"&gt;="&amp;DATE(YEAR(C$4),MONTH(C$4),1),IncDocDate,"&lt;="&amp;C$4,IncAccount,$A5)-SUMIFS(ExpExcl,ExpDocDate,"&gt;="&amp;DATE(YEAR(C$4),MONTH(C$4),1),ExpDocDate,"&lt;="&amp;C$4,ExpAccount,$A5))</f>
        <v>121591.39130434784</v>
      </c>
      <c r="D5" s="29" cm="1">
        <f t="array" aca="1" ref="D5" ca="1">IF(RIGHT($A5,1)="G",SUMIFS(IncExcl,IncDocDate,"&gt;="&amp;DATE(YEAR(D$4),MONTH(D$4),1),IncDocDate,"&lt;="&amp;D$4,IncAccount,LEFT($A5,5)&amp;"*")-SUMIFS(ExpExcl,ExpDocDate,"&gt;="&amp;DATE(YEAR(D$4),MONTH(D$4),1),ExpDocDate,"&lt;="&amp;D$4,ExpAccount,LEFT($A5,5)&amp;"*"),SUMIFS(IncExcl,IncDocDate,"&gt;="&amp;DATE(YEAR(D$4),MONTH(D$4),1),IncDocDate,"&lt;="&amp;D$4,IncAccount,$A5)-SUMIFS(ExpExcl,ExpDocDate,"&gt;="&amp;DATE(YEAR(D$4),MONTH(D$4),1),ExpDocDate,"&lt;="&amp;D$4,ExpAccount,$A5))</f>
        <v>136970</v>
      </c>
      <c r="E5" s="29" cm="1">
        <f t="array" aca="1" ref="E5" ca="1">IF(RIGHT($A5,1)="G",SUMIFS(IncExcl,IncDocDate,"&gt;="&amp;DATE(YEAR(E$4),MONTH(E$4),1),IncDocDate,"&lt;="&amp;E$4,IncAccount,LEFT($A5,5)&amp;"*")-SUMIFS(ExpExcl,ExpDocDate,"&gt;="&amp;DATE(YEAR(E$4),MONTH(E$4),1),ExpDocDate,"&lt;="&amp;E$4,ExpAccount,LEFT($A5,5)&amp;"*"),SUMIFS(IncExcl,IncDocDate,"&gt;="&amp;DATE(YEAR(E$4),MONTH(E$4),1),IncDocDate,"&lt;="&amp;E$4,IncAccount,$A5)-SUMIFS(ExpExcl,ExpDocDate,"&gt;="&amp;DATE(YEAR(E$4),MONTH(E$4),1),ExpDocDate,"&lt;="&amp;E$4,ExpAccount,$A5))</f>
        <v>183080</v>
      </c>
      <c r="F5" s="29" cm="1">
        <f t="array" aca="1" ref="F5" ca="1">IF(RIGHT($A5,1)="G",SUMIFS(IncExcl,IncDocDate,"&gt;="&amp;DATE(YEAR(F$4),MONTH(F$4),1),IncDocDate,"&lt;="&amp;F$4,IncAccount,LEFT($A5,5)&amp;"*")-SUMIFS(ExpExcl,ExpDocDate,"&gt;="&amp;DATE(YEAR(F$4),MONTH(F$4),1),ExpDocDate,"&lt;="&amp;F$4,ExpAccount,LEFT($A5,5)&amp;"*"),SUMIFS(IncExcl,IncDocDate,"&gt;="&amp;DATE(YEAR(F$4),MONTH(F$4),1),IncDocDate,"&lt;="&amp;F$4,IncAccount,$A5)-SUMIFS(ExpExcl,ExpDocDate,"&gt;="&amp;DATE(YEAR(F$4),MONTH(F$4),1),ExpDocDate,"&lt;="&amp;F$4,ExpAccount,$A5))</f>
        <v>146540</v>
      </c>
      <c r="G5" s="29" cm="1">
        <f t="array" aca="1" ref="G5" ca="1">IF(RIGHT($A5,1)="G",SUMIFS(IncExcl,IncDocDate,"&gt;="&amp;DATE(YEAR(G$4),MONTH(G$4),1),IncDocDate,"&lt;="&amp;G$4,IncAccount,LEFT($A5,5)&amp;"*")-SUMIFS(ExpExcl,ExpDocDate,"&gt;="&amp;DATE(YEAR(G$4),MONTH(G$4),1),ExpDocDate,"&lt;="&amp;G$4,ExpAccount,LEFT($A5,5)&amp;"*"),SUMIFS(IncExcl,IncDocDate,"&gt;="&amp;DATE(YEAR(G$4),MONTH(G$4),1),IncDocDate,"&lt;="&amp;G$4,IncAccount,$A5)-SUMIFS(ExpExcl,ExpDocDate,"&gt;="&amp;DATE(YEAR(G$4),MONTH(G$4),1),ExpDocDate,"&lt;="&amp;G$4,ExpAccount,$A5))</f>
        <v>133200</v>
      </c>
      <c r="H5" s="29" cm="1">
        <f t="array" aca="1" ref="H5" ca="1">IF(RIGHT($A5,1)="G",SUMIFS(IncExcl,IncDocDate,"&gt;="&amp;DATE(YEAR(H$4),MONTH(H$4),1),IncDocDate,"&lt;="&amp;H$4,IncAccount,LEFT($A5,5)&amp;"*")-SUMIFS(ExpExcl,ExpDocDate,"&gt;="&amp;DATE(YEAR(H$4),MONTH(H$4),1),ExpDocDate,"&lt;="&amp;H$4,ExpAccount,LEFT($A5,5)&amp;"*"),SUMIFS(IncExcl,IncDocDate,"&gt;="&amp;DATE(YEAR(H$4),MONTH(H$4),1),IncDocDate,"&lt;="&amp;H$4,IncAccount,$A5)-SUMIFS(ExpExcl,ExpDocDate,"&gt;="&amp;DATE(YEAR(H$4),MONTH(H$4),1),ExpDocDate,"&lt;="&amp;H$4,ExpAccount,$A5))</f>
        <v>127970</v>
      </c>
      <c r="I5" s="29" cm="1">
        <f t="array" aca="1" ref="I5" ca="1">IF(RIGHT($A5,1)="G",SUMIFS(IncExcl,IncDocDate,"&gt;="&amp;DATE(YEAR(I$4),MONTH(I$4),1),IncDocDate,"&lt;="&amp;I$4,IncAccount,LEFT($A5,5)&amp;"*")-SUMIFS(ExpExcl,ExpDocDate,"&gt;="&amp;DATE(YEAR(I$4),MONTH(I$4),1),ExpDocDate,"&lt;="&amp;I$4,ExpAccount,LEFT($A5,5)&amp;"*"),SUMIFS(IncExcl,IncDocDate,"&gt;="&amp;DATE(YEAR(I$4),MONTH(I$4),1),IncDocDate,"&lt;="&amp;I$4,IncAccount,$A5)-SUMIFS(ExpExcl,ExpDocDate,"&gt;="&amp;DATE(YEAR(I$4),MONTH(I$4),1),ExpDocDate,"&lt;="&amp;I$4,ExpAccount,$A5))</f>
        <v>161199.99999999997</v>
      </c>
      <c r="J5" s="29" cm="1">
        <f t="array" aca="1" ref="J5" ca="1">IF(RIGHT($A5,1)="G",SUMIFS(IncExcl,IncDocDate,"&gt;="&amp;DATE(YEAR(J$4),MONTH(J$4),1),IncDocDate,"&lt;="&amp;J$4,IncAccount,LEFT($A5,5)&amp;"*")-SUMIFS(ExpExcl,ExpDocDate,"&gt;="&amp;DATE(YEAR(J$4),MONTH(J$4),1),ExpDocDate,"&lt;="&amp;J$4,ExpAccount,LEFT($A5,5)&amp;"*"),SUMIFS(IncExcl,IncDocDate,"&gt;="&amp;DATE(YEAR(J$4),MONTH(J$4),1),IncDocDate,"&lt;="&amp;J$4,IncAccount,$A5)-SUMIFS(ExpExcl,ExpDocDate,"&gt;="&amp;DATE(YEAR(J$4),MONTH(J$4),1),ExpDocDate,"&lt;="&amp;J$4,ExpAccount,$A5))</f>
        <v>176530</v>
      </c>
      <c r="K5" s="29" cm="1">
        <f t="array" aca="1" ref="K5" ca="1">IF(RIGHT($A5,1)="G",SUMIFS(IncExcl,IncDocDate,"&gt;="&amp;DATE(YEAR(K$4),MONTH(K$4),1),IncDocDate,"&lt;="&amp;K$4,IncAccount,LEFT($A5,5)&amp;"*")-SUMIFS(ExpExcl,ExpDocDate,"&gt;="&amp;DATE(YEAR(K$4),MONTH(K$4),1),ExpDocDate,"&lt;="&amp;K$4,ExpAccount,LEFT($A5,5)&amp;"*"),SUMIFS(IncExcl,IncDocDate,"&gt;="&amp;DATE(YEAR(K$4),MONTH(K$4),1),IncDocDate,"&lt;="&amp;K$4,IncAccount,$A5)-SUMIFS(ExpExcl,ExpDocDate,"&gt;="&amp;DATE(YEAR(K$4),MONTH(K$4),1),ExpDocDate,"&lt;="&amp;K$4,ExpAccount,$A5))</f>
        <v>131320</v>
      </c>
      <c r="L5" s="29" cm="1">
        <f t="array" aca="1" ref="L5" ca="1">IF(RIGHT($A5,1)="G",SUMIFS(IncExcl,IncDocDate,"&gt;="&amp;DATE(YEAR(L$4),MONTH(L$4),1),IncDocDate,"&lt;="&amp;L$4,IncAccount,LEFT($A5,5)&amp;"*")-SUMIFS(ExpExcl,ExpDocDate,"&gt;="&amp;DATE(YEAR(L$4),MONTH(L$4),1),ExpDocDate,"&lt;="&amp;L$4,ExpAccount,LEFT($A5,5)&amp;"*"),SUMIFS(IncExcl,IncDocDate,"&gt;="&amp;DATE(YEAR(L$4),MONTH(L$4),1),IncDocDate,"&lt;="&amp;L$4,IncAccount,$A5)-SUMIFS(ExpExcl,ExpDocDate,"&gt;="&amp;DATE(YEAR(L$4),MONTH(L$4),1),ExpDocDate,"&lt;="&amp;L$4,ExpAccount,$A5))</f>
        <v>113045</v>
      </c>
      <c r="M5" s="29" cm="1">
        <f t="array" aca="1" ref="M5" ca="1">IF(RIGHT($A5,1)="G",SUMIFS(IncExcl,IncDocDate,"&gt;="&amp;DATE(YEAR(M$4),MONTH(M$4),1),IncDocDate,"&lt;="&amp;M$4,IncAccount,LEFT($A5,5)&amp;"*")-SUMIFS(ExpExcl,ExpDocDate,"&gt;="&amp;DATE(YEAR(M$4),MONTH(M$4),1),ExpDocDate,"&lt;="&amp;M$4,ExpAccount,LEFT($A5,5)&amp;"*"),SUMIFS(IncExcl,IncDocDate,"&gt;="&amp;DATE(YEAR(M$4),MONTH(M$4),1),IncDocDate,"&lt;="&amp;M$4,IncAccount,$A5)-SUMIFS(ExpExcl,ExpDocDate,"&gt;="&amp;DATE(YEAR(M$4),MONTH(M$4),1),ExpDocDate,"&lt;="&amp;M$4,ExpAccount,$A5))</f>
        <v>136690</v>
      </c>
      <c r="N5" s="29" cm="1">
        <f t="array" aca="1" ref="N5" ca="1">IF(RIGHT($A5,1)="G",SUMIFS(IncExcl,IncDocDate,"&gt;="&amp;DATE(YEAR(N$4),MONTH(N$4),1),IncDocDate,"&lt;="&amp;N$4,IncAccount,LEFT($A5,5)&amp;"*")-SUMIFS(ExpExcl,ExpDocDate,"&gt;="&amp;DATE(YEAR(N$4),MONTH(N$4),1),ExpDocDate,"&lt;="&amp;N$4,ExpAccount,LEFT($A5,5)&amp;"*"),SUMIFS(IncExcl,IncDocDate,"&gt;="&amp;DATE(YEAR(N$4),MONTH(N$4),1),IncDocDate,"&lt;="&amp;N$4,IncAccount,$A5)-SUMIFS(ExpExcl,ExpDocDate,"&gt;="&amp;DATE(YEAR(N$4),MONTH(N$4),1),ExpDocDate,"&lt;="&amp;N$4,ExpAccount,$A5))</f>
        <v>152100</v>
      </c>
      <c r="O5" s="86">
        <f ca="1">SUM(C5:N5)</f>
        <v>1720236.3913043479</v>
      </c>
      <c r="P5" s="86" cm="1">
        <f t="array" aca="1" ref="P5" ca="1">IF(RIGHT($A5,1)="G",SUMIFS(IncExcl,IncDocDate,"&gt;="&amp;$P$2,IncDocDate,"&lt;="&amp;$P$3,IncAccount,LEFT($A5,5)&amp;"*")-SUMIFS(ExpExcl,ExpDocDate,"&gt;="&amp;$P$2,ExpDocDate,"&lt;="&amp;$P$3,ExpAccount,LEFT($A5,5)&amp;"*"),SUMIFS(IncExcl,IncDocDate,"&gt;="&amp;$P$2,IncDocDate,"&lt;="&amp;$P$3,IncAccount,$A5)-SUMIFS(ExpExcl,ExpDocDate,"&gt;="&amp;$P$2,ExpDocDate,"&lt;="&amp;$P$3,ExpAccount,$A5))</f>
        <v>0</v>
      </c>
    </row>
    <row r="6" spans="1:16" ht="16" customHeight="1" x14ac:dyDescent="0.25">
      <c r="A6" s="183" t="s">
        <v>316</v>
      </c>
      <c r="B6" s="17" t="str">
        <f ca="1">IF(RIGHT($A6,1)="G",IF(ISNA(VLOOKUP(LEFT($A6,LEN($A6)-1),GroupAll,COLUMN(Groups!$B$4),0)),"Group Not Found",VLOOKUP(LEFT($A6,LEN($A6)-1),GroupAll,COLUMN(Groups!$B$4),0)),IF(ISNA(VLOOKUP($A6,AccountAll,COLUMN(TB!$B$4),0)),"Account Not Found",VLOOKUP($A6,AccountAll,COLUMN(TB!$B$4),0)))</f>
        <v>Advertising Income</v>
      </c>
      <c r="C6" s="29" cm="1">
        <f t="array" aca="1" ref="C6" ca="1">IF(RIGHT($A6,1)="G",SUMIFS(IncExcl,IncDocDate,"&gt;="&amp;DATE(YEAR(C$4),MONTH(C$4),1),IncDocDate,"&lt;="&amp;C$4,IncAccount,LEFT($A6,5)&amp;"*")-SUMIFS(ExpExcl,ExpDocDate,"&gt;="&amp;DATE(YEAR(C$4),MONTH(C$4),1),ExpDocDate,"&lt;="&amp;C$4,ExpAccount,LEFT($A6,5)&amp;"*"),SUMIFS(IncExcl,IncDocDate,"&gt;="&amp;DATE(YEAR(C$4),MONTH(C$4),1),IncDocDate,"&lt;="&amp;C$4,IncAccount,$A6)-SUMIFS(ExpExcl,ExpDocDate,"&gt;="&amp;DATE(YEAR(C$4),MONTH(C$4),1),ExpDocDate,"&lt;="&amp;C$4,ExpAccount,$A6))</f>
        <v>12500</v>
      </c>
      <c r="D6" s="29" cm="1">
        <f t="array" aca="1" ref="D6" ca="1">IF(RIGHT($A6,1)="G",SUMIFS(IncExcl,IncDocDate,"&gt;="&amp;DATE(YEAR(D$4),MONTH(D$4),1),IncDocDate,"&lt;="&amp;D$4,IncAccount,LEFT($A6,5)&amp;"*")-SUMIFS(ExpExcl,ExpDocDate,"&gt;="&amp;DATE(YEAR(D$4),MONTH(D$4),1),ExpDocDate,"&lt;="&amp;D$4,ExpAccount,LEFT($A6,5)&amp;"*"),SUMIFS(IncExcl,IncDocDate,"&gt;="&amp;DATE(YEAR(D$4),MONTH(D$4),1),IncDocDate,"&lt;="&amp;D$4,IncAccount,$A6)-SUMIFS(ExpExcl,ExpDocDate,"&gt;="&amp;DATE(YEAR(D$4),MONTH(D$4),1),ExpDocDate,"&lt;="&amp;D$4,ExpAccount,$A6))</f>
        <v>10300</v>
      </c>
      <c r="E6" s="29" cm="1">
        <f t="array" aca="1" ref="E6" ca="1">IF(RIGHT($A6,1)="G",SUMIFS(IncExcl,IncDocDate,"&gt;="&amp;DATE(YEAR(E$4),MONTH(E$4),1),IncDocDate,"&lt;="&amp;E$4,IncAccount,LEFT($A6,5)&amp;"*")-SUMIFS(ExpExcl,ExpDocDate,"&gt;="&amp;DATE(YEAR(E$4),MONTH(E$4),1),ExpDocDate,"&lt;="&amp;E$4,ExpAccount,LEFT($A6,5)&amp;"*"),SUMIFS(IncExcl,IncDocDate,"&gt;="&amp;DATE(YEAR(E$4),MONTH(E$4),1),IncDocDate,"&lt;="&amp;E$4,IncAccount,$A6)-SUMIFS(ExpExcl,ExpDocDate,"&gt;="&amp;DATE(YEAR(E$4),MONTH(E$4),1),ExpDocDate,"&lt;="&amp;E$4,ExpAccount,$A6))</f>
        <v>15200</v>
      </c>
      <c r="F6" s="29" cm="1">
        <f t="array" aca="1" ref="F6" ca="1">IF(RIGHT($A6,1)="G",SUMIFS(IncExcl,IncDocDate,"&gt;="&amp;DATE(YEAR(F$4),MONTH(F$4),1),IncDocDate,"&lt;="&amp;F$4,IncAccount,LEFT($A6,5)&amp;"*")-SUMIFS(ExpExcl,ExpDocDate,"&gt;="&amp;DATE(YEAR(F$4),MONTH(F$4),1),ExpDocDate,"&lt;="&amp;F$4,ExpAccount,LEFT($A6,5)&amp;"*"),SUMIFS(IncExcl,IncDocDate,"&gt;="&amp;DATE(YEAR(F$4),MONTH(F$4),1),IncDocDate,"&lt;="&amp;F$4,IncAccount,$A6)-SUMIFS(ExpExcl,ExpDocDate,"&gt;="&amp;DATE(YEAR(F$4),MONTH(F$4),1),ExpDocDate,"&lt;="&amp;F$4,ExpAccount,$A6))</f>
        <v>9500</v>
      </c>
      <c r="G6" s="29" cm="1">
        <f t="array" aca="1" ref="G6" ca="1">IF(RIGHT($A6,1)="G",SUMIFS(IncExcl,IncDocDate,"&gt;="&amp;DATE(YEAR(G$4),MONTH(G$4),1),IncDocDate,"&lt;="&amp;G$4,IncAccount,LEFT($A6,5)&amp;"*")-SUMIFS(ExpExcl,ExpDocDate,"&gt;="&amp;DATE(YEAR(G$4),MONTH(G$4),1),ExpDocDate,"&lt;="&amp;G$4,ExpAccount,LEFT($A6,5)&amp;"*"),SUMIFS(IncExcl,IncDocDate,"&gt;="&amp;DATE(YEAR(G$4),MONTH(G$4),1),IncDocDate,"&lt;="&amp;G$4,IncAccount,$A6)-SUMIFS(ExpExcl,ExpDocDate,"&gt;="&amp;DATE(YEAR(G$4),MONTH(G$4),1),ExpDocDate,"&lt;="&amp;G$4,ExpAccount,$A6))</f>
        <v>22300</v>
      </c>
      <c r="H6" s="29" cm="1">
        <f t="array" aca="1" ref="H6" ca="1">IF(RIGHT($A6,1)="G",SUMIFS(IncExcl,IncDocDate,"&gt;="&amp;DATE(YEAR(H$4),MONTH(H$4),1),IncDocDate,"&lt;="&amp;H$4,IncAccount,LEFT($A6,5)&amp;"*")-SUMIFS(ExpExcl,ExpDocDate,"&gt;="&amp;DATE(YEAR(H$4),MONTH(H$4),1),ExpDocDate,"&lt;="&amp;H$4,ExpAccount,LEFT($A6,5)&amp;"*"),SUMIFS(IncExcl,IncDocDate,"&gt;="&amp;DATE(YEAR(H$4),MONTH(H$4),1),IncDocDate,"&lt;="&amp;H$4,IncAccount,$A6)-SUMIFS(ExpExcl,ExpDocDate,"&gt;="&amp;DATE(YEAR(H$4),MONTH(H$4),1),ExpDocDate,"&lt;="&amp;H$4,ExpAccount,$A6))</f>
        <v>21400</v>
      </c>
      <c r="I6" s="29" cm="1">
        <f t="array" aca="1" ref="I6" ca="1">IF(RIGHT($A6,1)="G",SUMIFS(IncExcl,IncDocDate,"&gt;="&amp;DATE(YEAR(I$4),MONTH(I$4),1),IncDocDate,"&lt;="&amp;I$4,IncAccount,LEFT($A6,5)&amp;"*")-SUMIFS(ExpExcl,ExpDocDate,"&gt;="&amp;DATE(YEAR(I$4),MONTH(I$4),1),ExpDocDate,"&lt;="&amp;I$4,ExpAccount,LEFT($A6,5)&amp;"*"),SUMIFS(IncExcl,IncDocDate,"&gt;="&amp;DATE(YEAR(I$4),MONTH(I$4),1),IncDocDate,"&lt;="&amp;I$4,IncAccount,$A6)-SUMIFS(ExpExcl,ExpDocDate,"&gt;="&amp;DATE(YEAR(I$4),MONTH(I$4),1),ExpDocDate,"&lt;="&amp;I$4,ExpAccount,$A6))</f>
        <v>15100</v>
      </c>
      <c r="J6" s="29" cm="1">
        <f t="array" aca="1" ref="J6" ca="1">IF(RIGHT($A6,1)="G",SUMIFS(IncExcl,IncDocDate,"&gt;="&amp;DATE(YEAR(J$4),MONTH(J$4),1),IncDocDate,"&lt;="&amp;J$4,IncAccount,LEFT($A6,5)&amp;"*")-SUMIFS(ExpExcl,ExpDocDate,"&gt;="&amp;DATE(YEAR(J$4),MONTH(J$4),1),ExpDocDate,"&lt;="&amp;J$4,ExpAccount,LEFT($A6,5)&amp;"*"),SUMIFS(IncExcl,IncDocDate,"&gt;="&amp;DATE(YEAR(J$4),MONTH(J$4),1),IncDocDate,"&lt;="&amp;J$4,IncAccount,$A6)-SUMIFS(ExpExcl,ExpDocDate,"&gt;="&amp;DATE(YEAR(J$4),MONTH(J$4),1),ExpDocDate,"&lt;="&amp;J$4,ExpAccount,$A6))</f>
        <v>18400</v>
      </c>
      <c r="K6" s="29" cm="1">
        <f t="array" aca="1" ref="K6" ca="1">IF(RIGHT($A6,1)="G",SUMIFS(IncExcl,IncDocDate,"&gt;="&amp;DATE(YEAR(K$4),MONTH(K$4),1),IncDocDate,"&lt;="&amp;K$4,IncAccount,LEFT($A6,5)&amp;"*")-SUMIFS(ExpExcl,ExpDocDate,"&gt;="&amp;DATE(YEAR(K$4),MONTH(K$4),1),ExpDocDate,"&lt;="&amp;K$4,ExpAccount,LEFT($A6,5)&amp;"*"),SUMIFS(IncExcl,IncDocDate,"&gt;="&amp;DATE(YEAR(K$4),MONTH(K$4),1),IncDocDate,"&lt;="&amp;K$4,IncAccount,$A6)-SUMIFS(ExpExcl,ExpDocDate,"&gt;="&amp;DATE(YEAR(K$4),MONTH(K$4),1),ExpDocDate,"&lt;="&amp;K$4,ExpAccount,$A6))</f>
        <v>22150</v>
      </c>
      <c r="L6" s="29" cm="1">
        <f t="array" aca="1" ref="L6" ca="1">IF(RIGHT($A6,1)="G",SUMIFS(IncExcl,IncDocDate,"&gt;="&amp;DATE(YEAR(L$4),MONTH(L$4),1),IncDocDate,"&lt;="&amp;L$4,IncAccount,LEFT($A6,5)&amp;"*")-SUMIFS(ExpExcl,ExpDocDate,"&gt;="&amp;DATE(YEAR(L$4),MONTH(L$4),1),ExpDocDate,"&lt;="&amp;L$4,ExpAccount,LEFT($A6,5)&amp;"*"),SUMIFS(IncExcl,IncDocDate,"&gt;="&amp;DATE(YEAR(L$4),MONTH(L$4),1),IncDocDate,"&lt;="&amp;L$4,IncAccount,$A6)-SUMIFS(ExpExcl,ExpDocDate,"&gt;="&amp;DATE(YEAR(L$4),MONTH(L$4),1),ExpDocDate,"&lt;="&amp;L$4,ExpAccount,$A6))</f>
        <v>10320</v>
      </c>
      <c r="M6" s="29" cm="1">
        <f t="array" aca="1" ref="M6" ca="1">IF(RIGHT($A6,1)="G",SUMIFS(IncExcl,IncDocDate,"&gt;="&amp;DATE(YEAR(M$4),MONTH(M$4),1),IncDocDate,"&lt;="&amp;M$4,IncAccount,LEFT($A6,5)&amp;"*")-SUMIFS(ExpExcl,ExpDocDate,"&gt;="&amp;DATE(YEAR(M$4),MONTH(M$4),1),ExpDocDate,"&lt;="&amp;M$4,ExpAccount,LEFT($A6,5)&amp;"*"),SUMIFS(IncExcl,IncDocDate,"&gt;="&amp;DATE(YEAR(M$4),MONTH(M$4),1),IncDocDate,"&lt;="&amp;M$4,IncAccount,$A6)-SUMIFS(ExpExcl,ExpDocDate,"&gt;="&amp;DATE(YEAR(M$4),MONTH(M$4),1),ExpDocDate,"&lt;="&amp;M$4,ExpAccount,$A6))</f>
        <v>15400</v>
      </c>
      <c r="N6" s="29" cm="1">
        <f t="array" aca="1" ref="N6" ca="1">IF(RIGHT($A6,1)="G",SUMIFS(IncExcl,IncDocDate,"&gt;="&amp;DATE(YEAR(N$4),MONTH(N$4),1),IncDocDate,"&lt;="&amp;N$4,IncAccount,LEFT($A6,5)&amp;"*")-SUMIFS(ExpExcl,ExpDocDate,"&gt;="&amp;DATE(YEAR(N$4),MONTH(N$4),1),ExpDocDate,"&lt;="&amp;N$4,ExpAccount,LEFT($A6,5)&amp;"*"),SUMIFS(IncExcl,IncDocDate,"&gt;="&amp;DATE(YEAR(N$4),MONTH(N$4),1),IncDocDate,"&lt;="&amp;N$4,IncAccount,$A6)-SUMIFS(ExpExcl,ExpDocDate,"&gt;="&amp;DATE(YEAR(N$4),MONTH(N$4),1),ExpDocDate,"&lt;="&amp;N$4,ExpAccount,$A6))</f>
        <v>24350</v>
      </c>
      <c r="O6" s="86">
        <f t="shared" ref="O6:O7" ca="1" si="1">SUM(C6:N6)</f>
        <v>196920</v>
      </c>
      <c r="P6" s="86" cm="1">
        <f t="array" aca="1" ref="P6" ca="1">IF(RIGHT($A6,1)="G",SUMIFS(IncExcl,IncDocDate,"&gt;="&amp;$P$2,IncDocDate,"&lt;="&amp;$P$3,IncAccount,LEFT($A6,5)&amp;"*")-SUMIFS(ExpExcl,ExpDocDate,"&gt;="&amp;$P$2,ExpDocDate,"&lt;="&amp;$P$3,ExpAccount,LEFT($A6,5)&amp;"*"),SUMIFS(IncExcl,IncDocDate,"&gt;="&amp;$P$2,IncDocDate,"&lt;="&amp;$P$3,IncAccount,$A6)-SUMIFS(ExpExcl,ExpDocDate,"&gt;="&amp;$P$2,ExpDocDate,"&lt;="&amp;$P$3,ExpAccount,$A6))</f>
        <v>0</v>
      </c>
    </row>
    <row r="7" spans="1:16" ht="16" customHeight="1" x14ac:dyDescent="0.25">
      <c r="A7" s="183" t="s">
        <v>318</v>
      </c>
      <c r="B7" s="17" t="str">
        <f ca="1">IF(RIGHT($A7,1)="G",IF(ISNA(VLOOKUP(LEFT($A7,LEN($A7)-1),GroupAll,COLUMN(Groups!$B$4),0)),"Group Not Found",VLOOKUP(LEFT($A7,LEN($A7)-1),GroupAll,COLUMN(Groups!$B$4),0)),IF(ISNA(VLOOKUP($A7,AccountAll,COLUMN(TB!$B$4),0)),"Account Not Found",VLOOKUP($A7,AccountAll,COLUMN(TB!$B$4),0)))</f>
        <v>Commission Received</v>
      </c>
      <c r="C7" s="29" cm="1">
        <f t="array" aca="1" ref="C7" ca="1">IF(RIGHT($A7,1)="G",SUMIFS(IncExcl,IncDocDate,"&gt;="&amp;DATE(YEAR(C$4),MONTH(C$4),1),IncDocDate,"&lt;="&amp;C$4,IncAccount,LEFT($A7,5)&amp;"*")-SUMIFS(ExpExcl,ExpDocDate,"&gt;="&amp;DATE(YEAR(C$4),MONTH(C$4),1),ExpDocDate,"&lt;="&amp;C$4,ExpAccount,LEFT($A7,5)&amp;"*"),SUMIFS(IncExcl,IncDocDate,"&gt;="&amp;DATE(YEAR(C$4),MONTH(C$4),1),IncDocDate,"&lt;="&amp;C$4,IncAccount,$A7)-SUMIFS(ExpExcl,ExpDocDate,"&gt;="&amp;DATE(YEAR(C$4),MONTH(C$4),1),ExpDocDate,"&lt;="&amp;C$4,ExpAccount,$A7))</f>
        <v>1486.9565217391305</v>
      </c>
      <c r="D7" s="29" cm="1">
        <f t="array" aca="1" ref="D7" ca="1">IF(RIGHT($A7,1)="G",SUMIFS(IncExcl,IncDocDate,"&gt;="&amp;DATE(YEAR(D$4),MONTH(D$4),1),IncDocDate,"&lt;="&amp;D$4,IncAccount,LEFT($A7,5)&amp;"*")-SUMIFS(ExpExcl,ExpDocDate,"&gt;="&amp;DATE(YEAR(D$4),MONTH(D$4),1),ExpDocDate,"&lt;="&amp;D$4,ExpAccount,LEFT($A7,5)&amp;"*"),SUMIFS(IncExcl,IncDocDate,"&gt;="&amp;DATE(YEAR(D$4),MONTH(D$4),1),IncDocDate,"&lt;="&amp;D$4,IncAccount,$A7)-SUMIFS(ExpExcl,ExpDocDate,"&gt;="&amp;DATE(YEAR(D$4),MONTH(D$4),1),ExpDocDate,"&lt;="&amp;D$4,ExpAccount,$A7))</f>
        <v>1200</v>
      </c>
      <c r="E7" s="29" cm="1">
        <f t="array" aca="1" ref="E7" ca="1">IF(RIGHT($A7,1)="G",SUMIFS(IncExcl,IncDocDate,"&gt;="&amp;DATE(YEAR(E$4),MONTH(E$4),1),IncDocDate,"&lt;="&amp;E$4,IncAccount,LEFT($A7,5)&amp;"*")-SUMIFS(ExpExcl,ExpDocDate,"&gt;="&amp;DATE(YEAR(E$4),MONTH(E$4),1),ExpDocDate,"&lt;="&amp;E$4,ExpAccount,LEFT($A7,5)&amp;"*"),SUMIFS(IncExcl,IncDocDate,"&gt;="&amp;DATE(YEAR(E$4),MONTH(E$4),1),IncDocDate,"&lt;="&amp;E$4,IncAccount,$A7)-SUMIFS(ExpExcl,ExpDocDate,"&gt;="&amp;DATE(YEAR(E$4),MONTH(E$4),1),ExpDocDate,"&lt;="&amp;E$4,ExpAccount,$A7))</f>
        <v>1399.9999999999998</v>
      </c>
      <c r="F7" s="29" cm="1">
        <f t="array" aca="1" ref="F7" ca="1">IF(RIGHT($A7,1)="G",SUMIFS(IncExcl,IncDocDate,"&gt;="&amp;DATE(YEAR(F$4),MONTH(F$4),1),IncDocDate,"&lt;="&amp;F$4,IncAccount,LEFT($A7,5)&amp;"*")-SUMIFS(ExpExcl,ExpDocDate,"&gt;="&amp;DATE(YEAR(F$4),MONTH(F$4),1),ExpDocDate,"&lt;="&amp;F$4,ExpAccount,LEFT($A7,5)&amp;"*"),SUMIFS(IncExcl,IncDocDate,"&gt;="&amp;DATE(YEAR(F$4),MONTH(F$4),1),IncDocDate,"&lt;="&amp;F$4,IncAccount,$A7)-SUMIFS(ExpExcl,ExpDocDate,"&gt;="&amp;DATE(YEAR(F$4),MONTH(F$4),1),ExpDocDate,"&lt;="&amp;F$4,ExpAccount,$A7))</f>
        <v>1599.9999999999998</v>
      </c>
      <c r="G7" s="29" cm="1">
        <f t="array" aca="1" ref="G7" ca="1">IF(RIGHT($A7,1)="G",SUMIFS(IncExcl,IncDocDate,"&gt;="&amp;DATE(YEAR(G$4),MONTH(G$4),1),IncDocDate,"&lt;="&amp;G$4,IncAccount,LEFT($A7,5)&amp;"*")-SUMIFS(ExpExcl,ExpDocDate,"&gt;="&amp;DATE(YEAR(G$4),MONTH(G$4),1),ExpDocDate,"&lt;="&amp;G$4,ExpAccount,LEFT($A7,5)&amp;"*"),SUMIFS(IncExcl,IncDocDate,"&gt;="&amp;DATE(YEAR(G$4),MONTH(G$4),1),IncDocDate,"&lt;="&amp;G$4,IncAccount,$A7)-SUMIFS(ExpExcl,ExpDocDate,"&gt;="&amp;DATE(YEAR(G$4),MONTH(G$4),1),ExpDocDate,"&lt;="&amp;G$4,ExpAccount,$A7))</f>
        <v>2100</v>
      </c>
      <c r="H7" s="29" cm="1">
        <f t="array" aca="1" ref="H7" ca="1">IF(RIGHT($A7,1)="G",SUMIFS(IncExcl,IncDocDate,"&gt;="&amp;DATE(YEAR(H$4),MONTH(H$4),1),IncDocDate,"&lt;="&amp;H$4,IncAccount,LEFT($A7,5)&amp;"*")-SUMIFS(ExpExcl,ExpDocDate,"&gt;="&amp;DATE(YEAR(H$4),MONTH(H$4),1),ExpDocDate,"&lt;="&amp;H$4,ExpAccount,LEFT($A7,5)&amp;"*"),SUMIFS(IncExcl,IncDocDate,"&gt;="&amp;DATE(YEAR(H$4),MONTH(H$4),1),IncDocDate,"&lt;="&amp;H$4,IncAccount,$A7)-SUMIFS(ExpExcl,ExpDocDate,"&gt;="&amp;DATE(YEAR(H$4),MONTH(H$4),1),ExpDocDate,"&lt;="&amp;H$4,ExpAccount,$A7))</f>
        <v>1900</v>
      </c>
      <c r="I7" s="29" cm="1">
        <f t="array" aca="1" ref="I7" ca="1">IF(RIGHT($A7,1)="G",SUMIFS(IncExcl,IncDocDate,"&gt;="&amp;DATE(YEAR(I$4),MONTH(I$4),1),IncDocDate,"&lt;="&amp;I$4,IncAccount,LEFT($A7,5)&amp;"*")-SUMIFS(ExpExcl,ExpDocDate,"&gt;="&amp;DATE(YEAR(I$4),MONTH(I$4),1),ExpDocDate,"&lt;="&amp;I$4,ExpAccount,LEFT($A7,5)&amp;"*"),SUMIFS(IncExcl,IncDocDate,"&gt;="&amp;DATE(YEAR(I$4),MONTH(I$4),1),IncDocDate,"&lt;="&amp;I$4,IncAccount,$A7)-SUMIFS(ExpExcl,ExpDocDate,"&gt;="&amp;DATE(YEAR(I$4),MONTH(I$4),1),ExpDocDate,"&lt;="&amp;I$4,ExpAccount,$A7))</f>
        <v>1800</v>
      </c>
      <c r="J7" s="29" cm="1">
        <f t="array" aca="1" ref="J7" ca="1">IF(RIGHT($A7,1)="G",SUMIFS(IncExcl,IncDocDate,"&gt;="&amp;DATE(YEAR(J$4),MONTH(J$4),1),IncDocDate,"&lt;="&amp;J$4,IncAccount,LEFT($A7,5)&amp;"*")-SUMIFS(ExpExcl,ExpDocDate,"&gt;="&amp;DATE(YEAR(J$4),MONTH(J$4),1),ExpDocDate,"&lt;="&amp;J$4,ExpAccount,LEFT($A7,5)&amp;"*"),SUMIFS(IncExcl,IncDocDate,"&gt;="&amp;DATE(YEAR(J$4),MONTH(J$4),1),IncDocDate,"&lt;="&amp;J$4,IncAccount,$A7)-SUMIFS(ExpExcl,ExpDocDate,"&gt;="&amp;DATE(YEAR(J$4),MONTH(J$4),1),ExpDocDate,"&lt;="&amp;J$4,ExpAccount,$A7))</f>
        <v>2200</v>
      </c>
      <c r="K7" s="29" cm="1">
        <f t="array" aca="1" ref="K7" ca="1">IF(RIGHT($A7,1)="G",SUMIFS(IncExcl,IncDocDate,"&gt;="&amp;DATE(YEAR(K$4),MONTH(K$4),1),IncDocDate,"&lt;="&amp;K$4,IncAccount,LEFT($A7,5)&amp;"*")-SUMIFS(ExpExcl,ExpDocDate,"&gt;="&amp;DATE(YEAR(K$4),MONTH(K$4),1),ExpDocDate,"&lt;="&amp;K$4,ExpAccount,LEFT($A7,5)&amp;"*"),SUMIFS(IncExcl,IncDocDate,"&gt;="&amp;DATE(YEAR(K$4),MONTH(K$4),1),IncDocDate,"&lt;="&amp;K$4,IncAccount,$A7)-SUMIFS(ExpExcl,ExpDocDate,"&gt;="&amp;DATE(YEAR(K$4),MONTH(K$4),1),ExpDocDate,"&lt;="&amp;K$4,ExpAccount,$A7))</f>
        <v>2400</v>
      </c>
      <c r="L7" s="29" cm="1">
        <f t="array" aca="1" ref="L7" ca="1">IF(RIGHT($A7,1)="G",SUMIFS(IncExcl,IncDocDate,"&gt;="&amp;DATE(YEAR(L$4),MONTH(L$4),1),IncDocDate,"&lt;="&amp;L$4,IncAccount,LEFT($A7,5)&amp;"*")-SUMIFS(ExpExcl,ExpDocDate,"&gt;="&amp;DATE(YEAR(L$4),MONTH(L$4),1),ExpDocDate,"&lt;="&amp;L$4,ExpAccount,LEFT($A7,5)&amp;"*"),SUMIFS(IncExcl,IncDocDate,"&gt;="&amp;DATE(YEAR(L$4),MONTH(L$4),1),IncDocDate,"&lt;="&amp;L$4,IncAccount,$A7)-SUMIFS(ExpExcl,ExpDocDate,"&gt;="&amp;DATE(YEAR(L$4),MONTH(L$4),1),ExpDocDate,"&lt;="&amp;L$4,ExpAccount,$A7))</f>
        <v>1539.9999999999998</v>
      </c>
      <c r="M7" s="29" cm="1">
        <f t="array" aca="1" ref="M7" ca="1">IF(RIGHT($A7,1)="G",SUMIFS(IncExcl,IncDocDate,"&gt;="&amp;DATE(YEAR(M$4),MONTH(M$4),1),IncDocDate,"&lt;="&amp;M$4,IncAccount,LEFT($A7,5)&amp;"*")-SUMIFS(ExpExcl,ExpDocDate,"&gt;="&amp;DATE(YEAR(M$4),MONTH(M$4),1),ExpDocDate,"&lt;="&amp;M$4,ExpAccount,LEFT($A7,5)&amp;"*"),SUMIFS(IncExcl,IncDocDate,"&gt;="&amp;DATE(YEAR(M$4),MONTH(M$4),1),IncDocDate,"&lt;="&amp;M$4,IncAccount,$A7)-SUMIFS(ExpExcl,ExpDocDate,"&gt;="&amp;DATE(YEAR(M$4),MONTH(M$4),1),ExpDocDate,"&lt;="&amp;M$4,ExpAccount,$A7))</f>
        <v>2000</v>
      </c>
      <c r="N7" s="29" cm="1">
        <f t="array" aca="1" ref="N7" ca="1">IF(RIGHT($A7,1)="G",SUMIFS(IncExcl,IncDocDate,"&gt;="&amp;DATE(YEAR(N$4),MONTH(N$4),1),IncDocDate,"&lt;="&amp;N$4,IncAccount,LEFT($A7,5)&amp;"*")-SUMIFS(ExpExcl,ExpDocDate,"&gt;="&amp;DATE(YEAR(N$4),MONTH(N$4),1),ExpDocDate,"&lt;="&amp;N$4,ExpAccount,LEFT($A7,5)&amp;"*"),SUMIFS(IncExcl,IncDocDate,"&gt;="&amp;DATE(YEAR(N$4),MONTH(N$4),1),IncDocDate,"&lt;="&amp;N$4,IncAccount,$A7)-SUMIFS(ExpExcl,ExpDocDate,"&gt;="&amp;DATE(YEAR(N$4),MONTH(N$4),1),ExpDocDate,"&lt;="&amp;N$4,ExpAccount,$A7))</f>
        <v>2699.9999999999995</v>
      </c>
      <c r="O7" s="86">
        <f t="shared" ca="1" si="1"/>
        <v>22326.956521739128</v>
      </c>
      <c r="P7" s="86" cm="1">
        <f t="array" aca="1" ref="P7" ca="1">IF(RIGHT($A7,1)="G",SUMIFS(IncExcl,IncDocDate,"&gt;="&amp;$P$2,IncDocDate,"&lt;="&amp;$P$3,IncAccount,LEFT($A7,5)&amp;"*")-SUMIFS(ExpExcl,ExpDocDate,"&gt;="&amp;$P$2,ExpDocDate,"&lt;="&amp;$P$3,ExpAccount,LEFT($A7,5)&amp;"*"),SUMIFS(IncExcl,IncDocDate,"&gt;="&amp;$P$2,IncDocDate,"&lt;="&amp;$P$3,IncAccount,$A7)-SUMIFS(ExpExcl,ExpDocDate,"&gt;="&amp;$P$2,ExpDocDate,"&lt;="&amp;$P$3,ExpAccount,$A7))</f>
        <v>0</v>
      </c>
    </row>
    <row r="8" spans="1:16" s="3" customFormat="1" ht="16" customHeight="1" thickBot="1" x14ac:dyDescent="0.3">
      <c r="A8" s="184"/>
      <c r="B8" s="3" t="s">
        <v>363</v>
      </c>
      <c r="C8" s="87">
        <f ca="1">SUM(OFFSET(C4,1,0,ROW($B8)-ROW($B4)-1,1))</f>
        <v>135578.34782608697</v>
      </c>
      <c r="D8" s="87">
        <f t="shared" ref="D8:P8" ca="1" si="2">SUM(OFFSET(D4,1,0,ROW($B8)-ROW($B4)-1,1))</f>
        <v>148470</v>
      </c>
      <c r="E8" s="87">
        <f t="shared" ca="1" si="2"/>
        <v>199680</v>
      </c>
      <c r="F8" s="87">
        <f t="shared" ca="1" si="2"/>
        <v>157640</v>
      </c>
      <c r="G8" s="87">
        <f t="shared" ca="1" si="2"/>
        <v>157600</v>
      </c>
      <c r="H8" s="87">
        <f t="shared" ca="1" si="2"/>
        <v>151270</v>
      </c>
      <c r="I8" s="87">
        <f t="shared" ca="1" si="2"/>
        <v>178099.99999999997</v>
      </c>
      <c r="J8" s="87">
        <f t="shared" ca="1" si="2"/>
        <v>197130</v>
      </c>
      <c r="K8" s="87">
        <f t="shared" ca="1" si="2"/>
        <v>155870</v>
      </c>
      <c r="L8" s="87">
        <f t="shared" ca="1" si="2"/>
        <v>124905</v>
      </c>
      <c r="M8" s="87">
        <f t="shared" ca="1" si="2"/>
        <v>154090</v>
      </c>
      <c r="N8" s="87">
        <f t="shared" ca="1" si="2"/>
        <v>179150</v>
      </c>
      <c r="O8" s="87">
        <f t="shared" ca="1" si="2"/>
        <v>1939483.3478260869</v>
      </c>
      <c r="P8" s="87">
        <f t="shared" ca="1" si="2"/>
        <v>0</v>
      </c>
    </row>
    <row r="9" spans="1:16" ht="16" customHeight="1" x14ac:dyDescent="0.25">
      <c r="A9" s="183" t="s">
        <v>362</v>
      </c>
      <c r="B9" s="17" t="str">
        <f ca="1">IF(RIGHT($A9,1)="G",IF(ISNA(VLOOKUP(LEFT($A9,LEN($A9)-1),GroupAll,COLUMN(Groups!$B$4),0)),"Group Not Found",VLOOKUP(LEFT($A9,LEN($A9)-1),GroupAll,COLUMN(Groups!$B$4),0)),IF(ISNA(VLOOKUP($A9,AccountAll,COLUMN(TB!$B$4),0)),"Account Not Found",VLOOKUP($A9,AccountAll,COLUMN(TB!$B$4),0)))</f>
        <v>Other Income</v>
      </c>
      <c r="C9" s="29" cm="1">
        <f t="array" aca="1" ref="C9" ca="1">IF(RIGHT($A9,1)="G",SUMIFS(IncExcl,IncDocDate,"&gt;="&amp;DATE(YEAR(C$4),MONTH(C$4),1),IncDocDate,"&lt;="&amp;C$4,IncAccount,LEFT($A9,5)&amp;"*")-SUMIFS(ExpExcl,ExpDocDate,"&gt;="&amp;DATE(YEAR(C$4),MONTH(C$4),1),ExpDocDate,"&lt;="&amp;C$4,ExpAccount,LEFT($A9,5)&amp;"*"),SUMIFS(IncExcl,IncDocDate,"&gt;="&amp;DATE(YEAR(C$4),MONTH(C$4),1),IncDocDate,"&lt;="&amp;C$4,IncAccount,$A9)-SUMIFS(ExpExcl,ExpDocDate,"&gt;="&amp;DATE(YEAR(C$4),MONTH(C$4),1),ExpDocDate,"&lt;="&amp;C$4,ExpAccount,$A9))</f>
        <v>150.01</v>
      </c>
      <c r="D9" s="29" cm="1">
        <f t="array" aca="1" ref="D9" ca="1">IF(RIGHT($A9,1)="G",SUMIFS(IncExcl,IncDocDate,"&gt;="&amp;DATE(YEAR(D$4),MONTH(D$4),1),IncDocDate,"&lt;="&amp;D$4,IncAccount,LEFT($A9,5)&amp;"*")-SUMIFS(ExpExcl,ExpDocDate,"&gt;="&amp;DATE(YEAR(D$4),MONTH(D$4),1),ExpDocDate,"&lt;="&amp;D$4,ExpAccount,LEFT($A9,5)&amp;"*"),SUMIFS(IncExcl,IncDocDate,"&gt;="&amp;DATE(YEAR(D$4),MONTH(D$4),1),IncDocDate,"&lt;="&amp;D$4,IncAccount,$A9)-SUMIFS(ExpExcl,ExpDocDate,"&gt;="&amp;DATE(YEAR(D$4),MONTH(D$4),1),ExpDocDate,"&lt;="&amp;D$4,ExpAccount,$A9))</f>
        <v>120.65</v>
      </c>
      <c r="E9" s="29" cm="1">
        <f t="array" aca="1" ref="E9" ca="1">IF(RIGHT($A9,1)="G",SUMIFS(IncExcl,IncDocDate,"&gt;="&amp;DATE(YEAR(E$4),MONTH(E$4),1),IncDocDate,"&lt;="&amp;E$4,IncAccount,LEFT($A9,5)&amp;"*")-SUMIFS(ExpExcl,ExpDocDate,"&gt;="&amp;DATE(YEAR(E$4),MONTH(E$4),1),ExpDocDate,"&lt;="&amp;E$4,ExpAccount,LEFT($A9,5)&amp;"*"),SUMIFS(IncExcl,IncDocDate,"&gt;="&amp;DATE(YEAR(E$4),MONTH(E$4),1),IncDocDate,"&lt;="&amp;E$4,IncAccount,$A9)-SUMIFS(ExpExcl,ExpDocDate,"&gt;="&amp;DATE(YEAR(E$4),MONTH(E$4),1),ExpDocDate,"&lt;="&amp;E$4,ExpAccount,$A9))</f>
        <v>160.22999999999999</v>
      </c>
      <c r="F9" s="29" cm="1">
        <f t="array" aca="1" ref="F9" ca="1">IF(RIGHT($A9,1)="G",SUMIFS(IncExcl,IncDocDate,"&gt;="&amp;DATE(YEAR(F$4),MONTH(F$4),1),IncDocDate,"&lt;="&amp;F$4,IncAccount,LEFT($A9,5)&amp;"*")-SUMIFS(ExpExcl,ExpDocDate,"&gt;="&amp;DATE(YEAR(F$4),MONTH(F$4),1),ExpDocDate,"&lt;="&amp;F$4,ExpAccount,LEFT($A9,5)&amp;"*"),SUMIFS(IncExcl,IncDocDate,"&gt;="&amp;DATE(YEAR(F$4),MONTH(F$4),1),IncDocDate,"&lt;="&amp;F$4,IncAccount,$A9)-SUMIFS(ExpExcl,ExpDocDate,"&gt;="&amp;DATE(YEAR(F$4),MONTH(F$4),1),ExpDocDate,"&lt;="&amp;F$4,ExpAccount,$A9))</f>
        <v>170.21</v>
      </c>
      <c r="G9" s="29" cm="1">
        <f t="array" aca="1" ref="G9" ca="1">IF(RIGHT($A9,1)="G",SUMIFS(IncExcl,IncDocDate,"&gt;="&amp;DATE(YEAR(G$4),MONTH(G$4),1),IncDocDate,"&lt;="&amp;G$4,IncAccount,LEFT($A9,5)&amp;"*")-SUMIFS(ExpExcl,ExpDocDate,"&gt;="&amp;DATE(YEAR(G$4),MONTH(G$4),1),ExpDocDate,"&lt;="&amp;G$4,ExpAccount,LEFT($A9,5)&amp;"*"),SUMIFS(IncExcl,IncDocDate,"&gt;="&amp;DATE(YEAR(G$4),MONTH(G$4),1),IncDocDate,"&lt;="&amp;G$4,IncAccount,$A9)-SUMIFS(ExpExcl,ExpDocDate,"&gt;="&amp;DATE(YEAR(G$4),MONTH(G$4),1),ExpDocDate,"&lt;="&amp;G$4,ExpAccount,$A9))</f>
        <v>165.23</v>
      </c>
      <c r="H9" s="29" cm="1">
        <f t="array" aca="1" ref="H9" ca="1">IF(RIGHT($A9,1)="G",SUMIFS(IncExcl,IncDocDate,"&gt;="&amp;DATE(YEAR(H$4),MONTH(H$4),1),IncDocDate,"&lt;="&amp;H$4,IncAccount,LEFT($A9,5)&amp;"*")-SUMIFS(ExpExcl,ExpDocDate,"&gt;="&amp;DATE(YEAR(H$4),MONTH(H$4),1),ExpDocDate,"&lt;="&amp;H$4,ExpAccount,LEFT($A9,5)&amp;"*"),SUMIFS(IncExcl,IncDocDate,"&gt;="&amp;DATE(YEAR(H$4),MONTH(H$4),1),IncDocDate,"&lt;="&amp;H$4,IncAccount,$A9)-SUMIFS(ExpExcl,ExpDocDate,"&gt;="&amp;DATE(YEAR(H$4),MONTH(H$4),1),ExpDocDate,"&lt;="&amp;H$4,ExpAccount,$A9))</f>
        <v>166.24</v>
      </c>
      <c r="I9" s="29" cm="1">
        <f t="array" aca="1" ref="I9" ca="1">IF(RIGHT($A9,1)="G",SUMIFS(IncExcl,IncDocDate,"&gt;="&amp;DATE(YEAR(I$4),MONTH(I$4),1),IncDocDate,"&lt;="&amp;I$4,IncAccount,LEFT($A9,5)&amp;"*")-SUMIFS(ExpExcl,ExpDocDate,"&gt;="&amp;DATE(YEAR(I$4),MONTH(I$4),1),ExpDocDate,"&lt;="&amp;I$4,ExpAccount,LEFT($A9,5)&amp;"*"),SUMIFS(IncExcl,IncDocDate,"&gt;="&amp;DATE(YEAR(I$4),MONTH(I$4),1),IncDocDate,"&lt;="&amp;I$4,IncAccount,$A9)-SUMIFS(ExpExcl,ExpDocDate,"&gt;="&amp;DATE(YEAR(I$4),MONTH(I$4),1),ExpDocDate,"&lt;="&amp;I$4,ExpAccount,$A9))</f>
        <v>164.21</v>
      </c>
      <c r="J9" s="29" cm="1">
        <f t="array" aca="1" ref="J9" ca="1">IF(RIGHT($A9,1)="G",SUMIFS(IncExcl,IncDocDate,"&gt;="&amp;DATE(YEAR(J$4),MONTH(J$4),1),IncDocDate,"&lt;="&amp;J$4,IncAccount,LEFT($A9,5)&amp;"*")-SUMIFS(ExpExcl,ExpDocDate,"&gt;="&amp;DATE(YEAR(J$4),MONTH(J$4),1),ExpDocDate,"&lt;="&amp;J$4,ExpAccount,LEFT($A9,5)&amp;"*"),SUMIFS(IncExcl,IncDocDate,"&gt;="&amp;DATE(YEAR(J$4),MONTH(J$4),1),IncDocDate,"&lt;="&amp;J$4,IncAccount,$A9)-SUMIFS(ExpExcl,ExpDocDate,"&gt;="&amp;DATE(YEAR(J$4),MONTH(J$4),1),ExpDocDate,"&lt;="&amp;J$4,ExpAccount,$A9))</f>
        <v>165.89</v>
      </c>
      <c r="K9" s="29" cm="1">
        <f t="array" aca="1" ref="K9" ca="1">IF(RIGHT($A9,1)="G",SUMIFS(IncExcl,IncDocDate,"&gt;="&amp;DATE(YEAR(K$4),MONTH(K$4),1),IncDocDate,"&lt;="&amp;K$4,IncAccount,LEFT($A9,5)&amp;"*")-SUMIFS(ExpExcl,ExpDocDate,"&gt;="&amp;DATE(YEAR(K$4),MONTH(K$4),1),ExpDocDate,"&lt;="&amp;K$4,ExpAccount,LEFT($A9,5)&amp;"*"),SUMIFS(IncExcl,IncDocDate,"&gt;="&amp;DATE(YEAR(K$4),MONTH(K$4),1),IncDocDate,"&lt;="&amp;K$4,IncAccount,$A9)-SUMIFS(ExpExcl,ExpDocDate,"&gt;="&amp;DATE(YEAR(K$4),MONTH(K$4),1),ExpDocDate,"&lt;="&amp;K$4,ExpAccount,$A9))</f>
        <v>167.25</v>
      </c>
      <c r="L9" s="29" cm="1">
        <f t="array" aca="1" ref="L9" ca="1">IF(RIGHT($A9,1)="G",SUMIFS(IncExcl,IncDocDate,"&gt;="&amp;DATE(YEAR(L$4),MONTH(L$4),1),IncDocDate,"&lt;="&amp;L$4,IncAccount,LEFT($A9,5)&amp;"*")-SUMIFS(ExpExcl,ExpDocDate,"&gt;="&amp;DATE(YEAR(L$4),MONTH(L$4),1),ExpDocDate,"&lt;="&amp;L$4,ExpAccount,LEFT($A9,5)&amp;"*"),SUMIFS(IncExcl,IncDocDate,"&gt;="&amp;DATE(YEAR(L$4),MONTH(L$4),1),IncDocDate,"&lt;="&amp;L$4,IncAccount,$A9)-SUMIFS(ExpExcl,ExpDocDate,"&gt;="&amp;DATE(YEAR(L$4),MONTH(L$4),1),ExpDocDate,"&lt;="&amp;L$4,ExpAccount,$A9))</f>
        <v>166.45</v>
      </c>
      <c r="M9" s="29" cm="1">
        <f t="array" aca="1" ref="M9" ca="1">IF(RIGHT($A9,1)="G",SUMIFS(IncExcl,IncDocDate,"&gt;="&amp;DATE(YEAR(M$4),MONTH(M$4),1),IncDocDate,"&lt;="&amp;M$4,IncAccount,LEFT($A9,5)&amp;"*")-SUMIFS(ExpExcl,ExpDocDate,"&gt;="&amp;DATE(YEAR(M$4),MONTH(M$4),1),ExpDocDate,"&lt;="&amp;M$4,ExpAccount,LEFT($A9,5)&amp;"*"),SUMIFS(IncExcl,IncDocDate,"&gt;="&amp;DATE(YEAR(M$4),MONTH(M$4),1),IncDocDate,"&lt;="&amp;M$4,IncAccount,$A9)-SUMIFS(ExpExcl,ExpDocDate,"&gt;="&amp;DATE(YEAR(M$4),MONTH(M$4),1),ExpDocDate,"&lt;="&amp;M$4,ExpAccount,$A9))</f>
        <v>166.23</v>
      </c>
      <c r="N9" s="29" cm="1">
        <f t="array" aca="1" ref="N9" ca="1">IF(RIGHT($A9,1)="G",SUMIFS(IncExcl,IncDocDate,"&gt;="&amp;DATE(YEAR(N$4),MONTH(N$4),1),IncDocDate,"&lt;="&amp;N$4,IncAccount,LEFT($A9,5)&amp;"*")-SUMIFS(ExpExcl,ExpDocDate,"&gt;="&amp;DATE(YEAR(N$4),MONTH(N$4),1),ExpDocDate,"&lt;="&amp;N$4,ExpAccount,LEFT($A9,5)&amp;"*"),SUMIFS(IncExcl,IncDocDate,"&gt;="&amp;DATE(YEAR(N$4),MONTH(N$4),1),IncDocDate,"&lt;="&amp;N$4,IncAccount,$A9)-SUMIFS(ExpExcl,ExpDocDate,"&gt;="&amp;DATE(YEAR(N$4),MONTH(N$4),1),ExpDocDate,"&lt;="&amp;N$4,ExpAccount,$A9))</f>
        <v>167.25</v>
      </c>
      <c r="O9" s="86">
        <f ca="1">SUM(C9:N9)</f>
        <v>1929.8500000000001</v>
      </c>
      <c r="P9" s="86" cm="1">
        <f t="array" aca="1" ref="P9" ca="1">IF(RIGHT($A9,1)="G",SUMIFS(IncExcl,IncDocDate,"&gt;="&amp;$P$2,IncDocDate,"&lt;="&amp;$P$3,IncAccount,LEFT($A9,5)&amp;"*")-SUMIFS(ExpExcl,ExpDocDate,"&gt;="&amp;$P$2,ExpDocDate,"&lt;="&amp;$P$3,ExpAccount,LEFT($A9,5)&amp;"*"),SUMIFS(IncExcl,IncDocDate,"&gt;="&amp;$P$2,IncDocDate,"&lt;="&amp;$P$3,IncAccount,$A9)-SUMIFS(ExpExcl,ExpDocDate,"&gt;="&amp;$P$2,ExpDocDate,"&lt;="&amp;$P$3,ExpAccount,$A9))</f>
        <v>0</v>
      </c>
    </row>
    <row r="10" spans="1:16" ht="16" customHeight="1" x14ac:dyDescent="0.25">
      <c r="B10" s="3" t="s">
        <v>336</v>
      </c>
      <c r="F10" s="29"/>
      <c r="G10" s="29"/>
      <c r="H10" s="29"/>
    </row>
    <row r="11" spans="1:16" ht="16" customHeight="1" x14ac:dyDescent="0.25">
      <c r="A11" s="183" t="s">
        <v>289</v>
      </c>
      <c r="B11" s="17" t="str">
        <f ca="1">IF(RIGHT($A11,1)="G",IF(ISNA(VLOOKUP(LEFT($A11,LEN($A11)-1),GroupAll,COLUMN(Groups!$B$4),0)),"Group Not Found",VLOOKUP(LEFT($A11,LEN($A11)-1),GroupAll,COLUMN(Groups!$B$4),0)),IF(ISNA(VLOOKUP($A11,AccountAll,COLUMN(TB!$B$4),0)),"Account Not Found",VLOOKUP($A11,AccountAll,COLUMN(TB!$B$4),0)))</f>
        <v>Accounting Fees</v>
      </c>
      <c r="C11" s="29" cm="1">
        <f t="array" aca="1" ref="C11" ca="1">IF(RIGHT($A11,1)="G",-SUMIFS(IncExcl,IncDocDate,"&gt;="&amp;DATE(YEAR(C$4),MONTH(C$4),1),IncDocDate,"&lt;="&amp;C$4,IncAccount,LEFT($A11,5)&amp;"*")+SUMIFS(ExpExcl,ExpDocDate,"&gt;="&amp;DATE(YEAR(C$4),MONTH(C$4),1),ExpDocDate,"&lt;="&amp;C$4,ExpAccount,LEFT($A11,5)&amp;"*"),-SUMIFS(IncExcl,IncDocDate,"&gt;="&amp;DATE(YEAR(C$4),MONTH(C$4),1),IncDocDate,"&lt;="&amp;C$4,IncAccount,$A11)+SUMIFS(ExpExcl,ExpDocDate,"&gt;="&amp;DATE(YEAR(C$4),MONTH(C$4),1),ExpDocDate,"&lt;="&amp;C$4,ExpAccount,$A11))</f>
        <v>1982.608695652174</v>
      </c>
      <c r="D11" s="29" cm="1">
        <f t="array" aca="1" ref="D11" ca="1">IF(RIGHT($A11,1)="G",-SUMIFS(IncExcl,IncDocDate,"&gt;="&amp;DATE(YEAR(D$4),MONTH(D$4),1),IncDocDate,"&lt;="&amp;D$4,IncAccount,LEFT($A11,5)&amp;"*")+SUMIFS(ExpExcl,ExpDocDate,"&gt;="&amp;DATE(YEAR(D$4),MONTH(D$4),1),ExpDocDate,"&lt;="&amp;D$4,ExpAccount,LEFT($A11,5)&amp;"*"),-SUMIFS(IncExcl,IncDocDate,"&gt;="&amp;DATE(YEAR(D$4),MONTH(D$4),1),IncDocDate,"&lt;="&amp;D$4,IncAccount,$A11)+SUMIFS(ExpExcl,ExpDocDate,"&gt;="&amp;DATE(YEAR(D$4),MONTH(D$4),1),ExpDocDate,"&lt;="&amp;D$4,ExpAccount,$A11))</f>
        <v>2000</v>
      </c>
      <c r="E11" s="29" cm="1">
        <f t="array" aca="1" ref="E11" ca="1">IF(RIGHT($A11,1)="G",-SUMIFS(IncExcl,IncDocDate,"&gt;="&amp;DATE(YEAR(E$4),MONTH(E$4),1),IncDocDate,"&lt;="&amp;E$4,IncAccount,LEFT($A11,5)&amp;"*")+SUMIFS(ExpExcl,ExpDocDate,"&gt;="&amp;DATE(YEAR(E$4),MONTH(E$4),1),ExpDocDate,"&lt;="&amp;E$4,ExpAccount,LEFT($A11,5)&amp;"*"),-SUMIFS(IncExcl,IncDocDate,"&gt;="&amp;DATE(YEAR(E$4),MONTH(E$4),1),IncDocDate,"&lt;="&amp;E$4,IncAccount,$A11)+SUMIFS(ExpExcl,ExpDocDate,"&gt;="&amp;DATE(YEAR(E$4),MONTH(E$4),1),ExpDocDate,"&lt;="&amp;E$4,ExpAccount,$A11))</f>
        <v>2000</v>
      </c>
      <c r="F11" s="29" cm="1">
        <f t="array" aca="1" ref="F11" ca="1">IF(RIGHT($A11,1)="G",-SUMIFS(IncExcl,IncDocDate,"&gt;="&amp;DATE(YEAR(F$4),MONTH(F$4),1),IncDocDate,"&lt;="&amp;F$4,IncAccount,LEFT($A11,5)&amp;"*")+SUMIFS(ExpExcl,ExpDocDate,"&gt;="&amp;DATE(YEAR(F$4),MONTH(F$4),1),ExpDocDate,"&lt;="&amp;F$4,ExpAccount,LEFT($A11,5)&amp;"*"),-SUMIFS(IncExcl,IncDocDate,"&gt;="&amp;DATE(YEAR(F$4),MONTH(F$4),1),IncDocDate,"&lt;="&amp;F$4,IncAccount,$A11)+SUMIFS(ExpExcl,ExpDocDate,"&gt;="&amp;DATE(YEAR(F$4),MONTH(F$4),1),ExpDocDate,"&lt;="&amp;F$4,ExpAccount,$A11))</f>
        <v>2000</v>
      </c>
      <c r="G11" s="29" cm="1">
        <f t="array" aca="1" ref="G11" ca="1">IF(RIGHT($A11,1)="G",-SUMIFS(IncExcl,IncDocDate,"&gt;="&amp;DATE(YEAR(G$4),MONTH(G$4),1),IncDocDate,"&lt;="&amp;G$4,IncAccount,LEFT($A11,5)&amp;"*")+SUMIFS(ExpExcl,ExpDocDate,"&gt;="&amp;DATE(YEAR(G$4),MONTH(G$4),1),ExpDocDate,"&lt;="&amp;G$4,ExpAccount,LEFT($A11,5)&amp;"*"),-SUMIFS(IncExcl,IncDocDate,"&gt;="&amp;DATE(YEAR(G$4),MONTH(G$4),1),IncDocDate,"&lt;="&amp;G$4,IncAccount,$A11)+SUMIFS(ExpExcl,ExpDocDate,"&gt;="&amp;DATE(YEAR(G$4),MONTH(G$4),1),ExpDocDate,"&lt;="&amp;G$4,ExpAccount,$A11))</f>
        <v>2000</v>
      </c>
      <c r="H11" s="29" cm="1">
        <f t="array" aca="1" ref="H11" ca="1">IF(RIGHT($A11,1)="G",-SUMIFS(IncExcl,IncDocDate,"&gt;="&amp;DATE(YEAR(H$4),MONTH(H$4),1),IncDocDate,"&lt;="&amp;H$4,IncAccount,LEFT($A11,5)&amp;"*")+SUMIFS(ExpExcl,ExpDocDate,"&gt;="&amp;DATE(YEAR(H$4),MONTH(H$4),1),ExpDocDate,"&lt;="&amp;H$4,ExpAccount,LEFT($A11,5)&amp;"*"),-SUMIFS(IncExcl,IncDocDate,"&gt;="&amp;DATE(YEAR(H$4),MONTH(H$4),1),IncDocDate,"&lt;="&amp;H$4,IncAccount,$A11)+SUMIFS(ExpExcl,ExpDocDate,"&gt;="&amp;DATE(YEAR(H$4),MONTH(H$4),1),ExpDocDate,"&lt;="&amp;H$4,ExpAccount,$A11))</f>
        <v>2000</v>
      </c>
      <c r="I11" s="29" cm="1">
        <f t="array" aca="1" ref="I11" ca="1">IF(RIGHT($A11,1)="G",-SUMIFS(IncExcl,IncDocDate,"&gt;="&amp;DATE(YEAR(I$4),MONTH(I$4),1),IncDocDate,"&lt;="&amp;I$4,IncAccount,LEFT($A11,5)&amp;"*")+SUMIFS(ExpExcl,ExpDocDate,"&gt;="&amp;DATE(YEAR(I$4),MONTH(I$4),1),ExpDocDate,"&lt;="&amp;I$4,ExpAccount,LEFT($A11,5)&amp;"*"),-SUMIFS(IncExcl,IncDocDate,"&gt;="&amp;DATE(YEAR(I$4),MONTH(I$4),1),IncDocDate,"&lt;="&amp;I$4,IncAccount,$A11)+SUMIFS(ExpExcl,ExpDocDate,"&gt;="&amp;DATE(YEAR(I$4),MONTH(I$4),1),ExpDocDate,"&lt;="&amp;I$4,ExpAccount,$A11))</f>
        <v>2000</v>
      </c>
      <c r="J11" s="29" cm="1">
        <f t="array" aca="1" ref="J11" ca="1">IF(RIGHT($A11,1)="G",-SUMIFS(IncExcl,IncDocDate,"&gt;="&amp;DATE(YEAR(J$4),MONTH(J$4),1),IncDocDate,"&lt;="&amp;J$4,IncAccount,LEFT($A11,5)&amp;"*")+SUMIFS(ExpExcl,ExpDocDate,"&gt;="&amp;DATE(YEAR(J$4),MONTH(J$4),1),ExpDocDate,"&lt;="&amp;J$4,ExpAccount,LEFT($A11,5)&amp;"*"),-SUMIFS(IncExcl,IncDocDate,"&gt;="&amp;DATE(YEAR(J$4),MONTH(J$4),1),IncDocDate,"&lt;="&amp;J$4,IncAccount,$A11)+SUMIFS(ExpExcl,ExpDocDate,"&gt;="&amp;DATE(YEAR(J$4),MONTH(J$4),1),ExpDocDate,"&lt;="&amp;J$4,ExpAccount,$A11))</f>
        <v>2000</v>
      </c>
      <c r="K11" s="29" cm="1">
        <f t="array" aca="1" ref="K11" ca="1">IF(RIGHT($A11,1)="G",-SUMIFS(IncExcl,IncDocDate,"&gt;="&amp;DATE(YEAR(K$4),MONTH(K$4),1),IncDocDate,"&lt;="&amp;K$4,IncAccount,LEFT($A11,5)&amp;"*")+SUMIFS(ExpExcl,ExpDocDate,"&gt;="&amp;DATE(YEAR(K$4),MONTH(K$4),1),ExpDocDate,"&lt;="&amp;K$4,ExpAccount,LEFT($A11,5)&amp;"*"),-SUMIFS(IncExcl,IncDocDate,"&gt;="&amp;DATE(YEAR(K$4),MONTH(K$4),1),IncDocDate,"&lt;="&amp;K$4,IncAccount,$A11)+SUMIFS(ExpExcl,ExpDocDate,"&gt;="&amp;DATE(YEAR(K$4),MONTH(K$4),1),ExpDocDate,"&lt;="&amp;K$4,ExpAccount,$A11))</f>
        <v>2000</v>
      </c>
      <c r="L11" s="29" cm="1">
        <f t="array" aca="1" ref="L11" ca="1">IF(RIGHT($A11,1)="G",-SUMIFS(IncExcl,IncDocDate,"&gt;="&amp;DATE(YEAR(L$4),MONTH(L$4),1),IncDocDate,"&lt;="&amp;L$4,IncAccount,LEFT($A11,5)&amp;"*")+SUMIFS(ExpExcl,ExpDocDate,"&gt;="&amp;DATE(YEAR(L$4),MONTH(L$4),1),ExpDocDate,"&lt;="&amp;L$4,ExpAccount,LEFT($A11,5)&amp;"*"),-SUMIFS(IncExcl,IncDocDate,"&gt;="&amp;DATE(YEAR(L$4),MONTH(L$4),1),IncDocDate,"&lt;="&amp;L$4,IncAccount,$A11)+SUMIFS(ExpExcl,ExpDocDate,"&gt;="&amp;DATE(YEAR(L$4),MONTH(L$4),1),ExpDocDate,"&lt;="&amp;L$4,ExpAccount,$A11))</f>
        <v>2000</v>
      </c>
      <c r="M11" s="29" cm="1">
        <f t="array" aca="1" ref="M11" ca="1">IF(RIGHT($A11,1)="G",-SUMIFS(IncExcl,IncDocDate,"&gt;="&amp;DATE(YEAR(M$4),MONTH(M$4),1),IncDocDate,"&lt;="&amp;M$4,IncAccount,LEFT($A11,5)&amp;"*")+SUMIFS(ExpExcl,ExpDocDate,"&gt;="&amp;DATE(YEAR(M$4),MONTH(M$4),1),ExpDocDate,"&lt;="&amp;M$4,ExpAccount,LEFT($A11,5)&amp;"*"),-SUMIFS(IncExcl,IncDocDate,"&gt;="&amp;DATE(YEAR(M$4),MONTH(M$4),1),IncDocDate,"&lt;="&amp;M$4,IncAccount,$A11)+SUMIFS(ExpExcl,ExpDocDate,"&gt;="&amp;DATE(YEAR(M$4),MONTH(M$4),1),ExpDocDate,"&lt;="&amp;M$4,ExpAccount,$A11))</f>
        <v>2000</v>
      </c>
      <c r="N11" s="29" cm="1">
        <f t="array" aca="1" ref="N11" ca="1">IF(RIGHT($A11,1)="G",-SUMIFS(IncExcl,IncDocDate,"&gt;="&amp;DATE(YEAR(N$4),MONTH(N$4),1),IncDocDate,"&lt;="&amp;N$4,IncAccount,LEFT($A11,5)&amp;"*")+SUMIFS(ExpExcl,ExpDocDate,"&gt;="&amp;DATE(YEAR(N$4),MONTH(N$4),1),ExpDocDate,"&lt;="&amp;N$4,ExpAccount,LEFT($A11,5)&amp;"*"),-SUMIFS(IncExcl,IncDocDate,"&gt;="&amp;DATE(YEAR(N$4),MONTH(N$4),1),IncDocDate,"&lt;="&amp;N$4,IncAccount,$A11)+SUMIFS(ExpExcl,ExpDocDate,"&gt;="&amp;DATE(YEAR(N$4),MONTH(N$4),1),ExpDocDate,"&lt;="&amp;N$4,ExpAccount,$A11))</f>
        <v>2000</v>
      </c>
      <c r="O11" s="86">
        <f t="shared" ref="O11:O28" ca="1" si="3">SUM(C11:N11)</f>
        <v>23982.608695652176</v>
      </c>
      <c r="P11" s="86" cm="1">
        <f t="array" aca="1" ref="P11" ca="1">IF(RIGHT($A11,1)="G",-SUMIFS(IncExcl,IncDocDate,"&gt;="&amp;$P$2,IncDocDate,"&lt;="&amp;$P$3,IncAccount,LEFT($A11,5)&amp;"*")+SUMIFS(ExpExcl,ExpDocDate,"&gt;="&amp;$P$2,ExpDocDate,"&lt;="&amp;$P$3,ExpAccount,LEFT($A11,5)&amp;"*"),-SUMIFS(IncExcl,IncDocDate,"&gt;="&amp;$P$2,IncDocDate,"&lt;="&amp;$P$3,IncAccount,$A11)+SUMIFS(ExpExcl,ExpDocDate,"&gt;="&amp;$P$2,ExpDocDate,"&lt;="&amp;$P$3,ExpAccount,$A11))</f>
        <v>0</v>
      </c>
    </row>
    <row r="12" spans="1:16" ht="16" customHeight="1" x14ac:dyDescent="0.25">
      <c r="A12" s="183" t="s">
        <v>290</v>
      </c>
      <c r="B12" s="17" t="str">
        <f ca="1">IF(RIGHT($A12,1)="G",IF(ISNA(VLOOKUP(LEFT($A12,LEN($A12)-1),GroupAll,COLUMN(Groups!$B$4),0)),"Group Not Found",VLOOKUP(LEFT($A12,LEN($A12)-1),GroupAll,COLUMN(Groups!$B$4),0)),IF(ISNA(VLOOKUP($A12,AccountAll,COLUMN(TB!$B$4),0)),"Account Not Found",VLOOKUP($A12,AccountAll,COLUMN(TB!$B$4),0)))</f>
        <v>Advertising &amp; Marketing</v>
      </c>
      <c r="C12" s="29" cm="1">
        <f t="array" aca="1" ref="C12" ca="1">IF(RIGHT($A12,1)="G",-SUMIFS(IncExcl,IncDocDate,"&gt;="&amp;DATE(YEAR(C$4),MONTH(C$4),1),IncDocDate,"&lt;="&amp;C$4,IncAccount,LEFT($A12,5)&amp;"*")+SUMIFS(ExpExcl,ExpDocDate,"&gt;="&amp;DATE(YEAR(C$4),MONTH(C$4),1),ExpDocDate,"&lt;="&amp;C$4,ExpAccount,LEFT($A12,5)&amp;"*"),-SUMIFS(IncExcl,IncDocDate,"&gt;="&amp;DATE(YEAR(C$4),MONTH(C$4),1),IncDocDate,"&lt;="&amp;C$4,IncAccount,$A12)+SUMIFS(ExpExcl,ExpDocDate,"&gt;="&amp;DATE(YEAR(C$4),MONTH(C$4),1),ExpDocDate,"&lt;="&amp;C$4,ExpAccount,$A12))</f>
        <v>10000</v>
      </c>
      <c r="D12" s="29" cm="1">
        <f t="array" aca="1" ref="D12" ca="1">IF(RIGHT($A12,1)="G",-SUMIFS(IncExcl,IncDocDate,"&gt;="&amp;DATE(YEAR(D$4),MONTH(D$4),1),IncDocDate,"&lt;="&amp;D$4,IncAccount,LEFT($A12,5)&amp;"*")+SUMIFS(ExpExcl,ExpDocDate,"&gt;="&amp;DATE(YEAR(D$4),MONTH(D$4),1),ExpDocDate,"&lt;="&amp;D$4,ExpAccount,LEFT($A12,5)&amp;"*"),-SUMIFS(IncExcl,IncDocDate,"&gt;="&amp;DATE(YEAR(D$4),MONTH(D$4),1),IncDocDate,"&lt;="&amp;D$4,IncAccount,$A12)+SUMIFS(ExpExcl,ExpDocDate,"&gt;="&amp;DATE(YEAR(D$4),MONTH(D$4),1),ExpDocDate,"&lt;="&amp;D$4,ExpAccount,$A12))</f>
        <v>24800</v>
      </c>
      <c r="E12" s="29" cm="1">
        <f t="array" aca="1" ref="E12" ca="1">IF(RIGHT($A12,1)="G",-SUMIFS(IncExcl,IncDocDate,"&gt;="&amp;DATE(YEAR(E$4),MONTH(E$4),1),IncDocDate,"&lt;="&amp;E$4,IncAccount,LEFT($A12,5)&amp;"*")+SUMIFS(ExpExcl,ExpDocDate,"&gt;="&amp;DATE(YEAR(E$4),MONTH(E$4),1),ExpDocDate,"&lt;="&amp;E$4,ExpAccount,LEFT($A12,5)&amp;"*"),-SUMIFS(IncExcl,IncDocDate,"&gt;="&amp;DATE(YEAR(E$4),MONTH(E$4),1),IncDocDate,"&lt;="&amp;E$4,IncAccount,$A12)+SUMIFS(ExpExcl,ExpDocDate,"&gt;="&amp;DATE(YEAR(E$4),MONTH(E$4),1),ExpDocDate,"&lt;="&amp;E$4,ExpAccount,$A12))</f>
        <v>11020</v>
      </c>
      <c r="F12" s="29" cm="1">
        <f t="array" aca="1" ref="F12" ca="1">IF(RIGHT($A12,1)="G",-SUMIFS(IncExcl,IncDocDate,"&gt;="&amp;DATE(YEAR(F$4),MONTH(F$4),1),IncDocDate,"&lt;="&amp;F$4,IncAccount,LEFT($A12,5)&amp;"*")+SUMIFS(ExpExcl,ExpDocDate,"&gt;="&amp;DATE(YEAR(F$4),MONTH(F$4),1),ExpDocDate,"&lt;="&amp;F$4,ExpAccount,LEFT($A12,5)&amp;"*"),-SUMIFS(IncExcl,IncDocDate,"&gt;="&amp;DATE(YEAR(F$4),MONTH(F$4),1),IncDocDate,"&lt;="&amp;F$4,IncAccount,$A12)+SUMIFS(ExpExcl,ExpDocDate,"&gt;="&amp;DATE(YEAR(F$4),MONTH(F$4),1),ExpDocDate,"&lt;="&amp;F$4,ExpAccount,$A12))</f>
        <v>10500</v>
      </c>
      <c r="G12" s="29" cm="1">
        <f t="array" aca="1" ref="G12" ca="1">IF(RIGHT($A12,1)="G",-SUMIFS(IncExcl,IncDocDate,"&gt;="&amp;DATE(YEAR(G$4),MONTH(G$4),1),IncDocDate,"&lt;="&amp;G$4,IncAccount,LEFT($A12,5)&amp;"*")+SUMIFS(ExpExcl,ExpDocDate,"&gt;="&amp;DATE(YEAR(G$4),MONTH(G$4),1),ExpDocDate,"&lt;="&amp;G$4,ExpAccount,LEFT($A12,5)&amp;"*"),-SUMIFS(IncExcl,IncDocDate,"&gt;="&amp;DATE(YEAR(G$4),MONTH(G$4),1),IncDocDate,"&lt;="&amp;G$4,IncAccount,$A12)+SUMIFS(ExpExcl,ExpDocDate,"&gt;="&amp;DATE(YEAR(G$4),MONTH(G$4),1),ExpDocDate,"&lt;="&amp;G$4,ExpAccount,$A12))</f>
        <v>10850</v>
      </c>
      <c r="H12" s="29" cm="1">
        <f t="array" aca="1" ref="H12" ca="1">IF(RIGHT($A12,1)="G",-SUMIFS(IncExcl,IncDocDate,"&gt;="&amp;DATE(YEAR(H$4),MONTH(H$4),1),IncDocDate,"&lt;="&amp;H$4,IncAccount,LEFT($A12,5)&amp;"*")+SUMIFS(ExpExcl,ExpDocDate,"&gt;="&amp;DATE(YEAR(H$4),MONTH(H$4),1),ExpDocDate,"&lt;="&amp;H$4,ExpAccount,LEFT($A12,5)&amp;"*"),-SUMIFS(IncExcl,IncDocDate,"&gt;="&amp;DATE(YEAR(H$4),MONTH(H$4),1),IncDocDate,"&lt;="&amp;H$4,IncAccount,$A12)+SUMIFS(ExpExcl,ExpDocDate,"&gt;="&amp;DATE(YEAR(H$4),MONTH(H$4),1),ExpDocDate,"&lt;="&amp;H$4,ExpAccount,$A12))</f>
        <v>11400</v>
      </c>
      <c r="I12" s="29" cm="1">
        <f t="array" aca="1" ref="I12" ca="1">IF(RIGHT($A12,1)="G",-SUMIFS(IncExcl,IncDocDate,"&gt;="&amp;DATE(YEAR(I$4),MONTH(I$4),1),IncDocDate,"&lt;="&amp;I$4,IncAccount,LEFT($A12,5)&amp;"*")+SUMIFS(ExpExcl,ExpDocDate,"&gt;="&amp;DATE(YEAR(I$4),MONTH(I$4),1),ExpDocDate,"&lt;="&amp;I$4,ExpAccount,LEFT($A12,5)&amp;"*"),-SUMIFS(IncExcl,IncDocDate,"&gt;="&amp;DATE(YEAR(I$4),MONTH(I$4),1),IncDocDate,"&lt;="&amp;I$4,IncAccount,$A12)+SUMIFS(ExpExcl,ExpDocDate,"&gt;="&amp;DATE(YEAR(I$4),MONTH(I$4),1),ExpDocDate,"&lt;="&amp;I$4,ExpAccount,$A12))</f>
        <v>10600</v>
      </c>
      <c r="J12" s="29" cm="1">
        <f t="array" aca="1" ref="J12" ca="1">IF(RIGHT($A12,1)="G",-SUMIFS(IncExcl,IncDocDate,"&gt;="&amp;DATE(YEAR(J$4),MONTH(J$4),1),IncDocDate,"&lt;="&amp;J$4,IncAccount,LEFT($A12,5)&amp;"*")+SUMIFS(ExpExcl,ExpDocDate,"&gt;="&amp;DATE(YEAR(J$4),MONTH(J$4),1),ExpDocDate,"&lt;="&amp;J$4,ExpAccount,LEFT($A12,5)&amp;"*"),-SUMIFS(IncExcl,IncDocDate,"&gt;="&amp;DATE(YEAR(J$4),MONTH(J$4),1),IncDocDate,"&lt;="&amp;J$4,IncAccount,$A12)+SUMIFS(ExpExcl,ExpDocDate,"&gt;="&amp;DATE(YEAR(J$4),MONTH(J$4),1),ExpDocDate,"&lt;="&amp;J$4,ExpAccount,$A12))</f>
        <v>10350</v>
      </c>
      <c r="K12" s="29" cm="1">
        <f t="array" aca="1" ref="K12" ca="1">IF(RIGHT($A12,1)="G",-SUMIFS(IncExcl,IncDocDate,"&gt;="&amp;DATE(YEAR(K$4),MONTH(K$4),1),IncDocDate,"&lt;="&amp;K$4,IncAccount,LEFT($A12,5)&amp;"*")+SUMIFS(ExpExcl,ExpDocDate,"&gt;="&amp;DATE(YEAR(K$4),MONTH(K$4),1),ExpDocDate,"&lt;="&amp;K$4,ExpAccount,LEFT($A12,5)&amp;"*"),-SUMIFS(IncExcl,IncDocDate,"&gt;="&amp;DATE(YEAR(K$4),MONTH(K$4),1),IncDocDate,"&lt;="&amp;K$4,IncAccount,$A12)+SUMIFS(ExpExcl,ExpDocDate,"&gt;="&amp;DATE(YEAR(K$4),MONTH(K$4),1),ExpDocDate,"&lt;="&amp;K$4,ExpAccount,$A12))</f>
        <v>10240</v>
      </c>
      <c r="L12" s="29" cm="1">
        <f t="array" aca="1" ref="L12" ca="1">IF(RIGHT($A12,1)="G",-SUMIFS(IncExcl,IncDocDate,"&gt;="&amp;DATE(YEAR(L$4),MONTH(L$4),1),IncDocDate,"&lt;="&amp;L$4,IncAccount,LEFT($A12,5)&amp;"*")+SUMIFS(ExpExcl,ExpDocDate,"&gt;="&amp;DATE(YEAR(L$4),MONTH(L$4),1),ExpDocDate,"&lt;="&amp;L$4,ExpAccount,LEFT($A12,5)&amp;"*"),-SUMIFS(IncExcl,IncDocDate,"&gt;="&amp;DATE(YEAR(L$4),MONTH(L$4),1),IncDocDate,"&lt;="&amp;L$4,IncAccount,$A12)+SUMIFS(ExpExcl,ExpDocDate,"&gt;="&amp;DATE(YEAR(L$4),MONTH(L$4),1),ExpDocDate,"&lt;="&amp;L$4,ExpAccount,$A12))</f>
        <v>10580</v>
      </c>
      <c r="M12" s="29" cm="1">
        <f t="array" aca="1" ref="M12" ca="1">IF(RIGHT($A12,1)="G",-SUMIFS(IncExcl,IncDocDate,"&gt;="&amp;DATE(YEAR(M$4),MONTH(M$4),1),IncDocDate,"&lt;="&amp;M$4,IncAccount,LEFT($A12,5)&amp;"*")+SUMIFS(ExpExcl,ExpDocDate,"&gt;="&amp;DATE(YEAR(M$4),MONTH(M$4),1),ExpDocDate,"&lt;="&amp;M$4,ExpAccount,LEFT($A12,5)&amp;"*"),-SUMIFS(IncExcl,IncDocDate,"&gt;="&amp;DATE(YEAR(M$4),MONTH(M$4),1),IncDocDate,"&lt;="&amp;M$4,IncAccount,$A12)+SUMIFS(ExpExcl,ExpDocDate,"&gt;="&amp;DATE(YEAR(M$4),MONTH(M$4),1),ExpDocDate,"&lt;="&amp;M$4,ExpAccount,$A12))</f>
        <v>11203</v>
      </c>
      <c r="N12" s="29" cm="1">
        <f t="array" aca="1" ref="N12" ca="1">IF(RIGHT($A12,1)="G",-SUMIFS(IncExcl,IncDocDate,"&gt;="&amp;DATE(YEAR(N$4),MONTH(N$4),1),IncDocDate,"&lt;="&amp;N$4,IncAccount,LEFT($A12,5)&amp;"*")+SUMIFS(ExpExcl,ExpDocDate,"&gt;="&amp;DATE(YEAR(N$4),MONTH(N$4),1),ExpDocDate,"&lt;="&amp;N$4,ExpAccount,LEFT($A12,5)&amp;"*"),-SUMIFS(IncExcl,IncDocDate,"&gt;="&amp;DATE(YEAR(N$4),MONTH(N$4),1),IncDocDate,"&lt;="&amp;N$4,IncAccount,$A12)+SUMIFS(ExpExcl,ExpDocDate,"&gt;="&amp;DATE(YEAR(N$4),MONTH(N$4),1),ExpDocDate,"&lt;="&amp;N$4,ExpAccount,$A12))</f>
        <v>12100</v>
      </c>
      <c r="O12" s="86">
        <f t="shared" ca="1" si="3"/>
        <v>143643</v>
      </c>
      <c r="P12" s="86" cm="1">
        <f t="array" aca="1" ref="P12" ca="1">IF(RIGHT($A12,1)="G",-SUMIFS(IncExcl,IncDocDate,"&gt;="&amp;$P$2,IncDocDate,"&lt;="&amp;$P$3,IncAccount,LEFT($A12,5)&amp;"*")+SUMIFS(ExpExcl,ExpDocDate,"&gt;="&amp;$P$2,ExpDocDate,"&lt;="&amp;$P$3,ExpAccount,LEFT($A12,5)&amp;"*"),-SUMIFS(IncExcl,IncDocDate,"&gt;="&amp;$P$2,IncDocDate,"&lt;="&amp;$P$3,IncAccount,$A12)+SUMIFS(ExpExcl,ExpDocDate,"&gt;="&amp;$P$2,ExpDocDate,"&lt;="&amp;$P$3,ExpAccount,$A12))</f>
        <v>0</v>
      </c>
    </row>
    <row r="13" spans="1:16" ht="16" customHeight="1" x14ac:dyDescent="0.25">
      <c r="A13" s="183" t="s">
        <v>291</v>
      </c>
      <c r="B13" s="17" t="str">
        <f ca="1">IF(RIGHT($A13,1)="G",IF(ISNA(VLOOKUP(LEFT($A13,LEN($A13)-1),GroupAll,COLUMN(Groups!$B$4),0)),"Group Not Found",VLOOKUP(LEFT($A13,LEN($A13)-1),GroupAll,COLUMN(Groups!$B$4),0)),IF(ISNA(VLOOKUP($A13,AccountAll,COLUMN(TB!$B$4),0)),"Account Not Found",VLOOKUP($A13,AccountAll,COLUMN(TB!$B$4),0)))</f>
        <v>Bank Charges</v>
      </c>
      <c r="C13" s="29" cm="1">
        <f t="array" aca="1" ref="C13" ca="1">IF(RIGHT($A13,1)="G",-SUMIFS(IncExcl,IncDocDate,"&gt;="&amp;DATE(YEAR(C$4),MONTH(C$4),1),IncDocDate,"&lt;="&amp;C$4,IncAccount,LEFT($A13,5)&amp;"*")+SUMIFS(ExpExcl,ExpDocDate,"&gt;="&amp;DATE(YEAR(C$4),MONTH(C$4),1),ExpDocDate,"&lt;="&amp;C$4,ExpAccount,LEFT($A13,5)&amp;"*"),-SUMIFS(IncExcl,IncDocDate,"&gt;="&amp;DATE(YEAR(C$4),MONTH(C$4),1),IncDocDate,"&lt;="&amp;C$4,IncAccount,$A13)+SUMIFS(ExpExcl,ExpDocDate,"&gt;="&amp;DATE(YEAR(C$4),MONTH(C$4),1),ExpDocDate,"&lt;="&amp;C$4,ExpAccount,$A13))</f>
        <v>79.304347826086953</v>
      </c>
      <c r="D13" s="29" cm="1">
        <f t="array" aca="1" ref="D13" ca="1">IF(RIGHT($A13,1)="G",-SUMIFS(IncExcl,IncDocDate,"&gt;="&amp;DATE(YEAR(D$4),MONTH(D$4),1),IncDocDate,"&lt;="&amp;D$4,IncAccount,LEFT($A13,5)&amp;"*")+SUMIFS(ExpExcl,ExpDocDate,"&gt;="&amp;DATE(YEAR(D$4),MONTH(D$4),1),ExpDocDate,"&lt;="&amp;D$4,ExpAccount,LEFT($A13,5)&amp;"*"),-SUMIFS(IncExcl,IncDocDate,"&gt;="&amp;DATE(YEAR(D$4),MONTH(D$4),1),IncDocDate,"&lt;="&amp;D$4,IncAccount,$A13)+SUMIFS(ExpExcl,ExpDocDate,"&gt;="&amp;DATE(YEAR(D$4),MONTH(D$4),1),ExpDocDate,"&lt;="&amp;D$4,ExpAccount,$A13))</f>
        <v>100</v>
      </c>
      <c r="E13" s="29" cm="1">
        <f t="array" aca="1" ref="E13" ca="1">IF(RIGHT($A13,1)="G",-SUMIFS(IncExcl,IncDocDate,"&gt;="&amp;DATE(YEAR(E$4),MONTH(E$4),1),IncDocDate,"&lt;="&amp;E$4,IncAccount,LEFT($A13,5)&amp;"*")+SUMIFS(ExpExcl,ExpDocDate,"&gt;="&amp;DATE(YEAR(E$4),MONTH(E$4),1),ExpDocDate,"&lt;="&amp;E$4,ExpAccount,LEFT($A13,5)&amp;"*"),-SUMIFS(IncExcl,IncDocDate,"&gt;="&amp;DATE(YEAR(E$4),MONTH(E$4),1),IncDocDate,"&lt;="&amp;E$4,IncAccount,$A13)+SUMIFS(ExpExcl,ExpDocDate,"&gt;="&amp;DATE(YEAR(E$4),MONTH(E$4),1),ExpDocDate,"&lt;="&amp;E$4,ExpAccount,$A13))</f>
        <v>100</v>
      </c>
      <c r="F13" s="29" cm="1">
        <f t="array" aca="1" ref="F13" ca="1">IF(RIGHT($A13,1)="G",-SUMIFS(IncExcl,IncDocDate,"&gt;="&amp;DATE(YEAR(F$4),MONTH(F$4),1),IncDocDate,"&lt;="&amp;F$4,IncAccount,LEFT($A13,5)&amp;"*")+SUMIFS(ExpExcl,ExpDocDate,"&gt;="&amp;DATE(YEAR(F$4),MONTH(F$4),1),ExpDocDate,"&lt;="&amp;F$4,ExpAccount,LEFT($A13,5)&amp;"*"),-SUMIFS(IncExcl,IncDocDate,"&gt;="&amp;DATE(YEAR(F$4),MONTH(F$4),1),IncDocDate,"&lt;="&amp;F$4,IncAccount,$A13)+SUMIFS(ExpExcl,ExpDocDate,"&gt;="&amp;DATE(YEAR(F$4),MONTH(F$4),1),ExpDocDate,"&lt;="&amp;F$4,ExpAccount,$A13))</f>
        <v>100</v>
      </c>
      <c r="G13" s="29" cm="1">
        <f t="array" aca="1" ref="G13" ca="1">IF(RIGHT($A13,1)="G",-SUMIFS(IncExcl,IncDocDate,"&gt;="&amp;DATE(YEAR(G$4),MONTH(G$4),1),IncDocDate,"&lt;="&amp;G$4,IncAccount,LEFT($A13,5)&amp;"*")+SUMIFS(ExpExcl,ExpDocDate,"&gt;="&amp;DATE(YEAR(G$4),MONTH(G$4),1),ExpDocDate,"&lt;="&amp;G$4,ExpAccount,LEFT($A13,5)&amp;"*"),-SUMIFS(IncExcl,IncDocDate,"&gt;="&amp;DATE(YEAR(G$4),MONTH(G$4),1),IncDocDate,"&lt;="&amp;G$4,IncAccount,$A13)+SUMIFS(ExpExcl,ExpDocDate,"&gt;="&amp;DATE(YEAR(G$4),MONTH(G$4),1),ExpDocDate,"&lt;="&amp;G$4,ExpAccount,$A13))</f>
        <v>100</v>
      </c>
      <c r="H13" s="29" cm="1">
        <f t="array" aca="1" ref="H13" ca="1">IF(RIGHT($A13,1)="G",-SUMIFS(IncExcl,IncDocDate,"&gt;="&amp;DATE(YEAR(H$4),MONTH(H$4),1),IncDocDate,"&lt;="&amp;H$4,IncAccount,LEFT($A13,5)&amp;"*")+SUMIFS(ExpExcl,ExpDocDate,"&gt;="&amp;DATE(YEAR(H$4),MONTH(H$4),1),ExpDocDate,"&lt;="&amp;H$4,ExpAccount,LEFT($A13,5)&amp;"*"),-SUMIFS(IncExcl,IncDocDate,"&gt;="&amp;DATE(YEAR(H$4),MONTH(H$4),1),IncDocDate,"&lt;="&amp;H$4,IncAccount,$A13)+SUMIFS(ExpExcl,ExpDocDate,"&gt;="&amp;DATE(YEAR(H$4),MONTH(H$4),1),ExpDocDate,"&lt;="&amp;H$4,ExpAccount,$A13))</f>
        <v>100</v>
      </c>
      <c r="I13" s="29" cm="1">
        <f t="array" aca="1" ref="I13" ca="1">IF(RIGHT($A13,1)="G",-SUMIFS(IncExcl,IncDocDate,"&gt;="&amp;DATE(YEAR(I$4),MONTH(I$4),1),IncDocDate,"&lt;="&amp;I$4,IncAccount,LEFT($A13,5)&amp;"*")+SUMIFS(ExpExcl,ExpDocDate,"&gt;="&amp;DATE(YEAR(I$4),MONTH(I$4),1),ExpDocDate,"&lt;="&amp;I$4,ExpAccount,LEFT($A13,5)&amp;"*"),-SUMIFS(IncExcl,IncDocDate,"&gt;="&amp;DATE(YEAR(I$4),MONTH(I$4),1),IncDocDate,"&lt;="&amp;I$4,IncAccount,$A13)+SUMIFS(ExpExcl,ExpDocDate,"&gt;="&amp;DATE(YEAR(I$4),MONTH(I$4),1),ExpDocDate,"&lt;="&amp;I$4,ExpAccount,$A13))</f>
        <v>100</v>
      </c>
      <c r="J13" s="29" cm="1">
        <f t="array" aca="1" ref="J13" ca="1">IF(RIGHT($A13,1)="G",-SUMIFS(IncExcl,IncDocDate,"&gt;="&amp;DATE(YEAR(J$4),MONTH(J$4),1),IncDocDate,"&lt;="&amp;J$4,IncAccount,LEFT($A13,5)&amp;"*")+SUMIFS(ExpExcl,ExpDocDate,"&gt;="&amp;DATE(YEAR(J$4),MONTH(J$4),1),ExpDocDate,"&lt;="&amp;J$4,ExpAccount,LEFT($A13,5)&amp;"*"),-SUMIFS(IncExcl,IncDocDate,"&gt;="&amp;DATE(YEAR(J$4),MONTH(J$4),1),IncDocDate,"&lt;="&amp;J$4,IncAccount,$A13)+SUMIFS(ExpExcl,ExpDocDate,"&gt;="&amp;DATE(YEAR(J$4),MONTH(J$4),1),ExpDocDate,"&lt;="&amp;J$4,ExpAccount,$A13))</f>
        <v>100</v>
      </c>
      <c r="K13" s="29" cm="1">
        <f t="array" aca="1" ref="K13" ca="1">IF(RIGHT($A13,1)="G",-SUMIFS(IncExcl,IncDocDate,"&gt;="&amp;DATE(YEAR(K$4),MONTH(K$4),1),IncDocDate,"&lt;="&amp;K$4,IncAccount,LEFT($A13,5)&amp;"*")+SUMIFS(ExpExcl,ExpDocDate,"&gt;="&amp;DATE(YEAR(K$4),MONTH(K$4),1),ExpDocDate,"&lt;="&amp;K$4,ExpAccount,LEFT($A13,5)&amp;"*"),-SUMIFS(IncExcl,IncDocDate,"&gt;="&amp;DATE(YEAR(K$4),MONTH(K$4),1),IncDocDate,"&lt;="&amp;K$4,IncAccount,$A13)+SUMIFS(ExpExcl,ExpDocDate,"&gt;="&amp;DATE(YEAR(K$4),MONTH(K$4),1),ExpDocDate,"&lt;="&amp;K$4,ExpAccount,$A13))</f>
        <v>100</v>
      </c>
      <c r="L13" s="29" cm="1">
        <f t="array" aca="1" ref="L13" ca="1">IF(RIGHT($A13,1)="G",-SUMIFS(IncExcl,IncDocDate,"&gt;="&amp;DATE(YEAR(L$4),MONTH(L$4),1),IncDocDate,"&lt;="&amp;L$4,IncAccount,LEFT($A13,5)&amp;"*")+SUMIFS(ExpExcl,ExpDocDate,"&gt;="&amp;DATE(YEAR(L$4),MONTH(L$4),1),ExpDocDate,"&lt;="&amp;L$4,ExpAccount,LEFT($A13,5)&amp;"*"),-SUMIFS(IncExcl,IncDocDate,"&gt;="&amp;DATE(YEAR(L$4),MONTH(L$4),1),IncDocDate,"&lt;="&amp;L$4,IncAccount,$A13)+SUMIFS(ExpExcl,ExpDocDate,"&gt;="&amp;DATE(YEAR(L$4),MONTH(L$4),1),ExpDocDate,"&lt;="&amp;L$4,ExpAccount,$A13))</f>
        <v>100</v>
      </c>
      <c r="M13" s="29" cm="1">
        <f t="array" aca="1" ref="M13" ca="1">IF(RIGHT($A13,1)="G",-SUMIFS(IncExcl,IncDocDate,"&gt;="&amp;DATE(YEAR(M$4),MONTH(M$4),1),IncDocDate,"&lt;="&amp;M$4,IncAccount,LEFT($A13,5)&amp;"*")+SUMIFS(ExpExcl,ExpDocDate,"&gt;="&amp;DATE(YEAR(M$4),MONTH(M$4),1),ExpDocDate,"&lt;="&amp;M$4,ExpAccount,LEFT($A13,5)&amp;"*"),-SUMIFS(IncExcl,IncDocDate,"&gt;="&amp;DATE(YEAR(M$4),MONTH(M$4),1),IncDocDate,"&lt;="&amp;M$4,IncAccount,$A13)+SUMIFS(ExpExcl,ExpDocDate,"&gt;="&amp;DATE(YEAR(M$4),MONTH(M$4),1),ExpDocDate,"&lt;="&amp;M$4,ExpAccount,$A13))</f>
        <v>100</v>
      </c>
      <c r="N13" s="29" cm="1">
        <f t="array" aca="1" ref="N13" ca="1">IF(RIGHT($A13,1)="G",-SUMIFS(IncExcl,IncDocDate,"&gt;="&amp;DATE(YEAR(N$4),MONTH(N$4),1),IncDocDate,"&lt;="&amp;N$4,IncAccount,LEFT($A13,5)&amp;"*")+SUMIFS(ExpExcl,ExpDocDate,"&gt;="&amp;DATE(YEAR(N$4),MONTH(N$4),1),ExpDocDate,"&lt;="&amp;N$4,ExpAccount,LEFT($A13,5)&amp;"*"),-SUMIFS(IncExcl,IncDocDate,"&gt;="&amp;DATE(YEAR(N$4),MONTH(N$4),1),IncDocDate,"&lt;="&amp;N$4,IncAccount,$A13)+SUMIFS(ExpExcl,ExpDocDate,"&gt;="&amp;DATE(YEAR(N$4),MONTH(N$4),1),ExpDocDate,"&lt;="&amp;N$4,ExpAccount,$A13))</f>
        <v>100</v>
      </c>
      <c r="O13" s="86">
        <f t="shared" ca="1" si="3"/>
        <v>1179.304347826087</v>
      </c>
      <c r="P13" s="86" cm="1">
        <f t="array" aca="1" ref="P13" ca="1">IF(RIGHT($A13,1)="G",-SUMIFS(IncExcl,IncDocDate,"&gt;="&amp;$P$2,IncDocDate,"&lt;="&amp;$P$3,IncAccount,LEFT($A13,5)&amp;"*")+SUMIFS(ExpExcl,ExpDocDate,"&gt;="&amp;$P$2,ExpDocDate,"&lt;="&amp;$P$3,ExpAccount,LEFT($A13,5)&amp;"*"),-SUMIFS(IncExcl,IncDocDate,"&gt;="&amp;$P$2,IncDocDate,"&lt;="&amp;$P$3,IncAccount,$A13)+SUMIFS(ExpExcl,ExpDocDate,"&gt;="&amp;$P$2,ExpDocDate,"&lt;="&amp;$P$3,ExpAccount,$A13))</f>
        <v>0</v>
      </c>
    </row>
    <row r="14" spans="1:16" ht="16" customHeight="1" x14ac:dyDescent="0.25">
      <c r="A14" s="183" t="s">
        <v>292</v>
      </c>
      <c r="B14" s="17" t="str">
        <f ca="1">IF(RIGHT($A14,1)="G",IF(ISNA(VLOOKUP(LEFT($A14,LEN($A14)-1),GroupAll,COLUMN(Groups!$B$4),0)),"Group Not Found",VLOOKUP(LEFT($A14,LEN($A14)-1),GroupAll,COLUMN(Groups!$B$4),0)),IF(ISNA(VLOOKUP($A14,AccountAll,COLUMN(TB!$B$4),0)),"Account Not Found",VLOOKUP($A14,AccountAll,COLUMN(TB!$B$4),0)))</f>
        <v>Commission</v>
      </c>
      <c r="C14" s="29" cm="1">
        <f t="array" aca="1" ref="C14" ca="1">IF(RIGHT($A14,1)="G",-SUMIFS(IncExcl,IncDocDate,"&gt;="&amp;DATE(YEAR(C$4),MONTH(C$4),1),IncDocDate,"&lt;="&amp;C$4,IncAccount,LEFT($A14,5)&amp;"*")+SUMIFS(ExpExcl,ExpDocDate,"&gt;="&amp;DATE(YEAR(C$4),MONTH(C$4),1),ExpDocDate,"&lt;="&amp;C$4,ExpAccount,LEFT($A14,5)&amp;"*"),-SUMIFS(IncExcl,IncDocDate,"&gt;="&amp;DATE(YEAR(C$4),MONTH(C$4),1),IncDocDate,"&lt;="&amp;C$4,IncAccount,$A14)+SUMIFS(ExpExcl,ExpDocDate,"&gt;="&amp;DATE(YEAR(C$4),MONTH(C$4),1),ExpDocDate,"&lt;="&amp;C$4,ExpAccount,$A14))</f>
        <v>0</v>
      </c>
      <c r="D14" s="29" cm="1">
        <f t="array" aca="1" ref="D14" ca="1">IF(RIGHT($A14,1)="G",-SUMIFS(IncExcl,IncDocDate,"&gt;="&amp;DATE(YEAR(D$4),MONTH(D$4),1),IncDocDate,"&lt;="&amp;D$4,IncAccount,LEFT($A14,5)&amp;"*")+SUMIFS(ExpExcl,ExpDocDate,"&gt;="&amp;DATE(YEAR(D$4),MONTH(D$4),1),ExpDocDate,"&lt;="&amp;D$4,ExpAccount,LEFT($A14,5)&amp;"*"),-SUMIFS(IncExcl,IncDocDate,"&gt;="&amp;DATE(YEAR(D$4),MONTH(D$4),1),IncDocDate,"&lt;="&amp;D$4,IncAccount,$A14)+SUMIFS(ExpExcl,ExpDocDate,"&gt;="&amp;DATE(YEAR(D$4),MONTH(D$4),1),ExpDocDate,"&lt;="&amp;D$4,ExpAccount,$A14))</f>
        <v>0</v>
      </c>
      <c r="E14" s="29" cm="1">
        <f t="array" aca="1" ref="E14" ca="1">IF(RIGHT($A14,1)="G",-SUMIFS(IncExcl,IncDocDate,"&gt;="&amp;DATE(YEAR(E$4),MONTH(E$4),1),IncDocDate,"&lt;="&amp;E$4,IncAccount,LEFT($A14,5)&amp;"*")+SUMIFS(ExpExcl,ExpDocDate,"&gt;="&amp;DATE(YEAR(E$4),MONTH(E$4),1),ExpDocDate,"&lt;="&amp;E$4,ExpAccount,LEFT($A14,5)&amp;"*"),-SUMIFS(IncExcl,IncDocDate,"&gt;="&amp;DATE(YEAR(E$4),MONTH(E$4),1),IncDocDate,"&lt;="&amp;E$4,IncAccount,$A14)+SUMIFS(ExpExcl,ExpDocDate,"&gt;="&amp;DATE(YEAR(E$4),MONTH(E$4),1),ExpDocDate,"&lt;="&amp;E$4,ExpAccount,$A14))</f>
        <v>5000</v>
      </c>
      <c r="F14" s="29" cm="1">
        <f t="array" aca="1" ref="F14" ca="1">IF(RIGHT($A14,1)="G",-SUMIFS(IncExcl,IncDocDate,"&gt;="&amp;DATE(YEAR(F$4),MONTH(F$4),1),IncDocDate,"&lt;="&amp;F$4,IncAccount,LEFT($A14,5)&amp;"*")+SUMIFS(ExpExcl,ExpDocDate,"&gt;="&amp;DATE(YEAR(F$4),MONTH(F$4),1),ExpDocDate,"&lt;="&amp;F$4,ExpAccount,LEFT($A14,5)&amp;"*"),-SUMIFS(IncExcl,IncDocDate,"&gt;="&amp;DATE(YEAR(F$4),MONTH(F$4),1),IncDocDate,"&lt;="&amp;F$4,IncAccount,$A14)+SUMIFS(ExpExcl,ExpDocDate,"&gt;="&amp;DATE(YEAR(F$4),MONTH(F$4),1),ExpDocDate,"&lt;="&amp;F$4,ExpAccount,$A14))</f>
        <v>0</v>
      </c>
      <c r="G14" s="29" cm="1">
        <f t="array" aca="1" ref="G14" ca="1">IF(RIGHT($A14,1)="G",-SUMIFS(IncExcl,IncDocDate,"&gt;="&amp;DATE(YEAR(G$4),MONTH(G$4),1),IncDocDate,"&lt;="&amp;G$4,IncAccount,LEFT($A14,5)&amp;"*")+SUMIFS(ExpExcl,ExpDocDate,"&gt;="&amp;DATE(YEAR(G$4),MONTH(G$4),1),ExpDocDate,"&lt;="&amp;G$4,ExpAccount,LEFT($A14,5)&amp;"*"),-SUMIFS(IncExcl,IncDocDate,"&gt;="&amp;DATE(YEAR(G$4),MONTH(G$4),1),IncDocDate,"&lt;="&amp;G$4,IncAccount,$A14)+SUMIFS(ExpExcl,ExpDocDate,"&gt;="&amp;DATE(YEAR(G$4),MONTH(G$4),1),ExpDocDate,"&lt;="&amp;G$4,ExpAccount,$A14))</f>
        <v>0</v>
      </c>
      <c r="H14" s="29" cm="1">
        <f t="array" aca="1" ref="H14" ca="1">IF(RIGHT($A14,1)="G",-SUMIFS(IncExcl,IncDocDate,"&gt;="&amp;DATE(YEAR(H$4),MONTH(H$4),1),IncDocDate,"&lt;="&amp;H$4,IncAccount,LEFT($A14,5)&amp;"*")+SUMIFS(ExpExcl,ExpDocDate,"&gt;="&amp;DATE(YEAR(H$4),MONTH(H$4),1),ExpDocDate,"&lt;="&amp;H$4,ExpAccount,LEFT($A14,5)&amp;"*"),-SUMIFS(IncExcl,IncDocDate,"&gt;="&amp;DATE(YEAR(H$4),MONTH(H$4),1),IncDocDate,"&lt;="&amp;H$4,IncAccount,$A14)+SUMIFS(ExpExcl,ExpDocDate,"&gt;="&amp;DATE(YEAR(H$4),MONTH(H$4),1),ExpDocDate,"&lt;="&amp;H$4,ExpAccount,$A14))</f>
        <v>4000</v>
      </c>
      <c r="I14" s="29" cm="1">
        <f t="array" aca="1" ref="I14" ca="1">IF(RIGHT($A14,1)="G",-SUMIFS(IncExcl,IncDocDate,"&gt;="&amp;DATE(YEAR(I$4),MONTH(I$4),1),IncDocDate,"&lt;="&amp;I$4,IncAccount,LEFT($A14,5)&amp;"*")+SUMIFS(ExpExcl,ExpDocDate,"&gt;="&amp;DATE(YEAR(I$4),MONTH(I$4),1),ExpDocDate,"&lt;="&amp;I$4,ExpAccount,LEFT($A14,5)&amp;"*"),-SUMIFS(IncExcl,IncDocDate,"&gt;="&amp;DATE(YEAR(I$4),MONTH(I$4),1),IncDocDate,"&lt;="&amp;I$4,IncAccount,$A14)+SUMIFS(ExpExcl,ExpDocDate,"&gt;="&amp;DATE(YEAR(I$4),MONTH(I$4),1),ExpDocDate,"&lt;="&amp;I$4,ExpAccount,$A14))</f>
        <v>0</v>
      </c>
      <c r="J14" s="29" cm="1">
        <f t="array" aca="1" ref="J14" ca="1">IF(RIGHT($A14,1)="G",-SUMIFS(IncExcl,IncDocDate,"&gt;="&amp;DATE(YEAR(J$4),MONTH(J$4),1),IncDocDate,"&lt;="&amp;J$4,IncAccount,LEFT($A14,5)&amp;"*")+SUMIFS(ExpExcl,ExpDocDate,"&gt;="&amp;DATE(YEAR(J$4),MONTH(J$4),1),ExpDocDate,"&lt;="&amp;J$4,ExpAccount,LEFT($A14,5)&amp;"*"),-SUMIFS(IncExcl,IncDocDate,"&gt;="&amp;DATE(YEAR(J$4),MONTH(J$4),1),IncDocDate,"&lt;="&amp;J$4,IncAccount,$A14)+SUMIFS(ExpExcl,ExpDocDate,"&gt;="&amp;DATE(YEAR(J$4),MONTH(J$4),1),ExpDocDate,"&lt;="&amp;J$4,ExpAccount,$A14))</f>
        <v>0</v>
      </c>
      <c r="K14" s="29" cm="1">
        <f t="array" aca="1" ref="K14" ca="1">IF(RIGHT($A14,1)="G",-SUMIFS(IncExcl,IncDocDate,"&gt;="&amp;DATE(YEAR(K$4),MONTH(K$4),1),IncDocDate,"&lt;="&amp;K$4,IncAccount,LEFT($A14,5)&amp;"*")+SUMIFS(ExpExcl,ExpDocDate,"&gt;="&amp;DATE(YEAR(K$4),MONTH(K$4),1),ExpDocDate,"&lt;="&amp;K$4,ExpAccount,LEFT($A14,5)&amp;"*"),-SUMIFS(IncExcl,IncDocDate,"&gt;="&amp;DATE(YEAR(K$4),MONTH(K$4),1),IncDocDate,"&lt;="&amp;K$4,IncAccount,$A14)+SUMIFS(ExpExcl,ExpDocDate,"&gt;="&amp;DATE(YEAR(K$4),MONTH(K$4),1),ExpDocDate,"&lt;="&amp;K$4,ExpAccount,$A14))</f>
        <v>3850</v>
      </c>
      <c r="L14" s="29" cm="1">
        <f t="array" aca="1" ref="L14" ca="1">IF(RIGHT($A14,1)="G",-SUMIFS(IncExcl,IncDocDate,"&gt;="&amp;DATE(YEAR(L$4),MONTH(L$4),1),IncDocDate,"&lt;="&amp;L$4,IncAccount,LEFT($A14,5)&amp;"*")+SUMIFS(ExpExcl,ExpDocDate,"&gt;="&amp;DATE(YEAR(L$4),MONTH(L$4),1),ExpDocDate,"&lt;="&amp;L$4,ExpAccount,LEFT($A14,5)&amp;"*"),-SUMIFS(IncExcl,IncDocDate,"&gt;="&amp;DATE(YEAR(L$4),MONTH(L$4),1),IncDocDate,"&lt;="&amp;L$4,IncAccount,$A14)+SUMIFS(ExpExcl,ExpDocDate,"&gt;="&amp;DATE(YEAR(L$4),MONTH(L$4),1),ExpDocDate,"&lt;="&amp;L$4,ExpAccount,$A14))</f>
        <v>0</v>
      </c>
      <c r="M14" s="29" cm="1">
        <f t="array" aca="1" ref="M14" ca="1">IF(RIGHT($A14,1)="G",-SUMIFS(IncExcl,IncDocDate,"&gt;="&amp;DATE(YEAR(M$4),MONTH(M$4),1),IncDocDate,"&lt;="&amp;M$4,IncAccount,LEFT($A14,5)&amp;"*")+SUMIFS(ExpExcl,ExpDocDate,"&gt;="&amp;DATE(YEAR(M$4),MONTH(M$4),1),ExpDocDate,"&lt;="&amp;M$4,ExpAccount,LEFT($A14,5)&amp;"*"),-SUMIFS(IncExcl,IncDocDate,"&gt;="&amp;DATE(YEAR(M$4),MONTH(M$4),1),IncDocDate,"&lt;="&amp;M$4,IncAccount,$A14)+SUMIFS(ExpExcl,ExpDocDate,"&gt;="&amp;DATE(YEAR(M$4),MONTH(M$4),1),ExpDocDate,"&lt;="&amp;M$4,ExpAccount,$A14))</f>
        <v>0</v>
      </c>
      <c r="N14" s="29" cm="1">
        <f t="array" aca="1" ref="N14" ca="1">IF(RIGHT($A14,1)="G",-SUMIFS(IncExcl,IncDocDate,"&gt;="&amp;DATE(YEAR(N$4),MONTH(N$4),1),IncDocDate,"&lt;="&amp;N$4,IncAccount,LEFT($A14,5)&amp;"*")+SUMIFS(ExpExcl,ExpDocDate,"&gt;="&amp;DATE(YEAR(N$4),MONTH(N$4),1),ExpDocDate,"&lt;="&amp;N$4,ExpAccount,LEFT($A14,5)&amp;"*"),-SUMIFS(IncExcl,IncDocDate,"&gt;="&amp;DATE(YEAR(N$4),MONTH(N$4),1),IncDocDate,"&lt;="&amp;N$4,IncAccount,$A14)+SUMIFS(ExpExcl,ExpDocDate,"&gt;="&amp;DATE(YEAR(N$4),MONTH(N$4),1),ExpDocDate,"&lt;="&amp;N$4,ExpAccount,$A14))</f>
        <v>15000</v>
      </c>
      <c r="O14" s="86">
        <f t="shared" ca="1" si="3"/>
        <v>27850</v>
      </c>
      <c r="P14" s="86" cm="1">
        <f t="array" aca="1" ref="P14" ca="1">IF(RIGHT($A14,1)="G",-SUMIFS(IncExcl,IncDocDate,"&gt;="&amp;$P$2,IncDocDate,"&lt;="&amp;$P$3,IncAccount,LEFT($A14,5)&amp;"*")+SUMIFS(ExpExcl,ExpDocDate,"&gt;="&amp;$P$2,ExpDocDate,"&lt;="&amp;$P$3,ExpAccount,LEFT($A14,5)&amp;"*"),-SUMIFS(IncExcl,IncDocDate,"&gt;="&amp;$P$2,IncDocDate,"&lt;="&amp;$P$3,IncAccount,$A14)+SUMIFS(ExpExcl,ExpDocDate,"&gt;="&amp;$P$2,ExpDocDate,"&lt;="&amp;$P$3,ExpAccount,$A14))</f>
        <v>0</v>
      </c>
    </row>
    <row r="15" spans="1:16" ht="16" customHeight="1" x14ac:dyDescent="0.25">
      <c r="A15" s="183" t="s">
        <v>293</v>
      </c>
      <c r="B15" s="17" t="str">
        <f ca="1">IF(RIGHT($A15,1)="G",IF(ISNA(VLOOKUP(LEFT($A15,LEN($A15)-1),GroupAll,COLUMN(Groups!$B$4),0)),"Group Not Found",VLOOKUP(LEFT($A15,LEN($A15)-1),GroupAll,COLUMN(Groups!$B$4),0)),IF(ISNA(VLOOKUP($A15,AccountAll,COLUMN(TB!$B$4),0)),"Account Not Found",VLOOKUP($A15,AccountAll,COLUMN(TB!$B$4),0)))</f>
        <v>Computer Expenses</v>
      </c>
      <c r="C15" s="29" cm="1">
        <f t="array" aca="1" ref="C15" ca="1">IF(RIGHT($A15,1)="G",-SUMIFS(IncExcl,IncDocDate,"&gt;="&amp;DATE(YEAR(C$4),MONTH(C$4),1),IncDocDate,"&lt;="&amp;C$4,IncAccount,LEFT($A15,5)&amp;"*")+SUMIFS(ExpExcl,ExpDocDate,"&gt;="&amp;DATE(YEAR(C$4),MONTH(C$4),1),ExpDocDate,"&lt;="&amp;C$4,ExpAccount,LEFT($A15,5)&amp;"*"),-SUMIFS(IncExcl,IncDocDate,"&gt;="&amp;DATE(YEAR(C$4),MONTH(C$4),1),IncDocDate,"&lt;="&amp;C$4,IncAccount,$A15)+SUMIFS(ExpExcl,ExpDocDate,"&gt;="&amp;DATE(YEAR(C$4),MONTH(C$4),1),ExpDocDate,"&lt;="&amp;C$4,ExpAccount,$A15))</f>
        <v>0</v>
      </c>
      <c r="D15" s="29" cm="1">
        <f t="array" aca="1" ref="D15" ca="1">IF(RIGHT($A15,1)="G",-SUMIFS(IncExcl,IncDocDate,"&gt;="&amp;DATE(YEAR(D$4),MONTH(D$4),1),IncDocDate,"&lt;="&amp;D$4,IncAccount,LEFT($A15,5)&amp;"*")+SUMIFS(ExpExcl,ExpDocDate,"&gt;="&amp;DATE(YEAR(D$4),MONTH(D$4),1),ExpDocDate,"&lt;="&amp;D$4,ExpAccount,LEFT($A15,5)&amp;"*"),-SUMIFS(IncExcl,IncDocDate,"&gt;="&amp;DATE(YEAR(D$4),MONTH(D$4),1),IncDocDate,"&lt;="&amp;D$4,IncAccount,$A15)+SUMIFS(ExpExcl,ExpDocDate,"&gt;="&amp;DATE(YEAR(D$4),MONTH(D$4),1),ExpDocDate,"&lt;="&amp;D$4,ExpAccount,$A15))</f>
        <v>2173.913043478261</v>
      </c>
      <c r="E15" s="29" cm="1">
        <f t="array" aca="1" ref="E15" ca="1">IF(RIGHT($A15,1)="G",-SUMIFS(IncExcl,IncDocDate,"&gt;="&amp;DATE(YEAR(E$4),MONTH(E$4),1),IncDocDate,"&lt;="&amp;E$4,IncAccount,LEFT($A15,5)&amp;"*")+SUMIFS(ExpExcl,ExpDocDate,"&gt;="&amp;DATE(YEAR(E$4),MONTH(E$4),1),ExpDocDate,"&lt;="&amp;E$4,ExpAccount,LEFT($A15,5)&amp;"*"),-SUMIFS(IncExcl,IncDocDate,"&gt;="&amp;DATE(YEAR(E$4),MONTH(E$4),1),IncDocDate,"&lt;="&amp;E$4,IncAccount,$A15)+SUMIFS(ExpExcl,ExpDocDate,"&gt;="&amp;DATE(YEAR(E$4),MONTH(E$4),1),ExpDocDate,"&lt;="&amp;E$4,ExpAccount,$A15))</f>
        <v>0</v>
      </c>
      <c r="F15" s="29" cm="1">
        <f t="array" aca="1" ref="F15" ca="1">IF(RIGHT($A15,1)="G",-SUMIFS(IncExcl,IncDocDate,"&gt;="&amp;DATE(YEAR(F$4),MONTH(F$4),1),IncDocDate,"&lt;="&amp;F$4,IncAccount,LEFT($A15,5)&amp;"*")+SUMIFS(ExpExcl,ExpDocDate,"&gt;="&amp;DATE(YEAR(F$4),MONTH(F$4),1),ExpDocDate,"&lt;="&amp;F$4,ExpAccount,LEFT($A15,5)&amp;"*"),-SUMIFS(IncExcl,IncDocDate,"&gt;="&amp;DATE(YEAR(F$4),MONTH(F$4),1),IncDocDate,"&lt;="&amp;F$4,IncAccount,$A15)+SUMIFS(ExpExcl,ExpDocDate,"&gt;="&amp;DATE(YEAR(F$4),MONTH(F$4),1),ExpDocDate,"&lt;="&amp;F$4,ExpAccount,$A15))</f>
        <v>0</v>
      </c>
      <c r="G15" s="29" cm="1">
        <f t="array" aca="1" ref="G15" ca="1">IF(RIGHT($A15,1)="G",-SUMIFS(IncExcl,IncDocDate,"&gt;="&amp;DATE(YEAR(G$4),MONTH(G$4),1),IncDocDate,"&lt;="&amp;G$4,IncAccount,LEFT($A15,5)&amp;"*")+SUMIFS(ExpExcl,ExpDocDate,"&gt;="&amp;DATE(YEAR(G$4),MONTH(G$4),1),ExpDocDate,"&lt;="&amp;G$4,ExpAccount,LEFT($A15,5)&amp;"*"),-SUMIFS(IncExcl,IncDocDate,"&gt;="&amp;DATE(YEAR(G$4),MONTH(G$4),1),IncDocDate,"&lt;="&amp;G$4,IncAccount,$A15)+SUMIFS(ExpExcl,ExpDocDate,"&gt;="&amp;DATE(YEAR(G$4),MONTH(G$4),1),ExpDocDate,"&lt;="&amp;G$4,ExpAccount,$A15))</f>
        <v>0</v>
      </c>
      <c r="H15" s="29" cm="1">
        <f t="array" aca="1" ref="H15" ca="1">IF(RIGHT($A15,1)="G",-SUMIFS(IncExcl,IncDocDate,"&gt;="&amp;DATE(YEAR(H$4),MONTH(H$4),1),IncDocDate,"&lt;="&amp;H$4,IncAccount,LEFT($A15,5)&amp;"*")+SUMIFS(ExpExcl,ExpDocDate,"&gt;="&amp;DATE(YEAR(H$4),MONTH(H$4),1),ExpDocDate,"&lt;="&amp;H$4,ExpAccount,LEFT($A15,5)&amp;"*"),-SUMIFS(IncExcl,IncDocDate,"&gt;="&amp;DATE(YEAR(H$4),MONTH(H$4),1),IncDocDate,"&lt;="&amp;H$4,IncAccount,$A15)+SUMIFS(ExpExcl,ExpDocDate,"&gt;="&amp;DATE(YEAR(H$4),MONTH(H$4),1),ExpDocDate,"&lt;="&amp;H$4,ExpAccount,$A15))</f>
        <v>0</v>
      </c>
      <c r="I15" s="29" cm="1">
        <f t="array" aca="1" ref="I15" ca="1">IF(RIGHT($A15,1)="G",-SUMIFS(IncExcl,IncDocDate,"&gt;="&amp;DATE(YEAR(I$4),MONTH(I$4),1),IncDocDate,"&lt;="&amp;I$4,IncAccount,LEFT($A15,5)&amp;"*")+SUMIFS(ExpExcl,ExpDocDate,"&gt;="&amp;DATE(YEAR(I$4),MONTH(I$4),1),ExpDocDate,"&lt;="&amp;I$4,ExpAccount,LEFT($A15,5)&amp;"*"),-SUMIFS(IncExcl,IncDocDate,"&gt;="&amp;DATE(YEAR(I$4),MONTH(I$4),1),IncDocDate,"&lt;="&amp;I$4,IncAccount,$A15)+SUMIFS(ExpExcl,ExpDocDate,"&gt;="&amp;DATE(YEAR(I$4),MONTH(I$4),1),ExpDocDate,"&lt;="&amp;I$4,ExpAccount,$A15))</f>
        <v>0</v>
      </c>
      <c r="J15" s="29" cm="1">
        <f t="array" aca="1" ref="J15" ca="1">IF(RIGHT($A15,1)="G",-SUMIFS(IncExcl,IncDocDate,"&gt;="&amp;DATE(YEAR(J$4),MONTH(J$4),1),IncDocDate,"&lt;="&amp;J$4,IncAccount,LEFT($A15,5)&amp;"*")+SUMIFS(ExpExcl,ExpDocDate,"&gt;="&amp;DATE(YEAR(J$4),MONTH(J$4),1),ExpDocDate,"&lt;="&amp;J$4,ExpAccount,LEFT($A15,5)&amp;"*"),-SUMIFS(IncExcl,IncDocDate,"&gt;="&amp;DATE(YEAR(J$4),MONTH(J$4),1),IncDocDate,"&lt;="&amp;J$4,IncAccount,$A15)+SUMIFS(ExpExcl,ExpDocDate,"&gt;="&amp;DATE(YEAR(J$4),MONTH(J$4),1),ExpDocDate,"&lt;="&amp;J$4,ExpAccount,$A15))</f>
        <v>739.13043478260875</v>
      </c>
      <c r="K15" s="29" cm="1">
        <f t="array" aca="1" ref="K15" ca="1">IF(RIGHT($A15,1)="G",-SUMIFS(IncExcl,IncDocDate,"&gt;="&amp;DATE(YEAR(K$4),MONTH(K$4),1),IncDocDate,"&lt;="&amp;K$4,IncAccount,LEFT($A15,5)&amp;"*")+SUMIFS(ExpExcl,ExpDocDate,"&gt;="&amp;DATE(YEAR(K$4),MONTH(K$4),1),ExpDocDate,"&lt;="&amp;K$4,ExpAccount,LEFT($A15,5)&amp;"*"),-SUMIFS(IncExcl,IncDocDate,"&gt;="&amp;DATE(YEAR(K$4),MONTH(K$4),1),IncDocDate,"&lt;="&amp;K$4,IncAccount,$A15)+SUMIFS(ExpExcl,ExpDocDate,"&gt;="&amp;DATE(YEAR(K$4),MONTH(K$4),1),ExpDocDate,"&lt;="&amp;K$4,ExpAccount,$A15))</f>
        <v>0</v>
      </c>
      <c r="L15" s="29" cm="1">
        <f t="array" aca="1" ref="L15" ca="1">IF(RIGHT($A15,1)="G",-SUMIFS(IncExcl,IncDocDate,"&gt;="&amp;DATE(YEAR(L$4),MONTH(L$4),1),IncDocDate,"&lt;="&amp;L$4,IncAccount,LEFT($A15,5)&amp;"*")+SUMIFS(ExpExcl,ExpDocDate,"&gt;="&amp;DATE(YEAR(L$4),MONTH(L$4),1),ExpDocDate,"&lt;="&amp;L$4,ExpAccount,LEFT($A15,5)&amp;"*"),-SUMIFS(IncExcl,IncDocDate,"&gt;="&amp;DATE(YEAR(L$4),MONTH(L$4),1),IncDocDate,"&lt;="&amp;L$4,IncAccount,$A15)+SUMIFS(ExpExcl,ExpDocDate,"&gt;="&amp;DATE(YEAR(L$4),MONTH(L$4),1),ExpDocDate,"&lt;="&amp;L$4,ExpAccount,$A15))</f>
        <v>563.47826086956525</v>
      </c>
      <c r="M15" s="29" cm="1">
        <f t="array" aca="1" ref="M15" ca="1">IF(RIGHT($A15,1)="G",-SUMIFS(IncExcl,IncDocDate,"&gt;="&amp;DATE(YEAR(M$4),MONTH(M$4),1),IncDocDate,"&lt;="&amp;M$4,IncAccount,LEFT($A15,5)&amp;"*")+SUMIFS(ExpExcl,ExpDocDate,"&gt;="&amp;DATE(YEAR(M$4),MONTH(M$4),1),ExpDocDate,"&lt;="&amp;M$4,ExpAccount,LEFT($A15,5)&amp;"*"),-SUMIFS(IncExcl,IncDocDate,"&gt;="&amp;DATE(YEAR(M$4),MONTH(M$4),1),IncDocDate,"&lt;="&amp;M$4,IncAccount,$A15)+SUMIFS(ExpExcl,ExpDocDate,"&gt;="&amp;DATE(YEAR(M$4),MONTH(M$4),1),ExpDocDate,"&lt;="&amp;M$4,ExpAccount,$A15))</f>
        <v>0</v>
      </c>
      <c r="N15" s="29" cm="1">
        <f t="array" aca="1" ref="N15" ca="1">IF(RIGHT($A15,1)="G",-SUMIFS(IncExcl,IncDocDate,"&gt;="&amp;DATE(YEAR(N$4),MONTH(N$4),1),IncDocDate,"&lt;="&amp;N$4,IncAccount,LEFT($A15,5)&amp;"*")+SUMIFS(ExpExcl,ExpDocDate,"&gt;="&amp;DATE(YEAR(N$4),MONTH(N$4),1),ExpDocDate,"&lt;="&amp;N$4,ExpAccount,LEFT($A15,5)&amp;"*"),-SUMIFS(IncExcl,IncDocDate,"&gt;="&amp;DATE(YEAR(N$4),MONTH(N$4),1),IncDocDate,"&lt;="&amp;N$4,IncAccount,$A15)+SUMIFS(ExpExcl,ExpDocDate,"&gt;="&amp;DATE(YEAR(N$4),MONTH(N$4),1),ExpDocDate,"&lt;="&amp;N$4,ExpAccount,$A15))</f>
        <v>0</v>
      </c>
      <c r="O15" s="86">
        <f t="shared" ca="1" si="3"/>
        <v>3476.521739130435</v>
      </c>
      <c r="P15" s="86" cm="1">
        <f t="array" aca="1" ref="P15" ca="1">IF(RIGHT($A15,1)="G",-SUMIFS(IncExcl,IncDocDate,"&gt;="&amp;$P$2,IncDocDate,"&lt;="&amp;$P$3,IncAccount,LEFT($A15,5)&amp;"*")+SUMIFS(ExpExcl,ExpDocDate,"&gt;="&amp;$P$2,ExpDocDate,"&lt;="&amp;$P$3,ExpAccount,LEFT($A15,5)&amp;"*"),-SUMIFS(IncExcl,IncDocDate,"&gt;="&amp;$P$2,IncDocDate,"&lt;="&amp;$P$3,IncAccount,$A15)+SUMIFS(ExpExcl,ExpDocDate,"&gt;="&amp;$P$2,ExpDocDate,"&lt;="&amp;$P$3,ExpAccount,$A15))</f>
        <v>0</v>
      </c>
    </row>
    <row r="16" spans="1:16" ht="16" customHeight="1" x14ac:dyDescent="0.25">
      <c r="A16" s="183" t="s">
        <v>294</v>
      </c>
      <c r="B16" s="17" t="str">
        <f ca="1">IF(RIGHT($A16,1)="G",IF(ISNA(VLOOKUP(LEFT($A16,LEN($A16)-1),GroupAll,COLUMN(Groups!$B$4),0)),"Group Not Found",VLOOKUP(LEFT($A16,LEN($A16)-1),GroupAll,COLUMN(Groups!$B$4),0)),IF(ISNA(VLOOKUP($A16,AccountAll,COLUMN(TB!$B$4),0)),"Account Not Found",VLOOKUP($A16,AccountAll,COLUMN(TB!$B$4),0)))</f>
        <v>Consumables &amp; Cleaning</v>
      </c>
      <c r="C16" s="29" cm="1">
        <f t="array" aca="1" ref="C16" ca="1">IF(RIGHT($A16,1)="G",-SUMIFS(IncExcl,IncDocDate,"&gt;="&amp;DATE(YEAR(C$4),MONTH(C$4),1),IncDocDate,"&lt;="&amp;C$4,IncAccount,LEFT($A16,5)&amp;"*")+SUMIFS(ExpExcl,ExpDocDate,"&gt;="&amp;DATE(YEAR(C$4),MONTH(C$4),1),ExpDocDate,"&lt;="&amp;C$4,ExpAccount,LEFT($A16,5)&amp;"*"),-SUMIFS(IncExcl,IncDocDate,"&gt;="&amp;DATE(YEAR(C$4),MONTH(C$4),1),IncDocDate,"&lt;="&amp;C$4,IncAccount,$A16)+SUMIFS(ExpExcl,ExpDocDate,"&gt;="&amp;DATE(YEAR(C$4),MONTH(C$4),1),ExpDocDate,"&lt;="&amp;C$4,ExpAccount,$A16))</f>
        <v>0</v>
      </c>
      <c r="D16" s="29" cm="1">
        <f t="array" aca="1" ref="D16" ca="1">IF(RIGHT($A16,1)="G",-SUMIFS(IncExcl,IncDocDate,"&gt;="&amp;DATE(YEAR(D$4),MONTH(D$4),1),IncDocDate,"&lt;="&amp;D$4,IncAccount,LEFT($A16,5)&amp;"*")+SUMIFS(ExpExcl,ExpDocDate,"&gt;="&amp;DATE(YEAR(D$4),MONTH(D$4),1),ExpDocDate,"&lt;="&amp;D$4,ExpAccount,LEFT($A16,5)&amp;"*"),-SUMIFS(IncExcl,IncDocDate,"&gt;="&amp;DATE(YEAR(D$4),MONTH(D$4),1),IncDocDate,"&lt;="&amp;D$4,IncAccount,$A16)+SUMIFS(ExpExcl,ExpDocDate,"&gt;="&amp;DATE(YEAR(D$4),MONTH(D$4),1),ExpDocDate,"&lt;="&amp;D$4,ExpAccount,$A16))</f>
        <v>0</v>
      </c>
      <c r="E16" s="29" cm="1">
        <f t="array" aca="1" ref="E16" ca="1">IF(RIGHT($A16,1)="G",-SUMIFS(IncExcl,IncDocDate,"&gt;="&amp;DATE(YEAR(E$4),MONTH(E$4),1),IncDocDate,"&lt;="&amp;E$4,IncAccount,LEFT($A16,5)&amp;"*")+SUMIFS(ExpExcl,ExpDocDate,"&gt;="&amp;DATE(YEAR(E$4),MONTH(E$4),1),ExpDocDate,"&lt;="&amp;E$4,ExpAccount,LEFT($A16,5)&amp;"*"),-SUMIFS(IncExcl,IncDocDate,"&gt;="&amp;DATE(YEAR(E$4),MONTH(E$4),1),IncDocDate,"&lt;="&amp;E$4,IncAccount,$A16)+SUMIFS(ExpExcl,ExpDocDate,"&gt;="&amp;DATE(YEAR(E$4),MONTH(E$4),1),ExpDocDate,"&lt;="&amp;E$4,ExpAccount,$A16))</f>
        <v>0</v>
      </c>
      <c r="F16" s="29" cm="1">
        <f t="array" aca="1" ref="F16" ca="1">IF(RIGHT($A16,1)="G",-SUMIFS(IncExcl,IncDocDate,"&gt;="&amp;DATE(YEAR(F$4),MONTH(F$4),1),IncDocDate,"&lt;="&amp;F$4,IncAccount,LEFT($A16,5)&amp;"*")+SUMIFS(ExpExcl,ExpDocDate,"&gt;="&amp;DATE(YEAR(F$4),MONTH(F$4),1),ExpDocDate,"&lt;="&amp;F$4,ExpAccount,LEFT($A16,5)&amp;"*"),-SUMIFS(IncExcl,IncDocDate,"&gt;="&amp;DATE(YEAR(F$4),MONTH(F$4),1),IncDocDate,"&lt;="&amp;F$4,IncAccount,$A16)+SUMIFS(ExpExcl,ExpDocDate,"&gt;="&amp;DATE(YEAR(F$4),MONTH(F$4),1),ExpDocDate,"&lt;="&amp;F$4,ExpAccount,$A16))</f>
        <v>0</v>
      </c>
      <c r="G16" s="29" cm="1">
        <f t="array" aca="1" ref="G16" ca="1">IF(RIGHT($A16,1)="G",-SUMIFS(IncExcl,IncDocDate,"&gt;="&amp;DATE(YEAR(G$4),MONTH(G$4),1),IncDocDate,"&lt;="&amp;G$4,IncAccount,LEFT($A16,5)&amp;"*")+SUMIFS(ExpExcl,ExpDocDate,"&gt;="&amp;DATE(YEAR(G$4),MONTH(G$4),1),ExpDocDate,"&lt;="&amp;G$4,ExpAccount,LEFT($A16,5)&amp;"*"),-SUMIFS(IncExcl,IncDocDate,"&gt;="&amp;DATE(YEAR(G$4),MONTH(G$4),1),IncDocDate,"&lt;="&amp;G$4,IncAccount,$A16)+SUMIFS(ExpExcl,ExpDocDate,"&gt;="&amp;DATE(YEAR(G$4),MONTH(G$4),1),ExpDocDate,"&lt;="&amp;G$4,ExpAccount,$A16))</f>
        <v>2500</v>
      </c>
      <c r="H16" s="29" cm="1">
        <f t="array" aca="1" ref="H16" ca="1">IF(RIGHT($A16,1)="G",-SUMIFS(IncExcl,IncDocDate,"&gt;="&amp;DATE(YEAR(H$4),MONTH(H$4),1),IncDocDate,"&lt;="&amp;H$4,IncAccount,LEFT($A16,5)&amp;"*")+SUMIFS(ExpExcl,ExpDocDate,"&gt;="&amp;DATE(YEAR(H$4),MONTH(H$4),1),ExpDocDate,"&lt;="&amp;H$4,ExpAccount,LEFT($A16,5)&amp;"*"),-SUMIFS(IncExcl,IncDocDate,"&gt;="&amp;DATE(YEAR(H$4),MONTH(H$4),1),IncDocDate,"&lt;="&amp;H$4,IncAccount,$A16)+SUMIFS(ExpExcl,ExpDocDate,"&gt;="&amp;DATE(YEAR(H$4),MONTH(H$4),1),ExpDocDate,"&lt;="&amp;H$4,ExpAccount,$A16))</f>
        <v>0</v>
      </c>
      <c r="I16" s="29" cm="1">
        <f t="array" aca="1" ref="I16" ca="1">IF(RIGHT($A16,1)="G",-SUMIFS(IncExcl,IncDocDate,"&gt;="&amp;DATE(YEAR(I$4),MONTH(I$4),1),IncDocDate,"&lt;="&amp;I$4,IncAccount,LEFT($A16,5)&amp;"*")+SUMIFS(ExpExcl,ExpDocDate,"&gt;="&amp;DATE(YEAR(I$4),MONTH(I$4),1),ExpDocDate,"&lt;="&amp;I$4,ExpAccount,LEFT($A16,5)&amp;"*"),-SUMIFS(IncExcl,IncDocDate,"&gt;="&amp;DATE(YEAR(I$4),MONTH(I$4),1),IncDocDate,"&lt;="&amp;I$4,IncAccount,$A16)+SUMIFS(ExpExcl,ExpDocDate,"&gt;="&amp;DATE(YEAR(I$4),MONTH(I$4),1),ExpDocDate,"&lt;="&amp;I$4,ExpAccount,$A16))</f>
        <v>0</v>
      </c>
      <c r="J16" s="29" cm="1">
        <f t="array" aca="1" ref="J16" ca="1">IF(RIGHT($A16,1)="G",-SUMIFS(IncExcl,IncDocDate,"&gt;="&amp;DATE(YEAR(J$4),MONTH(J$4),1),IncDocDate,"&lt;="&amp;J$4,IncAccount,LEFT($A16,5)&amp;"*")+SUMIFS(ExpExcl,ExpDocDate,"&gt;="&amp;DATE(YEAR(J$4),MONTH(J$4),1),ExpDocDate,"&lt;="&amp;J$4,ExpAccount,LEFT($A16,5)&amp;"*"),-SUMIFS(IncExcl,IncDocDate,"&gt;="&amp;DATE(YEAR(J$4),MONTH(J$4),1),IncDocDate,"&lt;="&amp;J$4,IncAccount,$A16)+SUMIFS(ExpExcl,ExpDocDate,"&gt;="&amp;DATE(YEAR(J$4),MONTH(J$4),1),ExpDocDate,"&lt;="&amp;J$4,ExpAccount,$A16))</f>
        <v>0</v>
      </c>
      <c r="K16" s="29" cm="1">
        <f t="array" aca="1" ref="K16" ca="1">IF(RIGHT($A16,1)="G",-SUMIFS(IncExcl,IncDocDate,"&gt;="&amp;DATE(YEAR(K$4),MONTH(K$4),1),IncDocDate,"&lt;="&amp;K$4,IncAccount,LEFT($A16,5)&amp;"*")+SUMIFS(ExpExcl,ExpDocDate,"&gt;="&amp;DATE(YEAR(K$4),MONTH(K$4),1),ExpDocDate,"&lt;="&amp;K$4,ExpAccount,LEFT($A16,5)&amp;"*"),-SUMIFS(IncExcl,IncDocDate,"&gt;="&amp;DATE(YEAR(K$4),MONTH(K$4),1),IncDocDate,"&lt;="&amp;K$4,IncAccount,$A16)+SUMIFS(ExpExcl,ExpDocDate,"&gt;="&amp;DATE(YEAR(K$4),MONTH(K$4),1),ExpDocDate,"&lt;="&amp;K$4,ExpAccount,$A16))</f>
        <v>0</v>
      </c>
      <c r="L16" s="29" cm="1">
        <f t="array" aca="1" ref="L16" ca="1">IF(RIGHT($A16,1)="G",-SUMIFS(IncExcl,IncDocDate,"&gt;="&amp;DATE(YEAR(L$4),MONTH(L$4),1),IncDocDate,"&lt;="&amp;L$4,IncAccount,LEFT($A16,5)&amp;"*")+SUMIFS(ExpExcl,ExpDocDate,"&gt;="&amp;DATE(YEAR(L$4),MONTH(L$4),1),ExpDocDate,"&lt;="&amp;L$4,ExpAccount,LEFT($A16,5)&amp;"*"),-SUMIFS(IncExcl,IncDocDate,"&gt;="&amp;DATE(YEAR(L$4),MONTH(L$4),1),IncDocDate,"&lt;="&amp;L$4,IncAccount,$A16)+SUMIFS(ExpExcl,ExpDocDate,"&gt;="&amp;DATE(YEAR(L$4),MONTH(L$4),1),ExpDocDate,"&lt;="&amp;L$4,ExpAccount,$A16))</f>
        <v>0</v>
      </c>
      <c r="M16" s="29" cm="1">
        <f t="array" aca="1" ref="M16" ca="1">IF(RIGHT($A16,1)="G",-SUMIFS(IncExcl,IncDocDate,"&gt;="&amp;DATE(YEAR(M$4),MONTH(M$4),1),IncDocDate,"&lt;="&amp;M$4,IncAccount,LEFT($A16,5)&amp;"*")+SUMIFS(ExpExcl,ExpDocDate,"&gt;="&amp;DATE(YEAR(M$4),MONTH(M$4),1),ExpDocDate,"&lt;="&amp;M$4,ExpAccount,LEFT($A16,5)&amp;"*"),-SUMIFS(IncExcl,IncDocDate,"&gt;="&amp;DATE(YEAR(M$4),MONTH(M$4),1),IncDocDate,"&lt;="&amp;M$4,IncAccount,$A16)+SUMIFS(ExpExcl,ExpDocDate,"&gt;="&amp;DATE(YEAR(M$4),MONTH(M$4),1),ExpDocDate,"&lt;="&amp;M$4,ExpAccount,$A16))</f>
        <v>0</v>
      </c>
      <c r="N16" s="29" cm="1">
        <f t="array" aca="1" ref="N16" ca="1">IF(RIGHT($A16,1)="G",-SUMIFS(IncExcl,IncDocDate,"&gt;="&amp;DATE(YEAR(N$4),MONTH(N$4),1),IncDocDate,"&lt;="&amp;N$4,IncAccount,LEFT($A16,5)&amp;"*")+SUMIFS(ExpExcl,ExpDocDate,"&gt;="&amp;DATE(YEAR(N$4),MONTH(N$4),1),ExpDocDate,"&lt;="&amp;N$4,ExpAccount,LEFT($A16,5)&amp;"*"),-SUMIFS(IncExcl,IncDocDate,"&gt;="&amp;DATE(YEAR(N$4),MONTH(N$4),1),IncDocDate,"&lt;="&amp;N$4,IncAccount,$A16)+SUMIFS(ExpExcl,ExpDocDate,"&gt;="&amp;DATE(YEAR(N$4),MONTH(N$4),1),ExpDocDate,"&lt;="&amp;N$4,ExpAccount,$A16))</f>
        <v>0</v>
      </c>
      <c r="O16" s="86">
        <f t="shared" ca="1" si="3"/>
        <v>2500</v>
      </c>
      <c r="P16" s="86" cm="1">
        <f t="array" aca="1" ref="P16" ca="1">IF(RIGHT($A16,1)="G",-SUMIFS(IncExcl,IncDocDate,"&gt;="&amp;$P$2,IncDocDate,"&lt;="&amp;$P$3,IncAccount,LEFT($A16,5)&amp;"*")+SUMIFS(ExpExcl,ExpDocDate,"&gt;="&amp;$P$2,ExpDocDate,"&lt;="&amp;$P$3,ExpAccount,LEFT($A16,5)&amp;"*"),-SUMIFS(IncExcl,IncDocDate,"&gt;="&amp;$P$2,IncDocDate,"&lt;="&amp;$P$3,IncAccount,$A16)+SUMIFS(ExpExcl,ExpDocDate,"&gt;="&amp;$P$2,ExpDocDate,"&lt;="&amp;$P$3,ExpAccount,$A16))</f>
        <v>0</v>
      </c>
    </row>
    <row r="17" spans="1:16" ht="16" customHeight="1" x14ac:dyDescent="0.25">
      <c r="A17" s="183" t="s">
        <v>295</v>
      </c>
      <c r="B17" s="17" t="str">
        <f ca="1">IF(RIGHT($A17,1)="G",IF(ISNA(VLOOKUP(LEFT($A17,LEN($A17)-1),GroupAll,COLUMN(Groups!$B$4),0)),"Group Not Found",VLOOKUP(LEFT($A17,LEN($A17)-1),GroupAll,COLUMN(Groups!$B$4),0)),IF(ISNA(VLOOKUP($A17,AccountAll,COLUMN(TB!$B$4),0)),"Account Not Found",VLOOKUP($A17,AccountAll,COLUMN(TB!$B$4),0)))</f>
        <v>Entertainment</v>
      </c>
      <c r="C17" s="29" cm="1">
        <f t="array" aca="1" ref="C17" ca="1">IF(RIGHT($A17,1)="G",-SUMIFS(IncExcl,IncDocDate,"&gt;="&amp;DATE(YEAR(C$4),MONTH(C$4),1),IncDocDate,"&lt;="&amp;C$4,IncAccount,LEFT($A17,5)&amp;"*")+SUMIFS(ExpExcl,ExpDocDate,"&gt;="&amp;DATE(YEAR(C$4),MONTH(C$4),1),ExpDocDate,"&lt;="&amp;C$4,ExpAccount,LEFT($A17,5)&amp;"*"),-SUMIFS(IncExcl,IncDocDate,"&gt;="&amp;DATE(YEAR(C$4),MONTH(C$4),1),IncDocDate,"&lt;="&amp;C$4,IncAccount,$A17)+SUMIFS(ExpExcl,ExpDocDate,"&gt;="&amp;DATE(YEAR(C$4),MONTH(C$4),1),ExpDocDate,"&lt;="&amp;C$4,ExpAccount,$A17))</f>
        <v>0</v>
      </c>
      <c r="D17" s="29" cm="1">
        <f t="array" aca="1" ref="D17" ca="1">IF(RIGHT($A17,1)="G",-SUMIFS(IncExcl,IncDocDate,"&gt;="&amp;DATE(YEAR(D$4),MONTH(D$4),1),IncDocDate,"&lt;="&amp;D$4,IncAccount,LEFT($A17,5)&amp;"*")+SUMIFS(ExpExcl,ExpDocDate,"&gt;="&amp;DATE(YEAR(D$4),MONTH(D$4),1),ExpDocDate,"&lt;="&amp;D$4,ExpAccount,LEFT($A17,5)&amp;"*"),-SUMIFS(IncExcl,IncDocDate,"&gt;="&amp;DATE(YEAR(D$4),MONTH(D$4),1),IncDocDate,"&lt;="&amp;D$4,IncAccount,$A17)+SUMIFS(ExpExcl,ExpDocDate,"&gt;="&amp;DATE(YEAR(D$4),MONTH(D$4),1),ExpDocDate,"&lt;="&amp;D$4,ExpAccount,$A17))</f>
        <v>0</v>
      </c>
      <c r="E17" s="29" cm="1">
        <f t="array" aca="1" ref="E17" ca="1">IF(RIGHT($A17,1)="G",-SUMIFS(IncExcl,IncDocDate,"&gt;="&amp;DATE(YEAR(E$4),MONTH(E$4),1),IncDocDate,"&lt;="&amp;E$4,IncAccount,LEFT($A17,5)&amp;"*")+SUMIFS(ExpExcl,ExpDocDate,"&gt;="&amp;DATE(YEAR(E$4),MONTH(E$4),1),ExpDocDate,"&lt;="&amp;E$4,ExpAccount,LEFT($A17,5)&amp;"*"),-SUMIFS(IncExcl,IncDocDate,"&gt;="&amp;DATE(YEAR(E$4),MONTH(E$4),1),IncDocDate,"&lt;="&amp;E$4,IncAccount,$A17)+SUMIFS(ExpExcl,ExpDocDate,"&gt;="&amp;DATE(YEAR(E$4),MONTH(E$4),1),ExpDocDate,"&lt;="&amp;E$4,ExpAccount,$A17))</f>
        <v>0</v>
      </c>
      <c r="F17" s="29" cm="1">
        <f t="array" aca="1" ref="F17" ca="1">IF(RIGHT($A17,1)="G",-SUMIFS(IncExcl,IncDocDate,"&gt;="&amp;DATE(YEAR(F$4),MONTH(F$4),1),IncDocDate,"&lt;="&amp;F$4,IncAccount,LEFT($A17,5)&amp;"*")+SUMIFS(ExpExcl,ExpDocDate,"&gt;="&amp;DATE(YEAR(F$4),MONTH(F$4),1),ExpDocDate,"&lt;="&amp;F$4,ExpAccount,LEFT($A17,5)&amp;"*"),-SUMIFS(IncExcl,IncDocDate,"&gt;="&amp;DATE(YEAR(F$4),MONTH(F$4),1),IncDocDate,"&lt;="&amp;F$4,IncAccount,$A17)+SUMIFS(ExpExcl,ExpDocDate,"&gt;="&amp;DATE(YEAR(F$4),MONTH(F$4),1),ExpDocDate,"&lt;="&amp;F$4,ExpAccount,$A17))</f>
        <v>0</v>
      </c>
      <c r="G17" s="29" cm="1">
        <f t="array" aca="1" ref="G17" ca="1">IF(RIGHT($A17,1)="G",-SUMIFS(IncExcl,IncDocDate,"&gt;="&amp;DATE(YEAR(G$4),MONTH(G$4),1),IncDocDate,"&lt;="&amp;G$4,IncAccount,LEFT($A17,5)&amp;"*")+SUMIFS(ExpExcl,ExpDocDate,"&gt;="&amp;DATE(YEAR(G$4),MONTH(G$4),1),ExpDocDate,"&lt;="&amp;G$4,ExpAccount,LEFT($A17,5)&amp;"*"),-SUMIFS(IncExcl,IncDocDate,"&gt;="&amp;DATE(YEAR(G$4),MONTH(G$4),1),IncDocDate,"&lt;="&amp;G$4,IncAccount,$A17)+SUMIFS(ExpExcl,ExpDocDate,"&gt;="&amp;DATE(YEAR(G$4),MONTH(G$4),1),ExpDocDate,"&lt;="&amp;G$4,ExpAccount,$A17))</f>
        <v>0</v>
      </c>
      <c r="H17" s="29" cm="1">
        <f t="array" aca="1" ref="H17" ca="1">IF(RIGHT($A17,1)="G",-SUMIFS(IncExcl,IncDocDate,"&gt;="&amp;DATE(YEAR(H$4),MONTH(H$4),1),IncDocDate,"&lt;="&amp;H$4,IncAccount,LEFT($A17,5)&amp;"*")+SUMIFS(ExpExcl,ExpDocDate,"&gt;="&amp;DATE(YEAR(H$4),MONTH(H$4),1),ExpDocDate,"&lt;="&amp;H$4,ExpAccount,LEFT($A17,5)&amp;"*"),-SUMIFS(IncExcl,IncDocDate,"&gt;="&amp;DATE(YEAR(H$4),MONTH(H$4),1),IncDocDate,"&lt;="&amp;H$4,IncAccount,$A17)+SUMIFS(ExpExcl,ExpDocDate,"&gt;="&amp;DATE(YEAR(H$4),MONTH(H$4),1),ExpDocDate,"&lt;="&amp;H$4,ExpAccount,$A17))</f>
        <v>0</v>
      </c>
      <c r="I17" s="29" cm="1">
        <f t="array" aca="1" ref="I17" ca="1">IF(RIGHT($A17,1)="G",-SUMIFS(IncExcl,IncDocDate,"&gt;="&amp;DATE(YEAR(I$4),MONTH(I$4),1),IncDocDate,"&lt;="&amp;I$4,IncAccount,LEFT($A17,5)&amp;"*")+SUMIFS(ExpExcl,ExpDocDate,"&gt;="&amp;DATE(YEAR(I$4),MONTH(I$4),1),ExpDocDate,"&lt;="&amp;I$4,ExpAccount,LEFT($A17,5)&amp;"*"),-SUMIFS(IncExcl,IncDocDate,"&gt;="&amp;DATE(YEAR(I$4),MONTH(I$4),1),IncDocDate,"&lt;="&amp;I$4,IncAccount,$A17)+SUMIFS(ExpExcl,ExpDocDate,"&gt;="&amp;DATE(YEAR(I$4),MONTH(I$4),1),ExpDocDate,"&lt;="&amp;I$4,ExpAccount,$A17))</f>
        <v>0</v>
      </c>
      <c r="J17" s="29" cm="1">
        <f t="array" aca="1" ref="J17" ca="1">IF(RIGHT($A17,1)="G",-SUMIFS(IncExcl,IncDocDate,"&gt;="&amp;DATE(YEAR(J$4),MONTH(J$4),1),IncDocDate,"&lt;="&amp;J$4,IncAccount,LEFT($A17,5)&amp;"*")+SUMIFS(ExpExcl,ExpDocDate,"&gt;="&amp;DATE(YEAR(J$4),MONTH(J$4),1),ExpDocDate,"&lt;="&amp;J$4,ExpAccount,LEFT($A17,5)&amp;"*"),-SUMIFS(IncExcl,IncDocDate,"&gt;="&amp;DATE(YEAR(J$4),MONTH(J$4),1),IncDocDate,"&lt;="&amp;J$4,IncAccount,$A17)+SUMIFS(ExpExcl,ExpDocDate,"&gt;="&amp;DATE(YEAR(J$4),MONTH(J$4),1),ExpDocDate,"&lt;="&amp;J$4,ExpAccount,$A17))</f>
        <v>0</v>
      </c>
      <c r="K17" s="29" cm="1">
        <f t="array" aca="1" ref="K17" ca="1">IF(RIGHT($A17,1)="G",-SUMIFS(IncExcl,IncDocDate,"&gt;="&amp;DATE(YEAR(K$4),MONTH(K$4),1),IncDocDate,"&lt;="&amp;K$4,IncAccount,LEFT($A17,5)&amp;"*")+SUMIFS(ExpExcl,ExpDocDate,"&gt;="&amp;DATE(YEAR(K$4),MONTH(K$4),1),ExpDocDate,"&lt;="&amp;K$4,ExpAccount,LEFT($A17,5)&amp;"*"),-SUMIFS(IncExcl,IncDocDate,"&gt;="&amp;DATE(YEAR(K$4),MONTH(K$4),1),IncDocDate,"&lt;="&amp;K$4,IncAccount,$A17)+SUMIFS(ExpExcl,ExpDocDate,"&gt;="&amp;DATE(YEAR(K$4),MONTH(K$4),1),ExpDocDate,"&lt;="&amp;K$4,ExpAccount,$A17))</f>
        <v>0</v>
      </c>
      <c r="L17" s="29" cm="1">
        <f t="array" aca="1" ref="L17" ca="1">IF(RIGHT($A17,1)="G",-SUMIFS(IncExcl,IncDocDate,"&gt;="&amp;DATE(YEAR(L$4),MONTH(L$4),1),IncDocDate,"&lt;="&amp;L$4,IncAccount,LEFT($A17,5)&amp;"*")+SUMIFS(ExpExcl,ExpDocDate,"&gt;="&amp;DATE(YEAR(L$4),MONTH(L$4),1),ExpDocDate,"&lt;="&amp;L$4,ExpAccount,LEFT($A17,5)&amp;"*"),-SUMIFS(IncExcl,IncDocDate,"&gt;="&amp;DATE(YEAR(L$4),MONTH(L$4),1),IncDocDate,"&lt;="&amp;L$4,IncAccount,$A17)+SUMIFS(ExpExcl,ExpDocDate,"&gt;="&amp;DATE(YEAR(L$4),MONTH(L$4),1),ExpDocDate,"&lt;="&amp;L$4,ExpAccount,$A17))</f>
        <v>0</v>
      </c>
      <c r="M17" s="29" cm="1">
        <f t="array" aca="1" ref="M17" ca="1">IF(RIGHT($A17,1)="G",-SUMIFS(IncExcl,IncDocDate,"&gt;="&amp;DATE(YEAR(M$4),MONTH(M$4),1),IncDocDate,"&lt;="&amp;M$4,IncAccount,LEFT($A17,5)&amp;"*")+SUMIFS(ExpExcl,ExpDocDate,"&gt;="&amp;DATE(YEAR(M$4),MONTH(M$4),1),ExpDocDate,"&lt;="&amp;M$4,ExpAccount,LEFT($A17,5)&amp;"*"),-SUMIFS(IncExcl,IncDocDate,"&gt;="&amp;DATE(YEAR(M$4),MONTH(M$4),1),IncDocDate,"&lt;="&amp;M$4,IncAccount,$A17)+SUMIFS(ExpExcl,ExpDocDate,"&gt;="&amp;DATE(YEAR(M$4),MONTH(M$4),1),ExpDocDate,"&lt;="&amp;M$4,ExpAccount,$A17))</f>
        <v>0</v>
      </c>
      <c r="N17" s="29" cm="1">
        <f t="array" aca="1" ref="N17" ca="1">IF(RIGHT($A17,1)="G",-SUMIFS(IncExcl,IncDocDate,"&gt;="&amp;DATE(YEAR(N$4),MONTH(N$4),1),IncDocDate,"&lt;="&amp;N$4,IncAccount,LEFT($A17,5)&amp;"*")+SUMIFS(ExpExcl,ExpDocDate,"&gt;="&amp;DATE(YEAR(N$4),MONTH(N$4),1),ExpDocDate,"&lt;="&amp;N$4,ExpAccount,LEFT($A17,5)&amp;"*"),-SUMIFS(IncExcl,IncDocDate,"&gt;="&amp;DATE(YEAR(N$4),MONTH(N$4),1),IncDocDate,"&lt;="&amp;N$4,IncAccount,$A17)+SUMIFS(ExpExcl,ExpDocDate,"&gt;="&amp;DATE(YEAR(N$4),MONTH(N$4),1),ExpDocDate,"&lt;="&amp;N$4,ExpAccount,$A17))</f>
        <v>0</v>
      </c>
      <c r="O17" s="86">
        <f t="shared" ca="1" si="3"/>
        <v>0</v>
      </c>
      <c r="P17" s="86" cm="1">
        <f t="array" aca="1" ref="P17" ca="1">IF(RIGHT($A17,1)="G",-SUMIFS(IncExcl,IncDocDate,"&gt;="&amp;$P$2,IncDocDate,"&lt;="&amp;$P$3,IncAccount,LEFT($A17,5)&amp;"*")+SUMIFS(ExpExcl,ExpDocDate,"&gt;="&amp;$P$2,ExpDocDate,"&lt;="&amp;$P$3,ExpAccount,LEFT($A17,5)&amp;"*"),-SUMIFS(IncExcl,IncDocDate,"&gt;="&amp;$P$2,IncDocDate,"&lt;="&amp;$P$3,IncAccount,$A17)+SUMIFS(ExpExcl,ExpDocDate,"&gt;="&amp;$P$2,ExpDocDate,"&lt;="&amp;$P$3,ExpAccount,$A17))</f>
        <v>0</v>
      </c>
    </row>
    <row r="18" spans="1:16" ht="16" customHeight="1" x14ac:dyDescent="0.25">
      <c r="A18" s="183" t="s">
        <v>296</v>
      </c>
      <c r="B18" s="17" t="str">
        <f ca="1">IF(RIGHT($A18,1)="G",IF(ISNA(VLOOKUP(LEFT($A18,LEN($A18)-1),GroupAll,COLUMN(Groups!$B$4),0)),"Group Not Found",VLOOKUP(LEFT($A18,LEN($A18)-1),GroupAll,COLUMN(Groups!$B$4),0)),IF(ISNA(VLOOKUP($A18,AccountAll,COLUMN(TB!$B$4),0)),"Account Not Found",VLOOKUP($A18,AccountAll,COLUMN(TB!$B$4),0)))</f>
        <v>Insurance</v>
      </c>
      <c r="C18" s="29" cm="1">
        <f t="array" aca="1" ref="C18" ca="1">IF(RIGHT($A18,1)="G",-SUMIFS(IncExcl,IncDocDate,"&gt;="&amp;DATE(YEAR(C$4),MONTH(C$4),1),IncDocDate,"&lt;="&amp;C$4,IncAccount,LEFT($A18,5)&amp;"*")+SUMIFS(ExpExcl,ExpDocDate,"&gt;="&amp;DATE(YEAR(C$4),MONTH(C$4),1),ExpDocDate,"&lt;="&amp;C$4,ExpAccount,LEFT($A18,5)&amp;"*"),-SUMIFS(IncExcl,IncDocDate,"&gt;="&amp;DATE(YEAR(C$4),MONTH(C$4),1),IncDocDate,"&lt;="&amp;C$4,IncAccount,$A18)+SUMIFS(ExpExcl,ExpDocDate,"&gt;="&amp;DATE(YEAR(C$4),MONTH(C$4),1),ExpDocDate,"&lt;="&amp;C$4,ExpAccount,$A18))</f>
        <v>317.21739130434781</v>
      </c>
      <c r="D18" s="29" cm="1">
        <f t="array" aca="1" ref="D18" ca="1">IF(RIGHT($A18,1)="G",-SUMIFS(IncExcl,IncDocDate,"&gt;="&amp;DATE(YEAR(D$4),MONTH(D$4),1),IncDocDate,"&lt;="&amp;D$4,IncAccount,LEFT($A18,5)&amp;"*")+SUMIFS(ExpExcl,ExpDocDate,"&gt;="&amp;DATE(YEAR(D$4),MONTH(D$4),1),ExpDocDate,"&lt;="&amp;D$4,ExpAccount,LEFT($A18,5)&amp;"*"),-SUMIFS(IncExcl,IncDocDate,"&gt;="&amp;DATE(YEAR(D$4),MONTH(D$4),1),IncDocDate,"&lt;="&amp;D$4,IncAccount,$A18)+SUMIFS(ExpExcl,ExpDocDate,"&gt;="&amp;DATE(YEAR(D$4),MONTH(D$4),1),ExpDocDate,"&lt;="&amp;D$4,ExpAccount,$A18))</f>
        <v>320</v>
      </c>
      <c r="E18" s="29" cm="1">
        <f t="array" aca="1" ref="E18" ca="1">IF(RIGHT($A18,1)="G",-SUMIFS(IncExcl,IncDocDate,"&gt;="&amp;DATE(YEAR(E$4),MONTH(E$4),1),IncDocDate,"&lt;="&amp;E$4,IncAccount,LEFT($A18,5)&amp;"*")+SUMIFS(ExpExcl,ExpDocDate,"&gt;="&amp;DATE(YEAR(E$4),MONTH(E$4),1),ExpDocDate,"&lt;="&amp;E$4,ExpAccount,LEFT($A18,5)&amp;"*"),-SUMIFS(IncExcl,IncDocDate,"&gt;="&amp;DATE(YEAR(E$4),MONTH(E$4),1),IncDocDate,"&lt;="&amp;E$4,IncAccount,$A18)+SUMIFS(ExpExcl,ExpDocDate,"&gt;="&amp;DATE(YEAR(E$4),MONTH(E$4),1),ExpDocDate,"&lt;="&amp;E$4,ExpAccount,$A18))</f>
        <v>320</v>
      </c>
      <c r="F18" s="29" cm="1">
        <f t="array" aca="1" ref="F18" ca="1">IF(RIGHT($A18,1)="G",-SUMIFS(IncExcl,IncDocDate,"&gt;="&amp;DATE(YEAR(F$4),MONTH(F$4),1),IncDocDate,"&lt;="&amp;F$4,IncAccount,LEFT($A18,5)&amp;"*")+SUMIFS(ExpExcl,ExpDocDate,"&gt;="&amp;DATE(YEAR(F$4),MONTH(F$4),1),ExpDocDate,"&lt;="&amp;F$4,ExpAccount,LEFT($A18,5)&amp;"*"),-SUMIFS(IncExcl,IncDocDate,"&gt;="&amp;DATE(YEAR(F$4),MONTH(F$4),1),IncDocDate,"&lt;="&amp;F$4,IncAccount,$A18)+SUMIFS(ExpExcl,ExpDocDate,"&gt;="&amp;DATE(YEAR(F$4),MONTH(F$4),1),ExpDocDate,"&lt;="&amp;F$4,ExpAccount,$A18))</f>
        <v>320</v>
      </c>
      <c r="G18" s="29" cm="1">
        <f t="array" aca="1" ref="G18" ca="1">IF(RIGHT($A18,1)="G",-SUMIFS(IncExcl,IncDocDate,"&gt;="&amp;DATE(YEAR(G$4),MONTH(G$4),1),IncDocDate,"&lt;="&amp;G$4,IncAccount,LEFT($A18,5)&amp;"*")+SUMIFS(ExpExcl,ExpDocDate,"&gt;="&amp;DATE(YEAR(G$4),MONTH(G$4),1),ExpDocDate,"&lt;="&amp;G$4,ExpAccount,LEFT($A18,5)&amp;"*"),-SUMIFS(IncExcl,IncDocDate,"&gt;="&amp;DATE(YEAR(G$4),MONTH(G$4),1),IncDocDate,"&lt;="&amp;G$4,IncAccount,$A18)+SUMIFS(ExpExcl,ExpDocDate,"&gt;="&amp;DATE(YEAR(G$4),MONTH(G$4),1),ExpDocDate,"&lt;="&amp;G$4,ExpAccount,$A18))</f>
        <v>320</v>
      </c>
      <c r="H18" s="29" cm="1">
        <f t="array" aca="1" ref="H18" ca="1">IF(RIGHT($A18,1)="G",-SUMIFS(IncExcl,IncDocDate,"&gt;="&amp;DATE(YEAR(H$4),MONTH(H$4),1),IncDocDate,"&lt;="&amp;H$4,IncAccount,LEFT($A18,5)&amp;"*")+SUMIFS(ExpExcl,ExpDocDate,"&gt;="&amp;DATE(YEAR(H$4),MONTH(H$4),1),ExpDocDate,"&lt;="&amp;H$4,ExpAccount,LEFT($A18,5)&amp;"*"),-SUMIFS(IncExcl,IncDocDate,"&gt;="&amp;DATE(YEAR(H$4),MONTH(H$4),1),IncDocDate,"&lt;="&amp;H$4,IncAccount,$A18)+SUMIFS(ExpExcl,ExpDocDate,"&gt;="&amp;DATE(YEAR(H$4),MONTH(H$4),1),ExpDocDate,"&lt;="&amp;H$4,ExpAccount,$A18))</f>
        <v>320</v>
      </c>
      <c r="I18" s="29" cm="1">
        <f t="array" aca="1" ref="I18" ca="1">IF(RIGHT($A18,1)="G",-SUMIFS(IncExcl,IncDocDate,"&gt;="&amp;DATE(YEAR(I$4),MONTH(I$4),1),IncDocDate,"&lt;="&amp;I$4,IncAccount,LEFT($A18,5)&amp;"*")+SUMIFS(ExpExcl,ExpDocDate,"&gt;="&amp;DATE(YEAR(I$4),MONTH(I$4),1),ExpDocDate,"&lt;="&amp;I$4,ExpAccount,LEFT($A18,5)&amp;"*"),-SUMIFS(IncExcl,IncDocDate,"&gt;="&amp;DATE(YEAR(I$4),MONTH(I$4),1),IncDocDate,"&lt;="&amp;I$4,IncAccount,$A18)+SUMIFS(ExpExcl,ExpDocDate,"&gt;="&amp;DATE(YEAR(I$4),MONTH(I$4),1),ExpDocDate,"&lt;="&amp;I$4,ExpAccount,$A18))</f>
        <v>320</v>
      </c>
      <c r="J18" s="29" cm="1">
        <f t="array" aca="1" ref="J18" ca="1">IF(RIGHT($A18,1)="G",-SUMIFS(IncExcl,IncDocDate,"&gt;="&amp;DATE(YEAR(J$4),MONTH(J$4),1),IncDocDate,"&lt;="&amp;J$4,IncAccount,LEFT($A18,5)&amp;"*")+SUMIFS(ExpExcl,ExpDocDate,"&gt;="&amp;DATE(YEAR(J$4),MONTH(J$4),1),ExpDocDate,"&lt;="&amp;J$4,ExpAccount,LEFT($A18,5)&amp;"*"),-SUMIFS(IncExcl,IncDocDate,"&gt;="&amp;DATE(YEAR(J$4),MONTH(J$4),1),IncDocDate,"&lt;="&amp;J$4,IncAccount,$A18)+SUMIFS(ExpExcl,ExpDocDate,"&gt;="&amp;DATE(YEAR(J$4),MONTH(J$4),1),ExpDocDate,"&lt;="&amp;J$4,ExpAccount,$A18))</f>
        <v>320</v>
      </c>
      <c r="K18" s="29" cm="1">
        <f t="array" aca="1" ref="K18" ca="1">IF(RIGHT($A18,1)="G",-SUMIFS(IncExcl,IncDocDate,"&gt;="&amp;DATE(YEAR(K$4),MONTH(K$4),1),IncDocDate,"&lt;="&amp;K$4,IncAccount,LEFT($A18,5)&amp;"*")+SUMIFS(ExpExcl,ExpDocDate,"&gt;="&amp;DATE(YEAR(K$4),MONTH(K$4),1),ExpDocDate,"&lt;="&amp;K$4,ExpAccount,LEFT($A18,5)&amp;"*"),-SUMIFS(IncExcl,IncDocDate,"&gt;="&amp;DATE(YEAR(K$4),MONTH(K$4),1),IncDocDate,"&lt;="&amp;K$4,IncAccount,$A18)+SUMIFS(ExpExcl,ExpDocDate,"&gt;="&amp;DATE(YEAR(K$4),MONTH(K$4),1),ExpDocDate,"&lt;="&amp;K$4,ExpAccount,$A18))</f>
        <v>320</v>
      </c>
      <c r="L18" s="29" cm="1">
        <f t="array" aca="1" ref="L18" ca="1">IF(RIGHT($A18,1)="G",-SUMIFS(IncExcl,IncDocDate,"&gt;="&amp;DATE(YEAR(L$4),MONTH(L$4),1),IncDocDate,"&lt;="&amp;L$4,IncAccount,LEFT($A18,5)&amp;"*")+SUMIFS(ExpExcl,ExpDocDate,"&gt;="&amp;DATE(YEAR(L$4),MONTH(L$4),1),ExpDocDate,"&lt;="&amp;L$4,ExpAccount,LEFT($A18,5)&amp;"*"),-SUMIFS(IncExcl,IncDocDate,"&gt;="&amp;DATE(YEAR(L$4),MONTH(L$4),1),IncDocDate,"&lt;="&amp;L$4,IncAccount,$A18)+SUMIFS(ExpExcl,ExpDocDate,"&gt;="&amp;DATE(YEAR(L$4),MONTH(L$4),1),ExpDocDate,"&lt;="&amp;L$4,ExpAccount,$A18))</f>
        <v>320</v>
      </c>
      <c r="M18" s="29" cm="1">
        <f t="array" aca="1" ref="M18" ca="1">IF(RIGHT($A18,1)="G",-SUMIFS(IncExcl,IncDocDate,"&gt;="&amp;DATE(YEAR(M$4),MONTH(M$4),1),IncDocDate,"&lt;="&amp;M$4,IncAccount,LEFT($A18,5)&amp;"*")+SUMIFS(ExpExcl,ExpDocDate,"&gt;="&amp;DATE(YEAR(M$4),MONTH(M$4),1),ExpDocDate,"&lt;="&amp;M$4,ExpAccount,LEFT($A18,5)&amp;"*"),-SUMIFS(IncExcl,IncDocDate,"&gt;="&amp;DATE(YEAR(M$4),MONTH(M$4),1),IncDocDate,"&lt;="&amp;M$4,IncAccount,$A18)+SUMIFS(ExpExcl,ExpDocDate,"&gt;="&amp;DATE(YEAR(M$4),MONTH(M$4),1),ExpDocDate,"&lt;="&amp;M$4,ExpAccount,$A18))</f>
        <v>320</v>
      </c>
      <c r="N18" s="29" cm="1">
        <f t="array" aca="1" ref="N18" ca="1">IF(RIGHT($A18,1)="G",-SUMIFS(IncExcl,IncDocDate,"&gt;="&amp;DATE(YEAR(N$4),MONTH(N$4),1),IncDocDate,"&lt;="&amp;N$4,IncAccount,LEFT($A18,5)&amp;"*")+SUMIFS(ExpExcl,ExpDocDate,"&gt;="&amp;DATE(YEAR(N$4),MONTH(N$4),1),ExpDocDate,"&lt;="&amp;N$4,ExpAccount,LEFT($A18,5)&amp;"*"),-SUMIFS(IncExcl,IncDocDate,"&gt;="&amp;DATE(YEAR(N$4),MONTH(N$4),1),IncDocDate,"&lt;="&amp;N$4,IncAccount,$A18)+SUMIFS(ExpExcl,ExpDocDate,"&gt;="&amp;DATE(YEAR(N$4),MONTH(N$4),1),ExpDocDate,"&lt;="&amp;N$4,ExpAccount,$A18))</f>
        <v>320</v>
      </c>
      <c r="O18" s="86">
        <f t="shared" ca="1" si="3"/>
        <v>3837.217391304348</v>
      </c>
      <c r="P18" s="86" cm="1">
        <f t="array" aca="1" ref="P18" ca="1">IF(RIGHT($A18,1)="G",-SUMIFS(IncExcl,IncDocDate,"&gt;="&amp;$P$2,IncDocDate,"&lt;="&amp;$P$3,IncAccount,LEFT($A18,5)&amp;"*")+SUMIFS(ExpExcl,ExpDocDate,"&gt;="&amp;$P$2,ExpDocDate,"&lt;="&amp;$P$3,ExpAccount,LEFT($A18,5)&amp;"*"),-SUMIFS(IncExcl,IncDocDate,"&gt;="&amp;$P$2,IncDocDate,"&lt;="&amp;$P$3,IncAccount,$A18)+SUMIFS(ExpExcl,ExpDocDate,"&gt;="&amp;$P$2,ExpDocDate,"&lt;="&amp;$P$3,ExpAccount,$A18))</f>
        <v>0</v>
      </c>
    </row>
    <row r="19" spans="1:16" ht="16" customHeight="1" x14ac:dyDescent="0.25">
      <c r="A19" s="183" t="s">
        <v>297</v>
      </c>
      <c r="B19" s="17" t="str">
        <f ca="1">IF(RIGHT($A19,1)="G",IF(ISNA(VLOOKUP(LEFT($A19,LEN($A19)-1),GroupAll,COLUMN(Groups!$B$4),0)),"Group Not Found",VLOOKUP(LEFT($A19,LEN($A19)-1),GroupAll,COLUMN(Groups!$B$4),0)),IF(ISNA(VLOOKUP($A19,AccountAll,COLUMN(TB!$B$4),0)),"Account Not Found",VLOOKUP($A19,AccountAll,COLUMN(TB!$B$4),0)))</f>
        <v>Office Expenses</v>
      </c>
      <c r="C19" s="29" cm="1">
        <f t="array" aca="1" ref="C19" ca="1">IF(RIGHT($A19,1)="G",-SUMIFS(IncExcl,IncDocDate,"&gt;="&amp;DATE(YEAR(C$4),MONTH(C$4),1),IncDocDate,"&lt;="&amp;C$4,IncAccount,LEFT($A19,5)&amp;"*")+SUMIFS(ExpExcl,ExpDocDate,"&gt;="&amp;DATE(YEAR(C$4),MONTH(C$4),1),ExpDocDate,"&lt;="&amp;C$4,ExpAccount,LEFT($A19,5)&amp;"*"),-SUMIFS(IncExcl,IncDocDate,"&gt;="&amp;DATE(YEAR(C$4),MONTH(C$4),1),IncDocDate,"&lt;="&amp;C$4,IncAccount,$A19)+SUMIFS(ExpExcl,ExpDocDate,"&gt;="&amp;DATE(YEAR(C$4),MONTH(C$4),1),ExpDocDate,"&lt;="&amp;C$4,ExpAccount,$A19))</f>
        <v>78.260869565217391</v>
      </c>
      <c r="D19" s="29" cm="1">
        <f t="array" aca="1" ref="D19" ca="1">IF(RIGHT($A19,1)="G",-SUMIFS(IncExcl,IncDocDate,"&gt;="&amp;DATE(YEAR(D$4),MONTH(D$4),1),IncDocDate,"&lt;="&amp;D$4,IncAccount,LEFT($A19,5)&amp;"*")+SUMIFS(ExpExcl,ExpDocDate,"&gt;="&amp;DATE(YEAR(D$4),MONTH(D$4),1),ExpDocDate,"&lt;="&amp;D$4,ExpAccount,LEFT($A19,5)&amp;"*"),-SUMIFS(IncExcl,IncDocDate,"&gt;="&amp;DATE(YEAR(D$4),MONTH(D$4),1),IncDocDate,"&lt;="&amp;D$4,IncAccount,$A19)+SUMIFS(ExpExcl,ExpDocDate,"&gt;="&amp;DATE(YEAR(D$4),MONTH(D$4),1),ExpDocDate,"&lt;="&amp;D$4,ExpAccount,$A19))</f>
        <v>75.652173913043484</v>
      </c>
      <c r="E19" s="29" cm="1">
        <f t="array" aca="1" ref="E19" ca="1">IF(RIGHT($A19,1)="G",-SUMIFS(IncExcl,IncDocDate,"&gt;="&amp;DATE(YEAR(E$4),MONTH(E$4),1),IncDocDate,"&lt;="&amp;E$4,IncAccount,LEFT($A19,5)&amp;"*")+SUMIFS(ExpExcl,ExpDocDate,"&gt;="&amp;DATE(YEAR(E$4),MONTH(E$4),1),ExpDocDate,"&lt;="&amp;E$4,ExpAccount,LEFT($A19,5)&amp;"*"),-SUMIFS(IncExcl,IncDocDate,"&gt;="&amp;DATE(YEAR(E$4),MONTH(E$4),1),IncDocDate,"&lt;="&amp;E$4,IncAccount,$A19)+SUMIFS(ExpExcl,ExpDocDate,"&gt;="&amp;DATE(YEAR(E$4),MONTH(E$4),1),ExpDocDate,"&lt;="&amp;E$4,ExpAccount,$A19))</f>
        <v>56.521739130434781</v>
      </c>
      <c r="F19" s="29" cm="1">
        <f t="array" aca="1" ref="F19" ca="1">IF(RIGHT($A19,1)="G",-SUMIFS(IncExcl,IncDocDate,"&gt;="&amp;DATE(YEAR(F$4),MONTH(F$4),1),IncDocDate,"&lt;="&amp;F$4,IncAccount,LEFT($A19,5)&amp;"*")+SUMIFS(ExpExcl,ExpDocDate,"&gt;="&amp;DATE(YEAR(F$4),MONTH(F$4),1),ExpDocDate,"&lt;="&amp;F$4,ExpAccount,LEFT($A19,5)&amp;"*"),-SUMIFS(IncExcl,IncDocDate,"&gt;="&amp;DATE(YEAR(F$4),MONTH(F$4),1),IncDocDate,"&lt;="&amp;F$4,IncAccount,$A19)+SUMIFS(ExpExcl,ExpDocDate,"&gt;="&amp;DATE(YEAR(F$4),MONTH(F$4),1),ExpDocDate,"&lt;="&amp;F$4,ExpAccount,$A19))</f>
        <v>95.652173913043484</v>
      </c>
      <c r="G19" s="29" cm="1">
        <f t="array" aca="1" ref="G19" ca="1">IF(RIGHT($A19,1)="G",-SUMIFS(IncExcl,IncDocDate,"&gt;="&amp;DATE(YEAR(G$4),MONTH(G$4),1),IncDocDate,"&lt;="&amp;G$4,IncAccount,LEFT($A19,5)&amp;"*")+SUMIFS(ExpExcl,ExpDocDate,"&gt;="&amp;DATE(YEAR(G$4),MONTH(G$4),1),ExpDocDate,"&lt;="&amp;G$4,ExpAccount,LEFT($A19,5)&amp;"*"),-SUMIFS(IncExcl,IncDocDate,"&gt;="&amp;DATE(YEAR(G$4),MONTH(G$4),1),IncDocDate,"&lt;="&amp;G$4,IncAccount,$A19)+SUMIFS(ExpExcl,ExpDocDate,"&gt;="&amp;DATE(YEAR(G$4),MONTH(G$4),1),ExpDocDate,"&lt;="&amp;G$4,ExpAccount,$A19))</f>
        <v>25.217391304347828</v>
      </c>
      <c r="H19" s="29" cm="1">
        <f t="array" aca="1" ref="H19" ca="1">IF(RIGHT($A19,1)="G",-SUMIFS(IncExcl,IncDocDate,"&gt;="&amp;DATE(YEAR(H$4),MONTH(H$4),1),IncDocDate,"&lt;="&amp;H$4,IncAccount,LEFT($A19,5)&amp;"*")+SUMIFS(ExpExcl,ExpDocDate,"&gt;="&amp;DATE(YEAR(H$4),MONTH(H$4),1),ExpDocDate,"&lt;="&amp;H$4,ExpAccount,LEFT($A19,5)&amp;"*"),-SUMIFS(IncExcl,IncDocDate,"&gt;="&amp;DATE(YEAR(H$4),MONTH(H$4),1),IncDocDate,"&lt;="&amp;H$4,IncAccount,$A19)+SUMIFS(ExpExcl,ExpDocDate,"&gt;="&amp;DATE(YEAR(H$4),MONTH(H$4),1),ExpDocDate,"&lt;="&amp;H$4,ExpAccount,$A19))</f>
        <v>67.826086956521735</v>
      </c>
      <c r="I19" s="29" cm="1">
        <f t="array" aca="1" ref="I19" ca="1">IF(RIGHT($A19,1)="G",-SUMIFS(IncExcl,IncDocDate,"&gt;="&amp;DATE(YEAR(I$4),MONTH(I$4),1),IncDocDate,"&lt;="&amp;I$4,IncAccount,LEFT($A19,5)&amp;"*")+SUMIFS(ExpExcl,ExpDocDate,"&gt;="&amp;DATE(YEAR(I$4),MONTH(I$4),1),ExpDocDate,"&lt;="&amp;I$4,ExpAccount,LEFT($A19,5)&amp;"*"),-SUMIFS(IncExcl,IncDocDate,"&gt;="&amp;DATE(YEAR(I$4),MONTH(I$4),1),IncDocDate,"&lt;="&amp;I$4,IncAccount,$A19)+SUMIFS(ExpExcl,ExpDocDate,"&gt;="&amp;DATE(YEAR(I$4),MONTH(I$4),1),ExpDocDate,"&lt;="&amp;I$4,ExpAccount,$A19))</f>
        <v>78.260869565217391</v>
      </c>
      <c r="J19" s="29" cm="1">
        <f t="array" aca="1" ref="J19" ca="1">IF(RIGHT($A19,1)="G",-SUMIFS(IncExcl,IncDocDate,"&gt;="&amp;DATE(YEAR(J$4),MONTH(J$4),1),IncDocDate,"&lt;="&amp;J$4,IncAccount,LEFT($A19,5)&amp;"*")+SUMIFS(ExpExcl,ExpDocDate,"&gt;="&amp;DATE(YEAR(J$4),MONTH(J$4),1),ExpDocDate,"&lt;="&amp;J$4,ExpAccount,LEFT($A19,5)&amp;"*"),-SUMIFS(IncExcl,IncDocDate,"&gt;="&amp;DATE(YEAR(J$4),MONTH(J$4),1),IncDocDate,"&lt;="&amp;J$4,IncAccount,$A19)+SUMIFS(ExpExcl,ExpDocDate,"&gt;="&amp;DATE(YEAR(J$4),MONTH(J$4),1),ExpDocDate,"&lt;="&amp;J$4,ExpAccount,$A19))</f>
        <v>189.56521739130434</v>
      </c>
      <c r="K19" s="29" cm="1">
        <f t="array" aca="1" ref="K19" ca="1">IF(RIGHT($A19,1)="G",-SUMIFS(IncExcl,IncDocDate,"&gt;="&amp;DATE(YEAR(K$4),MONTH(K$4),1),IncDocDate,"&lt;="&amp;K$4,IncAccount,LEFT($A19,5)&amp;"*")+SUMIFS(ExpExcl,ExpDocDate,"&gt;="&amp;DATE(YEAR(K$4),MONTH(K$4),1),ExpDocDate,"&lt;="&amp;K$4,ExpAccount,LEFT($A19,5)&amp;"*"),-SUMIFS(IncExcl,IncDocDate,"&gt;="&amp;DATE(YEAR(K$4),MONTH(K$4),1),IncDocDate,"&lt;="&amp;K$4,IncAccount,$A19)+SUMIFS(ExpExcl,ExpDocDate,"&gt;="&amp;DATE(YEAR(K$4),MONTH(K$4),1),ExpDocDate,"&lt;="&amp;K$4,ExpAccount,$A19))</f>
        <v>88.695652173913047</v>
      </c>
      <c r="L19" s="29" cm="1">
        <f t="array" aca="1" ref="L19" ca="1">IF(RIGHT($A19,1)="G",-SUMIFS(IncExcl,IncDocDate,"&gt;="&amp;DATE(YEAR(L$4),MONTH(L$4),1),IncDocDate,"&lt;="&amp;L$4,IncAccount,LEFT($A19,5)&amp;"*")+SUMIFS(ExpExcl,ExpDocDate,"&gt;="&amp;DATE(YEAR(L$4),MONTH(L$4),1),ExpDocDate,"&lt;="&amp;L$4,ExpAccount,LEFT($A19,5)&amp;"*"),-SUMIFS(IncExcl,IncDocDate,"&gt;="&amp;DATE(YEAR(L$4),MONTH(L$4),1),IncDocDate,"&lt;="&amp;L$4,IncAccount,$A19)+SUMIFS(ExpExcl,ExpDocDate,"&gt;="&amp;DATE(YEAR(L$4),MONTH(L$4),1),ExpDocDate,"&lt;="&amp;L$4,ExpAccount,$A19))</f>
        <v>83.478260869565219</v>
      </c>
      <c r="M19" s="29" cm="1">
        <f t="array" aca="1" ref="M19" ca="1">IF(RIGHT($A19,1)="G",-SUMIFS(IncExcl,IncDocDate,"&gt;="&amp;DATE(YEAR(M$4),MONTH(M$4),1),IncDocDate,"&lt;="&amp;M$4,IncAccount,LEFT($A19,5)&amp;"*")+SUMIFS(ExpExcl,ExpDocDate,"&gt;="&amp;DATE(YEAR(M$4),MONTH(M$4),1),ExpDocDate,"&lt;="&amp;M$4,ExpAccount,LEFT($A19,5)&amp;"*"),-SUMIFS(IncExcl,IncDocDate,"&gt;="&amp;DATE(YEAR(M$4),MONTH(M$4),1),IncDocDate,"&lt;="&amp;M$4,IncAccount,$A19)+SUMIFS(ExpExcl,ExpDocDate,"&gt;="&amp;DATE(YEAR(M$4),MONTH(M$4),1),ExpDocDate,"&lt;="&amp;M$4,ExpAccount,$A19))</f>
        <v>91.304347826086953</v>
      </c>
      <c r="N19" s="29" cm="1">
        <f t="array" aca="1" ref="N19" ca="1">IF(RIGHT($A19,1)="G",-SUMIFS(IncExcl,IncDocDate,"&gt;="&amp;DATE(YEAR(N$4),MONTH(N$4),1),IncDocDate,"&lt;="&amp;N$4,IncAccount,LEFT($A19,5)&amp;"*")+SUMIFS(ExpExcl,ExpDocDate,"&gt;="&amp;DATE(YEAR(N$4),MONTH(N$4),1),ExpDocDate,"&lt;="&amp;N$4,ExpAccount,LEFT($A19,5)&amp;"*"),-SUMIFS(IncExcl,IncDocDate,"&gt;="&amp;DATE(YEAR(N$4),MONTH(N$4),1),IncDocDate,"&lt;="&amp;N$4,IncAccount,$A19)+SUMIFS(ExpExcl,ExpDocDate,"&gt;="&amp;DATE(YEAR(N$4),MONTH(N$4),1),ExpDocDate,"&lt;="&amp;N$4,ExpAccount,$A19))</f>
        <v>65.217391304347828</v>
      </c>
      <c r="O19" s="86">
        <f t="shared" ca="1" si="3"/>
        <v>995.6521739130435</v>
      </c>
      <c r="P19" s="86" cm="1">
        <f t="array" aca="1" ref="P19" ca="1">IF(RIGHT($A19,1)="G",-SUMIFS(IncExcl,IncDocDate,"&gt;="&amp;$P$2,IncDocDate,"&lt;="&amp;$P$3,IncAccount,LEFT($A19,5)&amp;"*")+SUMIFS(ExpExcl,ExpDocDate,"&gt;="&amp;$P$2,ExpDocDate,"&lt;="&amp;$P$3,ExpAccount,LEFT($A19,5)&amp;"*"),-SUMIFS(IncExcl,IncDocDate,"&gt;="&amp;$P$2,IncDocDate,"&lt;="&amp;$P$3,IncAccount,$A19)+SUMIFS(ExpExcl,ExpDocDate,"&gt;="&amp;$P$2,ExpDocDate,"&lt;="&amp;$P$3,ExpAccount,$A19))</f>
        <v>0</v>
      </c>
    </row>
    <row r="20" spans="1:16" ht="16" customHeight="1" x14ac:dyDescent="0.25">
      <c r="A20" s="183" t="s">
        <v>298</v>
      </c>
      <c r="B20" s="17" t="str">
        <f ca="1">IF(RIGHT($A20,1)="G",IF(ISNA(VLOOKUP(LEFT($A20,LEN($A20)-1),GroupAll,COLUMN(Groups!$B$4),0)),"Group Not Found",VLOOKUP(LEFT($A20,LEN($A20)-1),GroupAll,COLUMN(Groups!$B$4),0)),IF(ISNA(VLOOKUP($A20,AccountAll,COLUMN(TB!$B$4),0)),"Account Not Found",VLOOKUP($A20,AccountAll,COLUMN(TB!$B$4),0)))</f>
        <v>Office Rent</v>
      </c>
      <c r="C20" s="29" cm="1">
        <f t="array" aca="1" ref="C20" ca="1">IF(RIGHT($A20,1)="G",-SUMIFS(IncExcl,IncDocDate,"&gt;="&amp;DATE(YEAR(C$4),MONTH(C$4),1),IncDocDate,"&lt;="&amp;C$4,IncAccount,LEFT($A20,5)&amp;"*")+SUMIFS(ExpExcl,ExpDocDate,"&gt;="&amp;DATE(YEAR(C$4),MONTH(C$4),1),ExpDocDate,"&lt;="&amp;C$4,ExpAccount,LEFT($A20,5)&amp;"*"),-SUMIFS(IncExcl,IncDocDate,"&gt;="&amp;DATE(YEAR(C$4),MONTH(C$4),1),IncDocDate,"&lt;="&amp;C$4,IncAccount,$A20)+SUMIFS(ExpExcl,ExpDocDate,"&gt;="&amp;DATE(YEAR(C$4),MONTH(C$4),1),ExpDocDate,"&lt;="&amp;C$4,ExpAccount,$A20))</f>
        <v>11895.652173913044</v>
      </c>
      <c r="D20" s="29" cm="1">
        <f t="array" aca="1" ref="D20" ca="1">IF(RIGHT($A20,1)="G",-SUMIFS(IncExcl,IncDocDate,"&gt;="&amp;DATE(YEAR(D$4),MONTH(D$4),1),IncDocDate,"&lt;="&amp;D$4,IncAccount,LEFT($A20,5)&amp;"*")+SUMIFS(ExpExcl,ExpDocDate,"&gt;="&amp;DATE(YEAR(D$4),MONTH(D$4),1),ExpDocDate,"&lt;="&amp;D$4,ExpAccount,LEFT($A20,5)&amp;"*"),-SUMIFS(IncExcl,IncDocDate,"&gt;="&amp;DATE(YEAR(D$4),MONTH(D$4),1),IncDocDate,"&lt;="&amp;D$4,IncAccount,$A20)+SUMIFS(ExpExcl,ExpDocDate,"&gt;="&amp;DATE(YEAR(D$4),MONTH(D$4),1),ExpDocDate,"&lt;="&amp;D$4,ExpAccount,$A20))</f>
        <v>12000</v>
      </c>
      <c r="E20" s="29" cm="1">
        <f t="array" aca="1" ref="E20" ca="1">IF(RIGHT($A20,1)="G",-SUMIFS(IncExcl,IncDocDate,"&gt;="&amp;DATE(YEAR(E$4),MONTH(E$4),1),IncDocDate,"&lt;="&amp;E$4,IncAccount,LEFT($A20,5)&amp;"*")+SUMIFS(ExpExcl,ExpDocDate,"&gt;="&amp;DATE(YEAR(E$4),MONTH(E$4),1),ExpDocDate,"&lt;="&amp;E$4,ExpAccount,LEFT($A20,5)&amp;"*"),-SUMIFS(IncExcl,IncDocDate,"&gt;="&amp;DATE(YEAR(E$4),MONTH(E$4),1),IncDocDate,"&lt;="&amp;E$4,IncAccount,$A20)+SUMIFS(ExpExcl,ExpDocDate,"&gt;="&amp;DATE(YEAR(E$4),MONTH(E$4),1),ExpDocDate,"&lt;="&amp;E$4,ExpAccount,$A20))</f>
        <v>12000</v>
      </c>
      <c r="F20" s="29" cm="1">
        <f t="array" aca="1" ref="F20" ca="1">IF(RIGHT($A20,1)="G",-SUMIFS(IncExcl,IncDocDate,"&gt;="&amp;DATE(YEAR(F$4),MONTH(F$4),1),IncDocDate,"&lt;="&amp;F$4,IncAccount,LEFT($A20,5)&amp;"*")+SUMIFS(ExpExcl,ExpDocDate,"&gt;="&amp;DATE(YEAR(F$4),MONTH(F$4),1),ExpDocDate,"&lt;="&amp;F$4,ExpAccount,LEFT($A20,5)&amp;"*"),-SUMIFS(IncExcl,IncDocDate,"&gt;="&amp;DATE(YEAR(F$4),MONTH(F$4),1),IncDocDate,"&lt;="&amp;F$4,IncAccount,$A20)+SUMIFS(ExpExcl,ExpDocDate,"&gt;="&amp;DATE(YEAR(F$4),MONTH(F$4),1),ExpDocDate,"&lt;="&amp;F$4,ExpAccount,$A20))</f>
        <v>12000</v>
      </c>
      <c r="G20" s="29" cm="1">
        <f t="array" aca="1" ref="G20" ca="1">IF(RIGHT($A20,1)="G",-SUMIFS(IncExcl,IncDocDate,"&gt;="&amp;DATE(YEAR(G$4),MONTH(G$4),1),IncDocDate,"&lt;="&amp;G$4,IncAccount,LEFT($A20,5)&amp;"*")+SUMIFS(ExpExcl,ExpDocDate,"&gt;="&amp;DATE(YEAR(G$4),MONTH(G$4),1),ExpDocDate,"&lt;="&amp;G$4,ExpAccount,LEFT($A20,5)&amp;"*"),-SUMIFS(IncExcl,IncDocDate,"&gt;="&amp;DATE(YEAR(G$4),MONTH(G$4),1),IncDocDate,"&lt;="&amp;G$4,IncAccount,$A20)+SUMIFS(ExpExcl,ExpDocDate,"&gt;="&amp;DATE(YEAR(G$4),MONTH(G$4),1),ExpDocDate,"&lt;="&amp;G$4,ExpAccount,$A20))</f>
        <v>12000</v>
      </c>
      <c r="H20" s="29" cm="1">
        <f t="array" aca="1" ref="H20" ca="1">IF(RIGHT($A20,1)="G",-SUMIFS(IncExcl,IncDocDate,"&gt;="&amp;DATE(YEAR(H$4),MONTH(H$4),1),IncDocDate,"&lt;="&amp;H$4,IncAccount,LEFT($A20,5)&amp;"*")+SUMIFS(ExpExcl,ExpDocDate,"&gt;="&amp;DATE(YEAR(H$4),MONTH(H$4),1),ExpDocDate,"&lt;="&amp;H$4,ExpAccount,LEFT($A20,5)&amp;"*"),-SUMIFS(IncExcl,IncDocDate,"&gt;="&amp;DATE(YEAR(H$4),MONTH(H$4),1),IncDocDate,"&lt;="&amp;H$4,IncAccount,$A20)+SUMIFS(ExpExcl,ExpDocDate,"&gt;="&amp;DATE(YEAR(H$4),MONTH(H$4),1),ExpDocDate,"&lt;="&amp;H$4,ExpAccount,$A20))</f>
        <v>12000</v>
      </c>
      <c r="I20" s="29" cm="1">
        <f t="array" aca="1" ref="I20" ca="1">IF(RIGHT($A20,1)="G",-SUMIFS(IncExcl,IncDocDate,"&gt;="&amp;DATE(YEAR(I$4),MONTH(I$4),1),IncDocDate,"&lt;="&amp;I$4,IncAccount,LEFT($A20,5)&amp;"*")+SUMIFS(ExpExcl,ExpDocDate,"&gt;="&amp;DATE(YEAR(I$4),MONTH(I$4),1),ExpDocDate,"&lt;="&amp;I$4,ExpAccount,LEFT($A20,5)&amp;"*"),-SUMIFS(IncExcl,IncDocDate,"&gt;="&amp;DATE(YEAR(I$4),MONTH(I$4),1),IncDocDate,"&lt;="&amp;I$4,IncAccount,$A20)+SUMIFS(ExpExcl,ExpDocDate,"&gt;="&amp;DATE(YEAR(I$4),MONTH(I$4),1),ExpDocDate,"&lt;="&amp;I$4,ExpAccount,$A20))</f>
        <v>12000</v>
      </c>
      <c r="J20" s="29" cm="1">
        <f t="array" aca="1" ref="J20" ca="1">IF(RIGHT($A20,1)="G",-SUMIFS(IncExcl,IncDocDate,"&gt;="&amp;DATE(YEAR(J$4),MONTH(J$4),1),IncDocDate,"&lt;="&amp;J$4,IncAccount,LEFT($A20,5)&amp;"*")+SUMIFS(ExpExcl,ExpDocDate,"&gt;="&amp;DATE(YEAR(J$4),MONTH(J$4),1),ExpDocDate,"&lt;="&amp;J$4,ExpAccount,LEFT($A20,5)&amp;"*"),-SUMIFS(IncExcl,IncDocDate,"&gt;="&amp;DATE(YEAR(J$4),MONTH(J$4),1),IncDocDate,"&lt;="&amp;J$4,IncAccount,$A20)+SUMIFS(ExpExcl,ExpDocDate,"&gt;="&amp;DATE(YEAR(J$4),MONTH(J$4),1),ExpDocDate,"&lt;="&amp;J$4,ExpAccount,$A20))</f>
        <v>12000</v>
      </c>
      <c r="K20" s="29" cm="1">
        <f t="array" aca="1" ref="K20" ca="1">IF(RIGHT($A20,1)="G",-SUMIFS(IncExcl,IncDocDate,"&gt;="&amp;DATE(YEAR(K$4),MONTH(K$4),1),IncDocDate,"&lt;="&amp;K$4,IncAccount,LEFT($A20,5)&amp;"*")+SUMIFS(ExpExcl,ExpDocDate,"&gt;="&amp;DATE(YEAR(K$4),MONTH(K$4),1),ExpDocDate,"&lt;="&amp;K$4,ExpAccount,LEFT($A20,5)&amp;"*"),-SUMIFS(IncExcl,IncDocDate,"&gt;="&amp;DATE(YEAR(K$4),MONTH(K$4),1),IncDocDate,"&lt;="&amp;K$4,IncAccount,$A20)+SUMIFS(ExpExcl,ExpDocDate,"&gt;="&amp;DATE(YEAR(K$4),MONTH(K$4),1),ExpDocDate,"&lt;="&amp;K$4,ExpAccount,$A20))</f>
        <v>12000</v>
      </c>
      <c r="L20" s="29" cm="1">
        <f t="array" aca="1" ref="L20" ca="1">IF(RIGHT($A20,1)="G",-SUMIFS(IncExcl,IncDocDate,"&gt;="&amp;DATE(YEAR(L$4),MONTH(L$4),1),IncDocDate,"&lt;="&amp;L$4,IncAccount,LEFT($A20,5)&amp;"*")+SUMIFS(ExpExcl,ExpDocDate,"&gt;="&amp;DATE(YEAR(L$4),MONTH(L$4),1),ExpDocDate,"&lt;="&amp;L$4,ExpAccount,LEFT($A20,5)&amp;"*"),-SUMIFS(IncExcl,IncDocDate,"&gt;="&amp;DATE(YEAR(L$4),MONTH(L$4),1),IncDocDate,"&lt;="&amp;L$4,IncAccount,$A20)+SUMIFS(ExpExcl,ExpDocDate,"&gt;="&amp;DATE(YEAR(L$4),MONTH(L$4),1),ExpDocDate,"&lt;="&amp;L$4,ExpAccount,$A20))</f>
        <v>12000</v>
      </c>
      <c r="M20" s="29" cm="1">
        <f t="array" aca="1" ref="M20" ca="1">IF(RIGHT($A20,1)="G",-SUMIFS(IncExcl,IncDocDate,"&gt;="&amp;DATE(YEAR(M$4),MONTH(M$4),1),IncDocDate,"&lt;="&amp;M$4,IncAccount,LEFT($A20,5)&amp;"*")+SUMIFS(ExpExcl,ExpDocDate,"&gt;="&amp;DATE(YEAR(M$4),MONTH(M$4),1),ExpDocDate,"&lt;="&amp;M$4,ExpAccount,LEFT($A20,5)&amp;"*"),-SUMIFS(IncExcl,IncDocDate,"&gt;="&amp;DATE(YEAR(M$4),MONTH(M$4),1),IncDocDate,"&lt;="&amp;M$4,IncAccount,$A20)+SUMIFS(ExpExcl,ExpDocDate,"&gt;="&amp;DATE(YEAR(M$4),MONTH(M$4),1),ExpDocDate,"&lt;="&amp;M$4,ExpAccount,$A20))</f>
        <v>12000</v>
      </c>
      <c r="N20" s="29" cm="1">
        <f t="array" aca="1" ref="N20" ca="1">IF(RIGHT($A20,1)="G",-SUMIFS(IncExcl,IncDocDate,"&gt;="&amp;DATE(YEAR(N$4),MONTH(N$4),1),IncDocDate,"&lt;="&amp;N$4,IncAccount,LEFT($A20,5)&amp;"*")+SUMIFS(ExpExcl,ExpDocDate,"&gt;="&amp;DATE(YEAR(N$4),MONTH(N$4),1),ExpDocDate,"&lt;="&amp;N$4,ExpAccount,LEFT($A20,5)&amp;"*"),-SUMIFS(IncExcl,IncDocDate,"&gt;="&amp;DATE(YEAR(N$4),MONTH(N$4),1),IncDocDate,"&lt;="&amp;N$4,IncAccount,$A20)+SUMIFS(ExpExcl,ExpDocDate,"&gt;="&amp;DATE(YEAR(N$4),MONTH(N$4),1),ExpDocDate,"&lt;="&amp;N$4,ExpAccount,$A20))</f>
        <v>12000</v>
      </c>
      <c r="O20" s="86">
        <f t="shared" ca="1" si="3"/>
        <v>143895.65217391303</v>
      </c>
      <c r="P20" s="86" cm="1">
        <f t="array" aca="1" ref="P20" ca="1">IF(RIGHT($A20,1)="G",-SUMIFS(IncExcl,IncDocDate,"&gt;="&amp;$P$2,IncDocDate,"&lt;="&amp;$P$3,IncAccount,LEFT($A20,5)&amp;"*")+SUMIFS(ExpExcl,ExpDocDate,"&gt;="&amp;$P$2,ExpDocDate,"&lt;="&amp;$P$3,ExpAccount,LEFT($A20,5)&amp;"*"),-SUMIFS(IncExcl,IncDocDate,"&gt;="&amp;$P$2,IncDocDate,"&lt;="&amp;$P$3,IncAccount,$A20)+SUMIFS(ExpExcl,ExpDocDate,"&gt;="&amp;$P$2,ExpDocDate,"&lt;="&amp;$P$3,ExpAccount,$A20))</f>
        <v>0</v>
      </c>
    </row>
    <row r="21" spans="1:16" ht="16" customHeight="1" x14ac:dyDescent="0.25">
      <c r="A21" s="183" t="s">
        <v>299</v>
      </c>
      <c r="B21" s="17" t="str">
        <f ca="1">IF(RIGHT($A21,1)="G",IF(ISNA(VLOOKUP(LEFT($A21,LEN($A21)-1),GroupAll,COLUMN(Groups!$B$4),0)),"Group Not Found",VLOOKUP(LEFT($A21,LEN($A21)-1),GroupAll,COLUMN(Groups!$B$4),0)),IF(ISNA(VLOOKUP($A21,AccountAll,COLUMN(TB!$B$4),0)),"Account Not Found",VLOOKUP($A21,AccountAll,COLUMN(TB!$B$4),0)))</f>
        <v>Postage</v>
      </c>
      <c r="C21" s="29" cm="1">
        <f t="array" aca="1" ref="C21" ca="1">IF(RIGHT($A21,1)="G",-SUMIFS(IncExcl,IncDocDate,"&gt;="&amp;DATE(YEAR(C$4),MONTH(C$4),1),IncDocDate,"&lt;="&amp;C$4,IncAccount,LEFT($A21,5)&amp;"*")+SUMIFS(ExpExcl,ExpDocDate,"&gt;="&amp;DATE(YEAR(C$4),MONTH(C$4),1),ExpDocDate,"&lt;="&amp;C$4,ExpAccount,LEFT($A21,5)&amp;"*"),-SUMIFS(IncExcl,IncDocDate,"&gt;="&amp;DATE(YEAR(C$4),MONTH(C$4),1),IncDocDate,"&lt;="&amp;C$4,IncAccount,$A21)+SUMIFS(ExpExcl,ExpDocDate,"&gt;="&amp;DATE(YEAR(C$4),MONTH(C$4),1),ExpDocDate,"&lt;="&amp;C$4,ExpAccount,$A21))</f>
        <v>415.6521739130435</v>
      </c>
      <c r="D21" s="29" cm="1">
        <f t="array" aca="1" ref="D21" ca="1">IF(RIGHT($A21,1)="G",-SUMIFS(IncExcl,IncDocDate,"&gt;="&amp;DATE(YEAR(D$4),MONTH(D$4),1),IncDocDate,"&lt;="&amp;D$4,IncAccount,LEFT($A21,5)&amp;"*")+SUMIFS(ExpExcl,ExpDocDate,"&gt;="&amp;DATE(YEAR(D$4),MONTH(D$4),1),ExpDocDate,"&lt;="&amp;D$4,ExpAccount,LEFT($A21,5)&amp;"*"),-SUMIFS(IncExcl,IncDocDate,"&gt;="&amp;DATE(YEAR(D$4),MONTH(D$4),1),IncDocDate,"&lt;="&amp;D$4,IncAccount,$A21)+SUMIFS(ExpExcl,ExpDocDate,"&gt;="&amp;DATE(YEAR(D$4),MONTH(D$4),1),ExpDocDate,"&lt;="&amp;D$4,ExpAccount,$A21))</f>
        <v>0</v>
      </c>
      <c r="E21" s="29" cm="1">
        <f t="array" aca="1" ref="E21" ca="1">IF(RIGHT($A21,1)="G",-SUMIFS(IncExcl,IncDocDate,"&gt;="&amp;DATE(YEAR(E$4),MONTH(E$4),1),IncDocDate,"&lt;="&amp;E$4,IncAccount,LEFT($A21,5)&amp;"*")+SUMIFS(ExpExcl,ExpDocDate,"&gt;="&amp;DATE(YEAR(E$4),MONTH(E$4),1),ExpDocDate,"&lt;="&amp;E$4,ExpAccount,LEFT($A21,5)&amp;"*"),-SUMIFS(IncExcl,IncDocDate,"&gt;="&amp;DATE(YEAR(E$4),MONTH(E$4),1),IncDocDate,"&lt;="&amp;E$4,IncAccount,$A21)+SUMIFS(ExpExcl,ExpDocDate,"&gt;="&amp;DATE(YEAR(E$4),MONTH(E$4),1),ExpDocDate,"&lt;="&amp;E$4,ExpAccount,$A21))</f>
        <v>0</v>
      </c>
      <c r="F21" s="29" cm="1">
        <f t="array" aca="1" ref="F21" ca="1">IF(RIGHT($A21,1)="G",-SUMIFS(IncExcl,IncDocDate,"&gt;="&amp;DATE(YEAR(F$4),MONTH(F$4),1),IncDocDate,"&lt;="&amp;F$4,IncAccount,LEFT($A21,5)&amp;"*")+SUMIFS(ExpExcl,ExpDocDate,"&gt;="&amp;DATE(YEAR(F$4),MONTH(F$4),1),ExpDocDate,"&lt;="&amp;F$4,ExpAccount,LEFT($A21,5)&amp;"*"),-SUMIFS(IncExcl,IncDocDate,"&gt;="&amp;DATE(YEAR(F$4),MONTH(F$4),1),IncDocDate,"&lt;="&amp;F$4,IncAccount,$A21)+SUMIFS(ExpExcl,ExpDocDate,"&gt;="&amp;DATE(YEAR(F$4),MONTH(F$4),1),ExpDocDate,"&lt;="&amp;F$4,ExpAccount,$A21))</f>
        <v>0</v>
      </c>
      <c r="G21" s="29" cm="1">
        <f t="array" aca="1" ref="G21" ca="1">IF(RIGHT($A21,1)="G",-SUMIFS(IncExcl,IncDocDate,"&gt;="&amp;DATE(YEAR(G$4),MONTH(G$4),1),IncDocDate,"&lt;="&amp;G$4,IncAccount,LEFT($A21,5)&amp;"*")+SUMIFS(ExpExcl,ExpDocDate,"&gt;="&amp;DATE(YEAR(G$4),MONTH(G$4),1),ExpDocDate,"&lt;="&amp;G$4,ExpAccount,LEFT($A21,5)&amp;"*"),-SUMIFS(IncExcl,IncDocDate,"&gt;="&amp;DATE(YEAR(G$4),MONTH(G$4),1),IncDocDate,"&lt;="&amp;G$4,IncAccount,$A21)+SUMIFS(ExpExcl,ExpDocDate,"&gt;="&amp;DATE(YEAR(G$4),MONTH(G$4),1),ExpDocDate,"&lt;="&amp;G$4,ExpAccount,$A21))</f>
        <v>0</v>
      </c>
      <c r="H21" s="29" cm="1">
        <f t="array" aca="1" ref="H21" ca="1">IF(RIGHT($A21,1)="G",-SUMIFS(IncExcl,IncDocDate,"&gt;="&amp;DATE(YEAR(H$4),MONTH(H$4),1),IncDocDate,"&lt;="&amp;H$4,IncAccount,LEFT($A21,5)&amp;"*")+SUMIFS(ExpExcl,ExpDocDate,"&gt;="&amp;DATE(YEAR(H$4),MONTH(H$4),1),ExpDocDate,"&lt;="&amp;H$4,ExpAccount,LEFT($A21,5)&amp;"*"),-SUMIFS(IncExcl,IncDocDate,"&gt;="&amp;DATE(YEAR(H$4),MONTH(H$4),1),IncDocDate,"&lt;="&amp;H$4,IncAccount,$A21)+SUMIFS(ExpExcl,ExpDocDate,"&gt;="&amp;DATE(YEAR(H$4),MONTH(H$4),1),ExpDocDate,"&lt;="&amp;H$4,ExpAccount,$A21))</f>
        <v>0</v>
      </c>
      <c r="I21" s="29" cm="1">
        <f t="array" aca="1" ref="I21" ca="1">IF(RIGHT($A21,1)="G",-SUMIFS(IncExcl,IncDocDate,"&gt;="&amp;DATE(YEAR(I$4),MONTH(I$4),1),IncDocDate,"&lt;="&amp;I$4,IncAccount,LEFT($A21,5)&amp;"*")+SUMIFS(ExpExcl,ExpDocDate,"&gt;="&amp;DATE(YEAR(I$4),MONTH(I$4),1),ExpDocDate,"&lt;="&amp;I$4,ExpAccount,LEFT($A21,5)&amp;"*"),-SUMIFS(IncExcl,IncDocDate,"&gt;="&amp;DATE(YEAR(I$4),MONTH(I$4),1),IncDocDate,"&lt;="&amp;I$4,IncAccount,$A21)+SUMIFS(ExpExcl,ExpDocDate,"&gt;="&amp;DATE(YEAR(I$4),MONTH(I$4),1),ExpDocDate,"&lt;="&amp;I$4,ExpAccount,$A21))</f>
        <v>0</v>
      </c>
      <c r="J21" s="29" cm="1">
        <f t="array" aca="1" ref="J21" ca="1">IF(RIGHT($A21,1)="G",-SUMIFS(IncExcl,IncDocDate,"&gt;="&amp;DATE(YEAR(J$4),MONTH(J$4),1),IncDocDate,"&lt;="&amp;J$4,IncAccount,LEFT($A21,5)&amp;"*")+SUMIFS(ExpExcl,ExpDocDate,"&gt;="&amp;DATE(YEAR(J$4),MONTH(J$4),1),ExpDocDate,"&lt;="&amp;J$4,ExpAccount,LEFT($A21,5)&amp;"*"),-SUMIFS(IncExcl,IncDocDate,"&gt;="&amp;DATE(YEAR(J$4),MONTH(J$4),1),IncDocDate,"&lt;="&amp;J$4,IncAccount,$A21)+SUMIFS(ExpExcl,ExpDocDate,"&gt;="&amp;DATE(YEAR(J$4),MONTH(J$4),1),ExpDocDate,"&lt;="&amp;J$4,ExpAccount,$A21))</f>
        <v>0</v>
      </c>
      <c r="K21" s="29" cm="1">
        <f t="array" aca="1" ref="K21" ca="1">IF(RIGHT($A21,1)="G",-SUMIFS(IncExcl,IncDocDate,"&gt;="&amp;DATE(YEAR(K$4),MONTH(K$4),1),IncDocDate,"&lt;="&amp;K$4,IncAccount,LEFT($A21,5)&amp;"*")+SUMIFS(ExpExcl,ExpDocDate,"&gt;="&amp;DATE(YEAR(K$4),MONTH(K$4),1),ExpDocDate,"&lt;="&amp;K$4,ExpAccount,LEFT($A21,5)&amp;"*"),-SUMIFS(IncExcl,IncDocDate,"&gt;="&amp;DATE(YEAR(K$4),MONTH(K$4),1),IncDocDate,"&lt;="&amp;K$4,IncAccount,$A21)+SUMIFS(ExpExcl,ExpDocDate,"&gt;="&amp;DATE(YEAR(K$4),MONTH(K$4),1),ExpDocDate,"&lt;="&amp;K$4,ExpAccount,$A21))</f>
        <v>0</v>
      </c>
      <c r="L21" s="29" cm="1">
        <f t="array" aca="1" ref="L21" ca="1">IF(RIGHT($A21,1)="G",-SUMIFS(IncExcl,IncDocDate,"&gt;="&amp;DATE(YEAR(L$4),MONTH(L$4),1),IncDocDate,"&lt;="&amp;L$4,IncAccount,LEFT($A21,5)&amp;"*")+SUMIFS(ExpExcl,ExpDocDate,"&gt;="&amp;DATE(YEAR(L$4),MONTH(L$4),1),ExpDocDate,"&lt;="&amp;L$4,ExpAccount,LEFT($A21,5)&amp;"*"),-SUMIFS(IncExcl,IncDocDate,"&gt;="&amp;DATE(YEAR(L$4),MONTH(L$4),1),IncDocDate,"&lt;="&amp;L$4,IncAccount,$A21)+SUMIFS(ExpExcl,ExpDocDate,"&gt;="&amp;DATE(YEAR(L$4),MONTH(L$4),1),ExpDocDate,"&lt;="&amp;L$4,ExpAccount,$A21))</f>
        <v>104.34782608695652</v>
      </c>
      <c r="M21" s="29" cm="1">
        <f t="array" aca="1" ref="M21" ca="1">IF(RIGHT($A21,1)="G",-SUMIFS(IncExcl,IncDocDate,"&gt;="&amp;DATE(YEAR(M$4),MONTH(M$4),1),IncDocDate,"&lt;="&amp;M$4,IncAccount,LEFT($A21,5)&amp;"*")+SUMIFS(ExpExcl,ExpDocDate,"&gt;="&amp;DATE(YEAR(M$4),MONTH(M$4),1),ExpDocDate,"&lt;="&amp;M$4,ExpAccount,LEFT($A21,5)&amp;"*"),-SUMIFS(IncExcl,IncDocDate,"&gt;="&amp;DATE(YEAR(M$4),MONTH(M$4),1),IncDocDate,"&lt;="&amp;M$4,IncAccount,$A21)+SUMIFS(ExpExcl,ExpDocDate,"&gt;="&amp;DATE(YEAR(M$4),MONTH(M$4),1),ExpDocDate,"&lt;="&amp;M$4,ExpAccount,$A21))</f>
        <v>0</v>
      </c>
      <c r="N21" s="29" cm="1">
        <f t="array" aca="1" ref="N21" ca="1">IF(RIGHT($A21,1)="G",-SUMIFS(IncExcl,IncDocDate,"&gt;="&amp;DATE(YEAR(N$4),MONTH(N$4),1),IncDocDate,"&lt;="&amp;N$4,IncAccount,LEFT($A21,5)&amp;"*")+SUMIFS(ExpExcl,ExpDocDate,"&gt;="&amp;DATE(YEAR(N$4),MONTH(N$4),1),ExpDocDate,"&lt;="&amp;N$4,ExpAccount,LEFT($A21,5)&amp;"*"),-SUMIFS(IncExcl,IncDocDate,"&gt;="&amp;DATE(YEAR(N$4),MONTH(N$4),1),IncDocDate,"&lt;="&amp;N$4,IncAccount,$A21)+SUMIFS(ExpExcl,ExpDocDate,"&gt;="&amp;DATE(YEAR(N$4),MONTH(N$4),1),ExpDocDate,"&lt;="&amp;N$4,ExpAccount,$A21))</f>
        <v>0</v>
      </c>
      <c r="O21" s="86">
        <f t="shared" ca="1" si="3"/>
        <v>520</v>
      </c>
      <c r="P21" s="86" cm="1">
        <f t="array" aca="1" ref="P21" ca="1">IF(RIGHT($A21,1)="G",-SUMIFS(IncExcl,IncDocDate,"&gt;="&amp;$P$2,IncDocDate,"&lt;="&amp;$P$3,IncAccount,LEFT($A21,5)&amp;"*")+SUMIFS(ExpExcl,ExpDocDate,"&gt;="&amp;$P$2,ExpDocDate,"&lt;="&amp;$P$3,ExpAccount,LEFT($A21,5)&amp;"*"),-SUMIFS(IncExcl,IncDocDate,"&gt;="&amp;$P$2,IncDocDate,"&lt;="&amp;$P$3,IncAccount,$A21)+SUMIFS(ExpExcl,ExpDocDate,"&gt;="&amp;$P$2,ExpDocDate,"&lt;="&amp;$P$3,ExpAccount,$A21))</f>
        <v>0</v>
      </c>
    </row>
    <row r="22" spans="1:16" ht="16" customHeight="1" x14ac:dyDescent="0.25">
      <c r="A22" s="183" t="s">
        <v>300</v>
      </c>
      <c r="B22" s="17" t="str">
        <f ca="1">IF(RIGHT($A22,1)="G",IF(ISNA(VLOOKUP(LEFT($A22,LEN($A22)-1),GroupAll,COLUMN(Groups!$B$4),0)),"Group Not Found",VLOOKUP(LEFT($A22,LEN($A22)-1),GroupAll,COLUMN(Groups!$B$4),0)),IF(ISNA(VLOOKUP($A22,AccountAll,COLUMN(TB!$B$4),0)),"Account Not Found",VLOOKUP($A22,AccountAll,COLUMN(TB!$B$4),0)))</f>
        <v>Professional &amp; Legal Fees</v>
      </c>
      <c r="C22" s="29" cm="1">
        <f t="array" aca="1" ref="C22" ca="1">IF(RIGHT($A22,1)="G",-SUMIFS(IncExcl,IncDocDate,"&gt;="&amp;DATE(YEAR(C$4),MONTH(C$4),1),IncDocDate,"&lt;="&amp;C$4,IncAccount,LEFT($A22,5)&amp;"*")+SUMIFS(ExpExcl,ExpDocDate,"&gt;="&amp;DATE(YEAR(C$4),MONTH(C$4),1),ExpDocDate,"&lt;="&amp;C$4,ExpAccount,LEFT($A22,5)&amp;"*"),-SUMIFS(IncExcl,IncDocDate,"&gt;="&amp;DATE(YEAR(C$4),MONTH(C$4),1),IncDocDate,"&lt;="&amp;C$4,IncAccount,$A22)+SUMIFS(ExpExcl,ExpDocDate,"&gt;="&amp;DATE(YEAR(C$4),MONTH(C$4),1),ExpDocDate,"&lt;="&amp;C$4,ExpAccount,$A22))</f>
        <v>0</v>
      </c>
      <c r="D22" s="29" cm="1">
        <f t="array" aca="1" ref="D22" ca="1">IF(RIGHT($A22,1)="G",-SUMIFS(IncExcl,IncDocDate,"&gt;="&amp;DATE(YEAR(D$4),MONTH(D$4),1),IncDocDate,"&lt;="&amp;D$4,IncAccount,LEFT($A22,5)&amp;"*")+SUMIFS(ExpExcl,ExpDocDate,"&gt;="&amp;DATE(YEAR(D$4),MONTH(D$4),1),ExpDocDate,"&lt;="&amp;D$4,ExpAccount,LEFT($A22,5)&amp;"*"),-SUMIFS(IncExcl,IncDocDate,"&gt;="&amp;DATE(YEAR(D$4),MONTH(D$4),1),IncDocDate,"&lt;="&amp;D$4,IncAccount,$A22)+SUMIFS(ExpExcl,ExpDocDate,"&gt;="&amp;DATE(YEAR(D$4),MONTH(D$4),1),ExpDocDate,"&lt;="&amp;D$4,ExpAccount,$A22))</f>
        <v>0</v>
      </c>
      <c r="E22" s="29" cm="1">
        <f t="array" aca="1" ref="E22" ca="1">IF(RIGHT($A22,1)="G",-SUMIFS(IncExcl,IncDocDate,"&gt;="&amp;DATE(YEAR(E$4),MONTH(E$4),1),IncDocDate,"&lt;="&amp;E$4,IncAccount,LEFT($A22,5)&amp;"*")+SUMIFS(ExpExcl,ExpDocDate,"&gt;="&amp;DATE(YEAR(E$4),MONTH(E$4),1),ExpDocDate,"&lt;="&amp;E$4,ExpAccount,LEFT($A22,5)&amp;"*"),-SUMIFS(IncExcl,IncDocDate,"&gt;="&amp;DATE(YEAR(E$4),MONTH(E$4),1),IncDocDate,"&lt;="&amp;E$4,IncAccount,$A22)+SUMIFS(ExpExcl,ExpDocDate,"&gt;="&amp;DATE(YEAR(E$4),MONTH(E$4),1),ExpDocDate,"&lt;="&amp;E$4,ExpAccount,$A22))</f>
        <v>0</v>
      </c>
      <c r="F22" s="29" cm="1">
        <f t="array" aca="1" ref="F22" ca="1">IF(RIGHT($A22,1)="G",-SUMIFS(IncExcl,IncDocDate,"&gt;="&amp;DATE(YEAR(F$4),MONTH(F$4),1),IncDocDate,"&lt;="&amp;F$4,IncAccount,LEFT($A22,5)&amp;"*")+SUMIFS(ExpExcl,ExpDocDate,"&gt;="&amp;DATE(YEAR(F$4),MONTH(F$4),1),ExpDocDate,"&lt;="&amp;F$4,ExpAccount,LEFT($A22,5)&amp;"*"),-SUMIFS(IncExcl,IncDocDate,"&gt;="&amp;DATE(YEAR(F$4),MONTH(F$4),1),IncDocDate,"&lt;="&amp;F$4,IncAccount,$A22)+SUMIFS(ExpExcl,ExpDocDate,"&gt;="&amp;DATE(YEAR(F$4),MONTH(F$4),1),ExpDocDate,"&lt;="&amp;F$4,ExpAccount,$A22))</f>
        <v>0</v>
      </c>
      <c r="G22" s="29" cm="1">
        <f t="array" aca="1" ref="G22" ca="1">IF(RIGHT($A22,1)="G",-SUMIFS(IncExcl,IncDocDate,"&gt;="&amp;DATE(YEAR(G$4),MONTH(G$4),1),IncDocDate,"&lt;="&amp;G$4,IncAccount,LEFT($A22,5)&amp;"*")+SUMIFS(ExpExcl,ExpDocDate,"&gt;="&amp;DATE(YEAR(G$4),MONTH(G$4),1),ExpDocDate,"&lt;="&amp;G$4,ExpAccount,LEFT($A22,5)&amp;"*"),-SUMIFS(IncExcl,IncDocDate,"&gt;="&amp;DATE(YEAR(G$4),MONTH(G$4),1),IncDocDate,"&lt;="&amp;G$4,IncAccount,$A22)+SUMIFS(ExpExcl,ExpDocDate,"&gt;="&amp;DATE(YEAR(G$4),MONTH(G$4),1),ExpDocDate,"&lt;="&amp;G$4,ExpAccount,$A22))</f>
        <v>0</v>
      </c>
      <c r="H22" s="29" cm="1">
        <f t="array" aca="1" ref="H22" ca="1">IF(RIGHT($A22,1)="G",-SUMIFS(IncExcl,IncDocDate,"&gt;="&amp;DATE(YEAR(H$4),MONTH(H$4),1),IncDocDate,"&lt;="&amp;H$4,IncAccount,LEFT($A22,5)&amp;"*")+SUMIFS(ExpExcl,ExpDocDate,"&gt;="&amp;DATE(YEAR(H$4),MONTH(H$4),1),ExpDocDate,"&lt;="&amp;H$4,ExpAccount,LEFT($A22,5)&amp;"*"),-SUMIFS(IncExcl,IncDocDate,"&gt;="&amp;DATE(YEAR(H$4),MONTH(H$4),1),IncDocDate,"&lt;="&amp;H$4,IncAccount,$A22)+SUMIFS(ExpExcl,ExpDocDate,"&gt;="&amp;DATE(YEAR(H$4),MONTH(H$4),1),ExpDocDate,"&lt;="&amp;H$4,ExpAccount,$A22))</f>
        <v>0</v>
      </c>
      <c r="I22" s="29" cm="1">
        <f t="array" aca="1" ref="I22" ca="1">IF(RIGHT($A22,1)="G",-SUMIFS(IncExcl,IncDocDate,"&gt;="&amp;DATE(YEAR(I$4),MONTH(I$4),1),IncDocDate,"&lt;="&amp;I$4,IncAccount,LEFT($A22,5)&amp;"*")+SUMIFS(ExpExcl,ExpDocDate,"&gt;="&amp;DATE(YEAR(I$4),MONTH(I$4),1),ExpDocDate,"&lt;="&amp;I$4,ExpAccount,LEFT($A22,5)&amp;"*"),-SUMIFS(IncExcl,IncDocDate,"&gt;="&amp;DATE(YEAR(I$4),MONTH(I$4),1),IncDocDate,"&lt;="&amp;I$4,IncAccount,$A22)+SUMIFS(ExpExcl,ExpDocDate,"&gt;="&amp;DATE(YEAR(I$4),MONTH(I$4),1),ExpDocDate,"&lt;="&amp;I$4,ExpAccount,$A22))</f>
        <v>5652.173913043478</v>
      </c>
      <c r="J22" s="29" cm="1">
        <f t="array" aca="1" ref="J22" ca="1">IF(RIGHT($A22,1)="G",-SUMIFS(IncExcl,IncDocDate,"&gt;="&amp;DATE(YEAR(J$4),MONTH(J$4),1),IncDocDate,"&lt;="&amp;J$4,IncAccount,LEFT($A22,5)&amp;"*")+SUMIFS(ExpExcl,ExpDocDate,"&gt;="&amp;DATE(YEAR(J$4),MONTH(J$4),1),ExpDocDate,"&lt;="&amp;J$4,ExpAccount,LEFT($A22,5)&amp;"*"),-SUMIFS(IncExcl,IncDocDate,"&gt;="&amp;DATE(YEAR(J$4),MONTH(J$4),1),IncDocDate,"&lt;="&amp;J$4,IncAccount,$A22)+SUMIFS(ExpExcl,ExpDocDate,"&gt;="&amp;DATE(YEAR(J$4),MONTH(J$4),1),ExpDocDate,"&lt;="&amp;J$4,ExpAccount,$A22))</f>
        <v>0</v>
      </c>
      <c r="K22" s="29" cm="1">
        <f t="array" aca="1" ref="K22" ca="1">IF(RIGHT($A22,1)="G",-SUMIFS(IncExcl,IncDocDate,"&gt;="&amp;DATE(YEAR(K$4),MONTH(K$4),1),IncDocDate,"&lt;="&amp;K$4,IncAccount,LEFT($A22,5)&amp;"*")+SUMIFS(ExpExcl,ExpDocDate,"&gt;="&amp;DATE(YEAR(K$4),MONTH(K$4),1),ExpDocDate,"&lt;="&amp;K$4,ExpAccount,LEFT($A22,5)&amp;"*"),-SUMIFS(IncExcl,IncDocDate,"&gt;="&amp;DATE(YEAR(K$4),MONTH(K$4),1),IncDocDate,"&lt;="&amp;K$4,IncAccount,$A22)+SUMIFS(ExpExcl,ExpDocDate,"&gt;="&amp;DATE(YEAR(K$4),MONTH(K$4),1),ExpDocDate,"&lt;="&amp;K$4,ExpAccount,$A22))</f>
        <v>0</v>
      </c>
      <c r="L22" s="29" cm="1">
        <f t="array" aca="1" ref="L22" ca="1">IF(RIGHT($A22,1)="G",-SUMIFS(IncExcl,IncDocDate,"&gt;="&amp;DATE(YEAR(L$4),MONTH(L$4),1),IncDocDate,"&lt;="&amp;L$4,IncAccount,LEFT($A22,5)&amp;"*")+SUMIFS(ExpExcl,ExpDocDate,"&gt;="&amp;DATE(YEAR(L$4),MONTH(L$4),1),ExpDocDate,"&lt;="&amp;L$4,ExpAccount,LEFT($A22,5)&amp;"*"),-SUMIFS(IncExcl,IncDocDate,"&gt;="&amp;DATE(YEAR(L$4),MONTH(L$4),1),IncDocDate,"&lt;="&amp;L$4,IncAccount,$A22)+SUMIFS(ExpExcl,ExpDocDate,"&gt;="&amp;DATE(YEAR(L$4),MONTH(L$4),1),ExpDocDate,"&lt;="&amp;L$4,ExpAccount,$A22))</f>
        <v>0</v>
      </c>
      <c r="M22" s="29" cm="1">
        <f t="array" aca="1" ref="M22" ca="1">IF(RIGHT($A22,1)="G",-SUMIFS(IncExcl,IncDocDate,"&gt;="&amp;DATE(YEAR(M$4),MONTH(M$4),1),IncDocDate,"&lt;="&amp;M$4,IncAccount,LEFT($A22,5)&amp;"*")+SUMIFS(ExpExcl,ExpDocDate,"&gt;="&amp;DATE(YEAR(M$4),MONTH(M$4),1),ExpDocDate,"&lt;="&amp;M$4,ExpAccount,LEFT($A22,5)&amp;"*"),-SUMIFS(IncExcl,IncDocDate,"&gt;="&amp;DATE(YEAR(M$4),MONTH(M$4),1),IncDocDate,"&lt;="&amp;M$4,IncAccount,$A22)+SUMIFS(ExpExcl,ExpDocDate,"&gt;="&amp;DATE(YEAR(M$4),MONTH(M$4),1),ExpDocDate,"&lt;="&amp;M$4,ExpAccount,$A22))</f>
        <v>0</v>
      </c>
      <c r="N22" s="29" cm="1">
        <f t="array" aca="1" ref="N22" ca="1">IF(RIGHT($A22,1)="G",-SUMIFS(IncExcl,IncDocDate,"&gt;="&amp;DATE(YEAR(N$4),MONTH(N$4),1),IncDocDate,"&lt;="&amp;N$4,IncAccount,LEFT($A22,5)&amp;"*")+SUMIFS(ExpExcl,ExpDocDate,"&gt;="&amp;DATE(YEAR(N$4),MONTH(N$4),1),ExpDocDate,"&lt;="&amp;N$4,ExpAccount,LEFT($A22,5)&amp;"*"),-SUMIFS(IncExcl,IncDocDate,"&gt;="&amp;DATE(YEAR(N$4),MONTH(N$4),1),IncDocDate,"&lt;="&amp;N$4,IncAccount,$A22)+SUMIFS(ExpExcl,ExpDocDate,"&gt;="&amp;DATE(YEAR(N$4),MONTH(N$4),1),ExpDocDate,"&lt;="&amp;N$4,ExpAccount,$A22))</f>
        <v>0</v>
      </c>
      <c r="O22" s="86">
        <f t="shared" ca="1" si="3"/>
        <v>5652.173913043478</v>
      </c>
      <c r="P22" s="86" cm="1">
        <f t="array" aca="1" ref="P22" ca="1">IF(RIGHT($A22,1)="G",-SUMIFS(IncExcl,IncDocDate,"&gt;="&amp;$P$2,IncDocDate,"&lt;="&amp;$P$3,IncAccount,LEFT($A22,5)&amp;"*")+SUMIFS(ExpExcl,ExpDocDate,"&gt;="&amp;$P$2,ExpDocDate,"&lt;="&amp;$P$3,ExpAccount,LEFT($A22,5)&amp;"*"),-SUMIFS(IncExcl,IncDocDate,"&gt;="&amp;$P$2,IncDocDate,"&lt;="&amp;$P$3,IncAccount,$A22)+SUMIFS(ExpExcl,ExpDocDate,"&gt;="&amp;$P$2,ExpDocDate,"&lt;="&amp;$P$3,ExpAccount,$A22))</f>
        <v>0</v>
      </c>
    </row>
    <row r="23" spans="1:16" ht="16" customHeight="1" x14ac:dyDescent="0.25">
      <c r="A23" s="183" t="s">
        <v>301</v>
      </c>
      <c r="B23" s="17" t="str">
        <f ca="1">IF(RIGHT($A23,1)="G",IF(ISNA(VLOOKUP(LEFT($A23,LEN($A23)-1),GroupAll,COLUMN(Groups!$B$4),0)),"Group Not Found",VLOOKUP(LEFT($A23,LEN($A23)-1),GroupAll,COLUMN(Groups!$B$4),0)),IF(ISNA(VLOOKUP($A23,AccountAll,COLUMN(TB!$B$4),0)),"Account Not Found",VLOOKUP($A23,AccountAll,COLUMN(TB!$B$4),0)))</f>
        <v>Stationery</v>
      </c>
      <c r="C23" s="29" cm="1">
        <f t="array" aca="1" ref="C23" ca="1">IF(RIGHT($A23,1)="G",-SUMIFS(IncExcl,IncDocDate,"&gt;="&amp;DATE(YEAR(C$4),MONTH(C$4),1),IncDocDate,"&lt;="&amp;C$4,IncAccount,LEFT($A23,5)&amp;"*")+SUMIFS(ExpExcl,ExpDocDate,"&gt;="&amp;DATE(YEAR(C$4),MONTH(C$4),1),ExpDocDate,"&lt;="&amp;C$4,ExpAccount,LEFT($A23,5)&amp;"*"),-SUMIFS(IncExcl,IncDocDate,"&gt;="&amp;DATE(YEAR(C$4),MONTH(C$4),1),IncDocDate,"&lt;="&amp;C$4,IncAccount,$A23)+SUMIFS(ExpExcl,ExpDocDate,"&gt;="&amp;DATE(YEAR(C$4),MONTH(C$4),1),ExpDocDate,"&lt;="&amp;C$4,ExpAccount,$A23))</f>
        <v>0</v>
      </c>
      <c r="D23" s="29" cm="1">
        <f t="array" aca="1" ref="D23" ca="1">IF(RIGHT($A23,1)="G",-SUMIFS(IncExcl,IncDocDate,"&gt;="&amp;DATE(YEAR(D$4),MONTH(D$4),1),IncDocDate,"&lt;="&amp;D$4,IncAccount,LEFT($A23,5)&amp;"*")+SUMIFS(ExpExcl,ExpDocDate,"&gt;="&amp;DATE(YEAR(D$4),MONTH(D$4),1),ExpDocDate,"&lt;="&amp;D$4,ExpAccount,LEFT($A23,5)&amp;"*"),-SUMIFS(IncExcl,IncDocDate,"&gt;="&amp;DATE(YEAR(D$4),MONTH(D$4),1),IncDocDate,"&lt;="&amp;D$4,IncAccount,$A23)+SUMIFS(ExpExcl,ExpDocDate,"&gt;="&amp;DATE(YEAR(D$4),MONTH(D$4),1),ExpDocDate,"&lt;="&amp;D$4,ExpAccount,$A23))</f>
        <v>0</v>
      </c>
      <c r="E23" s="29" cm="1">
        <f t="array" aca="1" ref="E23" ca="1">IF(RIGHT($A23,1)="G",-SUMIFS(IncExcl,IncDocDate,"&gt;="&amp;DATE(YEAR(E$4),MONTH(E$4),1),IncDocDate,"&lt;="&amp;E$4,IncAccount,LEFT($A23,5)&amp;"*")+SUMIFS(ExpExcl,ExpDocDate,"&gt;="&amp;DATE(YEAR(E$4),MONTH(E$4),1),ExpDocDate,"&lt;="&amp;E$4,ExpAccount,LEFT($A23,5)&amp;"*"),-SUMIFS(IncExcl,IncDocDate,"&gt;="&amp;DATE(YEAR(E$4),MONTH(E$4),1),IncDocDate,"&lt;="&amp;E$4,IncAccount,$A23)+SUMIFS(ExpExcl,ExpDocDate,"&gt;="&amp;DATE(YEAR(E$4),MONTH(E$4),1),ExpDocDate,"&lt;="&amp;E$4,ExpAccount,$A23))</f>
        <v>853.91304347826087</v>
      </c>
      <c r="F23" s="29" cm="1">
        <f t="array" aca="1" ref="F23" ca="1">IF(RIGHT($A23,1)="G",-SUMIFS(IncExcl,IncDocDate,"&gt;="&amp;DATE(YEAR(F$4),MONTH(F$4),1),IncDocDate,"&lt;="&amp;F$4,IncAccount,LEFT($A23,5)&amp;"*")+SUMIFS(ExpExcl,ExpDocDate,"&gt;="&amp;DATE(YEAR(F$4),MONTH(F$4),1),ExpDocDate,"&lt;="&amp;F$4,ExpAccount,LEFT($A23,5)&amp;"*"),-SUMIFS(IncExcl,IncDocDate,"&gt;="&amp;DATE(YEAR(F$4),MONTH(F$4),1),IncDocDate,"&lt;="&amp;F$4,IncAccount,$A23)+SUMIFS(ExpExcl,ExpDocDate,"&gt;="&amp;DATE(YEAR(F$4),MONTH(F$4),1),ExpDocDate,"&lt;="&amp;F$4,ExpAccount,$A23))</f>
        <v>0</v>
      </c>
      <c r="G23" s="29" cm="1">
        <f t="array" aca="1" ref="G23" ca="1">IF(RIGHT($A23,1)="G",-SUMIFS(IncExcl,IncDocDate,"&gt;="&amp;DATE(YEAR(G$4),MONTH(G$4),1),IncDocDate,"&lt;="&amp;G$4,IncAccount,LEFT($A23,5)&amp;"*")+SUMIFS(ExpExcl,ExpDocDate,"&gt;="&amp;DATE(YEAR(G$4),MONTH(G$4),1),ExpDocDate,"&lt;="&amp;G$4,ExpAccount,LEFT($A23,5)&amp;"*"),-SUMIFS(IncExcl,IncDocDate,"&gt;="&amp;DATE(YEAR(G$4),MONTH(G$4),1),IncDocDate,"&lt;="&amp;G$4,IncAccount,$A23)+SUMIFS(ExpExcl,ExpDocDate,"&gt;="&amp;DATE(YEAR(G$4),MONTH(G$4),1),ExpDocDate,"&lt;="&amp;G$4,ExpAccount,$A23))</f>
        <v>661.73913043478262</v>
      </c>
      <c r="H23" s="29" cm="1">
        <f t="array" aca="1" ref="H23" ca="1">IF(RIGHT($A23,1)="G",-SUMIFS(IncExcl,IncDocDate,"&gt;="&amp;DATE(YEAR(H$4),MONTH(H$4),1),IncDocDate,"&lt;="&amp;H$4,IncAccount,LEFT($A23,5)&amp;"*")+SUMIFS(ExpExcl,ExpDocDate,"&gt;="&amp;DATE(YEAR(H$4),MONTH(H$4),1),ExpDocDate,"&lt;="&amp;H$4,ExpAccount,LEFT($A23,5)&amp;"*"),-SUMIFS(IncExcl,IncDocDate,"&gt;="&amp;DATE(YEAR(H$4),MONTH(H$4),1),IncDocDate,"&lt;="&amp;H$4,IncAccount,$A23)+SUMIFS(ExpExcl,ExpDocDate,"&gt;="&amp;DATE(YEAR(H$4),MONTH(H$4),1),ExpDocDate,"&lt;="&amp;H$4,ExpAccount,$A23))</f>
        <v>203.47826086956522</v>
      </c>
      <c r="I23" s="29" cm="1">
        <f t="array" aca="1" ref="I23" ca="1">IF(RIGHT($A23,1)="G",-SUMIFS(IncExcl,IncDocDate,"&gt;="&amp;DATE(YEAR(I$4),MONTH(I$4),1),IncDocDate,"&lt;="&amp;I$4,IncAccount,LEFT($A23,5)&amp;"*")+SUMIFS(ExpExcl,ExpDocDate,"&gt;="&amp;DATE(YEAR(I$4),MONTH(I$4),1),ExpDocDate,"&lt;="&amp;I$4,ExpAccount,LEFT($A23,5)&amp;"*"),-SUMIFS(IncExcl,IncDocDate,"&gt;="&amp;DATE(YEAR(I$4),MONTH(I$4),1),IncDocDate,"&lt;="&amp;I$4,IncAccount,$A23)+SUMIFS(ExpExcl,ExpDocDate,"&gt;="&amp;DATE(YEAR(I$4),MONTH(I$4),1),ExpDocDate,"&lt;="&amp;I$4,ExpAccount,$A23))</f>
        <v>0</v>
      </c>
      <c r="J23" s="29" cm="1">
        <f t="array" aca="1" ref="J23" ca="1">IF(RIGHT($A23,1)="G",-SUMIFS(IncExcl,IncDocDate,"&gt;="&amp;DATE(YEAR(J$4),MONTH(J$4),1),IncDocDate,"&lt;="&amp;J$4,IncAccount,LEFT($A23,5)&amp;"*")+SUMIFS(ExpExcl,ExpDocDate,"&gt;="&amp;DATE(YEAR(J$4),MONTH(J$4),1),ExpDocDate,"&lt;="&amp;J$4,ExpAccount,LEFT($A23,5)&amp;"*"),-SUMIFS(IncExcl,IncDocDate,"&gt;="&amp;DATE(YEAR(J$4),MONTH(J$4),1),IncDocDate,"&lt;="&amp;J$4,IncAccount,$A23)+SUMIFS(ExpExcl,ExpDocDate,"&gt;="&amp;DATE(YEAR(J$4),MONTH(J$4),1),ExpDocDate,"&lt;="&amp;J$4,ExpAccount,$A23))</f>
        <v>251.30434782608694</v>
      </c>
      <c r="K23" s="29" cm="1">
        <f t="array" aca="1" ref="K23" ca="1">IF(RIGHT($A23,1)="G",-SUMIFS(IncExcl,IncDocDate,"&gt;="&amp;DATE(YEAR(K$4),MONTH(K$4),1),IncDocDate,"&lt;="&amp;K$4,IncAccount,LEFT($A23,5)&amp;"*")+SUMIFS(ExpExcl,ExpDocDate,"&gt;="&amp;DATE(YEAR(K$4),MONTH(K$4),1),ExpDocDate,"&lt;="&amp;K$4,ExpAccount,LEFT($A23,5)&amp;"*"),-SUMIFS(IncExcl,IncDocDate,"&gt;="&amp;DATE(YEAR(K$4),MONTH(K$4),1),IncDocDate,"&lt;="&amp;K$4,IncAccount,$A23)+SUMIFS(ExpExcl,ExpDocDate,"&gt;="&amp;DATE(YEAR(K$4),MONTH(K$4),1),ExpDocDate,"&lt;="&amp;K$4,ExpAccount,$A23))</f>
        <v>0</v>
      </c>
      <c r="L23" s="29" cm="1">
        <f t="array" aca="1" ref="L23" ca="1">IF(RIGHT($A23,1)="G",-SUMIFS(IncExcl,IncDocDate,"&gt;="&amp;DATE(YEAR(L$4),MONTH(L$4),1),IncDocDate,"&lt;="&amp;L$4,IncAccount,LEFT($A23,5)&amp;"*")+SUMIFS(ExpExcl,ExpDocDate,"&gt;="&amp;DATE(YEAR(L$4),MONTH(L$4),1),ExpDocDate,"&lt;="&amp;L$4,ExpAccount,LEFT($A23,5)&amp;"*"),-SUMIFS(IncExcl,IncDocDate,"&gt;="&amp;DATE(YEAR(L$4),MONTH(L$4),1),IncDocDate,"&lt;="&amp;L$4,IncAccount,$A23)+SUMIFS(ExpExcl,ExpDocDate,"&gt;="&amp;DATE(YEAR(L$4),MONTH(L$4),1),ExpDocDate,"&lt;="&amp;L$4,ExpAccount,$A23))</f>
        <v>269.56521739130437</v>
      </c>
      <c r="M23" s="29" cm="1">
        <f t="array" aca="1" ref="M23" ca="1">IF(RIGHT($A23,1)="G",-SUMIFS(IncExcl,IncDocDate,"&gt;="&amp;DATE(YEAR(M$4),MONTH(M$4),1),IncDocDate,"&lt;="&amp;M$4,IncAccount,LEFT($A23,5)&amp;"*")+SUMIFS(ExpExcl,ExpDocDate,"&gt;="&amp;DATE(YEAR(M$4),MONTH(M$4),1),ExpDocDate,"&lt;="&amp;M$4,ExpAccount,LEFT($A23,5)&amp;"*"),-SUMIFS(IncExcl,IncDocDate,"&gt;="&amp;DATE(YEAR(M$4),MONTH(M$4),1),IncDocDate,"&lt;="&amp;M$4,IncAccount,$A23)+SUMIFS(ExpExcl,ExpDocDate,"&gt;="&amp;DATE(YEAR(M$4),MONTH(M$4),1),ExpDocDate,"&lt;="&amp;M$4,ExpAccount,$A23))</f>
        <v>0</v>
      </c>
      <c r="N23" s="29" cm="1">
        <f t="array" aca="1" ref="N23" ca="1">IF(RIGHT($A23,1)="G",-SUMIFS(IncExcl,IncDocDate,"&gt;="&amp;DATE(YEAR(N$4),MONTH(N$4),1),IncDocDate,"&lt;="&amp;N$4,IncAccount,LEFT($A23,5)&amp;"*")+SUMIFS(ExpExcl,ExpDocDate,"&gt;="&amp;DATE(YEAR(N$4),MONTH(N$4),1),ExpDocDate,"&lt;="&amp;N$4,ExpAccount,LEFT($A23,5)&amp;"*"),-SUMIFS(IncExcl,IncDocDate,"&gt;="&amp;DATE(YEAR(N$4),MONTH(N$4),1),IncDocDate,"&lt;="&amp;N$4,IncAccount,$A23)+SUMIFS(ExpExcl,ExpDocDate,"&gt;="&amp;DATE(YEAR(N$4),MONTH(N$4),1),ExpDocDate,"&lt;="&amp;N$4,ExpAccount,$A23))</f>
        <v>251.30434782608694</v>
      </c>
      <c r="O23" s="86">
        <f t="shared" ca="1" si="3"/>
        <v>2491.304347826087</v>
      </c>
      <c r="P23" s="86" cm="1">
        <f t="array" aca="1" ref="P23" ca="1">IF(RIGHT($A23,1)="G",-SUMIFS(IncExcl,IncDocDate,"&gt;="&amp;$P$2,IncDocDate,"&lt;="&amp;$P$3,IncAccount,LEFT($A23,5)&amp;"*")+SUMIFS(ExpExcl,ExpDocDate,"&gt;="&amp;$P$2,ExpDocDate,"&lt;="&amp;$P$3,ExpAccount,LEFT($A23,5)&amp;"*"),-SUMIFS(IncExcl,IncDocDate,"&gt;="&amp;$P$2,IncDocDate,"&lt;="&amp;$P$3,IncAccount,$A23)+SUMIFS(ExpExcl,ExpDocDate,"&gt;="&amp;$P$2,ExpDocDate,"&lt;="&amp;$P$3,ExpAccount,$A23))</f>
        <v>0</v>
      </c>
    </row>
    <row r="24" spans="1:16" ht="16" customHeight="1" x14ac:dyDescent="0.25">
      <c r="A24" s="183" t="s">
        <v>302</v>
      </c>
      <c r="B24" s="17" t="str">
        <f ca="1">IF(RIGHT($A24,1)="G",IF(ISNA(VLOOKUP(LEFT($A24,LEN($A24)-1),GroupAll,COLUMN(Groups!$B$4),0)),"Group Not Found",VLOOKUP(LEFT($A24,LEN($A24)-1),GroupAll,COLUMN(Groups!$B$4),0)),IF(ISNA(VLOOKUP($A24,AccountAll,COLUMN(TB!$B$4),0)),"Account Not Found",VLOOKUP($A24,AccountAll,COLUMN(TB!$B$4),0)))</f>
        <v>Subscriptions &amp; Memberships</v>
      </c>
      <c r="C24" s="29" cm="1">
        <f t="array" aca="1" ref="C24" ca="1">IF(RIGHT($A24,1)="G",-SUMIFS(IncExcl,IncDocDate,"&gt;="&amp;DATE(YEAR(C$4),MONTH(C$4),1),IncDocDate,"&lt;="&amp;C$4,IncAccount,LEFT($A24,5)&amp;"*")+SUMIFS(ExpExcl,ExpDocDate,"&gt;="&amp;DATE(YEAR(C$4),MONTH(C$4),1),ExpDocDate,"&lt;="&amp;C$4,ExpAccount,LEFT($A24,5)&amp;"*"),-SUMIFS(IncExcl,IncDocDate,"&gt;="&amp;DATE(YEAR(C$4),MONTH(C$4),1),IncDocDate,"&lt;="&amp;C$4,IncAccount,$A24)+SUMIFS(ExpExcl,ExpDocDate,"&gt;="&amp;DATE(YEAR(C$4),MONTH(C$4),1),ExpDocDate,"&lt;="&amp;C$4,ExpAccount,$A24))</f>
        <v>0</v>
      </c>
      <c r="D24" s="29" cm="1">
        <f t="array" aca="1" ref="D24" ca="1">IF(RIGHT($A24,1)="G",-SUMIFS(IncExcl,IncDocDate,"&gt;="&amp;DATE(YEAR(D$4),MONTH(D$4),1),IncDocDate,"&lt;="&amp;D$4,IncAccount,LEFT($A24,5)&amp;"*")+SUMIFS(ExpExcl,ExpDocDate,"&gt;="&amp;DATE(YEAR(D$4),MONTH(D$4),1),ExpDocDate,"&lt;="&amp;D$4,ExpAccount,LEFT($A24,5)&amp;"*"),-SUMIFS(IncExcl,IncDocDate,"&gt;="&amp;DATE(YEAR(D$4),MONTH(D$4),1),IncDocDate,"&lt;="&amp;D$4,IncAccount,$A24)+SUMIFS(ExpExcl,ExpDocDate,"&gt;="&amp;DATE(YEAR(D$4),MONTH(D$4),1),ExpDocDate,"&lt;="&amp;D$4,ExpAccount,$A24))</f>
        <v>0</v>
      </c>
      <c r="E24" s="29" cm="1">
        <f t="array" aca="1" ref="E24" ca="1">IF(RIGHT($A24,1)="G",-SUMIFS(IncExcl,IncDocDate,"&gt;="&amp;DATE(YEAR(E$4),MONTH(E$4),1),IncDocDate,"&lt;="&amp;E$4,IncAccount,LEFT($A24,5)&amp;"*")+SUMIFS(ExpExcl,ExpDocDate,"&gt;="&amp;DATE(YEAR(E$4),MONTH(E$4),1),ExpDocDate,"&lt;="&amp;E$4,ExpAccount,LEFT($A24,5)&amp;"*"),-SUMIFS(IncExcl,IncDocDate,"&gt;="&amp;DATE(YEAR(E$4),MONTH(E$4),1),IncDocDate,"&lt;="&amp;E$4,IncAccount,$A24)+SUMIFS(ExpExcl,ExpDocDate,"&gt;="&amp;DATE(YEAR(E$4),MONTH(E$4),1),ExpDocDate,"&lt;="&amp;E$4,ExpAccount,$A24))</f>
        <v>0</v>
      </c>
      <c r="F24" s="29" cm="1">
        <f t="array" aca="1" ref="F24" ca="1">IF(RIGHT($A24,1)="G",-SUMIFS(IncExcl,IncDocDate,"&gt;="&amp;DATE(YEAR(F$4),MONTH(F$4),1),IncDocDate,"&lt;="&amp;F$4,IncAccount,LEFT($A24,5)&amp;"*")+SUMIFS(ExpExcl,ExpDocDate,"&gt;="&amp;DATE(YEAR(F$4),MONTH(F$4),1),ExpDocDate,"&lt;="&amp;F$4,ExpAccount,LEFT($A24,5)&amp;"*"),-SUMIFS(IncExcl,IncDocDate,"&gt;="&amp;DATE(YEAR(F$4),MONTH(F$4),1),IncDocDate,"&lt;="&amp;F$4,IncAccount,$A24)+SUMIFS(ExpExcl,ExpDocDate,"&gt;="&amp;DATE(YEAR(F$4),MONTH(F$4),1),ExpDocDate,"&lt;="&amp;F$4,ExpAccount,$A24))</f>
        <v>0</v>
      </c>
      <c r="G24" s="29" cm="1">
        <f t="array" aca="1" ref="G24" ca="1">IF(RIGHT($A24,1)="G",-SUMIFS(IncExcl,IncDocDate,"&gt;="&amp;DATE(YEAR(G$4),MONTH(G$4),1),IncDocDate,"&lt;="&amp;G$4,IncAccount,LEFT($A24,5)&amp;"*")+SUMIFS(ExpExcl,ExpDocDate,"&gt;="&amp;DATE(YEAR(G$4),MONTH(G$4),1),ExpDocDate,"&lt;="&amp;G$4,ExpAccount,LEFT($A24,5)&amp;"*"),-SUMIFS(IncExcl,IncDocDate,"&gt;="&amp;DATE(YEAR(G$4),MONTH(G$4),1),IncDocDate,"&lt;="&amp;G$4,IncAccount,$A24)+SUMIFS(ExpExcl,ExpDocDate,"&gt;="&amp;DATE(YEAR(G$4),MONTH(G$4),1),ExpDocDate,"&lt;="&amp;G$4,ExpAccount,$A24))</f>
        <v>5200</v>
      </c>
      <c r="H24" s="29" cm="1">
        <f t="array" aca="1" ref="H24" ca="1">IF(RIGHT($A24,1)="G",-SUMIFS(IncExcl,IncDocDate,"&gt;="&amp;DATE(YEAR(H$4),MONTH(H$4),1),IncDocDate,"&lt;="&amp;H$4,IncAccount,LEFT($A24,5)&amp;"*")+SUMIFS(ExpExcl,ExpDocDate,"&gt;="&amp;DATE(YEAR(H$4),MONTH(H$4),1),ExpDocDate,"&lt;="&amp;H$4,ExpAccount,LEFT($A24,5)&amp;"*"),-SUMIFS(IncExcl,IncDocDate,"&gt;="&amp;DATE(YEAR(H$4),MONTH(H$4),1),IncDocDate,"&lt;="&amp;H$4,IncAccount,$A24)+SUMIFS(ExpExcl,ExpDocDate,"&gt;="&amp;DATE(YEAR(H$4),MONTH(H$4),1),ExpDocDate,"&lt;="&amp;H$4,ExpAccount,$A24))</f>
        <v>0</v>
      </c>
      <c r="I24" s="29" cm="1">
        <f t="array" aca="1" ref="I24" ca="1">IF(RIGHT($A24,1)="G",-SUMIFS(IncExcl,IncDocDate,"&gt;="&amp;DATE(YEAR(I$4),MONTH(I$4),1),IncDocDate,"&lt;="&amp;I$4,IncAccount,LEFT($A24,5)&amp;"*")+SUMIFS(ExpExcl,ExpDocDate,"&gt;="&amp;DATE(YEAR(I$4),MONTH(I$4),1),ExpDocDate,"&lt;="&amp;I$4,ExpAccount,LEFT($A24,5)&amp;"*"),-SUMIFS(IncExcl,IncDocDate,"&gt;="&amp;DATE(YEAR(I$4),MONTH(I$4),1),IncDocDate,"&lt;="&amp;I$4,IncAccount,$A24)+SUMIFS(ExpExcl,ExpDocDate,"&gt;="&amp;DATE(YEAR(I$4),MONTH(I$4),1),ExpDocDate,"&lt;="&amp;I$4,ExpAccount,$A24))</f>
        <v>0</v>
      </c>
      <c r="J24" s="29" cm="1">
        <f t="array" aca="1" ref="J24" ca="1">IF(RIGHT($A24,1)="G",-SUMIFS(IncExcl,IncDocDate,"&gt;="&amp;DATE(YEAR(J$4),MONTH(J$4),1),IncDocDate,"&lt;="&amp;J$4,IncAccount,LEFT($A24,5)&amp;"*")+SUMIFS(ExpExcl,ExpDocDate,"&gt;="&amp;DATE(YEAR(J$4),MONTH(J$4),1),ExpDocDate,"&lt;="&amp;J$4,ExpAccount,LEFT($A24,5)&amp;"*"),-SUMIFS(IncExcl,IncDocDate,"&gt;="&amp;DATE(YEAR(J$4),MONTH(J$4),1),IncDocDate,"&lt;="&amp;J$4,IncAccount,$A24)+SUMIFS(ExpExcl,ExpDocDate,"&gt;="&amp;DATE(YEAR(J$4),MONTH(J$4),1),ExpDocDate,"&lt;="&amp;J$4,ExpAccount,$A24))</f>
        <v>0</v>
      </c>
      <c r="K24" s="29" cm="1">
        <f t="array" aca="1" ref="K24" ca="1">IF(RIGHT($A24,1)="G",-SUMIFS(IncExcl,IncDocDate,"&gt;="&amp;DATE(YEAR(K$4),MONTH(K$4),1),IncDocDate,"&lt;="&amp;K$4,IncAccount,LEFT($A24,5)&amp;"*")+SUMIFS(ExpExcl,ExpDocDate,"&gt;="&amp;DATE(YEAR(K$4),MONTH(K$4),1),ExpDocDate,"&lt;="&amp;K$4,ExpAccount,LEFT($A24,5)&amp;"*"),-SUMIFS(IncExcl,IncDocDate,"&gt;="&amp;DATE(YEAR(K$4),MONTH(K$4),1),IncDocDate,"&lt;="&amp;K$4,IncAccount,$A24)+SUMIFS(ExpExcl,ExpDocDate,"&gt;="&amp;DATE(YEAR(K$4),MONTH(K$4),1),ExpDocDate,"&lt;="&amp;K$4,ExpAccount,$A24))</f>
        <v>0</v>
      </c>
      <c r="L24" s="29" cm="1">
        <f t="array" aca="1" ref="L24" ca="1">IF(RIGHT($A24,1)="G",-SUMIFS(IncExcl,IncDocDate,"&gt;="&amp;DATE(YEAR(L$4),MONTH(L$4),1),IncDocDate,"&lt;="&amp;L$4,IncAccount,LEFT($A24,5)&amp;"*")+SUMIFS(ExpExcl,ExpDocDate,"&gt;="&amp;DATE(YEAR(L$4),MONTH(L$4),1),ExpDocDate,"&lt;="&amp;L$4,ExpAccount,LEFT($A24,5)&amp;"*"),-SUMIFS(IncExcl,IncDocDate,"&gt;="&amp;DATE(YEAR(L$4),MONTH(L$4),1),IncDocDate,"&lt;="&amp;L$4,IncAccount,$A24)+SUMIFS(ExpExcl,ExpDocDate,"&gt;="&amp;DATE(YEAR(L$4),MONTH(L$4),1),ExpDocDate,"&lt;="&amp;L$4,ExpAccount,$A24))</f>
        <v>0</v>
      </c>
      <c r="M24" s="29" cm="1">
        <f t="array" aca="1" ref="M24" ca="1">IF(RIGHT($A24,1)="G",-SUMIFS(IncExcl,IncDocDate,"&gt;="&amp;DATE(YEAR(M$4),MONTH(M$4),1),IncDocDate,"&lt;="&amp;M$4,IncAccount,LEFT($A24,5)&amp;"*")+SUMIFS(ExpExcl,ExpDocDate,"&gt;="&amp;DATE(YEAR(M$4),MONTH(M$4),1),ExpDocDate,"&lt;="&amp;M$4,ExpAccount,LEFT($A24,5)&amp;"*"),-SUMIFS(IncExcl,IncDocDate,"&gt;="&amp;DATE(YEAR(M$4),MONTH(M$4),1),IncDocDate,"&lt;="&amp;M$4,IncAccount,$A24)+SUMIFS(ExpExcl,ExpDocDate,"&gt;="&amp;DATE(YEAR(M$4),MONTH(M$4),1),ExpDocDate,"&lt;="&amp;M$4,ExpAccount,$A24))</f>
        <v>0</v>
      </c>
      <c r="N24" s="29" cm="1">
        <f t="array" aca="1" ref="N24" ca="1">IF(RIGHT($A24,1)="G",-SUMIFS(IncExcl,IncDocDate,"&gt;="&amp;DATE(YEAR(N$4),MONTH(N$4),1),IncDocDate,"&lt;="&amp;N$4,IncAccount,LEFT($A24,5)&amp;"*")+SUMIFS(ExpExcl,ExpDocDate,"&gt;="&amp;DATE(YEAR(N$4),MONTH(N$4),1),ExpDocDate,"&lt;="&amp;N$4,ExpAccount,LEFT($A24,5)&amp;"*"),-SUMIFS(IncExcl,IncDocDate,"&gt;="&amp;DATE(YEAR(N$4),MONTH(N$4),1),IncDocDate,"&lt;="&amp;N$4,IncAccount,$A24)+SUMIFS(ExpExcl,ExpDocDate,"&gt;="&amp;DATE(YEAR(N$4),MONTH(N$4),1),ExpDocDate,"&lt;="&amp;N$4,ExpAccount,$A24))</f>
        <v>0</v>
      </c>
      <c r="O24" s="86">
        <f t="shared" ca="1" si="3"/>
        <v>5200</v>
      </c>
      <c r="P24" s="86" cm="1">
        <f t="array" aca="1" ref="P24" ca="1">IF(RIGHT($A24,1)="G",-SUMIFS(IncExcl,IncDocDate,"&gt;="&amp;$P$2,IncDocDate,"&lt;="&amp;$P$3,IncAccount,LEFT($A24,5)&amp;"*")+SUMIFS(ExpExcl,ExpDocDate,"&gt;="&amp;$P$2,ExpDocDate,"&lt;="&amp;$P$3,ExpAccount,LEFT($A24,5)&amp;"*"),-SUMIFS(IncExcl,IncDocDate,"&gt;="&amp;$P$2,IncDocDate,"&lt;="&amp;$P$3,IncAccount,$A24)+SUMIFS(ExpExcl,ExpDocDate,"&gt;="&amp;$P$2,ExpDocDate,"&lt;="&amp;$P$3,ExpAccount,$A24))</f>
        <v>0</v>
      </c>
    </row>
    <row r="25" spans="1:16" ht="16" customHeight="1" x14ac:dyDescent="0.25">
      <c r="A25" s="183" t="s">
        <v>303</v>
      </c>
      <c r="B25" s="17" t="str">
        <f ca="1">IF(RIGHT($A25,1)="G",IF(ISNA(VLOOKUP(LEFT($A25,LEN($A25)-1),GroupAll,COLUMN(Groups!$B$4),0)),"Group Not Found",VLOOKUP(LEFT($A25,LEN($A25)-1),GroupAll,COLUMN(Groups!$B$4),0)),IF(ISNA(VLOOKUP($A25,AccountAll,COLUMN(TB!$B$4),0)),"Account Not Found",VLOOKUP($A25,AccountAll,COLUMN(TB!$B$4),0)))</f>
        <v>Telephone &amp; Internet</v>
      </c>
      <c r="C25" s="29" cm="1">
        <f t="array" aca="1" ref="C25" ca="1">IF(RIGHT($A25,1)="G",-SUMIFS(IncExcl,IncDocDate,"&gt;="&amp;DATE(YEAR(C$4),MONTH(C$4),1),IncDocDate,"&lt;="&amp;C$4,IncAccount,LEFT($A25,5)&amp;"*")+SUMIFS(ExpExcl,ExpDocDate,"&gt;="&amp;DATE(YEAR(C$4),MONTH(C$4),1),ExpDocDate,"&lt;="&amp;C$4,ExpAccount,LEFT($A25,5)&amp;"*"),-SUMIFS(IncExcl,IncDocDate,"&gt;="&amp;DATE(YEAR(C$4),MONTH(C$4),1),IncDocDate,"&lt;="&amp;C$4,IncAccount,$A25)+SUMIFS(ExpExcl,ExpDocDate,"&gt;="&amp;DATE(YEAR(C$4),MONTH(C$4),1),ExpDocDate,"&lt;="&amp;C$4,ExpAccount,$A25))</f>
        <v>730.43478260869563</v>
      </c>
      <c r="D25" s="29" cm="1">
        <f t="array" aca="1" ref="D25" ca="1">IF(RIGHT($A25,1)="G",-SUMIFS(IncExcl,IncDocDate,"&gt;="&amp;DATE(YEAR(D$4),MONTH(D$4),1),IncDocDate,"&lt;="&amp;D$4,IncAccount,LEFT($A25,5)&amp;"*")+SUMIFS(ExpExcl,ExpDocDate,"&gt;="&amp;DATE(YEAR(D$4),MONTH(D$4),1),ExpDocDate,"&lt;="&amp;D$4,ExpAccount,LEFT($A25,5)&amp;"*"),-SUMIFS(IncExcl,IncDocDate,"&gt;="&amp;DATE(YEAR(D$4),MONTH(D$4),1),IncDocDate,"&lt;="&amp;D$4,IncAccount,$A25)+SUMIFS(ExpExcl,ExpDocDate,"&gt;="&amp;DATE(YEAR(D$4),MONTH(D$4),1),ExpDocDate,"&lt;="&amp;D$4,ExpAccount,$A25))</f>
        <v>739.13043478260875</v>
      </c>
      <c r="E25" s="29" cm="1">
        <f t="array" aca="1" ref="E25" ca="1">IF(RIGHT($A25,1)="G",-SUMIFS(IncExcl,IncDocDate,"&gt;="&amp;DATE(YEAR(E$4),MONTH(E$4),1),IncDocDate,"&lt;="&amp;E$4,IncAccount,LEFT($A25,5)&amp;"*")+SUMIFS(ExpExcl,ExpDocDate,"&gt;="&amp;DATE(YEAR(E$4),MONTH(E$4),1),ExpDocDate,"&lt;="&amp;E$4,ExpAccount,LEFT($A25,5)&amp;"*"),-SUMIFS(IncExcl,IncDocDate,"&gt;="&amp;DATE(YEAR(E$4),MONTH(E$4),1),IncDocDate,"&lt;="&amp;E$4,IncAccount,$A25)+SUMIFS(ExpExcl,ExpDocDate,"&gt;="&amp;DATE(YEAR(E$4),MONTH(E$4),1),ExpDocDate,"&lt;="&amp;E$4,ExpAccount,$A25))</f>
        <v>739.13043478260875</v>
      </c>
      <c r="F25" s="29" cm="1">
        <f t="array" aca="1" ref="F25" ca="1">IF(RIGHT($A25,1)="G",-SUMIFS(IncExcl,IncDocDate,"&gt;="&amp;DATE(YEAR(F$4),MONTH(F$4),1),IncDocDate,"&lt;="&amp;F$4,IncAccount,LEFT($A25,5)&amp;"*")+SUMIFS(ExpExcl,ExpDocDate,"&gt;="&amp;DATE(YEAR(F$4),MONTH(F$4),1),ExpDocDate,"&lt;="&amp;F$4,ExpAccount,LEFT($A25,5)&amp;"*"),-SUMIFS(IncExcl,IncDocDate,"&gt;="&amp;DATE(YEAR(F$4),MONTH(F$4),1),IncDocDate,"&lt;="&amp;F$4,IncAccount,$A25)+SUMIFS(ExpExcl,ExpDocDate,"&gt;="&amp;DATE(YEAR(F$4),MONTH(F$4),1),ExpDocDate,"&lt;="&amp;F$4,ExpAccount,$A25))</f>
        <v>739.13043478260875</v>
      </c>
      <c r="G25" s="29" cm="1">
        <f t="array" aca="1" ref="G25" ca="1">IF(RIGHT($A25,1)="G",-SUMIFS(IncExcl,IncDocDate,"&gt;="&amp;DATE(YEAR(G$4),MONTH(G$4),1),IncDocDate,"&lt;="&amp;G$4,IncAccount,LEFT($A25,5)&amp;"*")+SUMIFS(ExpExcl,ExpDocDate,"&gt;="&amp;DATE(YEAR(G$4),MONTH(G$4),1),ExpDocDate,"&lt;="&amp;G$4,ExpAccount,LEFT($A25,5)&amp;"*"),-SUMIFS(IncExcl,IncDocDate,"&gt;="&amp;DATE(YEAR(G$4),MONTH(G$4),1),IncDocDate,"&lt;="&amp;G$4,IncAccount,$A25)+SUMIFS(ExpExcl,ExpDocDate,"&gt;="&amp;DATE(YEAR(G$4),MONTH(G$4),1),ExpDocDate,"&lt;="&amp;G$4,ExpAccount,$A25))</f>
        <v>739.13043478260875</v>
      </c>
      <c r="H25" s="29" cm="1">
        <f t="array" aca="1" ref="H25" ca="1">IF(RIGHT($A25,1)="G",-SUMIFS(IncExcl,IncDocDate,"&gt;="&amp;DATE(YEAR(H$4),MONTH(H$4),1),IncDocDate,"&lt;="&amp;H$4,IncAccount,LEFT($A25,5)&amp;"*")+SUMIFS(ExpExcl,ExpDocDate,"&gt;="&amp;DATE(YEAR(H$4),MONTH(H$4),1),ExpDocDate,"&lt;="&amp;H$4,ExpAccount,LEFT($A25,5)&amp;"*"),-SUMIFS(IncExcl,IncDocDate,"&gt;="&amp;DATE(YEAR(H$4),MONTH(H$4),1),IncDocDate,"&lt;="&amp;H$4,IncAccount,$A25)+SUMIFS(ExpExcl,ExpDocDate,"&gt;="&amp;DATE(YEAR(H$4),MONTH(H$4),1),ExpDocDate,"&lt;="&amp;H$4,ExpAccount,$A25))</f>
        <v>739.13043478260875</v>
      </c>
      <c r="I25" s="29" cm="1">
        <f t="array" aca="1" ref="I25" ca="1">IF(RIGHT($A25,1)="G",-SUMIFS(IncExcl,IncDocDate,"&gt;="&amp;DATE(YEAR(I$4),MONTH(I$4),1),IncDocDate,"&lt;="&amp;I$4,IncAccount,LEFT($A25,5)&amp;"*")+SUMIFS(ExpExcl,ExpDocDate,"&gt;="&amp;DATE(YEAR(I$4),MONTH(I$4),1),ExpDocDate,"&lt;="&amp;I$4,ExpAccount,LEFT($A25,5)&amp;"*"),-SUMIFS(IncExcl,IncDocDate,"&gt;="&amp;DATE(YEAR(I$4),MONTH(I$4),1),IncDocDate,"&lt;="&amp;I$4,IncAccount,$A25)+SUMIFS(ExpExcl,ExpDocDate,"&gt;="&amp;DATE(YEAR(I$4),MONTH(I$4),1),ExpDocDate,"&lt;="&amp;I$4,ExpAccount,$A25))</f>
        <v>739.13043478260875</v>
      </c>
      <c r="J25" s="29" cm="1">
        <f t="array" aca="1" ref="J25" ca="1">IF(RIGHT($A25,1)="G",-SUMIFS(IncExcl,IncDocDate,"&gt;="&amp;DATE(YEAR(J$4),MONTH(J$4),1),IncDocDate,"&lt;="&amp;J$4,IncAccount,LEFT($A25,5)&amp;"*")+SUMIFS(ExpExcl,ExpDocDate,"&gt;="&amp;DATE(YEAR(J$4),MONTH(J$4),1),ExpDocDate,"&lt;="&amp;J$4,ExpAccount,LEFT($A25,5)&amp;"*"),-SUMIFS(IncExcl,IncDocDate,"&gt;="&amp;DATE(YEAR(J$4),MONTH(J$4),1),IncDocDate,"&lt;="&amp;J$4,IncAccount,$A25)+SUMIFS(ExpExcl,ExpDocDate,"&gt;="&amp;DATE(YEAR(J$4),MONTH(J$4),1),ExpDocDate,"&lt;="&amp;J$4,ExpAccount,$A25))</f>
        <v>739.13043478260875</v>
      </c>
      <c r="K25" s="29" cm="1">
        <f t="array" aca="1" ref="K25" ca="1">IF(RIGHT($A25,1)="G",-SUMIFS(IncExcl,IncDocDate,"&gt;="&amp;DATE(YEAR(K$4),MONTH(K$4),1),IncDocDate,"&lt;="&amp;K$4,IncAccount,LEFT($A25,5)&amp;"*")+SUMIFS(ExpExcl,ExpDocDate,"&gt;="&amp;DATE(YEAR(K$4),MONTH(K$4),1),ExpDocDate,"&lt;="&amp;K$4,ExpAccount,LEFT($A25,5)&amp;"*"),-SUMIFS(IncExcl,IncDocDate,"&gt;="&amp;DATE(YEAR(K$4),MONTH(K$4),1),IncDocDate,"&lt;="&amp;K$4,IncAccount,$A25)+SUMIFS(ExpExcl,ExpDocDate,"&gt;="&amp;DATE(YEAR(K$4),MONTH(K$4),1),ExpDocDate,"&lt;="&amp;K$4,ExpAccount,$A25))</f>
        <v>739.13043478260875</v>
      </c>
      <c r="L25" s="29" cm="1">
        <f t="array" aca="1" ref="L25" ca="1">IF(RIGHT($A25,1)="G",-SUMIFS(IncExcl,IncDocDate,"&gt;="&amp;DATE(YEAR(L$4),MONTH(L$4),1),IncDocDate,"&lt;="&amp;L$4,IncAccount,LEFT($A25,5)&amp;"*")+SUMIFS(ExpExcl,ExpDocDate,"&gt;="&amp;DATE(YEAR(L$4),MONTH(L$4),1),ExpDocDate,"&lt;="&amp;L$4,ExpAccount,LEFT($A25,5)&amp;"*"),-SUMIFS(IncExcl,IncDocDate,"&gt;="&amp;DATE(YEAR(L$4),MONTH(L$4),1),IncDocDate,"&lt;="&amp;L$4,IncAccount,$A25)+SUMIFS(ExpExcl,ExpDocDate,"&gt;="&amp;DATE(YEAR(L$4),MONTH(L$4),1),ExpDocDate,"&lt;="&amp;L$4,ExpAccount,$A25))</f>
        <v>739.13043478260875</v>
      </c>
      <c r="M25" s="29" cm="1">
        <f t="array" aca="1" ref="M25" ca="1">IF(RIGHT($A25,1)="G",-SUMIFS(IncExcl,IncDocDate,"&gt;="&amp;DATE(YEAR(M$4),MONTH(M$4),1),IncDocDate,"&lt;="&amp;M$4,IncAccount,LEFT($A25,5)&amp;"*")+SUMIFS(ExpExcl,ExpDocDate,"&gt;="&amp;DATE(YEAR(M$4),MONTH(M$4),1),ExpDocDate,"&lt;="&amp;M$4,ExpAccount,LEFT($A25,5)&amp;"*"),-SUMIFS(IncExcl,IncDocDate,"&gt;="&amp;DATE(YEAR(M$4),MONTH(M$4),1),IncDocDate,"&lt;="&amp;M$4,IncAccount,$A25)+SUMIFS(ExpExcl,ExpDocDate,"&gt;="&amp;DATE(YEAR(M$4),MONTH(M$4),1),ExpDocDate,"&lt;="&amp;M$4,ExpAccount,$A25))</f>
        <v>739.13043478260875</v>
      </c>
      <c r="N25" s="29" cm="1">
        <f t="array" aca="1" ref="N25" ca="1">IF(RIGHT($A25,1)="G",-SUMIFS(IncExcl,IncDocDate,"&gt;="&amp;DATE(YEAR(N$4),MONTH(N$4),1),IncDocDate,"&lt;="&amp;N$4,IncAccount,LEFT($A25,5)&amp;"*")+SUMIFS(ExpExcl,ExpDocDate,"&gt;="&amp;DATE(YEAR(N$4),MONTH(N$4),1),ExpDocDate,"&lt;="&amp;N$4,ExpAccount,LEFT($A25,5)&amp;"*"),-SUMIFS(IncExcl,IncDocDate,"&gt;="&amp;DATE(YEAR(N$4),MONTH(N$4),1),IncDocDate,"&lt;="&amp;N$4,IncAccount,$A25)+SUMIFS(ExpExcl,ExpDocDate,"&gt;="&amp;DATE(YEAR(N$4),MONTH(N$4),1),ExpDocDate,"&lt;="&amp;N$4,ExpAccount,$A25))</f>
        <v>739.13043478260875</v>
      </c>
      <c r="O25" s="86">
        <f t="shared" ca="1" si="3"/>
        <v>8860.8695652173938</v>
      </c>
      <c r="P25" s="86" cm="1">
        <f t="array" aca="1" ref="P25" ca="1">IF(RIGHT($A25,1)="G",-SUMIFS(IncExcl,IncDocDate,"&gt;="&amp;$P$2,IncDocDate,"&lt;="&amp;$P$3,IncAccount,LEFT($A25,5)&amp;"*")+SUMIFS(ExpExcl,ExpDocDate,"&gt;="&amp;$P$2,ExpDocDate,"&lt;="&amp;$P$3,ExpAccount,LEFT($A25,5)&amp;"*"),-SUMIFS(IncExcl,IncDocDate,"&gt;="&amp;$P$2,IncDocDate,"&lt;="&amp;$P$3,IncAccount,$A25)+SUMIFS(ExpExcl,ExpDocDate,"&gt;="&amp;$P$2,ExpDocDate,"&lt;="&amp;$P$3,ExpAccount,$A25))</f>
        <v>0</v>
      </c>
    </row>
    <row r="26" spans="1:16" ht="16" customHeight="1" x14ac:dyDescent="0.25">
      <c r="A26" s="183" t="s">
        <v>304</v>
      </c>
      <c r="B26" s="17" t="str">
        <f ca="1">IF(RIGHT($A26,1)="G",IF(ISNA(VLOOKUP(LEFT($A26,LEN($A26)-1),GroupAll,COLUMN(Groups!$B$4),0)),"Group Not Found",VLOOKUP(LEFT($A26,LEN($A26)-1),GroupAll,COLUMN(Groups!$B$4),0)),IF(ISNA(VLOOKUP($A26,AccountAll,COLUMN(TB!$B$4),0)),"Account Not Found",VLOOKUP($A26,AccountAll,COLUMN(TB!$B$4),0)))</f>
        <v>Training</v>
      </c>
      <c r="C26" s="29" cm="1">
        <f t="array" aca="1" ref="C26" ca="1">IF(RIGHT($A26,1)="G",-SUMIFS(IncExcl,IncDocDate,"&gt;="&amp;DATE(YEAR(C$4),MONTH(C$4),1),IncDocDate,"&lt;="&amp;C$4,IncAccount,LEFT($A26,5)&amp;"*")+SUMIFS(ExpExcl,ExpDocDate,"&gt;="&amp;DATE(YEAR(C$4),MONTH(C$4),1),ExpDocDate,"&lt;="&amp;C$4,ExpAccount,LEFT($A26,5)&amp;"*"),-SUMIFS(IncExcl,IncDocDate,"&gt;="&amp;DATE(YEAR(C$4),MONTH(C$4),1),IncDocDate,"&lt;="&amp;C$4,IncAccount,$A26)+SUMIFS(ExpExcl,ExpDocDate,"&gt;="&amp;DATE(YEAR(C$4),MONTH(C$4),1),ExpDocDate,"&lt;="&amp;C$4,ExpAccount,$A26))</f>
        <v>0</v>
      </c>
      <c r="D26" s="29" cm="1">
        <f t="array" aca="1" ref="D26" ca="1">IF(RIGHT($A26,1)="G",-SUMIFS(IncExcl,IncDocDate,"&gt;="&amp;DATE(YEAR(D$4),MONTH(D$4),1),IncDocDate,"&lt;="&amp;D$4,IncAccount,LEFT($A26,5)&amp;"*")+SUMIFS(ExpExcl,ExpDocDate,"&gt;="&amp;DATE(YEAR(D$4),MONTH(D$4),1),ExpDocDate,"&lt;="&amp;D$4,ExpAccount,LEFT($A26,5)&amp;"*"),-SUMIFS(IncExcl,IncDocDate,"&gt;="&amp;DATE(YEAR(D$4),MONTH(D$4),1),IncDocDate,"&lt;="&amp;D$4,IncAccount,$A26)+SUMIFS(ExpExcl,ExpDocDate,"&gt;="&amp;DATE(YEAR(D$4),MONTH(D$4),1),ExpDocDate,"&lt;="&amp;D$4,ExpAccount,$A26))</f>
        <v>0</v>
      </c>
      <c r="E26" s="29" cm="1">
        <f t="array" aca="1" ref="E26" ca="1">IF(RIGHT($A26,1)="G",-SUMIFS(IncExcl,IncDocDate,"&gt;="&amp;DATE(YEAR(E$4),MONTH(E$4),1),IncDocDate,"&lt;="&amp;E$4,IncAccount,LEFT($A26,5)&amp;"*")+SUMIFS(ExpExcl,ExpDocDate,"&gt;="&amp;DATE(YEAR(E$4),MONTH(E$4),1),ExpDocDate,"&lt;="&amp;E$4,ExpAccount,LEFT($A26,5)&amp;"*"),-SUMIFS(IncExcl,IncDocDate,"&gt;="&amp;DATE(YEAR(E$4),MONTH(E$4),1),IncDocDate,"&lt;="&amp;E$4,IncAccount,$A26)+SUMIFS(ExpExcl,ExpDocDate,"&gt;="&amp;DATE(YEAR(E$4),MONTH(E$4),1),ExpDocDate,"&lt;="&amp;E$4,ExpAccount,$A26))</f>
        <v>1086.9565217391305</v>
      </c>
      <c r="F26" s="29" cm="1">
        <f t="array" aca="1" ref="F26" ca="1">IF(RIGHT($A26,1)="G",-SUMIFS(IncExcl,IncDocDate,"&gt;="&amp;DATE(YEAR(F$4),MONTH(F$4),1),IncDocDate,"&lt;="&amp;F$4,IncAccount,LEFT($A26,5)&amp;"*")+SUMIFS(ExpExcl,ExpDocDate,"&gt;="&amp;DATE(YEAR(F$4),MONTH(F$4),1),ExpDocDate,"&lt;="&amp;F$4,ExpAccount,LEFT($A26,5)&amp;"*"),-SUMIFS(IncExcl,IncDocDate,"&gt;="&amp;DATE(YEAR(F$4),MONTH(F$4),1),IncDocDate,"&lt;="&amp;F$4,IncAccount,$A26)+SUMIFS(ExpExcl,ExpDocDate,"&gt;="&amp;DATE(YEAR(F$4),MONTH(F$4),1),ExpDocDate,"&lt;="&amp;F$4,ExpAccount,$A26))</f>
        <v>0</v>
      </c>
      <c r="G26" s="29" cm="1">
        <f t="array" aca="1" ref="G26" ca="1">IF(RIGHT($A26,1)="G",-SUMIFS(IncExcl,IncDocDate,"&gt;="&amp;DATE(YEAR(G$4),MONTH(G$4),1),IncDocDate,"&lt;="&amp;G$4,IncAccount,LEFT($A26,5)&amp;"*")+SUMIFS(ExpExcl,ExpDocDate,"&gt;="&amp;DATE(YEAR(G$4),MONTH(G$4),1),ExpDocDate,"&lt;="&amp;G$4,ExpAccount,LEFT($A26,5)&amp;"*"),-SUMIFS(IncExcl,IncDocDate,"&gt;="&amp;DATE(YEAR(G$4),MONTH(G$4),1),IncDocDate,"&lt;="&amp;G$4,IncAccount,$A26)+SUMIFS(ExpExcl,ExpDocDate,"&gt;="&amp;DATE(YEAR(G$4),MONTH(G$4),1),ExpDocDate,"&lt;="&amp;G$4,ExpAccount,$A26))</f>
        <v>0</v>
      </c>
      <c r="H26" s="29" cm="1">
        <f t="array" aca="1" ref="H26" ca="1">IF(RIGHT($A26,1)="G",-SUMIFS(IncExcl,IncDocDate,"&gt;="&amp;DATE(YEAR(H$4),MONTH(H$4),1),IncDocDate,"&lt;="&amp;H$4,IncAccount,LEFT($A26,5)&amp;"*")+SUMIFS(ExpExcl,ExpDocDate,"&gt;="&amp;DATE(YEAR(H$4),MONTH(H$4),1),ExpDocDate,"&lt;="&amp;H$4,ExpAccount,LEFT($A26,5)&amp;"*"),-SUMIFS(IncExcl,IncDocDate,"&gt;="&amp;DATE(YEAR(H$4),MONTH(H$4),1),IncDocDate,"&lt;="&amp;H$4,IncAccount,$A26)+SUMIFS(ExpExcl,ExpDocDate,"&gt;="&amp;DATE(YEAR(H$4),MONTH(H$4),1),ExpDocDate,"&lt;="&amp;H$4,ExpAccount,$A26))</f>
        <v>0</v>
      </c>
      <c r="I26" s="29" cm="1">
        <f t="array" aca="1" ref="I26" ca="1">IF(RIGHT($A26,1)="G",-SUMIFS(IncExcl,IncDocDate,"&gt;="&amp;DATE(YEAR(I$4),MONTH(I$4),1),IncDocDate,"&lt;="&amp;I$4,IncAccount,LEFT($A26,5)&amp;"*")+SUMIFS(ExpExcl,ExpDocDate,"&gt;="&amp;DATE(YEAR(I$4),MONTH(I$4),1),ExpDocDate,"&lt;="&amp;I$4,ExpAccount,LEFT($A26,5)&amp;"*"),-SUMIFS(IncExcl,IncDocDate,"&gt;="&amp;DATE(YEAR(I$4),MONTH(I$4),1),IncDocDate,"&lt;="&amp;I$4,IncAccount,$A26)+SUMIFS(ExpExcl,ExpDocDate,"&gt;="&amp;DATE(YEAR(I$4),MONTH(I$4),1),ExpDocDate,"&lt;="&amp;I$4,ExpAccount,$A26))</f>
        <v>1130.4347826086957</v>
      </c>
      <c r="J26" s="29" cm="1">
        <f t="array" aca="1" ref="J26" ca="1">IF(RIGHT($A26,1)="G",-SUMIFS(IncExcl,IncDocDate,"&gt;="&amp;DATE(YEAR(J$4),MONTH(J$4),1),IncDocDate,"&lt;="&amp;J$4,IncAccount,LEFT($A26,5)&amp;"*")+SUMIFS(ExpExcl,ExpDocDate,"&gt;="&amp;DATE(YEAR(J$4),MONTH(J$4),1),ExpDocDate,"&lt;="&amp;J$4,ExpAccount,LEFT($A26,5)&amp;"*"),-SUMIFS(IncExcl,IncDocDate,"&gt;="&amp;DATE(YEAR(J$4),MONTH(J$4),1),IncDocDate,"&lt;="&amp;J$4,IncAccount,$A26)+SUMIFS(ExpExcl,ExpDocDate,"&gt;="&amp;DATE(YEAR(J$4),MONTH(J$4),1),ExpDocDate,"&lt;="&amp;J$4,ExpAccount,$A26))</f>
        <v>0</v>
      </c>
      <c r="K26" s="29" cm="1">
        <f t="array" aca="1" ref="K26" ca="1">IF(RIGHT($A26,1)="G",-SUMIFS(IncExcl,IncDocDate,"&gt;="&amp;DATE(YEAR(K$4),MONTH(K$4),1),IncDocDate,"&lt;="&amp;K$4,IncAccount,LEFT($A26,5)&amp;"*")+SUMIFS(ExpExcl,ExpDocDate,"&gt;="&amp;DATE(YEAR(K$4),MONTH(K$4),1),ExpDocDate,"&lt;="&amp;K$4,ExpAccount,LEFT($A26,5)&amp;"*"),-SUMIFS(IncExcl,IncDocDate,"&gt;="&amp;DATE(YEAR(K$4),MONTH(K$4),1),IncDocDate,"&lt;="&amp;K$4,IncAccount,$A26)+SUMIFS(ExpExcl,ExpDocDate,"&gt;="&amp;DATE(YEAR(K$4),MONTH(K$4),1),ExpDocDate,"&lt;="&amp;K$4,ExpAccount,$A26))</f>
        <v>0</v>
      </c>
      <c r="L26" s="29" cm="1">
        <f t="array" aca="1" ref="L26" ca="1">IF(RIGHT($A26,1)="G",-SUMIFS(IncExcl,IncDocDate,"&gt;="&amp;DATE(YEAR(L$4),MONTH(L$4),1),IncDocDate,"&lt;="&amp;L$4,IncAccount,LEFT($A26,5)&amp;"*")+SUMIFS(ExpExcl,ExpDocDate,"&gt;="&amp;DATE(YEAR(L$4),MONTH(L$4),1),ExpDocDate,"&lt;="&amp;L$4,ExpAccount,LEFT($A26,5)&amp;"*"),-SUMIFS(IncExcl,IncDocDate,"&gt;="&amp;DATE(YEAR(L$4),MONTH(L$4),1),IncDocDate,"&lt;="&amp;L$4,IncAccount,$A26)+SUMIFS(ExpExcl,ExpDocDate,"&gt;="&amp;DATE(YEAR(L$4),MONTH(L$4),1),ExpDocDate,"&lt;="&amp;L$4,ExpAccount,$A26))</f>
        <v>0</v>
      </c>
      <c r="M26" s="29" cm="1">
        <f t="array" aca="1" ref="M26" ca="1">IF(RIGHT($A26,1)="G",-SUMIFS(IncExcl,IncDocDate,"&gt;="&amp;DATE(YEAR(M$4),MONTH(M$4),1),IncDocDate,"&lt;="&amp;M$4,IncAccount,LEFT($A26,5)&amp;"*")+SUMIFS(ExpExcl,ExpDocDate,"&gt;="&amp;DATE(YEAR(M$4),MONTH(M$4),1),ExpDocDate,"&lt;="&amp;M$4,ExpAccount,LEFT($A26,5)&amp;"*"),-SUMIFS(IncExcl,IncDocDate,"&gt;="&amp;DATE(YEAR(M$4),MONTH(M$4),1),IncDocDate,"&lt;="&amp;M$4,IncAccount,$A26)+SUMIFS(ExpExcl,ExpDocDate,"&gt;="&amp;DATE(YEAR(M$4),MONTH(M$4),1),ExpDocDate,"&lt;="&amp;M$4,ExpAccount,$A26))</f>
        <v>1826.086956521739</v>
      </c>
      <c r="N26" s="29" cm="1">
        <f t="array" aca="1" ref="N26" ca="1">IF(RIGHT($A26,1)="G",-SUMIFS(IncExcl,IncDocDate,"&gt;="&amp;DATE(YEAR(N$4),MONTH(N$4),1),IncDocDate,"&lt;="&amp;N$4,IncAccount,LEFT($A26,5)&amp;"*")+SUMIFS(ExpExcl,ExpDocDate,"&gt;="&amp;DATE(YEAR(N$4),MONTH(N$4),1),ExpDocDate,"&lt;="&amp;N$4,ExpAccount,LEFT($A26,5)&amp;"*"),-SUMIFS(IncExcl,IncDocDate,"&gt;="&amp;DATE(YEAR(N$4),MONTH(N$4),1),IncDocDate,"&lt;="&amp;N$4,IncAccount,$A26)+SUMIFS(ExpExcl,ExpDocDate,"&gt;="&amp;DATE(YEAR(N$4),MONTH(N$4),1),ExpDocDate,"&lt;="&amp;N$4,ExpAccount,$A26))</f>
        <v>0</v>
      </c>
      <c r="O26" s="86">
        <f t="shared" ca="1" si="3"/>
        <v>4043.478260869565</v>
      </c>
      <c r="P26" s="86" cm="1">
        <f t="array" aca="1" ref="P26" ca="1">IF(RIGHT($A26,1)="G",-SUMIFS(IncExcl,IncDocDate,"&gt;="&amp;$P$2,IncDocDate,"&lt;="&amp;$P$3,IncAccount,LEFT($A26,5)&amp;"*")+SUMIFS(ExpExcl,ExpDocDate,"&gt;="&amp;$P$2,ExpDocDate,"&lt;="&amp;$P$3,ExpAccount,LEFT($A26,5)&amp;"*"),-SUMIFS(IncExcl,IncDocDate,"&gt;="&amp;$P$2,IncDocDate,"&lt;="&amp;$P$3,IncAccount,$A26)+SUMIFS(ExpExcl,ExpDocDate,"&gt;="&amp;$P$2,ExpDocDate,"&lt;="&amp;$P$3,ExpAccount,$A26))</f>
        <v>0</v>
      </c>
    </row>
    <row r="27" spans="1:16" ht="16" customHeight="1" x14ac:dyDescent="0.25">
      <c r="A27" s="183" t="s">
        <v>305</v>
      </c>
      <c r="B27" s="17" t="str">
        <f ca="1">IF(RIGHT($A27,1)="G",IF(ISNA(VLOOKUP(LEFT($A27,LEN($A27)-1),GroupAll,COLUMN(Groups!$B$4),0)),"Group Not Found",VLOOKUP(LEFT($A27,LEN($A27)-1),GroupAll,COLUMN(Groups!$B$4),0)),IF(ISNA(VLOOKUP($A27,AccountAll,COLUMN(TB!$B$4),0)),"Account Not Found",VLOOKUP($A27,AccountAll,COLUMN(TB!$B$4),0)))</f>
        <v>Travelling &amp; Accommodation</v>
      </c>
      <c r="C27" s="29" cm="1">
        <f t="array" aca="1" ref="C27" ca="1">IF(RIGHT($A27,1)="G",-SUMIFS(IncExcl,IncDocDate,"&gt;="&amp;DATE(YEAR(C$4),MONTH(C$4),1),IncDocDate,"&lt;="&amp;C$4,IncAccount,LEFT($A27,5)&amp;"*")+SUMIFS(ExpExcl,ExpDocDate,"&gt;="&amp;DATE(YEAR(C$4),MONTH(C$4),1),ExpDocDate,"&lt;="&amp;C$4,ExpAccount,LEFT($A27,5)&amp;"*"),-SUMIFS(IncExcl,IncDocDate,"&gt;="&amp;DATE(YEAR(C$4),MONTH(C$4),1),IncDocDate,"&lt;="&amp;C$4,IncAccount,$A27)+SUMIFS(ExpExcl,ExpDocDate,"&gt;="&amp;DATE(YEAR(C$4),MONTH(C$4),1),ExpDocDate,"&lt;="&amp;C$4,ExpAccount,$A27))</f>
        <v>104.34782608695652</v>
      </c>
      <c r="D27" s="29" cm="1">
        <f t="array" aca="1" ref="D27" ca="1">IF(RIGHT($A27,1)="G",-SUMIFS(IncExcl,IncDocDate,"&gt;="&amp;DATE(YEAR(D$4),MONTH(D$4),1),IncDocDate,"&lt;="&amp;D$4,IncAccount,LEFT($A27,5)&amp;"*")+SUMIFS(ExpExcl,ExpDocDate,"&gt;="&amp;DATE(YEAR(D$4),MONTH(D$4),1),ExpDocDate,"&lt;="&amp;D$4,ExpAccount,LEFT($A27,5)&amp;"*"),-SUMIFS(IncExcl,IncDocDate,"&gt;="&amp;DATE(YEAR(D$4),MONTH(D$4),1),IncDocDate,"&lt;="&amp;D$4,IncAccount,$A27)+SUMIFS(ExpExcl,ExpDocDate,"&gt;="&amp;DATE(YEAR(D$4),MONTH(D$4),1),ExpDocDate,"&lt;="&amp;D$4,ExpAccount,$A27))</f>
        <v>0</v>
      </c>
      <c r="E27" s="29" cm="1">
        <f t="array" aca="1" ref="E27" ca="1">IF(RIGHT($A27,1)="G",-SUMIFS(IncExcl,IncDocDate,"&gt;="&amp;DATE(YEAR(E$4),MONTH(E$4),1),IncDocDate,"&lt;="&amp;E$4,IncAccount,LEFT($A27,5)&amp;"*")+SUMIFS(ExpExcl,ExpDocDate,"&gt;="&amp;DATE(YEAR(E$4),MONTH(E$4),1),ExpDocDate,"&lt;="&amp;E$4,ExpAccount,LEFT($A27,5)&amp;"*"),-SUMIFS(IncExcl,IncDocDate,"&gt;="&amp;DATE(YEAR(E$4),MONTH(E$4),1),IncDocDate,"&lt;="&amp;E$4,IncAccount,$A27)+SUMIFS(ExpExcl,ExpDocDate,"&gt;="&amp;DATE(YEAR(E$4),MONTH(E$4),1),ExpDocDate,"&lt;="&amp;E$4,ExpAccount,$A27))</f>
        <v>860.86956521739125</v>
      </c>
      <c r="F27" s="29" cm="1">
        <f t="array" aca="1" ref="F27" ca="1">IF(RIGHT($A27,1)="G",-SUMIFS(IncExcl,IncDocDate,"&gt;="&amp;DATE(YEAR(F$4),MONTH(F$4),1),IncDocDate,"&lt;="&amp;F$4,IncAccount,LEFT($A27,5)&amp;"*")+SUMIFS(ExpExcl,ExpDocDate,"&gt;="&amp;DATE(YEAR(F$4),MONTH(F$4),1),ExpDocDate,"&lt;="&amp;F$4,ExpAccount,LEFT($A27,5)&amp;"*"),-SUMIFS(IncExcl,IncDocDate,"&gt;="&amp;DATE(YEAR(F$4),MONTH(F$4),1),IncDocDate,"&lt;="&amp;F$4,IncAccount,$A27)+SUMIFS(ExpExcl,ExpDocDate,"&gt;="&amp;DATE(YEAR(F$4),MONTH(F$4),1),ExpDocDate,"&lt;="&amp;F$4,ExpAccount,$A27))</f>
        <v>1826.086956521739</v>
      </c>
      <c r="G27" s="29" cm="1">
        <f t="array" aca="1" ref="G27" ca="1">IF(RIGHT($A27,1)="G",-SUMIFS(IncExcl,IncDocDate,"&gt;="&amp;DATE(YEAR(G$4),MONTH(G$4),1),IncDocDate,"&lt;="&amp;G$4,IncAccount,LEFT($A27,5)&amp;"*")+SUMIFS(ExpExcl,ExpDocDate,"&gt;="&amp;DATE(YEAR(G$4),MONTH(G$4),1),ExpDocDate,"&lt;="&amp;G$4,ExpAccount,LEFT($A27,5)&amp;"*"),-SUMIFS(IncExcl,IncDocDate,"&gt;="&amp;DATE(YEAR(G$4),MONTH(G$4),1),IncDocDate,"&lt;="&amp;G$4,IncAccount,$A27)+SUMIFS(ExpExcl,ExpDocDate,"&gt;="&amp;DATE(YEAR(G$4),MONTH(G$4),1),ExpDocDate,"&lt;="&amp;G$4,ExpAccount,$A27))</f>
        <v>0</v>
      </c>
      <c r="H27" s="29" cm="1">
        <f t="array" aca="1" ref="H27" ca="1">IF(RIGHT($A27,1)="G",-SUMIFS(IncExcl,IncDocDate,"&gt;="&amp;DATE(YEAR(H$4),MONTH(H$4),1),IncDocDate,"&lt;="&amp;H$4,IncAccount,LEFT($A27,5)&amp;"*")+SUMIFS(ExpExcl,ExpDocDate,"&gt;="&amp;DATE(YEAR(H$4),MONTH(H$4),1),ExpDocDate,"&lt;="&amp;H$4,ExpAccount,LEFT($A27,5)&amp;"*"),-SUMIFS(IncExcl,IncDocDate,"&gt;="&amp;DATE(YEAR(H$4),MONTH(H$4),1),IncDocDate,"&lt;="&amp;H$4,IncAccount,$A27)+SUMIFS(ExpExcl,ExpDocDate,"&gt;="&amp;DATE(YEAR(H$4),MONTH(H$4),1),ExpDocDate,"&lt;="&amp;H$4,ExpAccount,$A27))</f>
        <v>2191.304347826087</v>
      </c>
      <c r="I27" s="29" cm="1">
        <f t="array" aca="1" ref="I27" ca="1">IF(RIGHT($A27,1)="G",-SUMIFS(IncExcl,IncDocDate,"&gt;="&amp;DATE(YEAR(I$4),MONTH(I$4),1),IncDocDate,"&lt;="&amp;I$4,IncAccount,LEFT($A27,5)&amp;"*")+SUMIFS(ExpExcl,ExpDocDate,"&gt;="&amp;DATE(YEAR(I$4),MONTH(I$4),1),ExpDocDate,"&lt;="&amp;I$4,ExpAccount,LEFT($A27,5)&amp;"*"),-SUMIFS(IncExcl,IncDocDate,"&gt;="&amp;DATE(YEAR(I$4),MONTH(I$4),1),IncDocDate,"&lt;="&amp;I$4,IncAccount,$A27)+SUMIFS(ExpExcl,ExpDocDate,"&gt;="&amp;DATE(YEAR(I$4),MONTH(I$4),1),ExpDocDate,"&lt;="&amp;I$4,ExpAccount,$A27))</f>
        <v>4886.95652173913</v>
      </c>
      <c r="J27" s="29" cm="1">
        <f t="array" aca="1" ref="J27" ca="1">IF(RIGHT($A27,1)="G",-SUMIFS(IncExcl,IncDocDate,"&gt;="&amp;DATE(YEAR(J$4),MONTH(J$4),1),IncDocDate,"&lt;="&amp;J$4,IncAccount,LEFT($A27,5)&amp;"*")+SUMIFS(ExpExcl,ExpDocDate,"&gt;="&amp;DATE(YEAR(J$4),MONTH(J$4),1),ExpDocDate,"&lt;="&amp;J$4,ExpAccount,LEFT($A27,5)&amp;"*"),-SUMIFS(IncExcl,IncDocDate,"&gt;="&amp;DATE(YEAR(J$4),MONTH(J$4),1),IncDocDate,"&lt;="&amp;J$4,IncAccount,$A27)+SUMIFS(ExpExcl,ExpDocDate,"&gt;="&amp;DATE(YEAR(J$4),MONTH(J$4),1),ExpDocDate,"&lt;="&amp;J$4,ExpAccount,$A27))</f>
        <v>3834.782608695652</v>
      </c>
      <c r="K27" s="29" cm="1">
        <f t="array" aca="1" ref="K27" ca="1">IF(RIGHT($A27,1)="G",-SUMIFS(IncExcl,IncDocDate,"&gt;="&amp;DATE(YEAR(K$4),MONTH(K$4),1),IncDocDate,"&lt;="&amp;K$4,IncAccount,LEFT($A27,5)&amp;"*")+SUMIFS(ExpExcl,ExpDocDate,"&gt;="&amp;DATE(YEAR(K$4),MONTH(K$4),1),ExpDocDate,"&lt;="&amp;K$4,ExpAccount,LEFT($A27,5)&amp;"*"),-SUMIFS(IncExcl,IncDocDate,"&gt;="&amp;DATE(YEAR(K$4),MONTH(K$4),1),IncDocDate,"&lt;="&amp;K$4,IncAccount,$A27)+SUMIFS(ExpExcl,ExpDocDate,"&gt;="&amp;DATE(YEAR(K$4),MONTH(K$4),1),ExpDocDate,"&lt;="&amp;K$4,ExpAccount,$A27))</f>
        <v>0</v>
      </c>
      <c r="L27" s="29" cm="1">
        <f t="array" aca="1" ref="L27" ca="1">IF(RIGHT($A27,1)="G",-SUMIFS(IncExcl,IncDocDate,"&gt;="&amp;DATE(YEAR(L$4),MONTH(L$4),1),IncDocDate,"&lt;="&amp;L$4,IncAccount,LEFT($A27,5)&amp;"*")+SUMIFS(ExpExcl,ExpDocDate,"&gt;="&amp;DATE(YEAR(L$4),MONTH(L$4),1),ExpDocDate,"&lt;="&amp;L$4,ExpAccount,LEFT($A27,5)&amp;"*"),-SUMIFS(IncExcl,IncDocDate,"&gt;="&amp;DATE(YEAR(L$4),MONTH(L$4),1),IncDocDate,"&lt;="&amp;L$4,IncAccount,$A27)+SUMIFS(ExpExcl,ExpDocDate,"&gt;="&amp;DATE(YEAR(L$4),MONTH(L$4),1),ExpDocDate,"&lt;="&amp;L$4,ExpAccount,$A27))</f>
        <v>0</v>
      </c>
      <c r="M27" s="29" cm="1">
        <f t="array" aca="1" ref="M27" ca="1">IF(RIGHT($A27,1)="G",-SUMIFS(IncExcl,IncDocDate,"&gt;="&amp;DATE(YEAR(M$4),MONTH(M$4),1),IncDocDate,"&lt;="&amp;M$4,IncAccount,LEFT($A27,5)&amp;"*")+SUMIFS(ExpExcl,ExpDocDate,"&gt;="&amp;DATE(YEAR(M$4),MONTH(M$4),1),ExpDocDate,"&lt;="&amp;M$4,ExpAccount,LEFT($A27,5)&amp;"*"),-SUMIFS(IncExcl,IncDocDate,"&gt;="&amp;DATE(YEAR(M$4),MONTH(M$4),1),IncDocDate,"&lt;="&amp;M$4,IncAccount,$A27)+SUMIFS(ExpExcl,ExpDocDate,"&gt;="&amp;DATE(YEAR(M$4),MONTH(M$4),1),ExpDocDate,"&lt;="&amp;M$4,ExpAccount,$A27))</f>
        <v>0</v>
      </c>
      <c r="N27" s="29" cm="1">
        <f t="array" aca="1" ref="N27" ca="1">IF(RIGHT($A27,1)="G",-SUMIFS(IncExcl,IncDocDate,"&gt;="&amp;DATE(YEAR(N$4),MONTH(N$4),1),IncDocDate,"&lt;="&amp;N$4,IncAccount,LEFT($A27,5)&amp;"*")+SUMIFS(ExpExcl,ExpDocDate,"&gt;="&amp;DATE(YEAR(N$4),MONTH(N$4),1),ExpDocDate,"&lt;="&amp;N$4,ExpAccount,LEFT($A27,5)&amp;"*"),-SUMIFS(IncExcl,IncDocDate,"&gt;="&amp;DATE(YEAR(N$4),MONTH(N$4),1),IncDocDate,"&lt;="&amp;N$4,IncAccount,$A27)+SUMIFS(ExpExcl,ExpDocDate,"&gt;="&amp;DATE(YEAR(N$4),MONTH(N$4),1),ExpDocDate,"&lt;="&amp;N$4,ExpAccount,$A27))</f>
        <v>0</v>
      </c>
      <c r="O27" s="86">
        <f t="shared" ca="1" si="3"/>
        <v>13704.347826086956</v>
      </c>
      <c r="P27" s="86" cm="1">
        <f t="array" aca="1" ref="P27" ca="1">IF(RIGHT($A27,1)="G",-SUMIFS(IncExcl,IncDocDate,"&gt;="&amp;$P$2,IncDocDate,"&lt;="&amp;$P$3,IncAccount,LEFT($A27,5)&amp;"*")+SUMIFS(ExpExcl,ExpDocDate,"&gt;="&amp;$P$2,ExpDocDate,"&lt;="&amp;$P$3,ExpAccount,LEFT($A27,5)&amp;"*"),-SUMIFS(IncExcl,IncDocDate,"&gt;="&amp;$P$2,IncDocDate,"&lt;="&amp;$P$3,IncAccount,$A27)+SUMIFS(ExpExcl,ExpDocDate,"&gt;="&amp;$P$2,ExpDocDate,"&lt;="&amp;$P$3,ExpAccount,$A27))</f>
        <v>0</v>
      </c>
    </row>
    <row r="28" spans="1:16" ht="16" customHeight="1" x14ac:dyDescent="0.25">
      <c r="A28" s="183" t="s">
        <v>306</v>
      </c>
      <c r="B28" s="17" t="str">
        <f ca="1">IF(RIGHT($A28,1)="G",IF(ISNA(VLOOKUP(LEFT($A28,LEN($A28)-1),GroupAll,COLUMN(Groups!$B$4),0)),"Group Not Found",VLOOKUP(LEFT($A28,LEN($A28)-1),GroupAll,COLUMN(Groups!$B$4),0)),IF(ISNA(VLOOKUP($A28,AccountAll,COLUMN(TB!$B$4),0)),"Account Not Found",VLOOKUP($A28,AccountAll,COLUMN(TB!$B$4),0)))</f>
        <v>Utilities</v>
      </c>
      <c r="C28" s="29" cm="1">
        <f t="array" aca="1" ref="C28" ca="1">IF(RIGHT($A28,1)="G",-SUMIFS(IncExcl,IncDocDate,"&gt;="&amp;DATE(YEAR(C$4),MONTH(C$4),1),IncDocDate,"&lt;="&amp;C$4,IncAccount,LEFT($A28,5)&amp;"*")+SUMIFS(ExpExcl,ExpDocDate,"&gt;="&amp;DATE(YEAR(C$4),MONTH(C$4),1),ExpDocDate,"&lt;="&amp;C$4,ExpAccount,LEFT($A28,5)&amp;"*"),-SUMIFS(IncExcl,IncDocDate,"&gt;="&amp;DATE(YEAR(C$4),MONTH(C$4),1),IncDocDate,"&lt;="&amp;C$4,IncAccount,$A28)+SUMIFS(ExpExcl,ExpDocDate,"&gt;="&amp;DATE(YEAR(C$4),MONTH(C$4),1),ExpDocDate,"&lt;="&amp;C$4,ExpAccount,$A28))</f>
        <v>0</v>
      </c>
      <c r="D28" s="29" cm="1">
        <f t="array" aca="1" ref="D28" ca="1">IF(RIGHT($A28,1)="G",-SUMIFS(IncExcl,IncDocDate,"&gt;="&amp;DATE(YEAR(D$4),MONTH(D$4),1),IncDocDate,"&lt;="&amp;D$4,IncAccount,LEFT($A28,5)&amp;"*")+SUMIFS(ExpExcl,ExpDocDate,"&gt;="&amp;DATE(YEAR(D$4),MONTH(D$4),1),ExpDocDate,"&lt;="&amp;D$4,ExpAccount,LEFT($A28,5)&amp;"*"),-SUMIFS(IncExcl,IncDocDate,"&gt;="&amp;DATE(YEAR(D$4),MONTH(D$4),1),IncDocDate,"&lt;="&amp;D$4,IncAccount,$A28)+SUMIFS(ExpExcl,ExpDocDate,"&gt;="&amp;DATE(YEAR(D$4),MONTH(D$4),1),ExpDocDate,"&lt;="&amp;D$4,ExpAccount,$A28))</f>
        <v>0</v>
      </c>
      <c r="E28" s="29" cm="1">
        <f t="array" aca="1" ref="E28" ca="1">IF(RIGHT($A28,1)="G",-SUMIFS(IncExcl,IncDocDate,"&gt;="&amp;DATE(YEAR(E$4),MONTH(E$4),1),IncDocDate,"&lt;="&amp;E$4,IncAccount,LEFT($A28,5)&amp;"*")+SUMIFS(ExpExcl,ExpDocDate,"&gt;="&amp;DATE(YEAR(E$4),MONTH(E$4),1),ExpDocDate,"&lt;="&amp;E$4,ExpAccount,LEFT($A28,5)&amp;"*"),-SUMIFS(IncExcl,IncDocDate,"&gt;="&amp;DATE(YEAR(E$4),MONTH(E$4),1),IncDocDate,"&lt;="&amp;E$4,IncAccount,$A28)+SUMIFS(ExpExcl,ExpDocDate,"&gt;="&amp;DATE(YEAR(E$4),MONTH(E$4),1),ExpDocDate,"&lt;="&amp;E$4,ExpAccount,$A28))</f>
        <v>0</v>
      </c>
      <c r="F28" s="29" cm="1">
        <f t="array" aca="1" ref="F28" ca="1">IF(RIGHT($A28,1)="G",-SUMIFS(IncExcl,IncDocDate,"&gt;="&amp;DATE(YEAR(F$4),MONTH(F$4),1),IncDocDate,"&lt;="&amp;F$4,IncAccount,LEFT($A28,5)&amp;"*")+SUMIFS(ExpExcl,ExpDocDate,"&gt;="&amp;DATE(YEAR(F$4),MONTH(F$4),1),ExpDocDate,"&lt;="&amp;F$4,ExpAccount,LEFT($A28,5)&amp;"*"),-SUMIFS(IncExcl,IncDocDate,"&gt;="&amp;DATE(YEAR(F$4),MONTH(F$4),1),IncDocDate,"&lt;="&amp;F$4,IncAccount,$A28)+SUMIFS(ExpExcl,ExpDocDate,"&gt;="&amp;DATE(YEAR(F$4),MONTH(F$4),1),ExpDocDate,"&lt;="&amp;F$4,ExpAccount,$A28))</f>
        <v>0</v>
      </c>
      <c r="G28" s="29" cm="1">
        <f t="array" aca="1" ref="G28" ca="1">IF(RIGHT($A28,1)="G",-SUMIFS(IncExcl,IncDocDate,"&gt;="&amp;DATE(YEAR(G$4),MONTH(G$4),1),IncDocDate,"&lt;="&amp;G$4,IncAccount,LEFT($A28,5)&amp;"*")+SUMIFS(ExpExcl,ExpDocDate,"&gt;="&amp;DATE(YEAR(G$4),MONTH(G$4),1),ExpDocDate,"&lt;="&amp;G$4,ExpAccount,LEFT($A28,5)&amp;"*"),-SUMIFS(IncExcl,IncDocDate,"&gt;="&amp;DATE(YEAR(G$4),MONTH(G$4),1),IncDocDate,"&lt;="&amp;G$4,IncAccount,$A28)+SUMIFS(ExpExcl,ExpDocDate,"&gt;="&amp;DATE(YEAR(G$4),MONTH(G$4),1),ExpDocDate,"&lt;="&amp;G$4,ExpAccount,$A28))</f>
        <v>0</v>
      </c>
      <c r="H28" s="29" cm="1">
        <f t="array" aca="1" ref="H28" ca="1">IF(RIGHT($A28,1)="G",-SUMIFS(IncExcl,IncDocDate,"&gt;="&amp;DATE(YEAR(H$4),MONTH(H$4),1),IncDocDate,"&lt;="&amp;H$4,IncAccount,LEFT($A28,5)&amp;"*")+SUMIFS(ExpExcl,ExpDocDate,"&gt;="&amp;DATE(YEAR(H$4),MONTH(H$4),1),ExpDocDate,"&lt;="&amp;H$4,ExpAccount,LEFT($A28,5)&amp;"*"),-SUMIFS(IncExcl,IncDocDate,"&gt;="&amp;DATE(YEAR(H$4),MONTH(H$4),1),IncDocDate,"&lt;="&amp;H$4,IncAccount,$A28)+SUMIFS(ExpExcl,ExpDocDate,"&gt;="&amp;DATE(YEAR(H$4),MONTH(H$4),1),ExpDocDate,"&lt;="&amp;H$4,ExpAccount,$A28))</f>
        <v>0</v>
      </c>
      <c r="I28" s="29" cm="1">
        <f t="array" aca="1" ref="I28" ca="1">IF(RIGHT($A28,1)="G",-SUMIFS(IncExcl,IncDocDate,"&gt;="&amp;DATE(YEAR(I$4),MONTH(I$4),1),IncDocDate,"&lt;="&amp;I$4,IncAccount,LEFT($A28,5)&amp;"*")+SUMIFS(ExpExcl,ExpDocDate,"&gt;="&amp;DATE(YEAR(I$4),MONTH(I$4),1),ExpDocDate,"&lt;="&amp;I$4,ExpAccount,LEFT($A28,5)&amp;"*"),-SUMIFS(IncExcl,IncDocDate,"&gt;="&amp;DATE(YEAR(I$4),MONTH(I$4),1),IncDocDate,"&lt;="&amp;I$4,IncAccount,$A28)+SUMIFS(ExpExcl,ExpDocDate,"&gt;="&amp;DATE(YEAR(I$4),MONTH(I$4),1),ExpDocDate,"&lt;="&amp;I$4,ExpAccount,$A28))</f>
        <v>0</v>
      </c>
      <c r="J28" s="29" cm="1">
        <f t="array" aca="1" ref="J28" ca="1">IF(RIGHT($A28,1)="G",-SUMIFS(IncExcl,IncDocDate,"&gt;="&amp;DATE(YEAR(J$4),MONTH(J$4),1),IncDocDate,"&lt;="&amp;J$4,IncAccount,LEFT($A28,5)&amp;"*")+SUMIFS(ExpExcl,ExpDocDate,"&gt;="&amp;DATE(YEAR(J$4),MONTH(J$4),1),ExpDocDate,"&lt;="&amp;J$4,ExpAccount,LEFT($A28,5)&amp;"*"),-SUMIFS(IncExcl,IncDocDate,"&gt;="&amp;DATE(YEAR(J$4),MONTH(J$4),1),IncDocDate,"&lt;="&amp;J$4,IncAccount,$A28)+SUMIFS(ExpExcl,ExpDocDate,"&gt;="&amp;DATE(YEAR(J$4),MONTH(J$4),1),ExpDocDate,"&lt;="&amp;J$4,ExpAccount,$A28))</f>
        <v>0</v>
      </c>
      <c r="K28" s="29" cm="1">
        <f t="array" aca="1" ref="K28" ca="1">IF(RIGHT($A28,1)="G",-SUMIFS(IncExcl,IncDocDate,"&gt;="&amp;DATE(YEAR(K$4),MONTH(K$4),1),IncDocDate,"&lt;="&amp;K$4,IncAccount,LEFT($A28,5)&amp;"*")+SUMIFS(ExpExcl,ExpDocDate,"&gt;="&amp;DATE(YEAR(K$4),MONTH(K$4),1),ExpDocDate,"&lt;="&amp;K$4,ExpAccount,LEFT($A28,5)&amp;"*"),-SUMIFS(IncExcl,IncDocDate,"&gt;="&amp;DATE(YEAR(K$4),MONTH(K$4),1),IncDocDate,"&lt;="&amp;K$4,IncAccount,$A28)+SUMIFS(ExpExcl,ExpDocDate,"&gt;="&amp;DATE(YEAR(K$4),MONTH(K$4),1),ExpDocDate,"&lt;="&amp;K$4,ExpAccount,$A28))</f>
        <v>0</v>
      </c>
      <c r="L28" s="29" cm="1">
        <f t="array" aca="1" ref="L28" ca="1">IF(RIGHT($A28,1)="G",-SUMIFS(IncExcl,IncDocDate,"&gt;="&amp;DATE(YEAR(L$4),MONTH(L$4),1),IncDocDate,"&lt;="&amp;L$4,IncAccount,LEFT($A28,5)&amp;"*")+SUMIFS(ExpExcl,ExpDocDate,"&gt;="&amp;DATE(YEAR(L$4),MONTH(L$4),1),ExpDocDate,"&lt;="&amp;L$4,ExpAccount,LEFT($A28,5)&amp;"*"),-SUMIFS(IncExcl,IncDocDate,"&gt;="&amp;DATE(YEAR(L$4),MONTH(L$4),1),IncDocDate,"&lt;="&amp;L$4,IncAccount,$A28)+SUMIFS(ExpExcl,ExpDocDate,"&gt;="&amp;DATE(YEAR(L$4),MONTH(L$4),1),ExpDocDate,"&lt;="&amp;L$4,ExpAccount,$A28))</f>
        <v>0</v>
      </c>
      <c r="M28" s="29" cm="1">
        <f t="array" aca="1" ref="M28" ca="1">IF(RIGHT($A28,1)="G",-SUMIFS(IncExcl,IncDocDate,"&gt;="&amp;DATE(YEAR(M$4),MONTH(M$4),1),IncDocDate,"&lt;="&amp;M$4,IncAccount,LEFT($A28,5)&amp;"*")+SUMIFS(ExpExcl,ExpDocDate,"&gt;="&amp;DATE(YEAR(M$4),MONTH(M$4),1),ExpDocDate,"&lt;="&amp;M$4,ExpAccount,LEFT($A28,5)&amp;"*"),-SUMIFS(IncExcl,IncDocDate,"&gt;="&amp;DATE(YEAR(M$4),MONTH(M$4),1),IncDocDate,"&lt;="&amp;M$4,IncAccount,$A28)+SUMIFS(ExpExcl,ExpDocDate,"&gt;="&amp;DATE(YEAR(M$4),MONTH(M$4),1),ExpDocDate,"&lt;="&amp;M$4,ExpAccount,$A28))</f>
        <v>0</v>
      </c>
      <c r="N28" s="29" cm="1">
        <f t="array" aca="1" ref="N28" ca="1">IF(RIGHT($A28,1)="G",-SUMIFS(IncExcl,IncDocDate,"&gt;="&amp;DATE(YEAR(N$4),MONTH(N$4),1),IncDocDate,"&lt;="&amp;N$4,IncAccount,LEFT($A28,5)&amp;"*")+SUMIFS(ExpExcl,ExpDocDate,"&gt;="&amp;DATE(YEAR(N$4),MONTH(N$4),1),ExpDocDate,"&lt;="&amp;N$4,ExpAccount,LEFT($A28,5)&amp;"*"),-SUMIFS(IncExcl,IncDocDate,"&gt;="&amp;DATE(YEAR(N$4),MONTH(N$4),1),IncDocDate,"&lt;="&amp;N$4,IncAccount,$A28)+SUMIFS(ExpExcl,ExpDocDate,"&gt;="&amp;DATE(YEAR(N$4),MONTH(N$4),1),ExpDocDate,"&lt;="&amp;N$4,ExpAccount,$A28))</f>
        <v>0</v>
      </c>
      <c r="O28" s="86">
        <f t="shared" ca="1" si="3"/>
        <v>0</v>
      </c>
      <c r="P28" s="86" cm="1">
        <f t="array" aca="1" ref="P28" ca="1">IF(RIGHT($A28,1)="G",-SUMIFS(IncExcl,IncDocDate,"&gt;="&amp;$P$2,IncDocDate,"&lt;="&amp;$P$3,IncAccount,LEFT($A28,5)&amp;"*")+SUMIFS(ExpExcl,ExpDocDate,"&gt;="&amp;$P$2,ExpDocDate,"&lt;="&amp;$P$3,ExpAccount,LEFT($A28,5)&amp;"*"),-SUMIFS(IncExcl,IncDocDate,"&gt;="&amp;$P$2,IncDocDate,"&lt;="&amp;$P$3,IncAccount,$A28)+SUMIFS(ExpExcl,ExpDocDate,"&gt;="&amp;$P$2,ExpDocDate,"&lt;="&amp;$P$3,ExpAccount,$A28))</f>
        <v>0</v>
      </c>
    </row>
    <row r="29" spans="1:16" s="3" customFormat="1" ht="16" customHeight="1" thickBot="1" x14ac:dyDescent="0.3">
      <c r="A29" s="183"/>
      <c r="B29" s="3" t="s">
        <v>368</v>
      </c>
      <c r="C29" s="87">
        <f ca="1">SUM(OFFSET(C10,1,0,ROW($B29)-ROW($B10)-1,1))</f>
        <v>25603.478260869568</v>
      </c>
      <c r="D29" s="87">
        <f t="shared" ref="D29:P29" ca="1" si="4">SUM(OFFSET(D10,1,0,ROW($B29)-ROW($B10)-1,1))</f>
        <v>42208.695652173912</v>
      </c>
      <c r="E29" s="87">
        <f t="shared" ca="1" si="4"/>
        <v>34037.391304347824</v>
      </c>
      <c r="F29" s="87">
        <f t="shared" ca="1" si="4"/>
        <v>27580.869565217392</v>
      </c>
      <c r="G29" s="87">
        <f t="shared" ca="1" si="4"/>
        <v>34396.086956521744</v>
      </c>
      <c r="H29" s="87">
        <f t="shared" ca="1" si="4"/>
        <v>33021.739130434777</v>
      </c>
      <c r="I29" s="87">
        <f t="shared" ca="1" si="4"/>
        <v>37506.956521739128</v>
      </c>
      <c r="J29" s="87">
        <f t="shared" ca="1" si="4"/>
        <v>30523.91304347826</v>
      </c>
      <c r="K29" s="87">
        <f t="shared" ca="1" si="4"/>
        <v>29337.82608695652</v>
      </c>
      <c r="L29" s="87">
        <f t="shared" ca="1" si="4"/>
        <v>26760</v>
      </c>
      <c r="M29" s="87">
        <f t="shared" ca="1" si="4"/>
        <v>28279.521739130436</v>
      </c>
      <c r="N29" s="87">
        <f t="shared" ca="1" si="4"/>
        <v>42575.652173913048</v>
      </c>
      <c r="O29" s="87">
        <f t="shared" ca="1" si="4"/>
        <v>391832.13043478265</v>
      </c>
      <c r="P29" s="87">
        <f t="shared" ca="1" si="4"/>
        <v>0</v>
      </c>
    </row>
    <row r="30" spans="1:16" s="3" customFormat="1" ht="16" customHeight="1" x14ac:dyDescent="0.25">
      <c r="A30" s="183"/>
      <c r="B30" s="3" t="s">
        <v>337</v>
      </c>
      <c r="C30" s="88"/>
      <c r="D30" s="88"/>
      <c r="E30" s="88"/>
      <c r="F30" s="88"/>
      <c r="G30" s="88"/>
      <c r="H30" s="88"/>
      <c r="I30" s="88"/>
      <c r="J30" s="88"/>
      <c r="K30" s="88"/>
      <c r="L30" s="88"/>
      <c r="M30" s="88"/>
      <c r="N30" s="88"/>
      <c r="O30" s="88"/>
      <c r="P30" s="88"/>
    </row>
    <row r="31" spans="1:16" ht="16" customHeight="1" x14ac:dyDescent="0.25">
      <c r="A31" s="183" t="s">
        <v>364</v>
      </c>
      <c r="B31" s="17" t="str">
        <f ca="1">IF(RIGHT($A31,1)="G",IF(ISNA(VLOOKUP(LEFT($A31,LEN($A31)-1),GroupAll,COLUMN(Groups!$B$4),0)),"Group Not Found",VLOOKUP(LEFT($A31,LEN($A31)-1),GroupAll,COLUMN(Groups!$B$4),0)),IF(ISNA(VLOOKUP($A31,AccountAll,COLUMN(TB!$B$4),0)),"Account Not Found",VLOOKUP($A31,AccountAll,COLUMN(TB!$B$4),0)))</f>
        <v>Salaries &amp; Wages - Staff</v>
      </c>
      <c r="C31" s="89" cm="1">
        <f t="array" aca="1" ref="C31" ca="1">IF(RIGHT($A31,1)="G",-SUMIFS(IncExcl,IncDocDate,"&gt;="&amp;DATE(YEAR(C$4),MONTH(C$4),1),IncDocDate,"&lt;="&amp;C$4,IncAccount,LEFT($A31,5)&amp;"*")+SUMIFS(ExpExcl,ExpDocDate,"&gt;="&amp;DATE(YEAR(C$4),MONTH(C$4),1),ExpDocDate,"&lt;="&amp;C$4,ExpAccount,LEFT($A31,5)&amp;"*"),-SUMIFS(IncExcl,IncDocDate,"&gt;="&amp;DATE(YEAR(C$4),MONTH(C$4),1),IncDocDate,"&lt;="&amp;C$4,IncAccount,$A31)+SUMIFS(ExpExcl,ExpDocDate,"&gt;="&amp;DATE(YEAR(C$4),MONTH(C$4),1),ExpDocDate,"&lt;="&amp;C$4,ExpAccount,$A31))</f>
        <v>42200</v>
      </c>
      <c r="D31" s="89" cm="1">
        <f t="array" aca="1" ref="D31" ca="1">IF(RIGHT($A31,1)="G",-SUMIFS(IncExcl,IncDocDate,"&gt;="&amp;DATE(YEAR(D$4),MONTH(D$4),1),IncDocDate,"&lt;="&amp;D$4,IncAccount,LEFT($A31,5)&amp;"*")+SUMIFS(ExpExcl,ExpDocDate,"&gt;="&amp;DATE(YEAR(D$4),MONTH(D$4),1),ExpDocDate,"&lt;="&amp;D$4,ExpAccount,LEFT($A31,5)&amp;"*"),-SUMIFS(IncExcl,IncDocDate,"&gt;="&amp;DATE(YEAR(D$4),MONTH(D$4),1),IncDocDate,"&lt;="&amp;D$4,IncAccount,$A31)+SUMIFS(ExpExcl,ExpDocDate,"&gt;="&amp;DATE(YEAR(D$4),MONTH(D$4),1),ExpDocDate,"&lt;="&amp;D$4,ExpAccount,$A31))</f>
        <v>42200</v>
      </c>
      <c r="E31" s="89" cm="1">
        <f t="array" aca="1" ref="E31" ca="1">IF(RIGHT($A31,1)="G",-SUMIFS(IncExcl,IncDocDate,"&gt;="&amp;DATE(YEAR(E$4),MONTH(E$4),1),IncDocDate,"&lt;="&amp;E$4,IncAccount,LEFT($A31,5)&amp;"*")+SUMIFS(ExpExcl,ExpDocDate,"&gt;="&amp;DATE(YEAR(E$4),MONTH(E$4),1),ExpDocDate,"&lt;="&amp;E$4,ExpAccount,LEFT($A31,5)&amp;"*"),-SUMIFS(IncExcl,IncDocDate,"&gt;="&amp;DATE(YEAR(E$4),MONTH(E$4),1),IncDocDate,"&lt;="&amp;E$4,IncAccount,$A31)+SUMIFS(ExpExcl,ExpDocDate,"&gt;="&amp;DATE(YEAR(E$4),MONTH(E$4),1),ExpDocDate,"&lt;="&amp;E$4,ExpAccount,$A31))</f>
        <v>42200</v>
      </c>
      <c r="F31" s="89" cm="1">
        <f t="array" aca="1" ref="F31" ca="1">IF(RIGHT($A31,1)="G",-SUMIFS(IncExcl,IncDocDate,"&gt;="&amp;DATE(YEAR(F$4),MONTH(F$4),1),IncDocDate,"&lt;="&amp;F$4,IncAccount,LEFT($A31,5)&amp;"*")+SUMIFS(ExpExcl,ExpDocDate,"&gt;="&amp;DATE(YEAR(F$4),MONTH(F$4),1),ExpDocDate,"&lt;="&amp;F$4,ExpAccount,LEFT($A31,5)&amp;"*"),-SUMIFS(IncExcl,IncDocDate,"&gt;="&amp;DATE(YEAR(F$4),MONTH(F$4),1),IncDocDate,"&lt;="&amp;F$4,IncAccount,$A31)+SUMIFS(ExpExcl,ExpDocDate,"&gt;="&amp;DATE(YEAR(F$4),MONTH(F$4),1),ExpDocDate,"&lt;="&amp;F$4,ExpAccount,$A31))</f>
        <v>42200</v>
      </c>
      <c r="G31" s="89" cm="1">
        <f t="array" aca="1" ref="G31" ca="1">IF(RIGHT($A31,1)="G",-SUMIFS(IncExcl,IncDocDate,"&gt;="&amp;DATE(YEAR(G$4),MONTH(G$4),1),IncDocDate,"&lt;="&amp;G$4,IncAccount,LEFT($A31,5)&amp;"*")+SUMIFS(ExpExcl,ExpDocDate,"&gt;="&amp;DATE(YEAR(G$4),MONTH(G$4),1),ExpDocDate,"&lt;="&amp;G$4,ExpAccount,LEFT($A31,5)&amp;"*"),-SUMIFS(IncExcl,IncDocDate,"&gt;="&amp;DATE(YEAR(G$4),MONTH(G$4),1),IncDocDate,"&lt;="&amp;G$4,IncAccount,$A31)+SUMIFS(ExpExcl,ExpDocDate,"&gt;="&amp;DATE(YEAR(G$4),MONTH(G$4),1),ExpDocDate,"&lt;="&amp;G$4,ExpAccount,$A31))</f>
        <v>42200</v>
      </c>
      <c r="H31" s="89" cm="1">
        <f t="array" aca="1" ref="H31" ca="1">IF(RIGHT($A31,1)="G",-SUMIFS(IncExcl,IncDocDate,"&gt;="&amp;DATE(YEAR(H$4),MONTH(H$4),1),IncDocDate,"&lt;="&amp;H$4,IncAccount,LEFT($A31,5)&amp;"*")+SUMIFS(ExpExcl,ExpDocDate,"&gt;="&amp;DATE(YEAR(H$4),MONTH(H$4),1),ExpDocDate,"&lt;="&amp;H$4,ExpAccount,LEFT($A31,5)&amp;"*"),-SUMIFS(IncExcl,IncDocDate,"&gt;="&amp;DATE(YEAR(H$4),MONTH(H$4),1),IncDocDate,"&lt;="&amp;H$4,IncAccount,$A31)+SUMIFS(ExpExcl,ExpDocDate,"&gt;="&amp;DATE(YEAR(H$4),MONTH(H$4),1),ExpDocDate,"&lt;="&amp;H$4,ExpAccount,$A31))</f>
        <v>42200</v>
      </c>
      <c r="I31" s="89" cm="1">
        <f t="array" aca="1" ref="I31" ca="1">IF(RIGHT($A31,1)="G",-SUMIFS(IncExcl,IncDocDate,"&gt;="&amp;DATE(YEAR(I$4),MONTH(I$4),1),IncDocDate,"&lt;="&amp;I$4,IncAccount,LEFT($A31,5)&amp;"*")+SUMIFS(ExpExcl,ExpDocDate,"&gt;="&amp;DATE(YEAR(I$4),MONTH(I$4),1),ExpDocDate,"&lt;="&amp;I$4,ExpAccount,LEFT($A31,5)&amp;"*"),-SUMIFS(IncExcl,IncDocDate,"&gt;="&amp;DATE(YEAR(I$4),MONTH(I$4),1),IncDocDate,"&lt;="&amp;I$4,IncAccount,$A31)+SUMIFS(ExpExcl,ExpDocDate,"&gt;="&amp;DATE(YEAR(I$4),MONTH(I$4),1),ExpDocDate,"&lt;="&amp;I$4,ExpAccount,$A31))</f>
        <v>42200</v>
      </c>
      <c r="J31" s="89" cm="1">
        <f t="array" aca="1" ref="J31" ca="1">IF(RIGHT($A31,1)="G",-SUMIFS(IncExcl,IncDocDate,"&gt;="&amp;DATE(YEAR(J$4),MONTH(J$4),1),IncDocDate,"&lt;="&amp;J$4,IncAccount,LEFT($A31,5)&amp;"*")+SUMIFS(ExpExcl,ExpDocDate,"&gt;="&amp;DATE(YEAR(J$4),MONTH(J$4),1),ExpDocDate,"&lt;="&amp;J$4,ExpAccount,LEFT($A31,5)&amp;"*"),-SUMIFS(IncExcl,IncDocDate,"&gt;="&amp;DATE(YEAR(J$4),MONTH(J$4),1),IncDocDate,"&lt;="&amp;J$4,IncAccount,$A31)+SUMIFS(ExpExcl,ExpDocDate,"&gt;="&amp;DATE(YEAR(J$4),MONTH(J$4),1),ExpDocDate,"&lt;="&amp;J$4,ExpAccount,$A31))</f>
        <v>42200</v>
      </c>
      <c r="K31" s="89" cm="1">
        <f t="array" aca="1" ref="K31" ca="1">IF(RIGHT($A31,1)="G",-SUMIFS(IncExcl,IncDocDate,"&gt;="&amp;DATE(YEAR(K$4),MONTH(K$4),1),IncDocDate,"&lt;="&amp;K$4,IncAccount,LEFT($A31,5)&amp;"*")+SUMIFS(ExpExcl,ExpDocDate,"&gt;="&amp;DATE(YEAR(K$4),MONTH(K$4),1),ExpDocDate,"&lt;="&amp;K$4,ExpAccount,LEFT($A31,5)&amp;"*"),-SUMIFS(IncExcl,IncDocDate,"&gt;="&amp;DATE(YEAR(K$4),MONTH(K$4),1),IncDocDate,"&lt;="&amp;K$4,IncAccount,$A31)+SUMIFS(ExpExcl,ExpDocDate,"&gt;="&amp;DATE(YEAR(K$4),MONTH(K$4),1),ExpDocDate,"&lt;="&amp;K$4,ExpAccount,$A31))</f>
        <v>42200</v>
      </c>
      <c r="L31" s="89" cm="1">
        <f t="array" aca="1" ref="L31" ca="1">IF(RIGHT($A31,1)="G",-SUMIFS(IncExcl,IncDocDate,"&gt;="&amp;DATE(YEAR(L$4),MONTH(L$4),1),IncDocDate,"&lt;="&amp;L$4,IncAccount,LEFT($A31,5)&amp;"*")+SUMIFS(ExpExcl,ExpDocDate,"&gt;="&amp;DATE(YEAR(L$4),MONTH(L$4),1),ExpDocDate,"&lt;="&amp;L$4,ExpAccount,LEFT($A31,5)&amp;"*"),-SUMIFS(IncExcl,IncDocDate,"&gt;="&amp;DATE(YEAR(L$4),MONTH(L$4),1),IncDocDate,"&lt;="&amp;L$4,IncAccount,$A31)+SUMIFS(ExpExcl,ExpDocDate,"&gt;="&amp;DATE(YEAR(L$4),MONTH(L$4),1),ExpDocDate,"&lt;="&amp;L$4,ExpAccount,$A31))</f>
        <v>84400</v>
      </c>
      <c r="M31" s="89" cm="1">
        <f t="array" aca="1" ref="M31" ca="1">IF(RIGHT($A31,1)="G",-SUMIFS(IncExcl,IncDocDate,"&gt;="&amp;DATE(YEAR(M$4),MONTH(M$4),1),IncDocDate,"&lt;="&amp;M$4,IncAccount,LEFT($A31,5)&amp;"*")+SUMIFS(ExpExcl,ExpDocDate,"&gt;="&amp;DATE(YEAR(M$4),MONTH(M$4),1),ExpDocDate,"&lt;="&amp;M$4,ExpAccount,LEFT($A31,5)&amp;"*"),-SUMIFS(IncExcl,IncDocDate,"&gt;="&amp;DATE(YEAR(M$4),MONTH(M$4),1),IncDocDate,"&lt;="&amp;M$4,IncAccount,$A31)+SUMIFS(ExpExcl,ExpDocDate,"&gt;="&amp;DATE(YEAR(M$4),MONTH(M$4),1),ExpDocDate,"&lt;="&amp;M$4,ExpAccount,$A31))</f>
        <v>42200</v>
      </c>
      <c r="N31" s="89" cm="1">
        <f t="array" aca="1" ref="N31" ca="1">IF(RIGHT($A31,1)="G",-SUMIFS(IncExcl,IncDocDate,"&gt;="&amp;DATE(YEAR(N$4),MONTH(N$4),1),IncDocDate,"&lt;="&amp;N$4,IncAccount,LEFT($A31,5)&amp;"*")+SUMIFS(ExpExcl,ExpDocDate,"&gt;="&amp;DATE(YEAR(N$4),MONTH(N$4),1),ExpDocDate,"&lt;="&amp;N$4,ExpAccount,LEFT($A31,5)&amp;"*"),-SUMIFS(IncExcl,IncDocDate,"&gt;="&amp;DATE(YEAR(N$4),MONTH(N$4),1),IncDocDate,"&lt;="&amp;N$4,IncAccount,$A31)+SUMIFS(ExpExcl,ExpDocDate,"&gt;="&amp;DATE(YEAR(N$4),MONTH(N$4),1),ExpDocDate,"&lt;="&amp;N$4,ExpAccount,$A31))</f>
        <v>42200</v>
      </c>
      <c r="O31" s="88">
        <f t="shared" ref="O31:O32" ca="1" si="5">SUM(C31:N31)</f>
        <v>548600</v>
      </c>
      <c r="P31" s="88" cm="1">
        <f t="array" aca="1" ref="P31" ca="1">IF(RIGHT($A31,1)="G",-SUMIFS(IncExcl,IncDocDate,"&gt;="&amp;$P$2,IncDocDate,"&lt;="&amp;$P$3,IncAccount,LEFT($A31,5)&amp;"*")+SUMIFS(ExpExcl,ExpDocDate,"&gt;="&amp;$P$2,ExpDocDate,"&lt;="&amp;$P$3,ExpAccount,LEFT($A31,5)&amp;"*"),-SUMIFS(IncExcl,IncDocDate,"&gt;="&amp;$P$2,IncDocDate,"&lt;="&amp;$P$3,IncAccount,$A31)+SUMIFS(ExpExcl,ExpDocDate,"&gt;="&amp;$P$2,ExpDocDate,"&lt;="&amp;$P$3,ExpAccount,$A31))</f>
        <v>0</v>
      </c>
    </row>
    <row r="32" spans="1:16" ht="16" customHeight="1" x14ac:dyDescent="0.25">
      <c r="A32" s="183" t="s">
        <v>366</v>
      </c>
      <c r="B32" s="17" t="str">
        <f ca="1">IF(RIGHT($A32,1)="G",IF(ISNA(VLOOKUP(LEFT($A32,LEN($A32)-1),GroupAll,COLUMN(Groups!$B$4),0)),"Group Not Found",VLOOKUP(LEFT($A32,LEN($A32)-1),GroupAll,COLUMN(Groups!$B$4),0)),IF(ISNA(VLOOKUP($A32,AccountAll,COLUMN(TB!$B$4),0)),"Account Not Found",VLOOKUP($A32,AccountAll,COLUMN(TB!$B$4),0)))</f>
        <v>Salaries &amp; Wages - Management</v>
      </c>
      <c r="C32" s="89" cm="1">
        <f t="array" aca="1" ref="C32" ca="1">IF(RIGHT($A32,1)="G",-SUMIFS(IncExcl,IncDocDate,"&gt;="&amp;DATE(YEAR(C$4),MONTH(C$4),1),IncDocDate,"&lt;="&amp;C$4,IncAccount,LEFT($A32,5)&amp;"*")+SUMIFS(ExpExcl,ExpDocDate,"&gt;="&amp;DATE(YEAR(C$4),MONTH(C$4),1),ExpDocDate,"&lt;="&amp;C$4,ExpAccount,LEFT($A32,5)&amp;"*"),-SUMIFS(IncExcl,IncDocDate,"&gt;="&amp;DATE(YEAR(C$4),MONTH(C$4),1),IncDocDate,"&lt;="&amp;C$4,IncAccount,$A32)+SUMIFS(ExpExcl,ExpDocDate,"&gt;="&amp;DATE(YEAR(C$4),MONTH(C$4),1),ExpDocDate,"&lt;="&amp;C$4,ExpAccount,$A32))</f>
        <v>54320</v>
      </c>
      <c r="D32" s="89" cm="1">
        <f t="array" aca="1" ref="D32" ca="1">IF(RIGHT($A32,1)="G",-SUMIFS(IncExcl,IncDocDate,"&gt;="&amp;DATE(YEAR(D$4),MONTH(D$4),1),IncDocDate,"&lt;="&amp;D$4,IncAccount,LEFT($A32,5)&amp;"*")+SUMIFS(ExpExcl,ExpDocDate,"&gt;="&amp;DATE(YEAR(D$4),MONTH(D$4),1),ExpDocDate,"&lt;="&amp;D$4,ExpAccount,LEFT($A32,5)&amp;"*"),-SUMIFS(IncExcl,IncDocDate,"&gt;="&amp;DATE(YEAR(D$4),MONTH(D$4),1),IncDocDate,"&lt;="&amp;D$4,IncAccount,$A32)+SUMIFS(ExpExcl,ExpDocDate,"&gt;="&amp;DATE(YEAR(D$4),MONTH(D$4),1),ExpDocDate,"&lt;="&amp;D$4,ExpAccount,$A32))</f>
        <v>54320</v>
      </c>
      <c r="E32" s="89" cm="1">
        <f t="array" aca="1" ref="E32" ca="1">IF(RIGHT($A32,1)="G",-SUMIFS(IncExcl,IncDocDate,"&gt;="&amp;DATE(YEAR(E$4),MONTH(E$4),1),IncDocDate,"&lt;="&amp;E$4,IncAccount,LEFT($A32,5)&amp;"*")+SUMIFS(ExpExcl,ExpDocDate,"&gt;="&amp;DATE(YEAR(E$4),MONTH(E$4),1),ExpDocDate,"&lt;="&amp;E$4,ExpAccount,LEFT($A32,5)&amp;"*"),-SUMIFS(IncExcl,IncDocDate,"&gt;="&amp;DATE(YEAR(E$4),MONTH(E$4),1),IncDocDate,"&lt;="&amp;E$4,IncAccount,$A32)+SUMIFS(ExpExcl,ExpDocDate,"&gt;="&amp;DATE(YEAR(E$4),MONTH(E$4),1),ExpDocDate,"&lt;="&amp;E$4,ExpAccount,$A32))</f>
        <v>54320</v>
      </c>
      <c r="F32" s="89" cm="1">
        <f t="array" aca="1" ref="F32" ca="1">IF(RIGHT($A32,1)="G",-SUMIFS(IncExcl,IncDocDate,"&gt;="&amp;DATE(YEAR(F$4),MONTH(F$4),1),IncDocDate,"&lt;="&amp;F$4,IncAccount,LEFT($A32,5)&amp;"*")+SUMIFS(ExpExcl,ExpDocDate,"&gt;="&amp;DATE(YEAR(F$4),MONTH(F$4),1),ExpDocDate,"&lt;="&amp;F$4,ExpAccount,LEFT($A32,5)&amp;"*"),-SUMIFS(IncExcl,IncDocDate,"&gt;="&amp;DATE(YEAR(F$4),MONTH(F$4),1),IncDocDate,"&lt;="&amp;F$4,IncAccount,$A32)+SUMIFS(ExpExcl,ExpDocDate,"&gt;="&amp;DATE(YEAR(F$4),MONTH(F$4),1),ExpDocDate,"&lt;="&amp;F$4,ExpAccount,$A32))</f>
        <v>54320</v>
      </c>
      <c r="G32" s="89" cm="1">
        <f t="array" aca="1" ref="G32" ca="1">IF(RIGHT($A32,1)="G",-SUMIFS(IncExcl,IncDocDate,"&gt;="&amp;DATE(YEAR(G$4),MONTH(G$4),1),IncDocDate,"&lt;="&amp;G$4,IncAccount,LEFT($A32,5)&amp;"*")+SUMIFS(ExpExcl,ExpDocDate,"&gt;="&amp;DATE(YEAR(G$4),MONTH(G$4),1),ExpDocDate,"&lt;="&amp;G$4,ExpAccount,LEFT($A32,5)&amp;"*"),-SUMIFS(IncExcl,IncDocDate,"&gt;="&amp;DATE(YEAR(G$4),MONTH(G$4),1),IncDocDate,"&lt;="&amp;G$4,IncAccount,$A32)+SUMIFS(ExpExcl,ExpDocDate,"&gt;="&amp;DATE(YEAR(G$4),MONTH(G$4),1),ExpDocDate,"&lt;="&amp;G$4,ExpAccount,$A32))</f>
        <v>54320</v>
      </c>
      <c r="H32" s="89" cm="1">
        <f t="array" aca="1" ref="H32" ca="1">IF(RIGHT($A32,1)="G",-SUMIFS(IncExcl,IncDocDate,"&gt;="&amp;DATE(YEAR(H$4),MONTH(H$4),1),IncDocDate,"&lt;="&amp;H$4,IncAccount,LEFT($A32,5)&amp;"*")+SUMIFS(ExpExcl,ExpDocDate,"&gt;="&amp;DATE(YEAR(H$4),MONTH(H$4),1),ExpDocDate,"&lt;="&amp;H$4,ExpAccount,LEFT($A32,5)&amp;"*"),-SUMIFS(IncExcl,IncDocDate,"&gt;="&amp;DATE(YEAR(H$4),MONTH(H$4),1),IncDocDate,"&lt;="&amp;H$4,IncAccount,$A32)+SUMIFS(ExpExcl,ExpDocDate,"&gt;="&amp;DATE(YEAR(H$4),MONTH(H$4),1),ExpDocDate,"&lt;="&amp;H$4,ExpAccount,$A32))</f>
        <v>54320</v>
      </c>
      <c r="I32" s="89" cm="1">
        <f t="array" aca="1" ref="I32" ca="1">IF(RIGHT($A32,1)="G",-SUMIFS(IncExcl,IncDocDate,"&gt;="&amp;DATE(YEAR(I$4),MONTH(I$4),1),IncDocDate,"&lt;="&amp;I$4,IncAccount,LEFT($A32,5)&amp;"*")+SUMIFS(ExpExcl,ExpDocDate,"&gt;="&amp;DATE(YEAR(I$4),MONTH(I$4),1),ExpDocDate,"&lt;="&amp;I$4,ExpAccount,LEFT($A32,5)&amp;"*"),-SUMIFS(IncExcl,IncDocDate,"&gt;="&amp;DATE(YEAR(I$4),MONTH(I$4),1),IncDocDate,"&lt;="&amp;I$4,IncAccount,$A32)+SUMIFS(ExpExcl,ExpDocDate,"&gt;="&amp;DATE(YEAR(I$4),MONTH(I$4),1),ExpDocDate,"&lt;="&amp;I$4,ExpAccount,$A32))</f>
        <v>54320</v>
      </c>
      <c r="J32" s="89" cm="1">
        <f t="array" aca="1" ref="J32" ca="1">IF(RIGHT($A32,1)="G",-SUMIFS(IncExcl,IncDocDate,"&gt;="&amp;DATE(YEAR(J$4),MONTH(J$4),1),IncDocDate,"&lt;="&amp;J$4,IncAccount,LEFT($A32,5)&amp;"*")+SUMIFS(ExpExcl,ExpDocDate,"&gt;="&amp;DATE(YEAR(J$4),MONTH(J$4),1),ExpDocDate,"&lt;="&amp;J$4,ExpAccount,LEFT($A32,5)&amp;"*"),-SUMIFS(IncExcl,IncDocDate,"&gt;="&amp;DATE(YEAR(J$4),MONTH(J$4),1),IncDocDate,"&lt;="&amp;J$4,IncAccount,$A32)+SUMIFS(ExpExcl,ExpDocDate,"&gt;="&amp;DATE(YEAR(J$4),MONTH(J$4),1),ExpDocDate,"&lt;="&amp;J$4,ExpAccount,$A32))</f>
        <v>54320</v>
      </c>
      <c r="K32" s="89" cm="1">
        <f t="array" aca="1" ref="K32" ca="1">IF(RIGHT($A32,1)="G",-SUMIFS(IncExcl,IncDocDate,"&gt;="&amp;DATE(YEAR(K$4),MONTH(K$4),1),IncDocDate,"&lt;="&amp;K$4,IncAccount,LEFT($A32,5)&amp;"*")+SUMIFS(ExpExcl,ExpDocDate,"&gt;="&amp;DATE(YEAR(K$4),MONTH(K$4),1),ExpDocDate,"&lt;="&amp;K$4,ExpAccount,LEFT($A32,5)&amp;"*"),-SUMIFS(IncExcl,IncDocDate,"&gt;="&amp;DATE(YEAR(K$4),MONTH(K$4),1),IncDocDate,"&lt;="&amp;K$4,IncAccount,$A32)+SUMIFS(ExpExcl,ExpDocDate,"&gt;="&amp;DATE(YEAR(K$4),MONTH(K$4),1),ExpDocDate,"&lt;="&amp;K$4,ExpAccount,$A32))</f>
        <v>54320</v>
      </c>
      <c r="L32" s="89" cm="1">
        <f t="array" aca="1" ref="L32" ca="1">IF(RIGHT($A32,1)="G",-SUMIFS(IncExcl,IncDocDate,"&gt;="&amp;DATE(YEAR(L$4),MONTH(L$4),1),IncDocDate,"&lt;="&amp;L$4,IncAccount,LEFT($A32,5)&amp;"*")+SUMIFS(ExpExcl,ExpDocDate,"&gt;="&amp;DATE(YEAR(L$4),MONTH(L$4),1),ExpDocDate,"&lt;="&amp;L$4,ExpAccount,LEFT($A32,5)&amp;"*"),-SUMIFS(IncExcl,IncDocDate,"&gt;="&amp;DATE(YEAR(L$4),MONTH(L$4),1),IncDocDate,"&lt;="&amp;L$4,IncAccount,$A32)+SUMIFS(ExpExcl,ExpDocDate,"&gt;="&amp;DATE(YEAR(L$4),MONTH(L$4),1),ExpDocDate,"&lt;="&amp;L$4,ExpAccount,$A32))</f>
        <v>88200</v>
      </c>
      <c r="M32" s="89" cm="1">
        <f t="array" aca="1" ref="M32" ca="1">IF(RIGHT($A32,1)="G",-SUMIFS(IncExcl,IncDocDate,"&gt;="&amp;DATE(YEAR(M$4),MONTH(M$4),1),IncDocDate,"&lt;="&amp;M$4,IncAccount,LEFT($A32,5)&amp;"*")+SUMIFS(ExpExcl,ExpDocDate,"&gt;="&amp;DATE(YEAR(M$4),MONTH(M$4),1),ExpDocDate,"&lt;="&amp;M$4,ExpAccount,LEFT($A32,5)&amp;"*"),-SUMIFS(IncExcl,IncDocDate,"&gt;="&amp;DATE(YEAR(M$4),MONTH(M$4),1),IncDocDate,"&lt;="&amp;M$4,IncAccount,$A32)+SUMIFS(ExpExcl,ExpDocDate,"&gt;="&amp;DATE(YEAR(M$4),MONTH(M$4),1),ExpDocDate,"&lt;="&amp;M$4,ExpAccount,$A32))</f>
        <v>54320</v>
      </c>
      <c r="N32" s="89" cm="1">
        <f t="array" aca="1" ref="N32" ca="1">IF(RIGHT($A32,1)="G",-SUMIFS(IncExcl,IncDocDate,"&gt;="&amp;DATE(YEAR(N$4),MONTH(N$4),1),IncDocDate,"&lt;="&amp;N$4,IncAccount,LEFT($A32,5)&amp;"*")+SUMIFS(ExpExcl,ExpDocDate,"&gt;="&amp;DATE(YEAR(N$4),MONTH(N$4),1),ExpDocDate,"&lt;="&amp;N$4,ExpAccount,LEFT($A32,5)&amp;"*"),-SUMIFS(IncExcl,IncDocDate,"&gt;="&amp;DATE(YEAR(N$4),MONTH(N$4),1),IncDocDate,"&lt;="&amp;N$4,IncAccount,$A32)+SUMIFS(ExpExcl,ExpDocDate,"&gt;="&amp;DATE(YEAR(N$4),MONTH(N$4),1),ExpDocDate,"&lt;="&amp;N$4,ExpAccount,$A32))</f>
        <v>54320</v>
      </c>
      <c r="O32" s="88">
        <f t="shared" ca="1" si="5"/>
        <v>685720</v>
      </c>
      <c r="P32" s="88" cm="1">
        <f t="array" aca="1" ref="P32" ca="1">IF(RIGHT($A32,1)="G",-SUMIFS(IncExcl,IncDocDate,"&gt;="&amp;$P$2,IncDocDate,"&lt;="&amp;$P$3,IncAccount,LEFT($A32,5)&amp;"*")+SUMIFS(ExpExcl,ExpDocDate,"&gt;="&amp;$P$2,ExpDocDate,"&lt;="&amp;$P$3,ExpAccount,LEFT($A32,5)&amp;"*"),-SUMIFS(IncExcl,IncDocDate,"&gt;="&amp;$P$2,IncDocDate,"&lt;="&amp;$P$3,IncAccount,$A32)+SUMIFS(ExpExcl,ExpDocDate,"&gt;="&amp;$P$2,ExpDocDate,"&lt;="&amp;$P$3,ExpAccount,$A32))</f>
        <v>0</v>
      </c>
    </row>
    <row r="33" spans="1:16" s="3" customFormat="1" ht="16" customHeight="1" thickBot="1" x14ac:dyDescent="0.3">
      <c r="A33" s="184"/>
      <c r="B33" s="3" t="s">
        <v>369</v>
      </c>
      <c r="C33" s="87">
        <f ca="1">SUM(OFFSET(C30,1,0,ROW($B33)-ROW($B30)-1,1))</f>
        <v>96520</v>
      </c>
      <c r="D33" s="87">
        <f t="shared" ref="D33:P33" ca="1" si="6">SUM(OFFSET(D30,1,0,ROW($B33)-ROW($B30)-1,1))</f>
        <v>96520</v>
      </c>
      <c r="E33" s="87">
        <f t="shared" ca="1" si="6"/>
        <v>96520</v>
      </c>
      <c r="F33" s="87">
        <f t="shared" ca="1" si="6"/>
        <v>96520</v>
      </c>
      <c r="G33" s="87">
        <f t="shared" ca="1" si="6"/>
        <v>96520</v>
      </c>
      <c r="H33" s="87">
        <f t="shared" ca="1" si="6"/>
        <v>96520</v>
      </c>
      <c r="I33" s="87">
        <f t="shared" ca="1" si="6"/>
        <v>96520</v>
      </c>
      <c r="J33" s="87">
        <f t="shared" ca="1" si="6"/>
        <v>96520</v>
      </c>
      <c r="K33" s="87">
        <f t="shared" ca="1" si="6"/>
        <v>96520</v>
      </c>
      <c r="L33" s="87">
        <f t="shared" ca="1" si="6"/>
        <v>172600</v>
      </c>
      <c r="M33" s="87">
        <f t="shared" ca="1" si="6"/>
        <v>96520</v>
      </c>
      <c r="N33" s="87">
        <f t="shared" ca="1" si="6"/>
        <v>96520</v>
      </c>
      <c r="O33" s="87">
        <f t="shared" ca="1" si="6"/>
        <v>1234320</v>
      </c>
      <c r="P33" s="87">
        <f t="shared" ca="1" si="6"/>
        <v>0</v>
      </c>
    </row>
    <row r="34" spans="1:16" ht="16" customHeight="1" x14ac:dyDescent="0.25">
      <c r="A34" s="183" t="s">
        <v>378</v>
      </c>
      <c r="B34" s="17" t="str">
        <f ca="1">IF(RIGHT($A34,1)="G",IF(ISNA(VLOOKUP(LEFT($A34,LEN($A34)-1),GroupAll,COLUMN(Groups!$B$4),0)),"Group Not Found",VLOOKUP(LEFT($A34,LEN($A34)-1),GroupAll,COLUMN(Groups!$B$4),0)),IF(ISNA(VLOOKUP($A34,AccountAll,COLUMN(TB!$B$4),0)),"Account Not Found",VLOOKUP($A34,AccountAll,COLUMN(TB!$B$4),0)))</f>
        <v>Other Expenses</v>
      </c>
      <c r="C34" s="89" cm="1">
        <f t="array" aca="1" ref="C34" ca="1">IF(RIGHT($A34,1)="G",-SUMIFS(IncExcl,IncDocDate,"&gt;="&amp;DATE(YEAR(C$4),MONTH(C$4),1),IncDocDate,"&lt;="&amp;C$4,IncAccount,LEFT($A34,5)&amp;"*")+SUMIFS(ExpExcl,ExpDocDate,"&gt;="&amp;DATE(YEAR(C$4),MONTH(C$4),1),ExpDocDate,"&lt;="&amp;C$4,ExpAccount,LEFT($A34,5)&amp;"*"),-SUMIFS(IncExcl,IncDocDate,"&gt;="&amp;DATE(YEAR(C$4),MONTH(C$4),1),IncDocDate,"&lt;="&amp;C$4,IncAccount,$A34)+SUMIFS(ExpExcl,ExpDocDate,"&gt;="&amp;DATE(YEAR(C$4),MONTH(C$4),1),ExpDocDate,"&lt;="&amp;C$4,ExpAccount,$A34))</f>
        <v>0</v>
      </c>
      <c r="D34" s="89" cm="1">
        <f t="array" aca="1" ref="D34" ca="1">IF(RIGHT($A34,1)="G",-SUMIFS(IncExcl,IncDocDate,"&gt;="&amp;DATE(YEAR(D$4),MONTH(D$4),1),IncDocDate,"&lt;="&amp;D$4,IncAccount,LEFT($A34,5)&amp;"*")+SUMIFS(ExpExcl,ExpDocDate,"&gt;="&amp;DATE(YEAR(D$4),MONTH(D$4),1),ExpDocDate,"&lt;="&amp;D$4,ExpAccount,LEFT($A34,5)&amp;"*"),-SUMIFS(IncExcl,IncDocDate,"&gt;="&amp;DATE(YEAR(D$4),MONTH(D$4),1),IncDocDate,"&lt;="&amp;D$4,IncAccount,$A34)+SUMIFS(ExpExcl,ExpDocDate,"&gt;="&amp;DATE(YEAR(D$4),MONTH(D$4),1),ExpDocDate,"&lt;="&amp;D$4,ExpAccount,$A34))</f>
        <v>0</v>
      </c>
      <c r="E34" s="89" cm="1">
        <f t="array" aca="1" ref="E34" ca="1">IF(RIGHT($A34,1)="G",-SUMIFS(IncExcl,IncDocDate,"&gt;="&amp;DATE(YEAR(E$4),MONTH(E$4),1),IncDocDate,"&lt;="&amp;E$4,IncAccount,LEFT($A34,5)&amp;"*")+SUMIFS(ExpExcl,ExpDocDate,"&gt;="&amp;DATE(YEAR(E$4),MONTH(E$4),1),ExpDocDate,"&lt;="&amp;E$4,ExpAccount,LEFT($A34,5)&amp;"*"),-SUMIFS(IncExcl,IncDocDate,"&gt;="&amp;DATE(YEAR(E$4),MONTH(E$4),1),IncDocDate,"&lt;="&amp;E$4,IncAccount,$A34)+SUMIFS(ExpExcl,ExpDocDate,"&gt;="&amp;DATE(YEAR(E$4),MONTH(E$4),1),ExpDocDate,"&lt;="&amp;E$4,ExpAccount,$A34))</f>
        <v>0</v>
      </c>
      <c r="F34" s="89" cm="1">
        <f t="array" aca="1" ref="F34" ca="1">IF(RIGHT($A34,1)="G",-SUMIFS(IncExcl,IncDocDate,"&gt;="&amp;DATE(YEAR(F$4),MONTH(F$4),1),IncDocDate,"&lt;="&amp;F$4,IncAccount,LEFT($A34,5)&amp;"*")+SUMIFS(ExpExcl,ExpDocDate,"&gt;="&amp;DATE(YEAR(F$4),MONTH(F$4),1),ExpDocDate,"&lt;="&amp;F$4,ExpAccount,LEFT($A34,5)&amp;"*"),-SUMIFS(IncExcl,IncDocDate,"&gt;="&amp;DATE(YEAR(F$4),MONTH(F$4),1),IncDocDate,"&lt;="&amp;F$4,IncAccount,$A34)+SUMIFS(ExpExcl,ExpDocDate,"&gt;="&amp;DATE(YEAR(F$4),MONTH(F$4),1),ExpDocDate,"&lt;="&amp;F$4,ExpAccount,$A34))</f>
        <v>0</v>
      </c>
      <c r="G34" s="89" cm="1">
        <f t="array" aca="1" ref="G34" ca="1">IF(RIGHT($A34,1)="G",-SUMIFS(IncExcl,IncDocDate,"&gt;="&amp;DATE(YEAR(G$4),MONTH(G$4),1),IncDocDate,"&lt;="&amp;G$4,IncAccount,LEFT($A34,5)&amp;"*")+SUMIFS(ExpExcl,ExpDocDate,"&gt;="&amp;DATE(YEAR(G$4),MONTH(G$4),1),ExpDocDate,"&lt;="&amp;G$4,ExpAccount,LEFT($A34,5)&amp;"*"),-SUMIFS(IncExcl,IncDocDate,"&gt;="&amp;DATE(YEAR(G$4),MONTH(G$4),1),IncDocDate,"&lt;="&amp;G$4,IncAccount,$A34)+SUMIFS(ExpExcl,ExpDocDate,"&gt;="&amp;DATE(YEAR(G$4),MONTH(G$4),1),ExpDocDate,"&lt;="&amp;G$4,ExpAccount,$A34))</f>
        <v>0</v>
      </c>
      <c r="H34" s="89" cm="1">
        <f t="array" aca="1" ref="H34" ca="1">IF(RIGHT($A34,1)="G",-SUMIFS(IncExcl,IncDocDate,"&gt;="&amp;DATE(YEAR(H$4),MONTH(H$4),1),IncDocDate,"&lt;="&amp;H$4,IncAccount,LEFT($A34,5)&amp;"*")+SUMIFS(ExpExcl,ExpDocDate,"&gt;="&amp;DATE(YEAR(H$4),MONTH(H$4),1),ExpDocDate,"&lt;="&amp;H$4,ExpAccount,LEFT($A34,5)&amp;"*"),-SUMIFS(IncExcl,IncDocDate,"&gt;="&amp;DATE(YEAR(H$4),MONTH(H$4),1),IncDocDate,"&lt;="&amp;H$4,IncAccount,$A34)+SUMIFS(ExpExcl,ExpDocDate,"&gt;="&amp;DATE(YEAR(H$4),MONTH(H$4),1),ExpDocDate,"&lt;="&amp;H$4,ExpAccount,$A34))</f>
        <v>0</v>
      </c>
      <c r="I34" s="89" cm="1">
        <f t="array" aca="1" ref="I34" ca="1">IF(RIGHT($A34,1)="G",-SUMIFS(IncExcl,IncDocDate,"&gt;="&amp;DATE(YEAR(I$4),MONTH(I$4),1),IncDocDate,"&lt;="&amp;I$4,IncAccount,LEFT($A34,5)&amp;"*")+SUMIFS(ExpExcl,ExpDocDate,"&gt;="&amp;DATE(YEAR(I$4),MONTH(I$4),1),ExpDocDate,"&lt;="&amp;I$4,ExpAccount,LEFT($A34,5)&amp;"*"),-SUMIFS(IncExcl,IncDocDate,"&gt;="&amp;DATE(YEAR(I$4),MONTH(I$4),1),IncDocDate,"&lt;="&amp;I$4,IncAccount,$A34)+SUMIFS(ExpExcl,ExpDocDate,"&gt;="&amp;DATE(YEAR(I$4),MONTH(I$4),1),ExpDocDate,"&lt;="&amp;I$4,ExpAccount,$A34))</f>
        <v>0</v>
      </c>
      <c r="J34" s="89" cm="1">
        <f t="array" aca="1" ref="J34" ca="1">IF(RIGHT($A34,1)="G",-SUMIFS(IncExcl,IncDocDate,"&gt;="&amp;DATE(YEAR(J$4),MONTH(J$4),1),IncDocDate,"&lt;="&amp;J$4,IncAccount,LEFT($A34,5)&amp;"*")+SUMIFS(ExpExcl,ExpDocDate,"&gt;="&amp;DATE(YEAR(J$4),MONTH(J$4),1),ExpDocDate,"&lt;="&amp;J$4,ExpAccount,LEFT($A34,5)&amp;"*"),-SUMIFS(IncExcl,IncDocDate,"&gt;="&amp;DATE(YEAR(J$4),MONTH(J$4),1),IncDocDate,"&lt;="&amp;J$4,IncAccount,$A34)+SUMIFS(ExpExcl,ExpDocDate,"&gt;="&amp;DATE(YEAR(J$4),MONTH(J$4),1),ExpDocDate,"&lt;="&amp;J$4,ExpAccount,$A34))</f>
        <v>0</v>
      </c>
      <c r="K34" s="89" cm="1">
        <f t="array" aca="1" ref="K34" ca="1">IF(RIGHT($A34,1)="G",-SUMIFS(IncExcl,IncDocDate,"&gt;="&amp;DATE(YEAR(K$4),MONTH(K$4),1),IncDocDate,"&lt;="&amp;K$4,IncAccount,LEFT($A34,5)&amp;"*")+SUMIFS(ExpExcl,ExpDocDate,"&gt;="&amp;DATE(YEAR(K$4),MONTH(K$4),1),ExpDocDate,"&lt;="&amp;K$4,ExpAccount,LEFT($A34,5)&amp;"*"),-SUMIFS(IncExcl,IncDocDate,"&gt;="&amp;DATE(YEAR(K$4),MONTH(K$4),1),IncDocDate,"&lt;="&amp;K$4,IncAccount,$A34)+SUMIFS(ExpExcl,ExpDocDate,"&gt;="&amp;DATE(YEAR(K$4),MONTH(K$4),1),ExpDocDate,"&lt;="&amp;K$4,ExpAccount,$A34))</f>
        <v>0</v>
      </c>
      <c r="L34" s="89" cm="1">
        <f t="array" aca="1" ref="L34" ca="1">IF(RIGHT($A34,1)="G",-SUMIFS(IncExcl,IncDocDate,"&gt;="&amp;DATE(YEAR(L$4),MONTH(L$4),1),IncDocDate,"&lt;="&amp;L$4,IncAccount,LEFT($A34,5)&amp;"*")+SUMIFS(ExpExcl,ExpDocDate,"&gt;="&amp;DATE(YEAR(L$4),MONTH(L$4),1),ExpDocDate,"&lt;="&amp;L$4,ExpAccount,LEFT($A34,5)&amp;"*"),-SUMIFS(IncExcl,IncDocDate,"&gt;="&amp;DATE(YEAR(L$4),MONTH(L$4),1),IncDocDate,"&lt;="&amp;L$4,IncAccount,$A34)+SUMIFS(ExpExcl,ExpDocDate,"&gt;="&amp;DATE(YEAR(L$4),MONTH(L$4),1),ExpDocDate,"&lt;="&amp;L$4,ExpAccount,$A34))</f>
        <v>0</v>
      </c>
      <c r="M34" s="89" cm="1">
        <f t="array" aca="1" ref="M34" ca="1">IF(RIGHT($A34,1)="G",-SUMIFS(IncExcl,IncDocDate,"&gt;="&amp;DATE(YEAR(M$4),MONTH(M$4),1),IncDocDate,"&lt;="&amp;M$4,IncAccount,LEFT($A34,5)&amp;"*")+SUMIFS(ExpExcl,ExpDocDate,"&gt;="&amp;DATE(YEAR(M$4),MONTH(M$4),1),ExpDocDate,"&lt;="&amp;M$4,ExpAccount,LEFT($A34,5)&amp;"*"),-SUMIFS(IncExcl,IncDocDate,"&gt;="&amp;DATE(YEAR(M$4),MONTH(M$4),1),IncDocDate,"&lt;="&amp;M$4,IncAccount,$A34)+SUMIFS(ExpExcl,ExpDocDate,"&gt;="&amp;DATE(YEAR(M$4),MONTH(M$4),1),ExpDocDate,"&lt;="&amp;M$4,ExpAccount,$A34))</f>
        <v>0</v>
      </c>
      <c r="N34" s="89" cm="1">
        <f t="array" aca="1" ref="N34" ca="1">IF(RIGHT($A34,1)="G",-SUMIFS(IncExcl,IncDocDate,"&gt;="&amp;DATE(YEAR(N$4),MONTH(N$4),1),IncDocDate,"&lt;="&amp;N$4,IncAccount,LEFT($A34,5)&amp;"*")+SUMIFS(ExpExcl,ExpDocDate,"&gt;="&amp;DATE(YEAR(N$4),MONTH(N$4),1),ExpDocDate,"&lt;="&amp;N$4,ExpAccount,LEFT($A34,5)&amp;"*"),-SUMIFS(IncExcl,IncDocDate,"&gt;="&amp;DATE(YEAR(N$4),MONTH(N$4),1),IncDocDate,"&lt;="&amp;N$4,IncAccount,$A34)+SUMIFS(ExpExcl,ExpDocDate,"&gt;="&amp;DATE(YEAR(N$4),MONTH(N$4),1),ExpDocDate,"&lt;="&amp;N$4,ExpAccount,$A34))</f>
        <v>0</v>
      </c>
      <c r="O34" s="88">
        <f ca="1">SUM(C34:N34)</f>
        <v>0</v>
      </c>
      <c r="P34" s="88" cm="1">
        <f t="array" aca="1" ref="P34" ca="1">IF(RIGHT($A34,1)="G",-SUMIFS(IncExcl,IncDocDate,"&gt;="&amp;$P$2,IncDocDate,"&lt;="&amp;$P$3,IncAccount,LEFT($A34,5)&amp;"*")+SUMIFS(ExpExcl,ExpDocDate,"&gt;="&amp;$P$2,ExpDocDate,"&lt;="&amp;$P$3,ExpAccount,LEFT($A34,5)&amp;"*"),-SUMIFS(IncExcl,IncDocDate,"&gt;="&amp;$P$2,IncDocDate,"&lt;="&amp;$P$3,IncAccount,$A34)+SUMIFS(ExpExcl,ExpDocDate,"&gt;="&amp;$P$2,ExpDocDate,"&lt;="&amp;$P$3,ExpAccount,$A34))</f>
        <v>0</v>
      </c>
    </row>
    <row r="35" spans="1:16" s="3" customFormat="1" ht="16" customHeight="1" x14ac:dyDescent="0.25">
      <c r="A35" s="184"/>
      <c r="B35" s="3" t="s">
        <v>338</v>
      </c>
      <c r="C35" s="86"/>
      <c r="D35" s="86"/>
      <c r="E35" s="86"/>
      <c r="F35" s="86"/>
      <c r="G35" s="86"/>
      <c r="H35" s="86"/>
    </row>
    <row r="36" spans="1:16" ht="16" customHeight="1" x14ac:dyDescent="0.25">
      <c r="A36" s="183" t="s">
        <v>307</v>
      </c>
      <c r="B36" s="17" t="str">
        <f ca="1">IF(RIGHT($A36,1)="G",IF(ISNA(VLOOKUP(LEFT($A36,LEN($A36)-1),GroupAll,COLUMN(Groups!$B$4),0)),"Group Not Found",VLOOKUP(LEFT($A36,LEN($A36)-1),GroupAll,COLUMN(Groups!$B$4),0)),IF(ISNA(VLOOKUP($A36,AccountAll,COLUMN(TB!$B$4),0)),"Account Not Found",VLOOKUP($A36,AccountAll,COLUMN(TB!$B$4),0)))</f>
        <v>Depreciation</v>
      </c>
      <c r="C36" s="89" cm="1">
        <f t="array" aca="1" ref="C36" ca="1">IF(RIGHT($A36,1)="G",-SUMIFS(IncExcl,IncDocDate,"&gt;="&amp;DATE(YEAR(C$4),MONTH(C$4),1),IncDocDate,"&lt;="&amp;C$4,IncAccount,LEFT($A36,5)&amp;"*")+SUMIFS(ExpExcl,ExpDocDate,"&gt;="&amp;DATE(YEAR(C$4),MONTH(C$4),1),ExpDocDate,"&lt;="&amp;C$4,ExpAccount,LEFT($A36,5)&amp;"*"),-SUMIFS(IncExcl,IncDocDate,"&gt;="&amp;DATE(YEAR(C$4),MONTH(C$4),1),IncDocDate,"&lt;="&amp;C$4,IncAccount,$A36)+SUMIFS(ExpExcl,ExpDocDate,"&gt;="&amp;DATE(YEAR(C$4),MONTH(C$4),1),ExpDocDate,"&lt;="&amp;C$4,ExpAccount,$A36))</f>
        <v>0</v>
      </c>
      <c r="D36" s="89" cm="1">
        <f t="array" aca="1" ref="D36" ca="1">IF(RIGHT($A36,1)="G",-SUMIFS(IncExcl,IncDocDate,"&gt;="&amp;DATE(YEAR(D$4),MONTH(D$4),1),IncDocDate,"&lt;="&amp;D$4,IncAccount,LEFT($A36,5)&amp;"*")+SUMIFS(ExpExcl,ExpDocDate,"&gt;="&amp;DATE(YEAR(D$4),MONTH(D$4),1),ExpDocDate,"&lt;="&amp;D$4,ExpAccount,LEFT($A36,5)&amp;"*"),-SUMIFS(IncExcl,IncDocDate,"&gt;="&amp;DATE(YEAR(D$4),MONTH(D$4),1),IncDocDate,"&lt;="&amp;D$4,IncAccount,$A36)+SUMIFS(ExpExcl,ExpDocDate,"&gt;="&amp;DATE(YEAR(D$4),MONTH(D$4),1),ExpDocDate,"&lt;="&amp;D$4,ExpAccount,$A36))</f>
        <v>0</v>
      </c>
      <c r="E36" s="89" cm="1">
        <f t="array" aca="1" ref="E36" ca="1">IF(RIGHT($A36,1)="G",-SUMIFS(IncExcl,IncDocDate,"&gt;="&amp;DATE(YEAR(E$4),MONTH(E$4),1),IncDocDate,"&lt;="&amp;E$4,IncAccount,LEFT($A36,5)&amp;"*")+SUMIFS(ExpExcl,ExpDocDate,"&gt;="&amp;DATE(YEAR(E$4),MONTH(E$4),1),ExpDocDate,"&lt;="&amp;E$4,ExpAccount,LEFT($A36,5)&amp;"*"),-SUMIFS(IncExcl,IncDocDate,"&gt;="&amp;DATE(YEAR(E$4),MONTH(E$4),1),IncDocDate,"&lt;="&amp;E$4,IncAccount,$A36)+SUMIFS(ExpExcl,ExpDocDate,"&gt;="&amp;DATE(YEAR(E$4),MONTH(E$4),1),ExpDocDate,"&lt;="&amp;E$4,ExpAccount,$A36))</f>
        <v>0</v>
      </c>
      <c r="F36" s="89" cm="1">
        <f t="array" aca="1" ref="F36" ca="1">IF(RIGHT($A36,1)="G",-SUMIFS(IncExcl,IncDocDate,"&gt;="&amp;DATE(YEAR(F$4),MONTH(F$4),1),IncDocDate,"&lt;="&amp;F$4,IncAccount,LEFT($A36,5)&amp;"*")+SUMIFS(ExpExcl,ExpDocDate,"&gt;="&amp;DATE(YEAR(F$4),MONTH(F$4),1),ExpDocDate,"&lt;="&amp;F$4,ExpAccount,LEFT($A36,5)&amp;"*"),-SUMIFS(IncExcl,IncDocDate,"&gt;="&amp;DATE(YEAR(F$4),MONTH(F$4),1),IncDocDate,"&lt;="&amp;F$4,IncAccount,$A36)+SUMIFS(ExpExcl,ExpDocDate,"&gt;="&amp;DATE(YEAR(F$4),MONTH(F$4),1),ExpDocDate,"&lt;="&amp;F$4,ExpAccount,$A36))</f>
        <v>0</v>
      </c>
      <c r="G36" s="89" cm="1">
        <f t="array" aca="1" ref="G36" ca="1">IF(RIGHT($A36,1)="G",-SUMIFS(IncExcl,IncDocDate,"&gt;="&amp;DATE(YEAR(G$4),MONTH(G$4),1),IncDocDate,"&lt;="&amp;G$4,IncAccount,LEFT($A36,5)&amp;"*")+SUMIFS(ExpExcl,ExpDocDate,"&gt;="&amp;DATE(YEAR(G$4),MONTH(G$4),1),ExpDocDate,"&lt;="&amp;G$4,ExpAccount,LEFT($A36,5)&amp;"*"),-SUMIFS(IncExcl,IncDocDate,"&gt;="&amp;DATE(YEAR(G$4),MONTH(G$4),1),IncDocDate,"&lt;="&amp;G$4,IncAccount,$A36)+SUMIFS(ExpExcl,ExpDocDate,"&gt;="&amp;DATE(YEAR(G$4),MONTH(G$4),1),ExpDocDate,"&lt;="&amp;G$4,ExpAccount,$A36))</f>
        <v>0</v>
      </c>
      <c r="H36" s="89" cm="1">
        <f t="array" aca="1" ref="H36" ca="1">IF(RIGHT($A36,1)="G",-SUMIFS(IncExcl,IncDocDate,"&gt;="&amp;DATE(YEAR(H$4),MONTH(H$4),1),IncDocDate,"&lt;="&amp;H$4,IncAccount,LEFT($A36,5)&amp;"*")+SUMIFS(ExpExcl,ExpDocDate,"&gt;="&amp;DATE(YEAR(H$4),MONTH(H$4),1),ExpDocDate,"&lt;="&amp;H$4,ExpAccount,LEFT($A36,5)&amp;"*"),-SUMIFS(IncExcl,IncDocDate,"&gt;="&amp;DATE(YEAR(H$4),MONTH(H$4),1),IncDocDate,"&lt;="&amp;H$4,IncAccount,$A36)+SUMIFS(ExpExcl,ExpDocDate,"&gt;="&amp;DATE(YEAR(H$4),MONTH(H$4),1),ExpDocDate,"&lt;="&amp;H$4,ExpAccount,$A36))</f>
        <v>0</v>
      </c>
      <c r="I36" s="89" cm="1">
        <f t="array" aca="1" ref="I36" ca="1">IF(RIGHT($A36,1)="G",-SUMIFS(IncExcl,IncDocDate,"&gt;="&amp;DATE(YEAR(I$4),MONTH(I$4),1),IncDocDate,"&lt;="&amp;I$4,IncAccount,LEFT($A36,5)&amp;"*")+SUMIFS(ExpExcl,ExpDocDate,"&gt;="&amp;DATE(YEAR(I$4),MONTH(I$4),1),ExpDocDate,"&lt;="&amp;I$4,ExpAccount,LEFT($A36,5)&amp;"*"),-SUMIFS(IncExcl,IncDocDate,"&gt;="&amp;DATE(YEAR(I$4),MONTH(I$4),1),IncDocDate,"&lt;="&amp;I$4,IncAccount,$A36)+SUMIFS(ExpExcl,ExpDocDate,"&gt;="&amp;DATE(YEAR(I$4),MONTH(I$4),1),ExpDocDate,"&lt;="&amp;I$4,ExpAccount,$A36))</f>
        <v>0</v>
      </c>
      <c r="J36" s="89" cm="1">
        <f t="array" aca="1" ref="J36" ca="1">IF(RIGHT($A36,1)="G",-SUMIFS(IncExcl,IncDocDate,"&gt;="&amp;DATE(YEAR(J$4),MONTH(J$4),1),IncDocDate,"&lt;="&amp;J$4,IncAccount,LEFT($A36,5)&amp;"*")+SUMIFS(ExpExcl,ExpDocDate,"&gt;="&amp;DATE(YEAR(J$4),MONTH(J$4),1),ExpDocDate,"&lt;="&amp;J$4,ExpAccount,LEFT($A36,5)&amp;"*"),-SUMIFS(IncExcl,IncDocDate,"&gt;="&amp;DATE(YEAR(J$4),MONTH(J$4),1),IncDocDate,"&lt;="&amp;J$4,IncAccount,$A36)+SUMIFS(ExpExcl,ExpDocDate,"&gt;="&amp;DATE(YEAR(J$4),MONTH(J$4),1),ExpDocDate,"&lt;="&amp;J$4,ExpAccount,$A36))</f>
        <v>0</v>
      </c>
      <c r="K36" s="89" cm="1">
        <f t="array" aca="1" ref="K36" ca="1">IF(RIGHT($A36,1)="G",-SUMIFS(IncExcl,IncDocDate,"&gt;="&amp;DATE(YEAR(K$4),MONTH(K$4),1),IncDocDate,"&lt;="&amp;K$4,IncAccount,LEFT($A36,5)&amp;"*")+SUMIFS(ExpExcl,ExpDocDate,"&gt;="&amp;DATE(YEAR(K$4),MONTH(K$4),1),ExpDocDate,"&lt;="&amp;K$4,ExpAccount,LEFT($A36,5)&amp;"*"),-SUMIFS(IncExcl,IncDocDate,"&gt;="&amp;DATE(YEAR(K$4),MONTH(K$4),1),IncDocDate,"&lt;="&amp;K$4,IncAccount,$A36)+SUMIFS(ExpExcl,ExpDocDate,"&gt;="&amp;DATE(YEAR(K$4),MONTH(K$4),1),ExpDocDate,"&lt;="&amp;K$4,ExpAccount,$A36))</f>
        <v>0</v>
      </c>
      <c r="L36" s="89" cm="1">
        <f t="array" aca="1" ref="L36" ca="1">IF(RIGHT($A36,1)="G",-SUMIFS(IncExcl,IncDocDate,"&gt;="&amp;DATE(YEAR(L$4),MONTH(L$4),1),IncDocDate,"&lt;="&amp;L$4,IncAccount,LEFT($A36,5)&amp;"*")+SUMIFS(ExpExcl,ExpDocDate,"&gt;="&amp;DATE(YEAR(L$4),MONTH(L$4),1),ExpDocDate,"&lt;="&amp;L$4,ExpAccount,LEFT($A36,5)&amp;"*"),-SUMIFS(IncExcl,IncDocDate,"&gt;="&amp;DATE(YEAR(L$4),MONTH(L$4),1),IncDocDate,"&lt;="&amp;L$4,IncAccount,$A36)+SUMIFS(ExpExcl,ExpDocDate,"&gt;="&amp;DATE(YEAR(L$4),MONTH(L$4),1),ExpDocDate,"&lt;="&amp;L$4,ExpAccount,$A36))</f>
        <v>0</v>
      </c>
      <c r="M36" s="89" cm="1">
        <f t="array" aca="1" ref="M36" ca="1">IF(RIGHT($A36,1)="G",-SUMIFS(IncExcl,IncDocDate,"&gt;="&amp;DATE(YEAR(M$4),MONTH(M$4),1),IncDocDate,"&lt;="&amp;M$4,IncAccount,LEFT($A36,5)&amp;"*")+SUMIFS(ExpExcl,ExpDocDate,"&gt;="&amp;DATE(YEAR(M$4),MONTH(M$4),1),ExpDocDate,"&lt;="&amp;M$4,ExpAccount,LEFT($A36,5)&amp;"*"),-SUMIFS(IncExcl,IncDocDate,"&gt;="&amp;DATE(YEAR(M$4),MONTH(M$4),1),IncDocDate,"&lt;="&amp;M$4,IncAccount,$A36)+SUMIFS(ExpExcl,ExpDocDate,"&gt;="&amp;DATE(YEAR(M$4),MONTH(M$4),1),ExpDocDate,"&lt;="&amp;M$4,ExpAccount,$A36))</f>
        <v>0</v>
      </c>
      <c r="N36" s="89" cm="1">
        <f t="array" aca="1" ref="N36" ca="1">IF(RIGHT($A36,1)="G",-SUMIFS(IncExcl,IncDocDate,"&gt;="&amp;DATE(YEAR(N$4),MONTH(N$4),1),IncDocDate,"&lt;="&amp;N$4,IncAccount,LEFT($A36,5)&amp;"*")+SUMIFS(ExpExcl,ExpDocDate,"&gt;="&amp;DATE(YEAR(N$4),MONTH(N$4),1),ExpDocDate,"&lt;="&amp;N$4,ExpAccount,LEFT($A36,5)&amp;"*"),-SUMIFS(IncExcl,IncDocDate,"&gt;="&amp;DATE(YEAR(N$4),MONTH(N$4),1),IncDocDate,"&lt;="&amp;N$4,IncAccount,$A36)+SUMIFS(ExpExcl,ExpDocDate,"&gt;="&amp;DATE(YEAR(N$4),MONTH(N$4),1),ExpDocDate,"&lt;="&amp;N$4,ExpAccount,$A36))</f>
        <v>30422</v>
      </c>
      <c r="O36" s="88">
        <f t="shared" ref="O36:O37" ca="1" si="7">SUM(C36:N36)</f>
        <v>30422</v>
      </c>
      <c r="P36" s="88" cm="1">
        <f t="array" aca="1" ref="P36" ca="1">IF(RIGHT($A36,1)="G",-SUMIFS(IncExcl,IncDocDate,"&gt;="&amp;$P$2,IncDocDate,"&lt;="&amp;$P$3,IncAccount,LEFT($A36,5)&amp;"*")+SUMIFS(ExpExcl,ExpDocDate,"&gt;="&amp;$P$2,ExpDocDate,"&lt;="&amp;$P$3,ExpAccount,LEFT($A36,5)&amp;"*"),-SUMIFS(IncExcl,IncDocDate,"&gt;="&amp;$P$2,IncDocDate,"&lt;="&amp;$P$3,IncAccount,$A36)+SUMIFS(ExpExcl,ExpDocDate,"&gt;="&amp;$P$2,ExpDocDate,"&lt;="&amp;$P$3,ExpAccount,$A36))</f>
        <v>0</v>
      </c>
    </row>
    <row r="37" spans="1:16" ht="16" customHeight="1" x14ac:dyDescent="0.25">
      <c r="A37" s="183" t="s">
        <v>308</v>
      </c>
      <c r="B37" s="17" t="str">
        <f ca="1">IF(RIGHT($A37,1)="G",IF(ISNA(VLOOKUP(LEFT($A37,LEN($A37)-1),GroupAll,COLUMN(Groups!$B$4),0)),"Group Not Found",VLOOKUP(LEFT($A37,LEN($A37)-1),GroupAll,COLUMN(Groups!$B$4),0)),IF(ISNA(VLOOKUP($A37,AccountAll,COLUMN(TB!$B$4),0)),"Account Not Found",VLOOKUP($A37,AccountAll,COLUMN(TB!$B$4),0)))</f>
        <v>Amortization</v>
      </c>
      <c r="C37" s="89" cm="1">
        <f t="array" aca="1" ref="C37" ca="1">IF(RIGHT($A37,1)="G",-SUMIFS(IncExcl,IncDocDate,"&gt;="&amp;DATE(YEAR(C$4),MONTH(C$4),1),IncDocDate,"&lt;="&amp;C$4,IncAccount,LEFT($A37,5)&amp;"*")+SUMIFS(ExpExcl,ExpDocDate,"&gt;="&amp;DATE(YEAR(C$4),MONTH(C$4),1),ExpDocDate,"&lt;="&amp;C$4,ExpAccount,LEFT($A37,5)&amp;"*"),-SUMIFS(IncExcl,IncDocDate,"&gt;="&amp;DATE(YEAR(C$4),MONTH(C$4),1),IncDocDate,"&lt;="&amp;C$4,IncAccount,$A37)+SUMIFS(ExpExcl,ExpDocDate,"&gt;="&amp;DATE(YEAR(C$4),MONTH(C$4),1),ExpDocDate,"&lt;="&amp;C$4,ExpAccount,$A37))</f>
        <v>0</v>
      </c>
      <c r="D37" s="89" cm="1">
        <f t="array" aca="1" ref="D37" ca="1">IF(RIGHT($A37,1)="G",-SUMIFS(IncExcl,IncDocDate,"&gt;="&amp;DATE(YEAR(D$4),MONTH(D$4),1),IncDocDate,"&lt;="&amp;D$4,IncAccount,LEFT($A37,5)&amp;"*")+SUMIFS(ExpExcl,ExpDocDate,"&gt;="&amp;DATE(YEAR(D$4),MONTH(D$4),1),ExpDocDate,"&lt;="&amp;D$4,ExpAccount,LEFT($A37,5)&amp;"*"),-SUMIFS(IncExcl,IncDocDate,"&gt;="&amp;DATE(YEAR(D$4),MONTH(D$4),1),IncDocDate,"&lt;="&amp;D$4,IncAccount,$A37)+SUMIFS(ExpExcl,ExpDocDate,"&gt;="&amp;DATE(YEAR(D$4),MONTH(D$4),1),ExpDocDate,"&lt;="&amp;D$4,ExpAccount,$A37))</f>
        <v>0</v>
      </c>
      <c r="E37" s="89" cm="1">
        <f t="array" aca="1" ref="E37" ca="1">IF(RIGHT($A37,1)="G",-SUMIFS(IncExcl,IncDocDate,"&gt;="&amp;DATE(YEAR(E$4),MONTH(E$4),1),IncDocDate,"&lt;="&amp;E$4,IncAccount,LEFT($A37,5)&amp;"*")+SUMIFS(ExpExcl,ExpDocDate,"&gt;="&amp;DATE(YEAR(E$4),MONTH(E$4),1),ExpDocDate,"&lt;="&amp;E$4,ExpAccount,LEFT($A37,5)&amp;"*"),-SUMIFS(IncExcl,IncDocDate,"&gt;="&amp;DATE(YEAR(E$4),MONTH(E$4),1),IncDocDate,"&lt;="&amp;E$4,IncAccount,$A37)+SUMIFS(ExpExcl,ExpDocDate,"&gt;="&amp;DATE(YEAR(E$4),MONTH(E$4),1),ExpDocDate,"&lt;="&amp;E$4,ExpAccount,$A37))</f>
        <v>0</v>
      </c>
      <c r="F37" s="89" cm="1">
        <f t="array" aca="1" ref="F37" ca="1">IF(RIGHT($A37,1)="G",-SUMIFS(IncExcl,IncDocDate,"&gt;="&amp;DATE(YEAR(F$4),MONTH(F$4),1),IncDocDate,"&lt;="&amp;F$4,IncAccount,LEFT($A37,5)&amp;"*")+SUMIFS(ExpExcl,ExpDocDate,"&gt;="&amp;DATE(YEAR(F$4),MONTH(F$4),1),ExpDocDate,"&lt;="&amp;F$4,ExpAccount,LEFT($A37,5)&amp;"*"),-SUMIFS(IncExcl,IncDocDate,"&gt;="&amp;DATE(YEAR(F$4),MONTH(F$4),1),IncDocDate,"&lt;="&amp;F$4,IncAccount,$A37)+SUMIFS(ExpExcl,ExpDocDate,"&gt;="&amp;DATE(YEAR(F$4),MONTH(F$4),1),ExpDocDate,"&lt;="&amp;F$4,ExpAccount,$A37))</f>
        <v>0</v>
      </c>
      <c r="G37" s="89" cm="1">
        <f t="array" aca="1" ref="G37" ca="1">IF(RIGHT($A37,1)="G",-SUMIFS(IncExcl,IncDocDate,"&gt;="&amp;DATE(YEAR(G$4),MONTH(G$4),1),IncDocDate,"&lt;="&amp;G$4,IncAccount,LEFT($A37,5)&amp;"*")+SUMIFS(ExpExcl,ExpDocDate,"&gt;="&amp;DATE(YEAR(G$4),MONTH(G$4),1),ExpDocDate,"&lt;="&amp;G$4,ExpAccount,LEFT($A37,5)&amp;"*"),-SUMIFS(IncExcl,IncDocDate,"&gt;="&amp;DATE(YEAR(G$4),MONTH(G$4),1),IncDocDate,"&lt;="&amp;G$4,IncAccount,$A37)+SUMIFS(ExpExcl,ExpDocDate,"&gt;="&amp;DATE(YEAR(G$4),MONTH(G$4),1),ExpDocDate,"&lt;="&amp;G$4,ExpAccount,$A37))</f>
        <v>0</v>
      </c>
      <c r="H37" s="89" cm="1">
        <f t="array" aca="1" ref="H37" ca="1">IF(RIGHT($A37,1)="G",-SUMIFS(IncExcl,IncDocDate,"&gt;="&amp;DATE(YEAR(H$4),MONTH(H$4),1),IncDocDate,"&lt;="&amp;H$4,IncAccount,LEFT($A37,5)&amp;"*")+SUMIFS(ExpExcl,ExpDocDate,"&gt;="&amp;DATE(YEAR(H$4),MONTH(H$4),1),ExpDocDate,"&lt;="&amp;H$4,ExpAccount,LEFT($A37,5)&amp;"*"),-SUMIFS(IncExcl,IncDocDate,"&gt;="&amp;DATE(YEAR(H$4),MONTH(H$4),1),IncDocDate,"&lt;="&amp;H$4,IncAccount,$A37)+SUMIFS(ExpExcl,ExpDocDate,"&gt;="&amp;DATE(YEAR(H$4),MONTH(H$4),1),ExpDocDate,"&lt;="&amp;H$4,ExpAccount,$A37))</f>
        <v>0</v>
      </c>
      <c r="I37" s="89" cm="1">
        <f t="array" aca="1" ref="I37" ca="1">IF(RIGHT($A37,1)="G",-SUMIFS(IncExcl,IncDocDate,"&gt;="&amp;DATE(YEAR(I$4),MONTH(I$4),1),IncDocDate,"&lt;="&amp;I$4,IncAccount,LEFT($A37,5)&amp;"*")+SUMIFS(ExpExcl,ExpDocDate,"&gt;="&amp;DATE(YEAR(I$4),MONTH(I$4),1),ExpDocDate,"&lt;="&amp;I$4,ExpAccount,LEFT($A37,5)&amp;"*"),-SUMIFS(IncExcl,IncDocDate,"&gt;="&amp;DATE(YEAR(I$4),MONTH(I$4),1),IncDocDate,"&lt;="&amp;I$4,IncAccount,$A37)+SUMIFS(ExpExcl,ExpDocDate,"&gt;="&amp;DATE(YEAR(I$4),MONTH(I$4),1),ExpDocDate,"&lt;="&amp;I$4,ExpAccount,$A37))</f>
        <v>0</v>
      </c>
      <c r="J37" s="89" cm="1">
        <f t="array" aca="1" ref="J37" ca="1">IF(RIGHT($A37,1)="G",-SUMIFS(IncExcl,IncDocDate,"&gt;="&amp;DATE(YEAR(J$4),MONTH(J$4),1),IncDocDate,"&lt;="&amp;J$4,IncAccount,LEFT($A37,5)&amp;"*")+SUMIFS(ExpExcl,ExpDocDate,"&gt;="&amp;DATE(YEAR(J$4),MONTH(J$4),1),ExpDocDate,"&lt;="&amp;J$4,ExpAccount,LEFT($A37,5)&amp;"*"),-SUMIFS(IncExcl,IncDocDate,"&gt;="&amp;DATE(YEAR(J$4),MONTH(J$4),1),IncDocDate,"&lt;="&amp;J$4,IncAccount,$A37)+SUMIFS(ExpExcl,ExpDocDate,"&gt;="&amp;DATE(YEAR(J$4),MONTH(J$4),1),ExpDocDate,"&lt;="&amp;J$4,ExpAccount,$A37))</f>
        <v>0</v>
      </c>
      <c r="K37" s="89" cm="1">
        <f t="array" aca="1" ref="K37" ca="1">IF(RIGHT($A37,1)="G",-SUMIFS(IncExcl,IncDocDate,"&gt;="&amp;DATE(YEAR(K$4),MONTH(K$4),1),IncDocDate,"&lt;="&amp;K$4,IncAccount,LEFT($A37,5)&amp;"*")+SUMIFS(ExpExcl,ExpDocDate,"&gt;="&amp;DATE(YEAR(K$4),MONTH(K$4),1),ExpDocDate,"&lt;="&amp;K$4,ExpAccount,LEFT($A37,5)&amp;"*"),-SUMIFS(IncExcl,IncDocDate,"&gt;="&amp;DATE(YEAR(K$4),MONTH(K$4),1),IncDocDate,"&lt;="&amp;K$4,IncAccount,$A37)+SUMIFS(ExpExcl,ExpDocDate,"&gt;="&amp;DATE(YEAR(K$4),MONTH(K$4),1),ExpDocDate,"&lt;="&amp;K$4,ExpAccount,$A37))</f>
        <v>0</v>
      </c>
      <c r="L37" s="89" cm="1">
        <f t="array" aca="1" ref="L37" ca="1">IF(RIGHT($A37,1)="G",-SUMIFS(IncExcl,IncDocDate,"&gt;="&amp;DATE(YEAR(L$4),MONTH(L$4),1),IncDocDate,"&lt;="&amp;L$4,IncAccount,LEFT($A37,5)&amp;"*")+SUMIFS(ExpExcl,ExpDocDate,"&gt;="&amp;DATE(YEAR(L$4),MONTH(L$4),1),ExpDocDate,"&lt;="&amp;L$4,ExpAccount,LEFT($A37,5)&amp;"*"),-SUMIFS(IncExcl,IncDocDate,"&gt;="&amp;DATE(YEAR(L$4),MONTH(L$4),1),IncDocDate,"&lt;="&amp;L$4,IncAccount,$A37)+SUMIFS(ExpExcl,ExpDocDate,"&gt;="&amp;DATE(YEAR(L$4),MONTH(L$4),1),ExpDocDate,"&lt;="&amp;L$4,ExpAccount,$A37))</f>
        <v>0</v>
      </c>
      <c r="M37" s="89" cm="1">
        <f t="array" aca="1" ref="M37" ca="1">IF(RIGHT($A37,1)="G",-SUMIFS(IncExcl,IncDocDate,"&gt;="&amp;DATE(YEAR(M$4),MONTH(M$4),1),IncDocDate,"&lt;="&amp;M$4,IncAccount,LEFT($A37,5)&amp;"*")+SUMIFS(ExpExcl,ExpDocDate,"&gt;="&amp;DATE(YEAR(M$4),MONTH(M$4),1),ExpDocDate,"&lt;="&amp;M$4,ExpAccount,LEFT($A37,5)&amp;"*"),-SUMIFS(IncExcl,IncDocDate,"&gt;="&amp;DATE(YEAR(M$4),MONTH(M$4),1),IncDocDate,"&lt;="&amp;M$4,IncAccount,$A37)+SUMIFS(ExpExcl,ExpDocDate,"&gt;="&amp;DATE(YEAR(M$4),MONTH(M$4),1),ExpDocDate,"&lt;="&amp;M$4,ExpAccount,$A37))</f>
        <v>0</v>
      </c>
      <c r="N37" s="89" cm="1">
        <f t="array" aca="1" ref="N37" ca="1">IF(RIGHT($A37,1)="G",-SUMIFS(IncExcl,IncDocDate,"&gt;="&amp;DATE(YEAR(N$4),MONTH(N$4),1),IncDocDate,"&lt;="&amp;N$4,IncAccount,LEFT($A37,5)&amp;"*")+SUMIFS(ExpExcl,ExpDocDate,"&gt;="&amp;DATE(YEAR(N$4),MONTH(N$4),1),ExpDocDate,"&lt;="&amp;N$4,ExpAccount,LEFT($A37,5)&amp;"*"),-SUMIFS(IncExcl,IncDocDate,"&gt;="&amp;DATE(YEAR(N$4),MONTH(N$4),1),IncDocDate,"&lt;="&amp;N$4,IncAccount,$A37)+SUMIFS(ExpExcl,ExpDocDate,"&gt;="&amp;DATE(YEAR(N$4),MONTH(N$4),1),ExpDocDate,"&lt;="&amp;N$4,ExpAccount,$A37))</f>
        <v>14720</v>
      </c>
      <c r="O37" s="88">
        <f t="shared" ca="1" si="7"/>
        <v>14720</v>
      </c>
      <c r="P37" s="88" cm="1">
        <f t="array" aca="1" ref="P37" ca="1">IF(RIGHT($A37,1)="G",-SUMIFS(IncExcl,IncDocDate,"&gt;="&amp;$P$2,IncDocDate,"&lt;="&amp;$P$3,IncAccount,LEFT($A37,5)&amp;"*")+SUMIFS(ExpExcl,ExpDocDate,"&gt;="&amp;$P$2,ExpDocDate,"&lt;="&amp;$P$3,ExpAccount,LEFT($A37,5)&amp;"*"),-SUMIFS(IncExcl,IncDocDate,"&gt;="&amp;$P$2,IncDocDate,"&lt;="&amp;$P$3,IncAccount,$A37)+SUMIFS(ExpExcl,ExpDocDate,"&gt;="&amp;$P$2,ExpDocDate,"&lt;="&amp;$P$3,ExpAccount,$A37))</f>
        <v>0</v>
      </c>
    </row>
    <row r="38" spans="1:16" s="3" customFormat="1" ht="16" customHeight="1" thickBot="1" x14ac:dyDescent="0.3">
      <c r="A38" s="184"/>
      <c r="B38" s="3" t="s">
        <v>370</v>
      </c>
      <c r="C38" s="87">
        <f ca="1">SUM(OFFSET(C35,1,0,ROW($B38)-ROW($B35)-1,1))</f>
        <v>0</v>
      </c>
      <c r="D38" s="87">
        <f t="shared" ref="D38:P38" ca="1" si="8">SUM(OFFSET(D35,1,0,ROW($B38)-ROW($B35)-1,1))</f>
        <v>0</v>
      </c>
      <c r="E38" s="87">
        <f t="shared" ca="1" si="8"/>
        <v>0</v>
      </c>
      <c r="F38" s="87">
        <f t="shared" ca="1" si="8"/>
        <v>0</v>
      </c>
      <c r="G38" s="87">
        <f t="shared" ca="1" si="8"/>
        <v>0</v>
      </c>
      <c r="H38" s="87">
        <f t="shared" ca="1" si="8"/>
        <v>0</v>
      </c>
      <c r="I38" s="87">
        <f t="shared" ca="1" si="8"/>
        <v>0</v>
      </c>
      <c r="J38" s="87">
        <f t="shared" ca="1" si="8"/>
        <v>0</v>
      </c>
      <c r="K38" s="87">
        <f t="shared" ca="1" si="8"/>
        <v>0</v>
      </c>
      <c r="L38" s="87">
        <f t="shared" ca="1" si="8"/>
        <v>0</v>
      </c>
      <c r="M38" s="87">
        <f t="shared" ca="1" si="8"/>
        <v>0</v>
      </c>
      <c r="N38" s="87">
        <f t="shared" ca="1" si="8"/>
        <v>45142</v>
      </c>
      <c r="O38" s="87">
        <f t="shared" ca="1" si="8"/>
        <v>45142</v>
      </c>
      <c r="P38" s="87">
        <f t="shared" ca="1" si="8"/>
        <v>0</v>
      </c>
    </row>
    <row r="39" spans="1:16" s="3" customFormat="1" ht="16" customHeight="1" x14ac:dyDescent="0.25">
      <c r="A39" s="184"/>
      <c r="B39" s="3" t="s">
        <v>371</v>
      </c>
      <c r="C39" s="88">
        <f ca="1">SUM(C8,C9,-C29,-C33,-C34,-C38)</f>
        <v>13604.879565217416</v>
      </c>
      <c r="D39" s="88">
        <f t="shared" ref="D39:N39" ca="1" si="9">SUM(D8,D9,-D29,-D33,-D34,-D38)</f>
        <v>9861.9543478260748</v>
      </c>
      <c r="E39" s="88">
        <f t="shared" ca="1" si="9"/>
        <v>69282.838695652201</v>
      </c>
      <c r="F39" s="88">
        <f t="shared" ca="1" si="9"/>
        <v>33709.3404347826</v>
      </c>
      <c r="G39" s="88">
        <f t="shared" ca="1" si="9"/>
        <v>26849.143043478267</v>
      </c>
      <c r="H39" s="88">
        <f t="shared" ca="1" si="9"/>
        <v>21894.500869565207</v>
      </c>
      <c r="I39" s="88">
        <f t="shared" ca="1" si="9"/>
        <v>44237.253478260827</v>
      </c>
      <c r="J39" s="88">
        <f t="shared" ca="1" si="9"/>
        <v>70251.976956521743</v>
      </c>
      <c r="K39" s="88">
        <f t="shared" ca="1" si="9"/>
        <v>30179.423913043487</v>
      </c>
      <c r="L39" s="88">
        <f t="shared" ca="1" si="9"/>
        <v>-74288.55</v>
      </c>
      <c r="M39" s="88">
        <f t="shared" ca="1" si="9"/>
        <v>29456.708260869578</v>
      </c>
      <c r="N39" s="88">
        <f t="shared" ca="1" si="9"/>
        <v>-4920.4021739130549</v>
      </c>
      <c r="O39" s="88">
        <f t="shared" ref="O39" ca="1" si="10">SUM(O8,O9,-O29,-O33,-O34,-O38)</f>
        <v>270119.0673913043</v>
      </c>
      <c r="P39" s="88">
        <f t="shared" ref="P39" ca="1" si="11">SUM(P8,P9,-P29,-P33,-P34,-P38)</f>
        <v>0</v>
      </c>
    </row>
    <row r="40" spans="1:16" ht="16" customHeight="1" x14ac:dyDescent="0.25">
      <c r="A40" s="183" t="s">
        <v>372</v>
      </c>
      <c r="B40" s="17" t="str">
        <f ca="1">IF(RIGHT($A40,1)="G",IF(ISNA(VLOOKUP(LEFT($A40,LEN($A40)-1),GroupAll,COLUMN(Groups!$B$4),0)),"Group Not Found",VLOOKUP(LEFT($A40,LEN($A40)-1),GroupAll,COLUMN(Groups!$B$4),0)),IF(ISNA(VLOOKUP($A40,AccountAll,COLUMN(TB!$B$4),0)),"Account Not Found",VLOOKUP($A40,AccountAll,COLUMN(TB!$B$4),0)))</f>
        <v>Interest Paid</v>
      </c>
      <c r="C40" s="89" cm="1">
        <f t="array" aca="1" ref="C40" ca="1">IF(RIGHT($A40,1)="G",-SUMIFS(IncExcl,IncDocDate,"&gt;="&amp;DATE(YEAR(C$4),MONTH(C$4),1),IncDocDate,"&lt;="&amp;C$4,IncAccount,LEFT($A40,5)&amp;"*")+SUMIFS(ExpExcl,ExpDocDate,"&gt;="&amp;DATE(YEAR(C$4),MONTH(C$4),1),ExpDocDate,"&lt;="&amp;C$4,ExpAccount,LEFT($A40,5)&amp;"*"),-SUMIFS(IncExcl,IncDocDate,"&gt;="&amp;DATE(YEAR(C$4),MONTH(C$4),1),IncDocDate,"&lt;="&amp;C$4,IncAccount,$A40)+SUMIFS(ExpExcl,ExpDocDate,"&gt;="&amp;DATE(YEAR(C$4),MONTH(C$4),1),ExpDocDate,"&lt;="&amp;C$4,ExpAccount,$A40))</f>
        <v>1666.67</v>
      </c>
      <c r="D40" s="89" cm="1">
        <f t="array" aca="1" ref="D40" ca="1">IF(RIGHT($A40,1)="G",-SUMIFS(IncExcl,IncDocDate,"&gt;="&amp;DATE(YEAR(D$4),MONTH(D$4),1),IncDocDate,"&lt;="&amp;D$4,IncAccount,LEFT($A40,5)&amp;"*")+SUMIFS(ExpExcl,ExpDocDate,"&gt;="&amp;DATE(YEAR(D$4),MONTH(D$4),1),ExpDocDate,"&lt;="&amp;D$4,ExpAccount,LEFT($A40,5)&amp;"*"),-SUMIFS(IncExcl,IncDocDate,"&gt;="&amp;DATE(YEAR(D$4),MONTH(D$4),1),IncDocDate,"&lt;="&amp;D$4,IncAccount,$A40)+SUMIFS(ExpExcl,ExpDocDate,"&gt;="&amp;DATE(YEAR(D$4),MONTH(D$4),1),ExpDocDate,"&lt;="&amp;D$4,ExpAccount,$A40))</f>
        <v>1645.14</v>
      </c>
      <c r="E40" s="89" cm="1">
        <f t="array" aca="1" ref="E40" ca="1">IF(RIGHT($A40,1)="G",-SUMIFS(IncExcl,IncDocDate,"&gt;="&amp;DATE(YEAR(E$4),MONTH(E$4),1),IncDocDate,"&lt;="&amp;E$4,IncAccount,LEFT($A40,5)&amp;"*")+SUMIFS(ExpExcl,ExpDocDate,"&gt;="&amp;DATE(YEAR(E$4),MONTH(E$4),1),ExpDocDate,"&lt;="&amp;E$4,ExpAccount,LEFT($A40,5)&amp;"*"),-SUMIFS(IncExcl,IncDocDate,"&gt;="&amp;DATE(YEAR(E$4),MONTH(E$4),1),IncDocDate,"&lt;="&amp;E$4,IncAccount,$A40)+SUMIFS(ExpExcl,ExpDocDate,"&gt;="&amp;DATE(YEAR(E$4),MONTH(E$4),1),ExpDocDate,"&lt;="&amp;E$4,ExpAccount,$A40))</f>
        <v>1623.44</v>
      </c>
      <c r="F40" s="89" cm="1">
        <f t="array" aca="1" ref="F40" ca="1">IF(RIGHT($A40,1)="G",-SUMIFS(IncExcl,IncDocDate,"&gt;="&amp;DATE(YEAR(F$4),MONTH(F$4),1),IncDocDate,"&lt;="&amp;F$4,IncAccount,LEFT($A40,5)&amp;"*")+SUMIFS(ExpExcl,ExpDocDate,"&gt;="&amp;DATE(YEAR(F$4),MONTH(F$4),1),ExpDocDate,"&lt;="&amp;F$4,ExpAccount,LEFT($A40,5)&amp;"*"),-SUMIFS(IncExcl,IncDocDate,"&gt;="&amp;DATE(YEAR(F$4),MONTH(F$4),1),IncDocDate,"&lt;="&amp;F$4,IncAccount,$A40)+SUMIFS(ExpExcl,ExpDocDate,"&gt;="&amp;DATE(YEAR(F$4),MONTH(F$4),1),ExpDocDate,"&lt;="&amp;F$4,ExpAccount,$A40))</f>
        <v>1601.56</v>
      </c>
      <c r="G40" s="89" cm="1">
        <f t="array" aca="1" ref="G40" ca="1">IF(RIGHT($A40,1)="G",-SUMIFS(IncExcl,IncDocDate,"&gt;="&amp;DATE(YEAR(G$4),MONTH(G$4),1),IncDocDate,"&lt;="&amp;G$4,IncAccount,LEFT($A40,5)&amp;"*")+SUMIFS(ExpExcl,ExpDocDate,"&gt;="&amp;DATE(YEAR(G$4),MONTH(G$4),1),ExpDocDate,"&lt;="&amp;G$4,ExpAccount,LEFT($A40,5)&amp;"*"),-SUMIFS(IncExcl,IncDocDate,"&gt;="&amp;DATE(YEAR(G$4),MONTH(G$4),1),IncDocDate,"&lt;="&amp;G$4,IncAccount,$A40)+SUMIFS(ExpExcl,ExpDocDate,"&gt;="&amp;DATE(YEAR(G$4),MONTH(G$4),1),ExpDocDate,"&lt;="&amp;G$4,ExpAccount,$A40))</f>
        <v>1579.49</v>
      </c>
      <c r="H40" s="89" cm="1">
        <f t="array" aca="1" ref="H40" ca="1">IF(RIGHT($A40,1)="G",-SUMIFS(IncExcl,IncDocDate,"&gt;="&amp;DATE(YEAR(H$4),MONTH(H$4),1),IncDocDate,"&lt;="&amp;H$4,IncAccount,LEFT($A40,5)&amp;"*")+SUMIFS(ExpExcl,ExpDocDate,"&gt;="&amp;DATE(YEAR(H$4),MONTH(H$4),1),ExpDocDate,"&lt;="&amp;H$4,ExpAccount,LEFT($A40,5)&amp;"*"),-SUMIFS(IncExcl,IncDocDate,"&gt;="&amp;DATE(YEAR(H$4),MONTH(H$4),1),IncDocDate,"&lt;="&amp;H$4,IncAccount,$A40)+SUMIFS(ExpExcl,ExpDocDate,"&gt;="&amp;DATE(YEAR(H$4),MONTH(H$4),1),ExpDocDate,"&lt;="&amp;H$4,ExpAccount,$A40))</f>
        <v>1557.24</v>
      </c>
      <c r="I40" s="89" cm="1">
        <f t="array" aca="1" ref="I40" ca="1">IF(RIGHT($A40,1)="G",-SUMIFS(IncExcl,IncDocDate,"&gt;="&amp;DATE(YEAR(I$4),MONTH(I$4),1),IncDocDate,"&lt;="&amp;I$4,IncAccount,LEFT($A40,5)&amp;"*")+SUMIFS(ExpExcl,ExpDocDate,"&gt;="&amp;DATE(YEAR(I$4),MONTH(I$4),1),ExpDocDate,"&lt;="&amp;I$4,ExpAccount,LEFT($A40,5)&amp;"*"),-SUMIFS(IncExcl,IncDocDate,"&gt;="&amp;DATE(YEAR(I$4),MONTH(I$4),1),IncDocDate,"&lt;="&amp;I$4,IncAccount,$A40)+SUMIFS(ExpExcl,ExpDocDate,"&gt;="&amp;DATE(YEAR(I$4),MONTH(I$4),1),ExpDocDate,"&lt;="&amp;I$4,ExpAccount,$A40))</f>
        <v>1534.81</v>
      </c>
      <c r="J40" s="89" cm="1">
        <f t="array" aca="1" ref="J40" ca="1">IF(RIGHT($A40,1)="G",-SUMIFS(IncExcl,IncDocDate,"&gt;="&amp;DATE(YEAR(J$4),MONTH(J$4),1),IncDocDate,"&lt;="&amp;J$4,IncAccount,LEFT($A40,5)&amp;"*")+SUMIFS(ExpExcl,ExpDocDate,"&gt;="&amp;DATE(YEAR(J$4),MONTH(J$4),1),ExpDocDate,"&lt;="&amp;J$4,ExpAccount,LEFT($A40,5)&amp;"*"),-SUMIFS(IncExcl,IncDocDate,"&gt;="&amp;DATE(YEAR(J$4),MONTH(J$4),1),IncDocDate,"&lt;="&amp;J$4,IncAccount,$A40)+SUMIFS(ExpExcl,ExpDocDate,"&gt;="&amp;DATE(YEAR(J$4),MONTH(J$4),1),ExpDocDate,"&lt;="&amp;J$4,ExpAccount,$A40))</f>
        <v>1512.19</v>
      </c>
      <c r="K40" s="89" cm="1">
        <f t="array" aca="1" ref="K40" ca="1">IF(RIGHT($A40,1)="G",-SUMIFS(IncExcl,IncDocDate,"&gt;="&amp;DATE(YEAR(K$4),MONTH(K$4),1),IncDocDate,"&lt;="&amp;K$4,IncAccount,LEFT($A40,5)&amp;"*")+SUMIFS(ExpExcl,ExpDocDate,"&gt;="&amp;DATE(YEAR(K$4),MONTH(K$4),1),ExpDocDate,"&lt;="&amp;K$4,ExpAccount,LEFT($A40,5)&amp;"*"),-SUMIFS(IncExcl,IncDocDate,"&gt;="&amp;DATE(YEAR(K$4),MONTH(K$4),1),IncDocDate,"&lt;="&amp;K$4,IncAccount,$A40)+SUMIFS(ExpExcl,ExpDocDate,"&gt;="&amp;DATE(YEAR(K$4),MONTH(K$4),1),ExpDocDate,"&lt;="&amp;K$4,ExpAccount,$A40))</f>
        <v>1489.38</v>
      </c>
      <c r="L40" s="89" cm="1">
        <f t="array" aca="1" ref="L40" ca="1">IF(RIGHT($A40,1)="G",-SUMIFS(IncExcl,IncDocDate,"&gt;="&amp;DATE(YEAR(L$4),MONTH(L$4),1),IncDocDate,"&lt;="&amp;L$4,IncAccount,LEFT($A40,5)&amp;"*")+SUMIFS(ExpExcl,ExpDocDate,"&gt;="&amp;DATE(YEAR(L$4),MONTH(L$4),1),ExpDocDate,"&lt;="&amp;L$4,ExpAccount,LEFT($A40,5)&amp;"*"),-SUMIFS(IncExcl,IncDocDate,"&gt;="&amp;DATE(YEAR(L$4),MONTH(L$4),1),IncDocDate,"&lt;="&amp;L$4,IncAccount,$A40)+SUMIFS(ExpExcl,ExpDocDate,"&gt;="&amp;DATE(YEAR(L$4),MONTH(L$4),1),ExpDocDate,"&lt;="&amp;L$4,ExpAccount,$A40))</f>
        <v>1466.38</v>
      </c>
      <c r="M40" s="89" cm="1">
        <f t="array" aca="1" ref="M40" ca="1">IF(RIGHT($A40,1)="G",-SUMIFS(IncExcl,IncDocDate,"&gt;="&amp;DATE(YEAR(M$4),MONTH(M$4),1),IncDocDate,"&lt;="&amp;M$4,IncAccount,LEFT($A40,5)&amp;"*")+SUMIFS(ExpExcl,ExpDocDate,"&gt;="&amp;DATE(YEAR(M$4),MONTH(M$4),1),ExpDocDate,"&lt;="&amp;M$4,ExpAccount,LEFT($A40,5)&amp;"*"),-SUMIFS(IncExcl,IncDocDate,"&gt;="&amp;DATE(YEAR(M$4),MONTH(M$4),1),IncDocDate,"&lt;="&amp;M$4,IncAccount,$A40)+SUMIFS(ExpExcl,ExpDocDate,"&gt;="&amp;DATE(YEAR(M$4),MONTH(M$4),1),ExpDocDate,"&lt;="&amp;M$4,ExpAccount,$A40))</f>
        <v>1859.85</v>
      </c>
      <c r="N40" s="89" cm="1">
        <f t="array" aca="1" ref="N40" ca="1">IF(RIGHT($A40,1)="G",-SUMIFS(IncExcl,IncDocDate,"&gt;="&amp;DATE(YEAR(N$4),MONTH(N$4),1),IncDocDate,"&lt;="&amp;N$4,IncAccount,LEFT($A40,5)&amp;"*")+SUMIFS(ExpExcl,ExpDocDate,"&gt;="&amp;DATE(YEAR(N$4),MONTH(N$4),1),ExpDocDate,"&lt;="&amp;N$4,ExpAccount,LEFT($A40,5)&amp;"*"),-SUMIFS(IncExcl,IncDocDate,"&gt;="&amp;DATE(YEAR(N$4),MONTH(N$4),1),IncDocDate,"&lt;="&amp;N$4,IncAccount,$A40)+SUMIFS(ExpExcl,ExpDocDate,"&gt;="&amp;DATE(YEAR(N$4),MONTH(N$4),1),ExpDocDate,"&lt;="&amp;N$4,ExpAccount,$A40))</f>
        <v>1831.09</v>
      </c>
      <c r="O40" s="88">
        <f ca="1">SUM(C40:N40)</f>
        <v>19367.239999999998</v>
      </c>
      <c r="P40" s="88" cm="1">
        <f t="array" aca="1" ref="P40" ca="1">IF(RIGHT($A40,1)="G",-SUMIFS(IncExcl,IncDocDate,"&gt;="&amp;$P$2,IncDocDate,"&lt;="&amp;$P$3,IncAccount,LEFT($A40,5)&amp;"*")+SUMIFS(ExpExcl,ExpDocDate,"&gt;="&amp;$P$2,ExpDocDate,"&lt;="&amp;$P$3,ExpAccount,LEFT($A40,5)&amp;"*"),-SUMIFS(IncExcl,IncDocDate,"&gt;="&amp;$P$2,IncDocDate,"&lt;="&amp;$P$3,IncAccount,$A40)+SUMIFS(ExpExcl,ExpDocDate,"&gt;="&amp;$P$2,ExpDocDate,"&lt;="&amp;$P$3,ExpAccount,$A40))</f>
        <v>0</v>
      </c>
    </row>
    <row r="41" spans="1:16" s="3" customFormat="1" ht="16" customHeight="1" x14ac:dyDescent="0.25">
      <c r="A41" s="184"/>
      <c r="B41" s="3" t="s">
        <v>373</v>
      </c>
      <c r="C41" s="86">
        <f ca="1">SUM(C39,-C40)</f>
        <v>11938.209565217416</v>
      </c>
      <c r="D41" s="86">
        <f t="shared" ref="D41:N41" ca="1" si="12">SUM(D39,-D40)</f>
        <v>8216.8143478260754</v>
      </c>
      <c r="E41" s="86">
        <f t="shared" ca="1" si="12"/>
        <v>67659.398695652199</v>
      </c>
      <c r="F41" s="86">
        <f t="shared" ca="1" si="12"/>
        <v>32107.780434782599</v>
      </c>
      <c r="G41" s="86">
        <f t="shared" ca="1" si="12"/>
        <v>25269.653043478265</v>
      </c>
      <c r="H41" s="86">
        <f t="shared" ca="1" si="12"/>
        <v>20337.260869565205</v>
      </c>
      <c r="I41" s="86">
        <f t="shared" ca="1" si="12"/>
        <v>42702.44347826083</v>
      </c>
      <c r="J41" s="86">
        <f t="shared" ca="1" si="12"/>
        <v>68739.786956521741</v>
      </c>
      <c r="K41" s="86">
        <f t="shared" ca="1" si="12"/>
        <v>28690.043913043486</v>
      </c>
      <c r="L41" s="86">
        <f t="shared" ca="1" si="12"/>
        <v>-75754.930000000008</v>
      </c>
      <c r="M41" s="86">
        <f t="shared" ca="1" si="12"/>
        <v>27596.85826086958</v>
      </c>
      <c r="N41" s="86">
        <f t="shared" ca="1" si="12"/>
        <v>-6751.492173913055</v>
      </c>
      <c r="O41" s="86">
        <f t="shared" ref="O41" ca="1" si="13">SUM(O39,-O40)</f>
        <v>250751.82739130431</v>
      </c>
      <c r="P41" s="86">
        <f t="shared" ref="P41" ca="1" si="14">SUM(P39,-P40)</f>
        <v>0</v>
      </c>
    </row>
    <row r="42" spans="1:16" ht="16" customHeight="1" x14ac:dyDescent="0.25">
      <c r="A42" s="183" t="s">
        <v>375</v>
      </c>
      <c r="B42" s="17" t="str">
        <f ca="1">IF(RIGHT($A42,1)="G",IF(ISNA(VLOOKUP(LEFT($A42,LEN($A42)-1),GroupAll,COLUMN(Groups!$B$4),0)),"Group Not Found",VLOOKUP(LEFT($A42,LEN($A42)-1),GroupAll,COLUMN(Groups!$B$4),0)),IF(ISNA(VLOOKUP($A42,AccountAll,COLUMN(TB!$B$4),0)),"Account Not Found",VLOOKUP($A42,AccountAll,COLUMN(TB!$B$4),0)))</f>
        <v>Taxation Paid</v>
      </c>
      <c r="C42" s="89" cm="1">
        <f t="array" aca="1" ref="C42" ca="1">IF(RIGHT($A42,1)="G",-SUMIFS(IncExcl,IncDocDate,"&gt;="&amp;DATE(YEAR(C$4),MONTH(C$4),1),IncDocDate,"&lt;="&amp;C$4,IncAccount,LEFT($A42,5)&amp;"*")+SUMIFS(ExpExcl,ExpDocDate,"&gt;="&amp;DATE(YEAR(C$4),MONTH(C$4),1),ExpDocDate,"&lt;="&amp;C$4,ExpAccount,LEFT($A42,5)&amp;"*"),-SUMIFS(IncExcl,IncDocDate,"&gt;="&amp;DATE(YEAR(C$4),MONTH(C$4),1),IncDocDate,"&lt;="&amp;C$4,IncAccount,$A42)+SUMIFS(ExpExcl,ExpDocDate,"&gt;="&amp;DATE(YEAR(C$4),MONTH(C$4),1),ExpDocDate,"&lt;="&amp;C$4,ExpAccount,$A42))</f>
        <v>0</v>
      </c>
      <c r="D42" s="89" cm="1">
        <f t="array" aca="1" ref="D42" ca="1">IF(RIGHT($A42,1)="G",-SUMIFS(IncExcl,IncDocDate,"&gt;="&amp;DATE(YEAR(D$4),MONTH(D$4),1),IncDocDate,"&lt;="&amp;D$4,IncAccount,LEFT($A42,5)&amp;"*")+SUMIFS(ExpExcl,ExpDocDate,"&gt;="&amp;DATE(YEAR(D$4),MONTH(D$4),1),ExpDocDate,"&lt;="&amp;D$4,ExpAccount,LEFT($A42,5)&amp;"*"),-SUMIFS(IncExcl,IncDocDate,"&gt;="&amp;DATE(YEAR(D$4),MONTH(D$4),1),IncDocDate,"&lt;="&amp;D$4,IncAccount,$A42)+SUMIFS(ExpExcl,ExpDocDate,"&gt;="&amp;DATE(YEAR(D$4),MONTH(D$4),1),ExpDocDate,"&lt;="&amp;D$4,ExpAccount,$A42))</f>
        <v>0</v>
      </c>
      <c r="E42" s="89" cm="1">
        <f t="array" aca="1" ref="E42" ca="1">IF(RIGHT($A42,1)="G",-SUMIFS(IncExcl,IncDocDate,"&gt;="&amp;DATE(YEAR(E$4),MONTH(E$4),1),IncDocDate,"&lt;="&amp;E$4,IncAccount,LEFT($A42,5)&amp;"*")+SUMIFS(ExpExcl,ExpDocDate,"&gt;="&amp;DATE(YEAR(E$4),MONTH(E$4),1),ExpDocDate,"&lt;="&amp;E$4,ExpAccount,LEFT($A42,5)&amp;"*"),-SUMIFS(IncExcl,IncDocDate,"&gt;="&amp;DATE(YEAR(E$4),MONTH(E$4),1),IncDocDate,"&lt;="&amp;E$4,IncAccount,$A42)+SUMIFS(ExpExcl,ExpDocDate,"&gt;="&amp;DATE(YEAR(E$4),MONTH(E$4),1),ExpDocDate,"&lt;="&amp;E$4,ExpAccount,$A42))</f>
        <v>0</v>
      </c>
      <c r="F42" s="89" cm="1">
        <f t="array" aca="1" ref="F42" ca="1">IF(RIGHT($A42,1)="G",-SUMIFS(IncExcl,IncDocDate,"&gt;="&amp;DATE(YEAR(F$4),MONTH(F$4),1),IncDocDate,"&lt;="&amp;F$4,IncAccount,LEFT($A42,5)&amp;"*")+SUMIFS(ExpExcl,ExpDocDate,"&gt;="&amp;DATE(YEAR(F$4),MONTH(F$4),1),ExpDocDate,"&lt;="&amp;F$4,ExpAccount,LEFT($A42,5)&amp;"*"),-SUMIFS(IncExcl,IncDocDate,"&gt;="&amp;DATE(YEAR(F$4),MONTH(F$4),1),IncDocDate,"&lt;="&amp;F$4,IncAccount,$A42)+SUMIFS(ExpExcl,ExpDocDate,"&gt;="&amp;DATE(YEAR(F$4),MONTH(F$4),1),ExpDocDate,"&lt;="&amp;F$4,ExpAccount,$A42))</f>
        <v>0</v>
      </c>
      <c r="G42" s="89" cm="1">
        <f t="array" aca="1" ref="G42" ca="1">IF(RIGHT($A42,1)="G",-SUMIFS(IncExcl,IncDocDate,"&gt;="&amp;DATE(YEAR(G$4),MONTH(G$4),1),IncDocDate,"&lt;="&amp;G$4,IncAccount,LEFT($A42,5)&amp;"*")+SUMIFS(ExpExcl,ExpDocDate,"&gt;="&amp;DATE(YEAR(G$4),MONTH(G$4),1),ExpDocDate,"&lt;="&amp;G$4,ExpAccount,LEFT($A42,5)&amp;"*"),-SUMIFS(IncExcl,IncDocDate,"&gt;="&amp;DATE(YEAR(G$4),MONTH(G$4),1),IncDocDate,"&lt;="&amp;G$4,IncAccount,$A42)+SUMIFS(ExpExcl,ExpDocDate,"&gt;="&amp;DATE(YEAR(G$4),MONTH(G$4),1),ExpDocDate,"&lt;="&amp;G$4,ExpAccount,$A42))</f>
        <v>0</v>
      </c>
      <c r="H42" s="89" cm="1">
        <f t="array" aca="1" ref="H42" ca="1">IF(RIGHT($A42,1)="G",-SUMIFS(IncExcl,IncDocDate,"&gt;="&amp;DATE(YEAR(H$4),MONTH(H$4),1),IncDocDate,"&lt;="&amp;H$4,IncAccount,LEFT($A42,5)&amp;"*")+SUMIFS(ExpExcl,ExpDocDate,"&gt;="&amp;DATE(YEAR(H$4),MONTH(H$4),1),ExpDocDate,"&lt;="&amp;H$4,ExpAccount,LEFT($A42,5)&amp;"*"),-SUMIFS(IncExcl,IncDocDate,"&gt;="&amp;DATE(YEAR(H$4),MONTH(H$4),1),IncDocDate,"&lt;="&amp;H$4,IncAccount,$A42)+SUMIFS(ExpExcl,ExpDocDate,"&gt;="&amp;DATE(YEAR(H$4),MONTH(H$4),1),ExpDocDate,"&lt;="&amp;H$4,ExpAccount,$A42))</f>
        <v>46580</v>
      </c>
      <c r="I42" s="89" cm="1">
        <f t="array" aca="1" ref="I42" ca="1">IF(RIGHT($A42,1)="G",-SUMIFS(IncExcl,IncDocDate,"&gt;="&amp;DATE(YEAR(I$4),MONTH(I$4),1),IncDocDate,"&lt;="&amp;I$4,IncAccount,LEFT($A42,5)&amp;"*")+SUMIFS(ExpExcl,ExpDocDate,"&gt;="&amp;DATE(YEAR(I$4),MONTH(I$4),1),ExpDocDate,"&lt;="&amp;I$4,ExpAccount,LEFT($A42,5)&amp;"*"),-SUMIFS(IncExcl,IncDocDate,"&gt;="&amp;DATE(YEAR(I$4),MONTH(I$4),1),IncDocDate,"&lt;="&amp;I$4,IncAccount,$A42)+SUMIFS(ExpExcl,ExpDocDate,"&gt;="&amp;DATE(YEAR(I$4),MONTH(I$4),1),ExpDocDate,"&lt;="&amp;I$4,ExpAccount,$A42))</f>
        <v>0</v>
      </c>
      <c r="J42" s="89" cm="1">
        <f t="array" aca="1" ref="J42" ca="1">IF(RIGHT($A42,1)="G",-SUMIFS(IncExcl,IncDocDate,"&gt;="&amp;DATE(YEAR(J$4),MONTH(J$4),1),IncDocDate,"&lt;="&amp;J$4,IncAccount,LEFT($A42,5)&amp;"*")+SUMIFS(ExpExcl,ExpDocDate,"&gt;="&amp;DATE(YEAR(J$4),MONTH(J$4),1),ExpDocDate,"&lt;="&amp;J$4,ExpAccount,LEFT($A42,5)&amp;"*"),-SUMIFS(IncExcl,IncDocDate,"&gt;="&amp;DATE(YEAR(J$4),MONTH(J$4),1),IncDocDate,"&lt;="&amp;J$4,IncAccount,$A42)+SUMIFS(ExpExcl,ExpDocDate,"&gt;="&amp;DATE(YEAR(J$4),MONTH(J$4),1),ExpDocDate,"&lt;="&amp;J$4,ExpAccount,$A42))</f>
        <v>0</v>
      </c>
      <c r="K42" s="89" cm="1">
        <f t="array" aca="1" ref="K42" ca="1">IF(RIGHT($A42,1)="G",-SUMIFS(IncExcl,IncDocDate,"&gt;="&amp;DATE(YEAR(K$4),MONTH(K$4),1),IncDocDate,"&lt;="&amp;K$4,IncAccount,LEFT($A42,5)&amp;"*")+SUMIFS(ExpExcl,ExpDocDate,"&gt;="&amp;DATE(YEAR(K$4),MONTH(K$4),1),ExpDocDate,"&lt;="&amp;K$4,ExpAccount,LEFT($A42,5)&amp;"*"),-SUMIFS(IncExcl,IncDocDate,"&gt;="&amp;DATE(YEAR(K$4),MONTH(K$4),1),IncDocDate,"&lt;="&amp;K$4,IncAccount,$A42)+SUMIFS(ExpExcl,ExpDocDate,"&gt;="&amp;DATE(YEAR(K$4),MONTH(K$4),1),ExpDocDate,"&lt;="&amp;K$4,ExpAccount,$A42))</f>
        <v>0</v>
      </c>
      <c r="L42" s="89" cm="1">
        <f t="array" aca="1" ref="L42" ca="1">IF(RIGHT($A42,1)="G",-SUMIFS(IncExcl,IncDocDate,"&gt;="&amp;DATE(YEAR(L$4),MONTH(L$4),1),IncDocDate,"&lt;="&amp;L$4,IncAccount,LEFT($A42,5)&amp;"*")+SUMIFS(ExpExcl,ExpDocDate,"&gt;="&amp;DATE(YEAR(L$4),MONTH(L$4),1),ExpDocDate,"&lt;="&amp;L$4,ExpAccount,LEFT($A42,5)&amp;"*"),-SUMIFS(IncExcl,IncDocDate,"&gt;="&amp;DATE(YEAR(L$4),MONTH(L$4),1),IncDocDate,"&lt;="&amp;L$4,IncAccount,$A42)+SUMIFS(ExpExcl,ExpDocDate,"&gt;="&amp;DATE(YEAR(L$4),MONTH(L$4),1),ExpDocDate,"&lt;="&amp;L$4,ExpAccount,$A42))</f>
        <v>0</v>
      </c>
      <c r="M42" s="89" cm="1">
        <f t="array" aca="1" ref="M42" ca="1">IF(RIGHT($A42,1)="G",-SUMIFS(IncExcl,IncDocDate,"&gt;="&amp;DATE(YEAR(M$4),MONTH(M$4),1),IncDocDate,"&lt;="&amp;M$4,IncAccount,LEFT($A42,5)&amp;"*")+SUMIFS(ExpExcl,ExpDocDate,"&gt;="&amp;DATE(YEAR(M$4),MONTH(M$4),1),ExpDocDate,"&lt;="&amp;M$4,ExpAccount,LEFT($A42,5)&amp;"*"),-SUMIFS(IncExcl,IncDocDate,"&gt;="&amp;DATE(YEAR(M$4),MONTH(M$4),1),IncDocDate,"&lt;="&amp;M$4,IncAccount,$A42)+SUMIFS(ExpExcl,ExpDocDate,"&gt;="&amp;DATE(YEAR(M$4),MONTH(M$4),1),ExpDocDate,"&lt;="&amp;M$4,ExpAccount,$A42))</f>
        <v>0</v>
      </c>
      <c r="N42" s="89" cm="1">
        <f t="array" aca="1" ref="N42" ca="1">IF(RIGHT($A42,1)="G",-SUMIFS(IncExcl,IncDocDate,"&gt;="&amp;DATE(YEAR(N$4),MONTH(N$4),1),IncDocDate,"&lt;="&amp;N$4,IncAccount,LEFT($A42,5)&amp;"*")+SUMIFS(ExpExcl,ExpDocDate,"&gt;="&amp;DATE(YEAR(N$4),MONTH(N$4),1),ExpDocDate,"&lt;="&amp;N$4,ExpAccount,LEFT($A42,5)&amp;"*"),-SUMIFS(IncExcl,IncDocDate,"&gt;="&amp;DATE(YEAR(N$4),MONTH(N$4),1),IncDocDate,"&lt;="&amp;N$4,IncAccount,$A42)+SUMIFS(ExpExcl,ExpDocDate,"&gt;="&amp;DATE(YEAR(N$4),MONTH(N$4),1),ExpDocDate,"&lt;="&amp;N$4,ExpAccount,$A42))</f>
        <v>24185</v>
      </c>
      <c r="O42" s="88">
        <f ca="1">SUM(C42:N42)</f>
        <v>70765</v>
      </c>
      <c r="P42" s="88" cm="1">
        <f t="array" aca="1" ref="P42" ca="1">IF(RIGHT($A42,1)="G",-SUMIFS(IncExcl,IncDocDate,"&gt;="&amp;$P$2,IncDocDate,"&lt;="&amp;$P$3,IncAccount,LEFT($A42,5)&amp;"*")+SUMIFS(ExpExcl,ExpDocDate,"&gt;="&amp;$P$2,ExpDocDate,"&lt;="&amp;$P$3,ExpAccount,LEFT($A42,5)&amp;"*"),-SUMIFS(IncExcl,IncDocDate,"&gt;="&amp;$P$2,IncDocDate,"&lt;="&amp;$P$3,IncAccount,$A42)+SUMIFS(ExpExcl,ExpDocDate,"&gt;="&amp;$P$2,ExpDocDate,"&lt;="&amp;$P$3,ExpAccount,$A42))</f>
        <v>0</v>
      </c>
    </row>
    <row r="43" spans="1:16" s="3" customFormat="1" ht="16" customHeight="1" x14ac:dyDescent="0.25">
      <c r="A43" s="184"/>
      <c r="B43" s="3" t="s">
        <v>374</v>
      </c>
      <c r="C43" s="86">
        <f ca="1">SUM(C41,-C42)</f>
        <v>11938.209565217416</v>
      </c>
      <c r="D43" s="86">
        <f t="shared" ref="D43:N43" ca="1" si="15">SUM(D41,-D42)</f>
        <v>8216.8143478260754</v>
      </c>
      <c r="E43" s="86">
        <f t="shared" ca="1" si="15"/>
        <v>67659.398695652199</v>
      </c>
      <c r="F43" s="86">
        <f t="shared" ca="1" si="15"/>
        <v>32107.780434782599</v>
      </c>
      <c r="G43" s="86">
        <f t="shared" ca="1" si="15"/>
        <v>25269.653043478265</v>
      </c>
      <c r="H43" s="86">
        <f t="shared" ca="1" si="15"/>
        <v>-26242.739130434795</v>
      </c>
      <c r="I43" s="86">
        <f t="shared" ca="1" si="15"/>
        <v>42702.44347826083</v>
      </c>
      <c r="J43" s="86">
        <f t="shared" ca="1" si="15"/>
        <v>68739.786956521741</v>
      </c>
      <c r="K43" s="86">
        <f t="shared" ca="1" si="15"/>
        <v>28690.043913043486</v>
      </c>
      <c r="L43" s="86">
        <f t="shared" ca="1" si="15"/>
        <v>-75754.930000000008</v>
      </c>
      <c r="M43" s="86">
        <f t="shared" ca="1" si="15"/>
        <v>27596.85826086958</v>
      </c>
      <c r="N43" s="86">
        <f t="shared" ca="1" si="15"/>
        <v>-30936.492173913055</v>
      </c>
      <c r="O43" s="86">
        <f t="shared" ref="O43" ca="1" si="16">SUM(O41,-O42)</f>
        <v>179986.82739130431</v>
      </c>
      <c r="P43" s="86">
        <f t="shared" ref="P43" ca="1" si="17">SUM(P41,-P42)</f>
        <v>0</v>
      </c>
    </row>
    <row r="44" spans="1:16" ht="16" customHeight="1" x14ac:dyDescent="0.25">
      <c r="A44" s="183" t="s">
        <v>376</v>
      </c>
      <c r="B44" s="17" t="str">
        <f ca="1">IF(RIGHT($A44,1)="G",IF(ISNA(VLOOKUP(LEFT($A44,LEN($A44)-1),GroupAll,COLUMN(Groups!$B$4),0)),"Group Not Found",VLOOKUP(LEFT($A44,LEN($A44)-1),GroupAll,COLUMN(Groups!$B$4),0)),IF(ISNA(VLOOKUP($A44,AccountAll,COLUMN(TB!$B$4),0)),"Account Not Found",VLOOKUP($A44,AccountAll,COLUMN(TB!$B$4),0)))</f>
        <v>Dividends Paid</v>
      </c>
      <c r="C44" s="89" cm="1">
        <f t="array" aca="1" ref="C44" ca="1">IF(RIGHT($A44,1)="G",-SUMIFS(IncExcl,IncDocDate,"&gt;="&amp;DATE(YEAR(C$4),MONTH(C$4),1),IncDocDate,"&lt;="&amp;C$4,IncAccount,LEFT($A44,5)&amp;"*")+SUMIFS(ExpExcl,ExpDocDate,"&gt;="&amp;DATE(YEAR(C$4),MONTH(C$4),1),ExpDocDate,"&lt;="&amp;C$4,ExpAccount,LEFT($A44,5)&amp;"*"),-SUMIFS(IncExcl,IncDocDate,"&gt;="&amp;DATE(YEAR(C$4),MONTH(C$4),1),IncDocDate,"&lt;="&amp;C$4,IncAccount,$A44)+SUMIFS(ExpExcl,ExpDocDate,"&gt;="&amp;DATE(YEAR(C$4),MONTH(C$4),1),ExpDocDate,"&lt;="&amp;C$4,ExpAccount,$A44))</f>
        <v>0</v>
      </c>
      <c r="D44" s="89" cm="1">
        <f t="array" aca="1" ref="D44" ca="1">IF(RIGHT($A44,1)="G",-SUMIFS(IncExcl,IncDocDate,"&gt;="&amp;DATE(YEAR(D$4),MONTH(D$4),1),IncDocDate,"&lt;="&amp;D$4,IncAccount,LEFT($A44,5)&amp;"*")+SUMIFS(ExpExcl,ExpDocDate,"&gt;="&amp;DATE(YEAR(D$4),MONTH(D$4),1),ExpDocDate,"&lt;="&amp;D$4,ExpAccount,LEFT($A44,5)&amp;"*"),-SUMIFS(IncExcl,IncDocDate,"&gt;="&amp;DATE(YEAR(D$4),MONTH(D$4),1),IncDocDate,"&lt;="&amp;D$4,IncAccount,$A44)+SUMIFS(ExpExcl,ExpDocDate,"&gt;="&amp;DATE(YEAR(D$4),MONTH(D$4),1),ExpDocDate,"&lt;="&amp;D$4,ExpAccount,$A44))</f>
        <v>0</v>
      </c>
      <c r="E44" s="89" cm="1">
        <f t="array" aca="1" ref="E44" ca="1">IF(RIGHT($A44,1)="G",-SUMIFS(IncExcl,IncDocDate,"&gt;="&amp;DATE(YEAR(E$4),MONTH(E$4),1),IncDocDate,"&lt;="&amp;E$4,IncAccount,LEFT($A44,5)&amp;"*")+SUMIFS(ExpExcl,ExpDocDate,"&gt;="&amp;DATE(YEAR(E$4),MONTH(E$4),1),ExpDocDate,"&lt;="&amp;E$4,ExpAccount,LEFT($A44,5)&amp;"*"),-SUMIFS(IncExcl,IncDocDate,"&gt;="&amp;DATE(YEAR(E$4),MONTH(E$4),1),IncDocDate,"&lt;="&amp;E$4,IncAccount,$A44)+SUMIFS(ExpExcl,ExpDocDate,"&gt;="&amp;DATE(YEAR(E$4),MONTH(E$4),1),ExpDocDate,"&lt;="&amp;E$4,ExpAccount,$A44))</f>
        <v>0</v>
      </c>
      <c r="F44" s="89" cm="1">
        <f t="array" aca="1" ref="F44" ca="1">IF(RIGHT($A44,1)="G",-SUMIFS(IncExcl,IncDocDate,"&gt;="&amp;DATE(YEAR(F$4),MONTH(F$4),1),IncDocDate,"&lt;="&amp;F$4,IncAccount,LEFT($A44,5)&amp;"*")+SUMIFS(ExpExcl,ExpDocDate,"&gt;="&amp;DATE(YEAR(F$4),MONTH(F$4),1),ExpDocDate,"&lt;="&amp;F$4,ExpAccount,LEFT($A44,5)&amp;"*"),-SUMIFS(IncExcl,IncDocDate,"&gt;="&amp;DATE(YEAR(F$4),MONTH(F$4),1),IncDocDate,"&lt;="&amp;F$4,IncAccount,$A44)+SUMIFS(ExpExcl,ExpDocDate,"&gt;="&amp;DATE(YEAR(F$4),MONTH(F$4),1),ExpDocDate,"&lt;="&amp;F$4,ExpAccount,$A44))</f>
        <v>0</v>
      </c>
      <c r="G44" s="89" cm="1">
        <f t="array" aca="1" ref="G44" ca="1">IF(RIGHT($A44,1)="G",-SUMIFS(IncExcl,IncDocDate,"&gt;="&amp;DATE(YEAR(G$4),MONTH(G$4),1),IncDocDate,"&lt;="&amp;G$4,IncAccount,LEFT($A44,5)&amp;"*")+SUMIFS(ExpExcl,ExpDocDate,"&gt;="&amp;DATE(YEAR(G$4),MONTH(G$4),1),ExpDocDate,"&lt;="&amp;G$4,ExpAccount,LEFT($A44,5)&amp;"*"),-SUMIFS(IncExcl,IncDocDate,"&gt;="&amp;DATE(YEAR(G$4),MONTH(G$4),1),IncDocDate,"&lt;="&amp;G$4,IncAccount,$A44)+SUMIFS(ExpExcl,ExpDocDate,"&gt;="&amp;DATE(YEAR(G$4),MONTH(G$4),1),ExpDocDate,"&lt;="&amp;G$4,ExpAccount,$A44))</f>
        <v>0</v>
      </c>
      <c r="H44" s="89" cm="1">
        <f t="array" aca="1" ref="H44" ca="1">IF(RIGHT($A44,1)="G",-SUMIFS(IncExcl,IncDocDate,"&gt;="&amp;DATE(YEAR(H$4),MONTH(H$4),1),IncDocDate,"&lt;="&amp;H$4,IncAccount,LEFT($A44,5)&amp;"*")+SUMIFS(ExpExcl,ExpDocDate,"&gt;="&amp;DATE(YEAR(H$4),MONTH(H$4),1),ExpDocDate,"&lt;="&amp;H$4,ExpAccount,LEFT($A44,5)&amp;"*"),-SUMIFS(IncExcl,IncDocDate,"&gt;="&amp;DATE(YEAR(H$4),MONTH(H$4),1),IncDocDate,"&lt;="&amp;H$4,IncAccount,$A44)+SUMIFS(ExpExcl,ExpDocDate,"&gt;="&amp;DATE(YEAR(H$4),MONTH(H$4),1),ExpDocDate,"&lt;="&amp;H$4,ExpAccount,$A44))</f>
        <v>0</v>
      </c>
      <c r="I44" s="89" cm="1">
        <f t="array" aca="1" ref="I44" ca="1">IF(RIGHT($A44,1)="G",-SUMIFS(IncExcl,IncDocDate,"&gt;="&amp;DATE(YEAR(I$4),MONTH(I$4),1),IncDocDate,"&lt;="&amp;I$4,IncAccount,LEFT($A44,5)&amp;"*")+SUMIFS(ExpExcl,ExpDocDate,"&gt;="&amp;DATE(YEAR(I$4),MONTH(I$4),1),ExpDocDate,"&lt;="&amp;I$4,ExpAccount,LEFT($A44,5)&amp;"*"),-SUMIFS(IncExcl,IncDocDate,"&gt;="&amp;DATE(YEAR(I$4),MONTH(I$4),1),IncDocDate,"&lt;="&amp;I$4,IncAccount,$A44)+SUMIFS(ExpExcl,ExpDocDate,"&gt;="&amp;DATE(YEAR(I$4),MONTH(I$4),1),ExpDocDate,"&lt;="&amp;I$4,ExpAccount,$A44))</f>
        <v>0</v>
      </c>
      <c r="J44" s="89" cm="1">
        <f t="array" aca="1" ref="J44" ca="1">IF(RIGHT($A44,1)="G",-SUMIFS(IncExcl,IncDocDate,"&gt;="&amp;DATE(YEAR(J$4),MONTH(J$4),1),IncDocDate,"&lt;="&amp;J$4,IncAccount,LEFT($A44,5)&amp;"*")+SUMIFS(ExpExcl,ExpDocDate,"&gt;="&amp;DATE(YEAR(J$4),MONTH(J$4),1),ExpDocDate,"&lt;="&amp;J$4,ExpAccount,LEFT($A44,5)&amp;"*"),-SUMIFS(IncExcl,IncDocDate,"&gt;="&amp;DATE(YEAR(J$4),MONTH(J$4),1),IncDocDate,"&lt;="&amp;J$4,IncAccount,$A44)+SUMIFS(ExpExcl,ExpDocDate,"&gt;="&amp;DATE(YEAR(J$4),MONTH(J$4),1),ExpDocDate,"&lt;="&amp;J$4,ExpAccount,$A44))</f>
        <v>0</v>
      </c>
      <c r="K44" s="89" cm="1">
        <f t="array" aca="1" ref="K44" ca="1">IF(RIGHT($A44,1)="G",-SUMIFS(IncExcl,IncDocDate,"&gt;="&amp;DATE(YEAR(K$4),MONTH(K$4),1),IncDocDate,"&lt;="&amp;K$4,IncAccount,LEFT($A44,5)&amp;"*")+SUMIFS(ExpExcl,ExpDocDate,"&gt;="&amp;DATE(YEAR(K$4),MONTH(K$4),1),ExpDocDate,"&lt;="&amp;K$4,ExpAccount,LEFT($A44,5)&amp;"*"),-SUMIFS(IncExcl,IncDocDate,"&gt;="&amp;DATE(YEAR(K$4),MONTH(K$4),1),IncDocDate,"&lt;="&amp;K$4,IncAccount,$A44)+SUMIFS(ExpExcl,ExpDocDate,"&gt;="&amp;DATE(YEAR(K$4),MONTH(K$4),1),ExpDocDate,"&lt;="&amp;K$4,ExpAccount,$A44))</f>
        <v>0</v>
      </c>
      <c r="L44" s="89" cm="1">
        <f t="array" aca="1" ref="L44" ca="1">IF(RIGHT($A44,1)="G",-SUMIFS(IncExcl,IncDocDate,"&gt;="&amp;DATE(YEAR(L$4),MONTH(L$4),1),IncDocDate,"&lt;="&amp;L$4,IncAccount,LEFT($A44,5)&amp;"*")+SUMIFS(ExpExcl,ExpDocDate,"&gt;="&amp;DATE(YEAR(L$4),MONTH(L$4),1),ExpDocDate,"&lt;="&amp;L$4,ExpAccount,LEFT($A44,5)&amp;"*"),-SUMIFS(IncExcl,IncDocDate,"&gt;="&amp;DATE(YEAR(L$4),MONTH(L$4),1),IncDocDate,"&lt;="&amp;L$4,IncAccount,$A44)+SUMIFS(ExpExcl,ExpDocDate,"&gt;="&amp;DATE(YEAR(L$4),MONTH(L$4),1),ExpDocDate,"&lt;="&amp;L$4,ExpAccount,$A44))</f>
        <v>0</v>
      </c>
      <c r="M44" s="89" cm="1">
        <f t="array" aca="1" ref="M44" ca="1">IF(RIGHT($A44,1)="G",-SUMIFS(IncExcl,IncDocDate,"&gt;="&amp;DATE(YEAR(M$4),MONTH(M$4),1),IncDocDate,"&lt;="&amp;M$4,IncAccount,LEFT($A44,5)&amp;"*")+SUMIFS(ExpExcl,ExpDocDate,"&gt;="&amp;DATE(YEAR(M$4),MONTH(M$4),1),ExpDocDate,"&lt;="&amp;M$4,ExpAccount,LEFT($A44,5)&amp;"*"),-SUMIFS(IncExcl,IncDocDate,"&gt;="&amp;DATE(YEAR(M$4),MONTH(M$4),1),IncDocDate,"&lt;="&amp;M$4,IncAccount,$A44)+SUMIFS(ExpExcl,ExpDocDate,"&gt;="&amp;DATE(YEAR(M$4),MONTH(M$4),1),ExpDocDate,"&lt;="&amp;M$4,ExpAccount,$A44))</f>
        <v>0</v>
      </c>
      <c r="N44" s="89" cm="1">
        <f t="array" aca="1" ref="N44" ca="1">IF(RIGHT($A44,1)="G",-SUMIFS(IncExcl,IncDocDate,"&gt;="&amp;DATE(YEAR(N$4),MONTH(N$4),1),IncDocDate,"&lt;="&amp;N$4,IncAccount,LEFT($A44,5)&amp;"*")+SUMIFS(ExpExcl,ExpDocDate,"&gt;="&amp;DATE(YEAR(N$4),MONTH(N$4),1),ExpDocDate,"&lt;="&amp;N$4,ExpAccount,LEFT($A44,5)&amp;"*"),-SUMIFS(IncExcl,IncDocDate,"&gt;="&amp;DATE(YEAR(N$4),MONTH(N$4),1),IncDocDate,"&lt;="&amp;N$4,IncAccount,$A44)+SUMIFS(ExpExcl,ExpDocDate,"&gt;="&amp;DATE(YEAR(N$4),MONTH(N$4),1),ExpDocDate,"&lt;="&amp;N$4,ExpAccount,$A44))</f>
        <v>50000</v>
      </c>
      <c r="O44" s="88">
        <f ca="1">SUM(C44:N44)</f>
        <v>50000</v>
      </c>
      <c r="P44" s="88" cm="1">
        <f t="array" aca="1" ref="P44" ca="1">IF(RIGHT($A44,1)="G",-SUMIFS(IncExcl,IncDocDate,"&gt;="&amp;$P$2,IncDocDate,"&lt;="&amp;$P$3,IncAccount,LEFT($A44,5)&amp;"*")+SUMIFS(ExpExcl,ExpDocDate,"&gt;="&amp;$P$2,ExpDocDate,"&lt;="&amp;$P$3,ExpAccount,LEFT($A44,5)&amp;"*"),-SUMIFS(IncExcl,IncDocDate,"&gt;="&amp;$P$2,IncDocDate,"&lt;="&amp;$P$3,IncAccount,$A44)+SUMIFS(ExpExcl,ExpDocDate,"&gt;="&amp;$P$2,ExpDocDate,"&lt;="&amp;$P$3,ExpAccount,$A44))</f>
        <v>0</v>
      </c>
    </row>
    <row r="45" spans="1:16" s="55" customFormat="1" ht="16" customHeight="1" x14ac:dyDescent="0.25">
      <c r="A45" s="184"/>
      <c r="B45" s="55" t="s">
        <v>377</v>
      </c>
      <c r="C45" s="90">
        <f ca="1">SUM(C43,-C44)</f>
        <v>11938.209565217416</v>
      </c>
      <c r="D45" s="90">
        <f t="shared" ref="D45:N45" ca="1" si="18">SUM(D43,-D44)</f>
        <v>8216.8143478260754</v>
      </c>
      <c r="E45" s="90">
        <f t="shared" ca="1" si="18"/>
        <v>67659.398695652199</v>
      </c>
      <c r="F45" s="90">
        <f t="shared" ca="1" si="18"/>
        <v>32107.780434782599</v>
      </c>
      <c r="G45" s="90">
        <f t="shared" ca="1" si="18"/>
        <v>25269.653043478265</v>
      </c>
      <c r="H45" s="90">
        <f t="shared" ca="1" si="18"/>
        <v>-26242.739130434795</v>
      </c>
      <c r="I45" s="90">
        <f t="shared" ca="1" si="18"/>
        <v>42702.44347826083</v>
      </c>
      <c r="J45" s="90">
        <f t="shared" ca="1" si="18"/>
        <v>68739.786956521741</v>
      </c>
      <c r="K45" s="90">
        <f t="shared" ca="1" si="18"/>
        <v>28690.043913043486</v>
      </c>
      <c r="L45" s="90">
        <f t="shared" ca="1" si="18"/>
        <v>-75754.930000000008</v>
      </c>
      <c r="M45" s="90">
        <f t="shared" ca="1" si="18"/>
        <v>27596.85826086958</v>
      </c>
      <c r="N45" s="90">
        <f t="shared" ca="1" si="18"/>
        <v>-80936.492173913051</v>
      </c>
      <c r="O45" s="90">
        <f t="shared" ref="O45" ca="1" si="19">SUM(O43,-O44)</f>
        <v>129986.82739130431</v>
      </c>
      <c r="P45" s="90">
        <f t="shared" ref="P45" ca="1" si="20">SUM(P43,-P44)</f>
        <v>0</v>
      </c>
    </row>
    <row r="46" spans="1:16" s="29" customFormat="1" ht="16" customHeight="1" x14ac:dyDescent="0.25">
      <c r="A46" s="189"/>
      <c r="B46" s="91"/>
      <c r="O46" s="86"/>
      <c r="P46" s="86"/>
    </row>
    <row r="47" spans="1:16" s="29" customFormat="1" ht="16" customHeight="1" x14ac:dyDescent="0.25">
      <c r="A47" s="189"/>
      <c r="B47" s="91"/>
      <c r="O47" s="86"/>
      <c r="P47" s="86"/>
    </row>
    <row r="48" spans="1:16" s="29" customFormat="1" ht="16" customHeight="1" x14ac:dyDescent="0.25">
      <c r="A48" s="189"/>
      <c r="B48" s="91"/>
      <c r="O48" s="86"/>
      <c r="P48" s="86"/>
    </row>
    <row r="49" spans="6:6" ht="16" customHeight="1" x14ac:dyDescent="0.25">
      <c r="F49" s="92"/>
    </row>
    <row r="50" spans="6:6" ht="16" customHeight="1" x14ac:dyDescent="0.25">
      <c r="F50" s="92"/>
    </row>
    <row r="51" spans="6:6" ht="16" customHeight="1" x14ac:dyDescent="0.25">
      <c r="F51" s="92"/>
    </row>
    <row r="52" spans="6:6" ht="16" customHeight="1" x14ac:dyDescent="0.25">
      <c r="F52" s="93"/>
    </row>
  </sheetData>
  <sheetProtection autoFilter="0"/>
  <phoneticPr fontId="2" type="noConversion"/>
  <pageMargins left="0.59055118110236227" right="0.59055118110236227" top="0.59055118110236227" bottom="0.59055118110236227" header="0.39370078740157483" footer="0.39370078740157483"/>
  <pageSetup paperSize="9" scale="54" orientation="landscape" r:id="rId1"/>
  <headerFooter alignWithMargins="0">
    <oddFooter>Page &amp;P of &amp;N</oddFooter>
  </headerFooter>
  <rowBreaks count="1" manualBreakCount="1">
    <brk id="45" max="16383" man="1"/>
  </rowBreaks>
  <ignoredErrors>
    <ignoredError sqref="C8:M8 C41:N41 O44:P44 O42:P42 C33:N33 C43:N43 O43:P43 O41:P41 O33:P33 N8:P8 C42:N42 C44:N44" formula="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41</vt:i4>
      </vt:variant>
    </vt:vector>
  </HeadingPairs>
  <TitlesOfParts>
    <vt:vector size="42" baseType="lpstr">
      <vt:lpstr>Info</vt:lpstr>
      <vt:lpstr>ExpAccount</vt:lpstr>
      <vt:lpstr>ExpBank</vt:lpstr>
      <vt:lpstr>ExpDocDate</vt:lpstr>
      <vt:lpstr>ExpError</vt:lpstr>
      <vt:lpstr>ExpExcl</vt:lpstr>
      <vt:lpstr>ExpIncl</vt:lpstr>
      <vt:lpstr>ExpPayDate</vt:lpstr>
      <vt:lpstr>ExpTax1</vt:lpstr>
      <vt:lpstr>ExpTax2</vt:lpstr>
      <vt:lpstr>ExpTaxCode1</vt:lpstr>
      <vt:lpstr>ExpTaxCode2</vt:lpstr>
      <vt:lpstr>IncAccount</vt:lpstr>
      <vt:lpstr>IncBank</vt:lpstr>
      <vt:lpstr>IncDocDate</vt:lpstr>
      <vt:lpstr>IncError</vt:lpstr>
      <vt:lpstr>IncExcl</vt:lpstr>
      <vt:lpstr>IncIncl</vt:lpstr>
      <vt:lpstr>IncInvoice</vt:lpstr>
      <vt:lpstr>IncPayAmount</vt:lpstr>
      <vt:lpstr>IncPayDate</vt:lpstr>
      <vt:lpstr>IncTax1</vt:lpstr>
      <vt:lpstr>IncTax2</vt:lpstr>
      <vt:lpstr>IncTaxCode1</vt:lpstr>
      <vt:lpstr>IncTaxCode2</vt:lpstr>
      <vt:lpstr>KeyBS</vt:lpstr>
      <vt:lpstr>KeyIS</vt:lpstr>
      <vt:lpstr>MonthNames</vt:lpstr>
      <vt:lpstr>Months</vt:lpstr>
      <vt:lpstr>BS!Print_Area</vt:lpstr>
      <vt:lpstr>CFS!Print_Area</vt:lpstr>
      <vt:lpstr>Instructions!Print_Area</vt:lpstr>
      <vt:lpstr>IS!Print_Area</vt:lpstr>
      <vt:lpstr>TB!Print_Area</vt:lpstr>
      <vt:lpstr>Bank!Print_Titles</vt:lpstr>
      <vt:lpstr>BS!Print_Titles</vt:lpstr>
      <vt:lpstr>CFS!Print_Titles</vt:lpstr>
      <vt:lpstr>Expenses!Print_Titles</vt:lpstr>
      <vt:lpstr>Groups!Print_Titles</vt:lpstr>
      <vt:lpstr>Income!Print_Titles</vt:lpstr>
      <vt:lpstr>Instructions!Print_Titles</vt:lpstr>
      <vt:lpstr>IS!Print_Titles</vt:lpstr>
    </vt:vector>
  </TitlesOfParts>
  <Company>Excel Skills International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Basic Accounting Template - Excel Skills</dc:title>
  <dc:subject>Excel Accounting</dc:subject>
  <dc:creator>Excel Skills International</dc:creator>
  <cp:keywords>accounting template</cp:keywords>
  <cp:lastModifiedBy>app</cp:lastModifiedBy>
  <cp:lastPrinted>2021-01-30T11:11:12Z</cp:lastPrinted>
  <dcterms:created xsi:type="dcterms:W3CDTF">2009-06-23T14:20:26Z</dcterms:created>
  <dcterms:modified xsi:type="dcterms:W3CDTF">2024-01-30T15:54:22Z</dcterms:modified>
  <cp:category>Excel 2007+</cp:category>
  <cp:contentStatus>Version 2.0</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6ea15bba-90d6-484c-b38f-a5ad1fbb355d</vt:lpwstr>
  </property>
</Properties>
</file>