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eccc119ca288402d" Type="http://schemas.microsoft.com/office/2006/relationships/ui/extensibility" Target="customUI/customUI.xml"/><Relationship Id="Rf5f5de6db49b423d"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fc\fcproduction\files_vol\task\65b91ba918ad8faff6370a91\"/>
    </mc:Choice>
  </mc:AlternateContent>
  <xr:revisionPtr revIDLastSave="0" documentId="8_{C8D0975C-4F21-4E9F-B552-6BB5A046EBE7}" xr6:coauthVersionLast="47" xr6:coauthVersionMax="47" xr10:uidLastSave="{00000000-0000-0000-0000-000000000000}"/>
  <bookViews>
    <workbookView xWindow="380" yWindow="380" windowWidth="16800" windowHeight="9760" tabRatio="791" xr2:uid="{00000000-000D-0000-FFFF-FFFF00000000}"/>
  </bookViews>
  <sheets>
    <sheet name="Info" sheetId="20" r:id="rId1"/>
    <sheet name="Trial" sheetId="21" r:id="rId2"/>
    <sheet name="Instructions" sheetId="4" r:id="rId3"/>
    <sheet name="Setup" sheetId="6" r:id="rId4"/>
    <sheet name="Classes" sheetId="9" r:id="rId5"/>
    <sheet name="TB" sheetId="7" r:id="rId6"/>
    <sheet name="IS" sheetId="13" r:id="rId7"/>
    <sheet name="CFS" sheetId="14" r:id="rId8"/>
    <sheet name="BS" sheetId="15" r:id="rId9"/>
    <sheet name="DB" sheetId="23" r:id="rId10"/>
    <sheet name="TBCheck" sheetId="19" r:id="rId11"/>
  </sheets>
  <definedNames>
    <definedName name="_xlnm._FilterDatabase" localSheetId="8" hidden="1">BS!$A$4:$B$4</definedName>
    <definedName name="_xlnm._FilterDatabase" localSheetId="7" hidden="1">CFS!$A$4:$B$4</definedName>
    <definedName name="_xlnm._FilterDatabase" localSheetId="6" hidden="1">IS!$A$4:$B$4</definedName>
    <definedName name="_xlnm._FilterDatabase" localSheetId="5" hidden="1">TB!$B$4:$H$67</definedName>
    <definedName name="BalRowNo">BS!$B$1:$B$57</definedName>
    <definedName name="BSCode">OFFSET(BS!$A$4,1,0,ROW(BS!$A$44)-ROW(BS!$A$4),1)</definedName>
    <definedName name="CfsRowNo">CFS!$B$1:$B$50</definedName>
    <definedName name="CheckRowCount">COUNTA(OFFSET(TBCheck!$C$4,1,0,Records,1))</definedName>
    <definedName name="ClassAll">OFFSET(Classes!$A$4,1,0,ClassCount,COLUMN(Classes!D$4))</definedName>
    <definedName name="ClassCode">OFFSET(Classes!$A$4,1,0,ClassCount,1)</definedName>
    <definedName name="ClassCount">ROW(Classes!$A$66)-ROW(Classes!$A$4)</definedName>
    <definedName name="ClassError">OFFSET(Classes!$C$4,1,0,ClassCount,1)</definedName>
    <definedName name="ExpenseAll">OFFSET(IS!$B$10,1,0,ROW(IS!$B$34)-ROW(IS!$B$10)-1,5)</definedName>
    <definedName name="ExpenseCY">OFFSET(IS!$B$10,1,1,ROW(IS!$B$34)-ROW(IS!$B$10)-1,1)</definedName>
    <definedName name="ExpenseList">OFFSET(IS!$B$10,1,0,ROW(IS!$B$34)-ROW(IS!$B$10)-1,1)</definedName>
    <definedName name="IncRowNo">IS!$B$1:$B$45</definedName>
    <definedName name="ISCode">OFFSET(IS!$A$4,1,0,ROW(IS!$A$41)-ROW(IS!$A$4),1)</definedName>
    <definedName name="MonthNames">Setup!$B$13:$B$24</definedName>
    <definedName name="_xlnm.Print_Area" localSheetId="8">BS!$B$1:$J$51</definedName>
    <definedName name="_xlnm.Print_Area" localSheetId="7">CFS!$B$1:$J$44</definedName>
    <definedName name="_xlnm.Print_Area" localSheetId="9">DB!$A$1:$L$52</definedName>
    <definedName name="_xlnm.Print_Area" localSheetId="6">IS!$B$1:$J$45</definedName>
    <definedName name="_xlnm.Print_Titles" localSheetId="8">BS!$1:$4</definedName>
    <definedName name="_xlnm.Print_Titles" localSheetId="7">CFS!$1:$4</definedName>
    <definedName name="_xlnm.Print_Titles" localSheetId="2">Instructions!$1:$4</definedName>
    <definedName name="_xlnm.Print_Titles" localSheetId="6">IS!$1:$4</definedName>
    <definedName name="_xlnm.Print_Titles" localSheetId="5">TB!$1:$4</definedName>
    <definedName name="_xlnm.Print_Titles" localSheetId="10">TBCheck!$1:$4</definedName>
    <definedName name="Records">1000</definedName>
    <definedName name="TBAll">OFFSET(TB!$B$4,1,0,TBRowCount,COLUMN(TB!C$4)+TBColCount)</definedName>
    <definedName name="TBClass">OFFSET(TB!$B$4,1,0,TBRowCount,1)</definedName>
    <definedName name="TBColCount">COUNTA(OFFSET(TB!$D$4,0,1,1,100))</definedName>
    <definedName name="TBMonths">OFFSET(TB!$D$4,0,1,1,TBColCount)</definedName>
    <definedName name="TBRowCount">COUNTA(OFFSET(TB!$C$4,1,0,Records,1))</definedName>
    <definedName name="TBStatus">OFFSET(TB!$A$4,1,0,TBRowCount,1)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19" l="1" a="1"/>
  <c r="E3" i="19" s="1"/>
  <c r="C3" i="19" a="1"/>
  <c r="C3" i="19" s="1"/>
  <c r="M3" i="7" a="1"/>
  <c r="M3" i="7" s="1"/>
  <c r="L3" i="7" a="1"/>
  <c r="L3" i="7" s="1"/>
  <c r="K3" i="7" a="1"/>
  <c r="K3" i="7" s="1"/>
  <c r="J3" i="7" a="1"/>
  <c r="J3" i="7" s="1"/>
  <c r="I3" i="7" a="1"/>
  <c r="I3" i="7" s="1"/>
  <c r="H3" i="7" a="1"/>
  <c r="H3" i="7" s="1"/>
  <c r="G3" i="7" a="1"/>
  <c r="G3" i="7" s="1"/>
  <c r="F3" i="7" a="1"/>
  <c r="F3" i="7" s="1"/>
  <c r="E3" i="7" a="1"/>
  <c r="E3" i="7" s="1"/>
  <c r="C2" i="23" l="1"/>
  <c r="A87" i="23" l="1"/>
  <c r="A94" i="23"/>
  <c r="A93" i="23"/>
  <c r="A92" i="23"/>
  <c r="A104" i="23" l="1"/>
  <c r="B50" i="23" s="1"/>
  <c r="A103" i="23"/>
  <c r="B49" i="23" s="1"/>
  <c r="G47" i="23" s="1"/>
  <c r="A102" i="23"/>
  <c r="B48" i="23" s="1"/>
  <c r="E49" i="23" s="1"/>
  <c r="A101" i="23"/>
  <c r="B47" i="23" s="1"/>
  <c r="A100" i="23"/>
  <c r="B46" i="23" s="1"/>
  <c r="G49" i="23" s="1"/>
  <c r="A99" i="23"/>
  <c r="B44" i="23" s="1"/>
  <c r="A98" i="23"/>
  <c r="B43" i="23" s="1"/>
  <c r="E47" i="23" s="1"/>
  <c r="A97" i="23"/>
  <c r="B42" i="23" s="1"/>
  <c r="A95" i="23"/>
  <c r="A90" i="23" l="1"/>
  <c r="A89" i="23"/>
  <c r="A63" i="23"/>
  <c r="A80" i="23" l="1"/>
  <c r="A79" i="23"/>
  <c r="A78" i="23"/>
  <c r="G12" i="23" l="1"/>
  <c r="G11" i="23"/>
  <c r="A62" i="23"/>
  <c r="E57" i="23"/>
  <c r="A75" i="23"/>
  <c r="A74" i="23"/>
  <c r="G6" i="23" s="1"/>
  <c r="G7" i="23" l="1"/>
  <c r="A88" i="23"/>
  <c r="A55" i="23"/>
  <c r="C65" i="9" l="1"/>
  <c r="C64" i="9"/>
  <c r="C63" i="9"/>
  <c r="C62" i="9"/>
  <c r="C61" i="9"/>
  <c r="C60" i="9"/>
  <c r="C59" i="9"/>
  <c r="C58" i="9"/>
  <c r="C57" i="9"/>
  <c r="C56" i="9"/>
  <c r="C55" i="9"/>
  <c r="C53" i="9"/>
  <c r="C52" i="9"/>
  <c r="C51" i="9"/>
  <c r="C49" i="9"/>
  <c r="C48" i="9"/>
  <c r="C47" i="9"/>
  <c r="C46" i="9"/>
  <c r="C45" i="9"/>
  <c r="C44" i="9"/>
  <c r="C43" i="9"/>
  <c r="C42" i="9"/>
  <c r="C41" i="9"/>
  <c r="C40" i="9"/>
  <c r="C39"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B31" i="13" l="1"/>
  <c r="B40" i="13"/>
  <c r="G10" i="23" s="1"/>
  <c r="B37" i="13"/>
  <c r="A77" i="23" s="1"/>
  <c r="G9" i="23" s="1"/>
  <c r="B35" i="13"/>
  <c r="B33" i="13"/>
  <c r="B32" i="13"/>
  <c r="B30" i="13"/>
  <c r="B29" i="13"/>
  <c r="B28" i="13"/>
  <c r="B27" i="13"/>
  <c r="B26" i="13"/>
  <c r="B25" i="13"/>
  <c r="B24" i="13"/>
  <c r="B23" i="13"/>
  <c r="B22" i="13"/>
  <c r="B21" i="13"/>
  <c r="B20" i="13"/>
  <c r="B19" i="13"/>
  <c r="B18" i="13"/>
  <c r="B17" i="13"/>
  <c r="B16" i="13"/>
  <c r="B15" i="13"/>
  <c r="B14" i="13"/>
  <c r="B13" i="13"/>
  <c r="B12" i="13"/>
  <c r="B11" i="13"/>
  <c r="B9" i="13"/>
  <c r="B6" i="13"/>
  <c r="B5" i="13"/>
  <c r="B38" i="15"/>
  <c r="B25" i="15"/>
  <c r="B18" i="15"/>
  <c r="B10" i="15"/>
  <c r="B41" i="15"/>
  <c r="B40" i="15"/>
  <c r="B39" i="15"/>
  <c r="B37" i="15"/>
  <c r="B36" i="15"/>
  <c r="B35" i="15"/>
  <c r="B34" i="15"/>
  <c r="B31" i="15"/>
  <c r="B30" i="15"/>
  <c r="B29" i="15"/>
  <c r="B26" i="15"/>
  <c r="B24" i="15"/>
  <c r="B19" i="15"/>
  <c r="B17" i="15"/>
  <c r="B16" i="15"/>
  <c r="B15" i="15"/>
  <c r="B14" i="15"/>
  <c r="B11" i="15"/>
  <c r="B9" i="15"/>
  <c r="B8" i="15"/>
  <c r="B7" i="15"/>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5" i="7"/>
  <c r="A1" i="19"/>
  <c r="B1" i="15"/>
  <c r="B1" i="14"/>
  <c r="B1" i="13"/>
  <c r="A1" i="7"/>
  <c r="A1" i="9"/>
  <c r="A1" i="6"/>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76" i="23" l="1"/>
  <c r="G8" i="23" s="1"/>
  <c r="A73" i="23"/>
  <c r="A61" i="23"/>
  <c r="A60" i="23" s="1"/>
  <c r="C4" i="14"/>
  <c r="C4" i="15"/>
  <c r="D8" i="6"/>
  <c r="E5" i="19"/>
  <c r="C39" i="15" l="1" a="1"/>
  <c r="C39" i="15" s="1"/>
  <c r="C35" i="15" a="1"/>
  <c r="C35" i="15" s="1"/>
  <c r="C29" i="15" a="1"/>
  <c r="C29" i="15" s="1"/>
  <c r="C18" i="15" a="1"/>
  <c r="C18" i="15" s="1"/>
  <c r="C14" i="15" a="1"/>
  <c r="C14" i="15" s="1"/>
  <c r="C8" i="15" a="1"/>
  <c r="C8" i="15" s="1"/>
  <c r="C40" i="15" a="1"/>
  <c r="C40" i="15" s="1"/>
  <c r="C36" i="15" a="1"/>
  <c r="C36" i="15" s="1"/>
  <c r="C30" i="15" a="1"/>
  <c r="C30" i="15" s="1"/>
  <c r="C19" i="15" a="1"/>
  <c r="C19" i="15" s="1"/>
  <c r="C15" i="15" a="1"/>
  <c r="C15" i="15" s="1"/>
  <c r="C9" i="15" a="1"/>
  <c r="C9" i="15" s="1"/>
  <c r="C38" i="15" a="1"/>
  <c r="C38" i="15" s="1"/>
  <c r="C17" i="15" a="1"/>
  <c r="C17" i="15" s="1"/>
  <c r="C11" i="15" a="1"/>
  <c r="C11" i="15" s="1"/>
  <c r="C25" i="15" a="1"/>
  <c r="C25" i="15" s="1"/>
  <c r="C41" i="15" a="1"/>
  <c r="C41" i="15" s="1"/>
  <c r="C37" i="15" a="1"/>
  <c r="C37" i="15" s="1"/>
  <c r="C31" i="15" a="1"/>
  <c r="C31" i="15" s="1"/>
  <c r="C24" i="15" a="1"/>
  <c r="C24" i="15" s="1"/>
  <c r="C16" i="15" a="1"/>
  <c r="C16" i="15" s="1"/>
  <c r="C10" i="15" a="1"/>
  <c r="C10" i="15" s="1"/>
  <c r="C34" i="15" a="1"/>
  <c r="C34" i="15" s="1"/>
  <c r="C7" i="15" a="1"/>
  <c r="C7" i="15" s="1"/>
  <c r="C38" i="14" a="1"/>
  <c r="C38" i="14" s="1"/>
  <c r="C31" i="14" a="1"/>
  <c r="C31" i="14" s="1"/>
  <c r="C23" i="14" a="1"/>
  <c r="C23" i="14" s="1"/>
  <c r="C19" i="14" a="1"/>
  <c r="C19" i="14" s="1"/>
  <c r="C14" i="14" a="1"/>
  <c r="C14" i="14" s="1"/>
  <c r="C10" i="14" a="1"/>
  <c r="C10" i="14" s="1"/>
  <c r="C30" i="14" a="1"/>
  <c r="C30" i="14" s="1"/>
  <c r="C32" i="14" a="1"/>
  <c r="C32" i="14" s="1"/>
  <c r="C20" i="14" a="1"/>
  <c r="C20" i="14" s="1"/>
  <c r="C16" i="14" a="1"/>
  <c r="C16" i="14" s="1"/>
  <c r="C11" i="14" a="1"/>
  <c r="C11" i="14" s="1"/>
  <c r="C22" i="14" a="1"/>
  <c r="C22" i="14" s="1"/>
  <c r="C43" i="14" a="1"/>
  <c r="C43" i="14" s="1"/>
  <c r="C36" i="14" a="1"/>
  <c r="C36" i="14" s="1"/>
  <c r="C21" i="14" a="1"/>
  <c r="C21" i="14" s="1"/>
  <c r="C17" i="14" a="1"/>
  <c r="C17" i="14" s="1"/>
  <c r="C12" i="14" a="1"/>
  <c r="C12" i="14" s="1"/>
  <c r="C18" i="14" a="1"/>
  <c r="C18" i="14" s="1"/>
  <c r="C37" i="14" a="1"/>
  <c r="C37" i="14" s="1"/>
  <c r="C13" i="14" a="1"/>
  <c r="C13" i="14" s="1"/>
  <c r="G5" i="23"/>
  <c r="D4" i="15"/>
  <c r="D4" i="14"/>
  <c r="D40" i="15" l="1" a="1"/>
  <c r="D40" i="15" s="1"/>
  <c r="D36" i="15" a="1"/>
  <c r="D36" i="15" s="1"/>
  <c r="D30" i="15" a="1"/>
  <c r="D30" i="15" s="1"/>
  <c r="D19" i="15" a="1"/>
  <c r="D19" i="15" s="1"/>
  <c r="E19" i="15" s="1"/>
  <c r="F19" i="15" s="1"/>
  <c r="D15" i="15" a="1"/>
  <c r="D15" i="15" s="1"/>
  <c r="E15" i="15" s="1"/>
  <c r="F15" i="15" s="1"/>
  <c r="D9" i="15" a="1"/>
  <c r="D9" i="15" s="1"/>
  <c r="E9" i="15" s="1"/>
  <c r="F9" i="15" s="1"/>
  <c r="D41" i="15" a="1"/>
  <c r="D41" i="15" s="1"/>
  <c r="E41" i="15" s="1"/>
  <c r="F41" i="15" s="1"/>
  <c r="D37" i="15" a="1"/>
  <c r="D37" i="15" s="1"/>
  <c r="E37" i="15" s="1"/>
  <c r="F37" i="15" s="1"/>
  <c r="D31" i="15" a="1"/>
  <c r="D31" i="15" s="1"/>
  <c r="E31" i="15" s="1"/>
  <c r="F31" i="15" s="1"/>
  <c r="D24" i="15" a="1"/>
  <c r="D24" i="15" s="1"/>
  <c r="D16" i="15" a="1"/>
  <c r="D16" i="15" s="1"/>
  <c r="E16" i="15" s="1"/>
  <c r="F16" i="15" s="1"/>
  <c r="D10" i="15" a="1"/>
  <c r="D10" i="15" s="1"/>
  <c r="D29" i="15" a="1"/>
  <c r="D29" i="15" s="1"/>
  <c r="E29" i="15" s="1"/>
  <c r="F29" i="15" s="1"/>
  <c r="D8" i="15" a="1"/>
  <c r="D8" i="15" s="1"/>
  <c r="E8" i="15" s="1"/>
  <c r="F8" i="15" s="1"/>
  <c r="D39" i="15" a="1"/>
  <c r="D39" i="15" s="1"/>
  <c r="E39" i="15" s="1"/>
  <c r="F39" i="15" s="1"/>
  <c r="D38" i="15" a="1"/>
  <c r="D38" i="15" s="1"/>
  <c r="D34" i="15" a="1"/>
  <c r="D34" i="15" s="1"/>
  <c r="D25" i="15" a="1"/>
  <c r="D25" i="15" s="1"/>
  <c r="D17" i="15" a="1"/>
  <c r="D17" i="15" s="1"/>
  <c r="E17" i="15" s="1"/>
  <c r="F17" i="15" s="1"/>
  <c r="D11" i="15" a="1"/>
  <c r="D11" i="15" s="1"/>
  <c r="E11" i="15" s="1"/>
  <c r="F11" i="15" s="1"/>
  <c r="D7" i="15" a="1"/>
  <c r="D7" i="15" s="1"/>
  <c r="E7" i="15" s="1"/>
  <c r="F7" i="15" s="1"/>
  <c r="D18" i="15" a="1"/>
  <c r="D18" i="15" s="1"/>
  <c r="D14" i="15" a="1"/>
  <c r="D14" i="15" s="1"/>
  <c r="E14" i="15" s="1"/>
  <c r="F14" i="15" s="1"/>
  <c r="D35" i="15" a="1"/>
  <c r="D35" i="15" s="1"/>
  <c r="E35" i="15" s="1"/>
  <c r="F35" i="15" s="1"/>
  <c r="D32" i="14" a="1"/>
  <c r="D32" i="14" s="1"/>
  <c r="D20" i="14" a="1"/>
  <c r="D20" i="14" s="1"/>
  <c r="D16" i="14" a="1"/>
  <c r="D16" i="14" s="1"/>
  <c r="E16" i="14" s="1"/>
  <c r="D11" i="14" a="1"/>
  <c r="D11" i="14" s="1"/>
  <c r="D14" i="14" a="1"/>
  <c r="D14" i="14" s="1"/>
  <c r="D19" i="14" a="1"/>
  <c r="D19" i="14" s="1"/>
  <c r="D43" i="14" a="1"/>
  <c r="D43" i="14" s="1"/>
  <c r="D36" i="14" a="1"/>
  <c r="D36" i="14" s="1"/>
  <c r="D21" i="14" a="1"/>
  <c r="D21" i="14" s="1"/>
  <c r="E21" i="14" s="1"/>
  <c r="F21" i="14" s="1"/>
  <c r="D17" i="14" a="1"/>
  <c r="D17" i="14" s="1"/>
  <c r="E17" i="14" s="1"/>
  <c r="D12" i="14" a="1"/>
  <c r="D12" i="14" s="1"/>
  <c r="D38" i="14" a="1"/>
  <c r="D38" i="14" s="1"/>
  <c r="D23" i="14" a="1"/>
  <c r="D23" i="14" s="1"/>
  <c r="D37" i="14" a="1"/>
  <c r="D37" i="14" s="1"/>
  <c r="D30" i="14" a="1"/>
  <c r="D30" i="14" s="1"/>
  <c r="D22" i="14" a="1"/>
  <c r="D22" i="14" s="1"/>
  <c r="E22" i="14" s="1"/>
  <c r="F22" i="14" s="1"/>
  <c r="D18" i="14" a="1"/>
  <c r="D18" i="14" s="1"/>
  <c r="E18" i="14" s="1"/>
  <c r="D13" i="14" a="1"/>
  <c r="D13" i="14" s="1"/>
  <c r="D31" i="14" a="1"/>
  <c r="D31" i="14" s="1"/>
  <c r="D10" i="14" a="1"/>
  <c r="D10" i="14" s="1"/>
  <c r="E36" i="15"/>
  <c r="F36" i="15" s="1"/>
  <c r="E30" i="15"/>
  <c r="F30" i="15" s="1"/>
  <c r="E34" i="15"/>
  <c r="F34" i="15" s="1"/>
  <c r="E24" i="15"/>
  <c r="F24" i="15" s="1"/>
  <c r="E40" i="15"/>
  <c r="F40" i="15" s="1"/>
  <c r="E25" i="15"/>
  <c r="F25" i="15" s="1"/>
  <c r="H4" i="15"/>
  <c r="H4" i="14"/>
  <c r="C20" i="15"/>
  <c r="C12" i="15"/>
  <c r="C32" i="15"/>
  <c r="C42" i="15"/>
  <c r="H41" i="15" l="1" a="1"/>
  <c r="H41" i="15" s="1"/>
  <c r="H37" i="15" a="1"/>
  <c r="H37" i="15" s="1"/>
  <c r="H31" i="15" a="1"/>
  <c r="H31" i="15" s="1"/>
  <c r="H24" i="15" a="1"/>
  <c r="H24" i="15" s="1"/>
  <c r="I24" i="15" s="1"/>
  <c r="J24" i="15" s="1"/>
  <c r="H16" i="15" a="1"/>
  <c r="H16" i="15" s="1"/>
  <c r="H10" i="15" a="1"/>
  <c r="H10" i="15" s="1"/>
  <c r="H30" i="15" a="1"/>
  <c r="H30" i="15" s="1"/>
  <c r="I30" i="15" s="1"/>
  <c r="J30" i="15" s="1"/>
  <c r="H38" i="15" a="1"/>
  <c r="H38" i="15" s="1"/>
  <c r="I38" i="15" s="1"/>
  <c r="H34" i="15" a="1"/>
  <c r="H34" i="15" s="1"/>
  <c r="H25" i="15" a="1"/>
  <c r="H25" i="15" s="1"/>
  <c r="I25" i="15" s="1"/>
  <c r="J25" i="15" s="1"/>
  <c r="H17" i="15" a="1"/>
  <c r="H17" i="15" s="1"/>
  <c r="I17" i="15" s="1"/>
  <c r="J17" i="15" s="1"/>
  <c r="H11" i="15" a="1"/>
  <c r="H11" i="15" s="1"/>
  <c r="I11" i="15" s="1"/>
  <c r="J11" i="15" s="1"/>
  <c r="H7" i="15" a="1"/>
  <c r="H7" i="15" s="1"/>
  <c r="H36" i="15" a="1"/>
  <c r="H36" i="15" s="1"/>
  <c r="I36" i="15" s="1"/>
  <c r="J36" i="15" s="1"/>
  <c r="H19" i="15" a="1"/>
  <c r="H19" i="15" s="1"/>
  <c r="I19" i="15" s="1"/>
  <c r="J19" i="15" s="1"/>
  <c r="H15" i="15" a="1"/>
  <c r="H15" i="15" s="1"/>
  <c r="I15" i="15" s="1"/>
  <c r="J15" i="15" s="1"/>
  <c r="H9" i="15" a="1"/>
  <c r="H9" i="15" s="1"/>
  <c r="H39" i="15" a="1"/>
  <c r="H39" i="15" s="1"/>
  <c r="H35" i="15" a="1"/>
  <c r="H35" i="15" s="1"/>
  <c r="H29" i="15" a="1"/>
  <c r="H29" i="15" s="1"/>
  <c r="H18" i="15" a="1"/>
  <c r="H18" i="15" s="1"/>
  <c r="H14" i="15" a="1"/>
  <c r="H14" i="15" s="1"/>
  <c r="H8" i="15" a="1"/>
  <c r="H8" i="15" s="1"/>
  <c r="I8" i="15" s="1"/>
  <c r="J8" i="15" s="1"/>
  <c r="H40" i="15" a="1"/>
  <c r="H40" i="15" s="1"/>
  <c r="H43" i="14" a="1"/>
  <c r="H43" i="14" s="1"/>
  <c r="H36" i="14" a="1"/>
  <c r="H36" i="14" s="1"/>
  <c r="H21" i="14" a="1"/>
  <c r="H21" i="14" s="1"/>
  <c r="I21" i="14" s="1"/>
  <c r="J21" i="14" s="1"/>
  <c r="H17" i="14" a="1"/>
  <c r="H17" i="14" s="1"/>
  <c r="I17" i="14" s="1"/>
  <c r="H12" i="14" a="1"/>
  <c r="H12" i="14" s="1"/>
  <c r="I12" i="14" s="1"/>
  <c r="H37" i="14" a="1"/>
  <c r="H37" i="14" s="1"/>
  <c r="H30" i="14" a="1"/>
  <c r="H30" i="14" s="1"/>
  <c r="H22" i="14" a="1"/>
  <c r="H22" i="14" s="1"/>
  <c r="I22" i="14" s="1"/>
  <c r="J22" i="14" s="1"/>
  <c r="H18" i="14" a="1"/>
  <c r="H18" i="14" s="1"/>
  <c r="I18" i="14" s="1"/>
  <c r="H13" i="14" a="1"/>
  <c r="H13" i="14" s="1"/>
  <c r="I13" i="14" s="1"/>
  <c r="J13" i="14" s="1"/>
  <c r="H32" i="14" a="1"/>
  <c r="H32" i="14" s="1"/>
  <c r="H11" i="14" a="1"/>
  <c r="H11" i="14" s="1"/>
  <c r="I11" i="14" s="1"/>
  <c r="J11" i="14" s="1"/>
  <c r="H16" i="14" a="1"/>
  <c r="H16" i="14" s="1"/>
  <c r="I16" i="14" s="1"/>
  <c r="H38" i="14" a="1"/>
  <c r="H38" i="14" s="1"/>
  <c r="H31" i="14" a="1"/>
  <c r="H31" i="14" s="1"/>
  <c r="H23" i="14" a="1"/>
  <c r="H23" i="14" s="1"/>
  <c r="H19" i="14" a="1"/>
  <c r="H19" i="14" s="1"/>
  <c r="H14" i="14" a="1"/>
  <c r="H14" i="14" s="1"/>
  <c r="H10" i="14" a="1"/>
  <c r="H10" i="14" s="1"/>
  <c r="I10" i="14" s="1"/>
  <c r="H20" i="14" a="1"/>
  <c r="H20" i="14" s="1"/>
  <c r="I9" i="15"/>
  <c r="J9" i="15" s="1"/>
  <c r="I16" i="15"/>
  <c r="J16" i="15" s="1"/>
  <c r="C46" i="15"/>
  <c r="C47" i="15"/>
  <c r="C106" i="23"/>
  <c r="F16" i="14"/>
  <c r="F17" i="14"/>
  <c r="E14" i="14"/>
  <c r="F14" i="14" s="1"/>
  <c r="E13" i="14"/>
  <c r="F13" i="14" s="1"/>
  <c r="E18" i="15"/>
  <c r="F18" i="15" s="1"/>
  <c r="E19" i="14"/>
  <c r="F19" i="14" s="1"/>
  <c r="E11" i="14"/>
  <c r="F11" i="14" s="1"/>
  <c r="F18" i="14"/>
  <c r="E10" i="14"/>
  <c r="F10" i="14" s="1"/>
  <c r="E38" i="15"/>
  <c r="F38" i="15" s="1"/>
  <c r="I41" i="15"/>
  <c r="J41" i="15" s="1"/>
  <c r="I37" i="15"/>
  <c r="J37" i="15" s="1"/>
  <c r="I31" i="15"/>
  <c r="J31" i="15" s="1"/>
  <c r="I39" i="15"/>
  <c r="J39" i="15" s="1"/>
  <c r="I35" i="15"/>
  <c r="J35" i="15" s="1"/>
  <c r="E10" i="15"/>
  <c r="F10" i="15" s="1"/>
  <c r="E12" i="14"/>
  <c r="F12" i="14" s="1"/>
  <c r="C21" i="15"/>
  <c r="C43" i="15"/>
  <c r="C4" i="13"/>
  <c r="C30" i="13" l="1" a="1"/>
  <c r="C30" i="13" s="1"/>
  <c r="C18" i="13" a="1"/>
  <c r="C18" i="13" s="1"/>
  <c r="C9" i="13" a="1"/>
  <c r="C9" i="13" s="1"/>
  <c r="C35" i="13" a="1"/>
  <c r="C35" i="13" s="1"/>
  <c r="C26" i="13" a="1"/>
  <c r="C26" i="13" s="1"/>
  <c r="C22" i="13" a="1"/>
  <c r="C22" i="13" s="1"/>
  <c r="C14" i="13" a="1"/>
  <c r="C14" i="13" s="1"/>
  <c r="C29" i="13" a="1"/>
  <c r="C29" i="13" s="1"/>
  <c r="C6" i="13" a="1"/>
  <c r="C6" i="13" s="1"/>
  <c r="C37" i="13" a="1"/>
  <c r="C37" i="13" s="1"/>
  <c r="C31" i="13" a="1"/>
  <c r="C31" i="13" s="1"/>
  <c r="C27" i="13" a="1"/>
  <c r="C27" i="13" s="1"/>
  <c r="C23" i="13" a="1"/>
  <c r="C23" i="13" s="1"/>
  <c r="C19" i="13" a="1"/>
  <c r="C19" i="13" s="1"/>
  <c r="C15" i="13" a="1"/>
  <c r="C15" i="13" s="1"/>
  <c r="C11" i="13" a="1"/>
  <c r="C11" i="13" s="1"/>
  <c r="C33" i="13" a="1"/>
  <c r="C33" i="13" s="1"/>
  <c r="C21" i="13" a="1"/>
  <c r="C21" i="13" s="1"/>
  <c r="C13" i="13" a="1"/>
  <c r="C13" i="13" s="1"/>
  <c r="C17" i="13" a="1"/>
  <c r="C17" i="13" s="1"/>
  <c r="C39" i="13" a="1"/>
  <c r="C39" i="13" s="1"/>
  <c r="C32" i="13" a="1"/>
  <c r="C32" i="13" s="1"/>
  <c r="C28" i="13" a="1"/>
  <c r="C28" i="13" s="1"/>
  <c r="C24" i="13" a="1"/>
  <c r="C24" i="13" s="1"/>
  <c r="C20" i="13" a="1"/>
  <c r="C20" i="13" s="1"/>
  <c r="C16" i="13" a="1"/>
  <c r="C16" i="13" s="1"/>
  <c r="C12" i="13" a="1"/>
  <c r="C12" i="13" s="1"/>
  <c r="C5" i="13" a="1"/>
  <c r="C5" i="13" s="1"/>
  <c r="C40" i="13" a="1"/>
  <c r="C40" i="13" s="1"/>
  <c r="C39" i="14" s="1" a="1"/>
  <c r="C39" i="14" s="1"/>
  <c r="C25" i="13" a="1"/>
  <c r="C25" i="13" s="1"/>
  <c r="C59" i="23"/>
  <c r="J16" i="14"/>
  <c r="I14" i="14"/>
  <c r="J14" i="14" s="1"/>
  <c r="J17" i="14"/>
  <c r="I19" i="14"/>
  <c r="J19" i="14" s="1"/>
  <c r="J18" i="14"/>
  <c r="J10" i="14"/>
  <c r="J38" i="15"/>
  <c r="I18" i="15"/>
  <c r="J18" i="15" s="1"/>
  <c r="I7" i="15"/>
  <c r="H12" i="15"/>
  <c r="I40" i="15"/>
  <c r="J40" i="15" s="1"/>
  <c r="I14" i="15"/>
  <c r="H20" i="15"/>
  <c r="H42" i="15"/>
  <c r="I34" i="15"/>
  <c r="I29" i="15"/>
  <c r="I32" i="15" s="1"/>
  <c r="H32" i="15"/>
  <c r="I10" i="15"/>
  <c r="J10" i="15" s="1"/>
  <c r="J12" i="14"/>
  <c r="D4" i="13"/>
  <c r="D5" i="19"/>
  <c r="D15" i="13" l="1" a="1"/>
  <c r="D15" i="13" s="1"/>
  <c r="D35" i="13" a="1"/>
  <c r="D35" i="13" s="1"/>
  <c r="D22" i="13" a="1"/>
  <c r="D22" i="13" s="1"/>
  <c r="D37" i="13" a="1"/>
  <c r="D37" i="13" s="1"/>
  <c r="D31" i="13" a="1"/>
  <c r="D31" i="13" s="1"/>
  <c r="D27" i="13" a="1"/>
  <c r="D27" i="13" s="1"/>
  <c r="D23" i="13" a="1"/>
  <c r="D23" i="13" s="1"/>
  <c r="D19" i="13" a="1"/>
  <c r="D19" i="13" s="1"/>
  <c r="D11" i="13" a="1"/>
  <c r="D11" i="13" s="1"/>
  <c r="D26" i="13" a="1"/>
  <c r="D26" i="13" s="1"/>
  <c r="D18" i="13" a="1"/>
  <c r="D18" i="13" s="1"/>
  <c r="D39" i="13" a="1"/>
  <c r="D39" i="13" s="1"/>
  <c r="D32" i="13" a="1"/>
  <c r="D32" i="13" s="1"/>
  <c r="D28" i="13" a="1"/>
  <c r="D28" i="13" s="1"/>
  <c r="D24" i="13" a="1"/>
  <c r="D24" i="13" s="1"/>
  <c r="D20" i="13" a="1"/>
  <c r="D20" i="13" s="1"/>
  <c r="D16" i="13" a="1"/>
  <c r="D16" i="13" s="1"/>
  <c r="D12" i="13" a="1"/>
  <c r="D12" i="13" s="1"/>
  <c r="D5" i="13" a="1"/>
  <c r="D5" i="13" s="1"/>
  <c r="D40" i="13" a="1"/>
  <c r="D40" i="13" s="1"/>
  <c r="D39" i="14" s="1" a="1"/>
  <c r="D39" i="14" s="1"/>
  <c r="D33" i="13" a="1"/>
  <c r="D33" i="13" s="1"/>
  <c r="D29" i="13" a="1"/>
  <c r="D29" i="13" s="1"/>
  <c r="D25" i="13" a="1"/>
  <c r="D25" i="13" s="1"/>
  <c r="D21" i="13" a="1"/>
  <c r="D21" i="13" s="1"/>
  <c r="D17" i="13" a="1"/>
  <c r="D17" i="13" s="1"/>
  <c r="D13" i="13" a="1"/>
  <c r="D13" i="13" s="1"/>
  <c r="E13" i="13" s="1"/>
  <c r="F13" i="13" s="1"/>
  <c r="D6" i="13" a="1"/>
  <c r="D6" i="13" s="1"/>
  <c r="D9" i="13" a="1"/>
  <c r="D9" i="13" s="1"/>
  <c r="D30" i="13" a="1"/>
  <c r="D30" i="13" s="1"/>
  <c r="D14" i="13" a="1"/>
  <c r="D14" i="13" s="1"/>
  <c r="D59" i="23"/>
  <c r="D72" i="23" s="1"/>
  <c r="C48" i="15"/>
  <c r="C49" i="15"/>
  <c r="H47" i="15"/>
  <c r="H46" i="15"/>
  <c r="A108" i="23"/>
  <c r="A107" i="23" s="1"/>
  <c r="C72" i="23"/>
  <c r="A110" i="23"/>
  <c r="A109" i="23" s="1"/>
  <c r="D106" i="23"/>
  <c r="E106" i="23" s="1"/>
  <c r="A106" i="23"/>
  <c r="A105" i="23" s="1"/>
  <c r="C96" i="23"/>
  <c r="C89" i="23"/>
  <c r="C91" i="23"/>
  <c r="C81" i="23"/>
  <c r="C85" i="23" a="1"/>
  <c r="C85" i="23" s="1"/>
  <c r="C83" i="23" a="1"/>
  <c r="C83" i="23" s="1"/>
  <c r="C84" i="23" a="1"/>
  <c r="C84" i="23" s="1"/>
  <c r="C82" i="23" a="1"/>
  <c r="C82" i="23" s="1"/>
  <c r="A67" i="23"/>
  <c r="C86" i="23" a="1"/>
  <c r="C86" i="23" s="1"/>
  <c r="B86" i="23" a="1"/>
  <c r="B86" i="23" s="1"/>
  <c r="B84" i="23" a="1"/>
  <c r="B84" i="23" s="1"/>
  <c r="B85" i="23" a="1"/>
  <c r="B85" i="23" s="1"/>
  <c r="B83" i="23" a="1"/>
  <c r="B83" i="23" s="1"/>
  <c r="B82" i="23" a="1"/>
  <c r="B82" i="23" s="1"/>
  <c r="A71" i="23"/>
  <c r="A70" i="23" s="1"/>
  <c r="H43" i="15"/>
  <c r="H21" i="15"/>
  <c r="J32" i="15"/>
  <c r="J29" i="15"/>
  <c r="J14" i="15"/>
  <c r="I20" i="15"/>
  <c r="J20" i="15" s="1"/>
  <c r="I42" i="15"/>
  <c r="J34" i="15"/>
  <c r="I12" i="15"/>
  <c r="J7" i="15"/>
  <c r="H4" i="13"/>
  <c r="C10" i="13"/>
  <c r="C50" i="15" s="1"/>
  <c r="C7" i="13"/>
  <c r="C8" i="13" s="1"/>
  <c r="B10" i="6"/>
  <c r="A56" i="23" s="1"/>
  <c r="C4" i="23" s="1"/>
  <c r="B24" i="6"/>
  <c r="B23" i="6"/>
  <c r="B22" i="6"/>
  <c r="B21" i="6"/>
  <c r="B20" i="6"/>
  <c r="B19" i="6"/>
  <c r="B18" i="6"/>
  <c r="B17" i="6"/>
  <c r="B16" i="6"/>
  <c r="B15" i="6"/>
  <c r="B14" i="6"/>
  <c r="B13" i="6"/>
  <c r="D84" i="23" l="1" a="1"/>
  <c r="D84" i="23" s="1"/>
  <c r="D85" i="23" a="1"/>
  <c r="D85" i="23" s="1"/>
  <c r="D81" i="23"/>
  <c r="D96" i="23"/>
  <c r="D91" i="23"/>
  <c r="H20" i="13" a="1"/>
  <c r="H20" i="13" s="1"/>
  <c r="I20" i="13" s="1"/>
  <c r="J20" i="13" s="1"/>
  <c r="H12" i="13" a="1"/>
  <c r="H12" i="13" s="1"/>
  <c r="I12" i="13" s="1"/>
  <c r="J12" i="13" s="1"/>
  <c r="H11" i="13" a="1"/>
  <c r="H11" i="13" s="1"/>
  <c r="I11" i="13" s="1"/>
  <c r="J11" i="13" s="1"/>
  <c r="H39" i="13" a="1"/>
  <c r="H39" i="13" s="1"/>
  <c r="H32" i="13" a="1"/>
  <c r="H32" i="13" s="1"/>
  <c r="I32" i="13" s="1"/>
  <c r="J32" i="13" s="1"/>
  <c r="H28" i="13" a="1"/>
  <c r="H28" i="13" s="1"/>
  <c r="I28" i="13" s="1"/>
  <c r="J28" i="13" s="1"/>
  <c r="H24" i="13" a="1"/>
  <c r="H24" i="13" s="1"/>
  <c r="I24" i="13" s="1"/>
  <c r="J24" i="13" s="1"/>
  <c r="H16" i="13" a="1"/>
  <c r="H16" i="13" s="1"/>
  <c r="I16" i="13" s="1"/>
  <c r="J16" i="13" s="1"/>
  <c r="H5" i="13" a="1"/>
  <c r="H5" i="13" s="1"/>
  <c r="H37" i="13" a="1"/>
  <c r="H37" i="13" s="1"/>
  <c r="I37" i="13" s="1"/>
  <c r="J37" i="13" s="1"/>
  <c r="H23" i="13" a="1"/>
  <c r="H23" i="13" s="1"/>
  <c r="I23" i="13" s="1"/>
  <c r="J23" i="13" s="1"/>
  <c r="H15" i="13" a="1"/>
  <c r="H15" i="13" s="1"/>
  <c r="I15" i="13" s="1"/>
  <c r="J15" i="13" s="1"/>
  <c r="H40" i="13" a="1"/>
  <c r="H40" i="13" s="1"/>
  <c r="H39" i="14" s="1" a="1"/>
  <c r="H39" i="14" s="1"/>
  <c r="H33" i="13" a="1"/>
  <c r="H33" i="13" s="1"/>
  <c r="I33" i="13" s="1"/>
  <c r="J33" i="13" s="1"/>
  <c r="H29" i="13" a="1"/>
  <c r="H29" i="13" s="1"/>
  <c r="I29" i="13" s="1"/>
  <c r="J29" i="13" s="1"/>
  <c r="H25" i="13" a="1"/>
  <c r="H25" i="13" s="1"/>
  <c r="I25" i="13" s="1"/>
  <c r="J25" i="13" s="1"/>
  <c r="H21" i="13" a="1"/>
  <c r="H21" i="13" s="1"/>
  <c r="I21" i="13" s="1"/>
  <c r="J21" i="13" s="1"/>
  <c r="H17" i="13" a="1"/>
  <c r="H17" i="13" s="1"/>
  <c r="I17" i="13" s="1"/>
  <c r="J17" i="13" s="1"/>
  <c r="H13" i="13" a="1"/>
  <c r="H13" i="13" s="1"/>
  <c r="H6" i="13" a="1"/>
  <c r="H6" i="13" s="1"/>
  <c r="H27" i="13" a="1"/>
  <c r="H27" i="13" s="1"/>
  <c r="I27" i="13" s="1"/>
  <c r="J27" i="13" s="1"/>
  <c r="H31" i="13" a="1"/>
  <c r="H31" i="13" s="1"/>
  <c r="I31" i="13" s="1"/>
  <c r="J31" i="13" s="1"/>
  <c r="H35" i="13" a="1"/>
  <c r="H35" i="13" s="1"/>
  <c r="H30" i="13" a="1"/>
  <c r="H30" i="13" s="1"/>
  <c r="I30" i="13" s="1"/>
  <c r="J30" i="13" s="1"/>
  <c r="H26" i="13" a="1"/>
  <c r="H26" i="13" s="1"/>
  <c r="I26" i="13" s="1"/>
  <c r="J26" i="13" s="1"/>
  <c r="H22" i="13" a="1"/>
  <c r="H22" i="13" s="1"/>
  <c r="I22" i="13" s="1"/>
  <c r="J22" i="13" s="1"/>
  <c r="H18" i="13" a="1"/>
  <c r="H18" i="13" s="1"/>
  <c r="I18" i="13" s="1"/>
  <c r="J18" i="13" s="1"/>
  <c r="H14" i="13" a="1"/>
  <c r="H14" i="13" s="1"/>
  <c r="I14" i="13" s="1"/>
  <c r="J14" i="13" s="1"/>
  <c r="H9" i="13" a="1"/>
  <c r="H9" i="13" s="1"/>
  <c r="H19" i="13" a="1"/>
  <c r="H19" i="13" s="1"/>
  <c r="I19" i="13" s="1"/>
  <c r="J19" i="13" s="1"/>
  <c r="E59" i="23"/>
  <c r="E72" i="23" s="1"/>
  <c r="A65" i="23"/>
  <c r="C65" i="23"/>
  <c r="D49" i="15"/>
  <c r="E49" i="15" s="1"/>
  <c r="F49" i="15" s="1"/>
  <c r="D48" i="15"/>
  <c r="D86" i="23" a="1"/>
  <c r="D86" i="23" s="1"/>
  <c r="E86" i="23" s="1"/>
  <c r="D82" i="23" a="1"/>
  <c r="D82" i="23" s="1"/>
  <c r="E82" i="23" s="1"/>
  <c r="F82" i="23"/>
  <c r="G82" i="23" s="1"/>
  <c r="F86" i="23"/>
  <c r="F85" i="23"/>
  <c r="F84" i="23"/>
  <c r="F83" i="23"/>
  <c r="D83" i="23" a="1"/>
  <c r="D83" i="23" s="1"/>
  <c r="E84" i="23"/>
  <c r="E85" i="23"/>
  <c r="B2" i="15"/>
  <c r="E31" i="13"/>
  <c r="F31" i="13" s="1"/>
  <c r="J12" i="15"/>
  <c r="I21" i="15"/>
  <c r="J21" i="15" s="1"/>
  <c r="J42" i="15"/>
  <c r="I43" i="15"/>
  <c r="J43" i="15" s="1"/>
  <c r="E40" i="13"/>
  <c r="F40" i="13" s="1"/>
  <c r="E30" i="13"/>
  <c r="F30" i="13" s="1"/>
  <c r="E11" i="13"/>
  <c r="F11" i="13" s="1"/>
  <c r="E39" i="13"/>
  <c r="F39" i="13" s="1"/>
  <c r="E12" i="13"/>
  <c r="F12" i="13" s="1"/>
  <c r="E15" i="13"/>
  <c r="F15" i="13" s="1"/>
  <c r="E16" i="13"/>
  <c r="F16" i="13" s="1"/>
  <c r="E21" i="13"/>
  <c r="F21" i="13" s="1"/>
  <c r="E19" i="13"/>
  <c r="F19" i="13" s="1"/>
  <c r="E20" i="13"/>
  <c r="F20" i="13" s="1"/>
  <c r="E37" i="13"/>
  <c r="F37" i="13" s="1"/>
  <c r="E14" i="13"/>
  <c r="F14" i="13" s="1"/>
  <c r="E27" i="13"/>
  <c r="F27" i="13" s="1"/>
  <c r="E28" i="13"/>
  <c r="F28" i="13" s="1"/>
  <c r="E18" i="13"/>
  <c r="F18" i="13" s="1"/>
  <c r="E32" i="13"/>
  <c r="F32" i="13" s="1"/>
  <c r="E33" i="13"/>
  <c r="F33" i="13" s="1"/>
  <c r="E22" i="13"/>
  <c r="F22" i="13" s="1"/>
  <c r="E17" i="13"/>
  <c r="F17" i="13" s="1"/>
  <c r="E9" i="13"/>
  <c r="F9" i="13" s="1"/>
  <c r="E25" i="13"/>
  <c r="F25" i="13" s="1"/>
  <c r="E26" i="13"/>
  <c r="F26" i="13" s="1"/>
  <c r="E23" i="13"/>
  <c r="F23" i="13" s="1"/>
  <c r="E29" i="13"/>
  <c r="F29" i="13" s="1"/>
  <c r="E24" i="13"/>
  <c r="F24" i="13" s="1"/>
  <c r="E35" i="13"/>
  <c r="F35" i="13" s="1"/>
  <c r="E6" i="13"/>
  <c r="F6" i="13" s="1"/>
  <c r="E5" i="13"/>
  <c r="F5" i="13" s="1"/>
  <c r="C34" i="13"/>
  <c r="C43" i="13" s="1"/>
  <c r="A69" i="23" s="1"/>
  <c r="A68" i="23" s="1"/>
  <c r="B2" i="13"/>
  <c r="B2" i="14"/>
  <c r="D3" i="19"/>
  <c r="H49" i="15" l="1"/>
  <c r="I49" i="15" s="1"/>
  <c r="J49" i="15" s="1"/>
  <c r="H48" i="15"/>
  <c r="C68" i="23"/>
  <c r="D65" i="23"/>
  <c r="C103" i="23"/>
  <c r="C49" i="23" s="1"/>
  <c r="G48" i="23" s="1"/>
  <c r="C102" i="23"/>
  <c r="C48" i="23" s="1"/>
  <c r="E50" i="23" s="1"/>
  <c r="C98" i="23"/>
  <c r="C43" i="23" s="1"/>
  <c r="E48" i="23" s="1"/>
  <c r="C101" i="23"/>
  <c r="C47" i="23" s="1"/>
  <c r="C99" i="23"/>
  <c r="C44" i="23" s="1"/>
  <c r="C97" i="23"/>
  <c r="C42" i="23" s="1"/>
  <c r="G83" i="23"/>
  <c r="G84" i="23"/>
  <c r="G85" i="23"/>
  <c r="G86" i="23"/>
  <c r="E83" i="23"/>
  <c r="I35" i="13"/>
  <c r="J35" i="13" s="1"/>
  <c r="E77" i="23"/>
  <c r="D77" i="23"/>
  <c r="C77" i="23"/>
  <c r="E76" i="23"/>
  <c r="E73" i="23"/>
  <c r="D76" i="23"/>
  <c r="D73" i="23"/>
  <c r="C75" i="23"/>
  <c r="C74" i="23"/>
  <c r="C76" i="23"/>
  <c r="C73" i="23"/>
  <c r="C61" i="23"/>
  <c r="E61" i="23"/>
  <c r="D61" i="23"/>
  <c r="I39" i="13"/>
  <c r="J39" i="13" s="1"/>
  <c r="I9" i="13"/>
  <c r="J9" i="13" s="1"/>
  <c r="I5" i="13"/>
  <c r="J5" i="13" s="1"/>
  <c r="I40" i="13"/>
  <c r="J40" i="13" s="1"/>
  <c r="I13" i="13"/>
  <c r="J13" i="13" s="1"/>
  <c r="H7" i="13"/>
  <c r="H8" i="13" s="1"/>
  <c r="I6" i="13"/>
  <c r="J6" i="13" s="1"/>
  <c r="H10" i="13"/>
  <c r="H50" i="15" s="1"/>
  <c r="C36" i="13"/>
  <c r="C69" i="23" s="1"/>
  <c r="D69" i="23" l="1"/>
  <c r="E69" i="23" s="1"/>
  <c r="E29" i="23" a="1"/>
  <c r="E29" i="23" s="1"/>
  <c r="B29" i="23" a="1"/>
  <c r="B29" i="23" s="1"/>
  <c r="I50" i="23"/>
  <c r="E65" i="23"/>
  <c r="C29" i="23" a="1"/>
  <c r="C29" i="23" s="1"/>
  <c r="D29" i="23" a="1"/>
  <c r="D29" i="23" s="1"/>
  <c r="C25" i="23" a="1"/>
  <c r="C25" i="23" s="1"/>
  <c r="E26" i="23" a="1"/>
  <c r="E26" i="23" s="1"/>
  <c r="E27" i="23" a="1"/>
  <c r="E27" i="23" s="1"/>
  <c r="E28" i="23" a="1"/>
  <c r="E28" i="23" s="1"/>
  <c r="E25" i="23" a="1"/>
  <c r="E25" i="23" s="1"/>
  <c r="D26" i="23" a="1"/>
  <c r="D26" i="23" s="1"/>
  <c r="D27" i="23" a="1"/>
  <c r="D27" i="23" s="1"/>
  <c r="D28" i="23" a="1"/>
  <c r="D28" i="23" s="1"/>
  <c r="D25" i="23" a="1"/>
  <c r="D25" i="23" s="1"/>
  <c r="B27" i="23" a="1"/>
  <c r="B27" i="23" s="1"/>
  <c r="C26" i="23" a="1"/>
  <c r="C26" i="23" s="1"/>
  <c r="C27" i="23" a="1"/>
  <c r="C27" i="23" s="1"/>
  <c r="C28" i="23" a="1"/>
  <c r="C28" i="23" s="1"/>
  <c r="B25" i="23" a="1"/>
  <c r="B25" i="23" s="1"/>
  <c r="B26" i="23" a="1"/>
  <c r="B26" i="23" s="1"/>
  <c r="B28" i="23" a="1"/>
  <c r="B28" i="23" s="1"/>
  <c r="K8" i="23"/>
  <c r="J8" i="23" s="1"/>
  <c r="I9" i="23"/>
  <c r="K9" i="23"/>
  <c r="I8" i="23"/>
  <c r="H8" i="23" s="1"/>
  <c r="K5" i="23"/>
  <c r="I5" i="23"/>
  <c r="E74" i="23"/>
  <c r="E75" i="23"/>
  <c r="H34" i="13"/>
  <c r="C38" i="13"/>
  <c r="I48" i="23" l="1"/>
  <c r="C88" i="23"/>
  <c r="C110" i="23"/>
  <c r="C45" i="13"/>
  <c r="H43" i="13"/>
  <c r="E79" i="23" s="1"/>
  <c r="C78" i="23"/>
  <c r="C63" i="23"/>
  <c r="C67" i="23"/>
  <c r="D67" i="23" s="1"/>
  <c r="E67" i="23" s="1"/>
  <c r="C79" i="23"/>
  <c r="H36" i="13"/>
  <c r="C41" i="13"/>
  <c r="C26" i="15" s="1"/>
  <c r="C8" i="14"/>
  <c r="C26" i="14" s="1" a="1"/>
  <c r="C26" i="14" s="1"/>
  <c r="D7" i="14"/>
  <c r="D25" i="14" s="1" a="1"/>
  <c r="D25" i="14" s="1"/>
  <c r="D8" i="14"/>
  <c r="D26" i="14" s="1" a="1"/>
  <c r="D26" i="14" s="1"/>
  <c r="H38" i="13" l="1"/>
  <c r="E43" i="14"/>
  <c r="F43" i="14" s="1"/>
  <c r="E36" i="14"/>
  <c r="F36" i="14" s="1"/>
  <c r="E20" i="14"/>
  <c r="F20" i="14" s="1"/>
  <c r="E8" i="14"/>
  <c r="F8" i="14" s="1"/>
  <c r="C27" i="15"/>
  <c r="C51" i="15" s="1"/>
  <c r="D12" i="15"/>
  <c r="D97" i="23" s="1"/>
  <c r="D42" i="23" s="1"/>
  <c r="D20" i="15"/>
  <c r="D98" i="23" s="1"/>
  <c r="D43" i="23" s="1"/>
  <c r="D10" i="13"/>
  <c r="D50" i="15" s="1"/>
  <c r="D7" i="13"/>
  <c r="D8" i="13" s="1"/>
  <c r="C7" i="14"/>
  <c r="C25" i="14" s="1" a="1"/>
  <c r="C25" i="14" s="1"/>
  <c r="D42" i="15"/>
  <c r="D32" i="15"/>
  <c r="D101" i="23" s="1"/>
  <c r="D47" i="23" s="1"/>
  <c r="E8" i="13" l="1"/>
  <c r="I8" i="13"/>
  <c r="D74" i="23"/>
  <c r="I6" i="23" s="1"/>
  <c r="H6" i="23" s="1"/>
  <c r="C108" i="23"/>
  <c r="D47" i="15"/>
  <c r="I47" i="15" s="1"/>
  <c r="J47" i="15" s="1"/>
  <c r="D102" i="23"/>
  <c r="D48" i="23" s="1"/>
  <c r="D46" i="15"/>
  <c r="I46" i="15" s="1"/>
  <c r="J46" i="15" s="1"/>
  <c r="H45" i="13"/>
  <c r="E88" i="23"/>
  <c r="C100" i="23"/>
  <c r="C46" i="23" s="1"/>
  <c r="G50" i="23" s="1"/>
  <c r="E78" i="23"/>
  <c r="E63" i="23"/>
  <c r="C44" i="15"/>
  <c r="C44" i="13"/>
  <c r="H41" i="13"/>
  <c r="H26" i="15" s="1"/>
  <c r="H27" i="15" s="1"/>
  <c r="D75" i="23"/>
  <c r="E7" i="14"/>
  <c r="F7" i="14" s="1"/>
  <c r="E25" i="14"/>
  <c r="F25" i="14" s="1"/>
  <c r="E37" i="14"/>
  <c r="F37" i="14" s="1"/>
  <c r="E38" i="14"/>
  <c r="F38" i="14" s="1"/>
  <c r="C40" i="14"/>
  <c r="C94" i="23" s="1"/>
  <c r="I36" i="23" s="1"/>
  <c r="E39" i="14"/>
  <c r="E31" i="14"/>
  <c r="F31" i="14" s="1"/>
  <c r="E26" i="14"/>
  <c r="F26" i="14" s="1"/>
  <c r="E30" i="14"/>
  <c r="F30" i="14" s="1"/>
  <c r="E32" i="14"/>
  <c r="F32" i="14" s="1"/>
  <c r="E23" i="14"/>
  <c r="F23" i="14" s="1"/>
  <c r="E10" i="13"/>
  <c r="F10" i="13" s="1"/>
  <c r="E12" i="15"/>
  <c r="F12" i="15" s="1"/>
  <c r="D43" i="15"/>
  <c r="D21" i="15"/>
  <c r="C33" i="14"/>
  <c r="C93" i="23" s="1"/>
  <c r="I35" i="23" s="1"/>
  <c r="D34" i="13"/>
  <c r="I36" i="14"/>
  <c r="I38" i="14"/>
  <c r="I43" i="14"/>
  <c r="I32" i="14"/>
  <c r="I20" i="14"/>
  <c r="I23" i="14"/>
  <c r="I37" i="14"/>
  <c r="D33" i="14"/>
  <c r="D93" i="23" s="1"/>
  <c r="K35" i="23" s="1"/>
  <c r="E32" i="15"/>
  <c r="F32" i="15" s="1"/>
  <c r="E42" i="15"/>
  <c r="F42" i="15" s="1"/>
  <c r="D40" i="14"/>
  <c r="D94" i="23" s="1"/>
  <c r="K36" i="23" s="1"/>
  <c r="E7" i="13"/>
  <c r="F7" i="13" s="1"/>
  <c r="E20" i="15"/>
  <c r="F20" i="15" s="1"/>
  <c r="K6" i="23" l="1"/>
  <c r="J6" i="23" s="1"/>
  <c r="H44" i="13"/>
  <c r="E80" i="23" s="1"/>
  <c r="H51" i="15"/>
  <c r="E46" i="15"/>
  <c r="F46" i="15" s="1"/>
  <c r="E47" i="15"/>
  <c r="F47" i="15" s="1"/>
  <c r="I50" i="15"/>
  <c r="J50" i="15" s="1"/>
  <c r="D103" i="23"/>
  <c r="D49" i="23" s="1"/>
  <c r="C104" i="23"/>
  <c r="C50" i="23" s="1"/>
  <c r="D99" i="23"/>
  <c r="D44" i="23" s="1"/>
  <c r="C52" i="15"/>
  <c r="D110" i="23" s="1"/>
  <c r="E110" i="23" s="1"/>
  <c r="D108" i="23"/>
  <c r="E108" i="23" s="1"/>
  <c r="C71" i="23"/>
  <c r="D71" i="23" s="1"/>
  <c r="E71" i="23" s="1"/>
  <c r="D43" i="13"/>
  <c r="E43" i="13" s="1"/>
  <c r="F43" i="13" s="1"/>
  <c r="C80" i="23"/>
  <c r="C53" i="15"/>
  <c r="I7" i="23"/>
  <c r="H7" i="23" s="1"/>
  <c r="K7" i="23"/>
  <c r="J7" i="23" s="1"/>
  <c r="E40" i="14"/>
  <c r="F40" i="14" s="1"/>
  <c r="F39" i="14"/>
  <c r="J37" i="14"/>
  <c r="J43" i="14"/>
  <c r="J23" i="14"/>
  <c r="J38" i="14"/>
  <c r="J20" i="14"/>
  <c r="J36" i="14"/>
  <c r="J32" i="14"/>
  <c r="H44" i="15"/>
  <c r="E34" i="13"/>
  <c r="F34" i="13" s="1"/>
  <c r="I34" i="13"/>
  <c r="J34" i="13" s="1"/>
  <c r="I7" i="13"/>
  <c r="J7" i="13" s="1"/>
  <c r="I10" i="13"/>
  <c r="J10" i="13" s="1"/>
  <c r="E21" i="15"/>
  <c r="F21" i="15" s="1"/>
  <c r="I39" i="14"/>
  <c r="I40" i="14" s="1"/>
  <c r="I31" i="14"/>
  <c r="I30" i="14"/>
  <c r="D36" i="13"/>
  <c r="E43" i="15"/>
  <c r="F43" i="15" s="1"/>
  <c r="E33" i="14"/>
  <c r="F33" i="14" s="1"/>
  <c r="H7" i="14"/>
  <c r="H25" i="14" s="1" a="1"/>
  <c r="H25" i="14" s="1"/>
  <c r="H8" i="14"/>
  <c r="H26" i="14" s="1" a="1"/>
  <c r="H26" i="14" s="1"/>
  <c r="E50" i="15" l="1"/>
  <c r="F50" i="15" s="1"/>
  <c r="D79" i="23"/>
  <c r="I11" i="23" s="1"/>
  <c r="I43" i="13"/>
  <c r="J43" i="13" s="1"/>
  <c r="H53" i="15"/>
  <c r="H52" i="15"/>
  <c r="I8" i="14"/>
  <c r="J8" i="14" s="1"/>
  <c r="I26" i="14"/>
  <c r="I7" i="14"/>
  <c r="J7" i="14" s="1"/>
  <c r="I25" i="14"/>
  <c r="J31" i="14"/>
  <c r="J30" i="14"/>
  <c r="I33" i="14"/>
  <c r="H40" i="14"/>
  <c r="J39" i="14"/>
  <c r="E36" i="13"/>
  <c r="F36" i="13" s="1"/>
  <c r="I36" i="13"/>
  <c r="J36" i="13" s="1"/>
  <c r="D38" i="13"/>
  <c r="D88" i="23" s="1"/>
  <c r="H6" i="14"/>
  <c r="H33" i="14"/>
  <c r="C6" i="14"/>
  <c r="D63" i="23" l="1"/>
  <c r="D45" i="13"/>
  <c r="J40" i="14"/>
  <c r="K11" i="23"/>
  <c r="H11" i="23"/>
  <c r="D78" i="23"/>
  <c r="H9" i="23"/>
  <c r="J9" i="23"/>
  <c r="J33" i="14"/>
  <c r="J26" i="14"/>
  <c r="J25" i="14"/>
  <c r="H24" i="14"/>
  <c r="E38" i="13"/>
  <c r="F38" i="13" s="1"/>
  <c r="I38" i="13"/>
  <c r="D6" i="14"/>
  <c r="I6" i="14" s="1"/>
  <c r="I24" i="14" s="1"/>
  <c r="I27" i="14" s="1"/>
  <c r="D41" i="13"/>
  <c r="D26" i="15" s="1"/>
  <c r="I26" i="15" s="1"/>
  <c r="C24" i="14"/>
  <c r="E45" i="13" l="1"/>
  <c r="I45" i="13"/>
  <c r="I10" i="23"/>
  <c r="H10" i="23" s="1"/>
  <c r="K10" i="23"/>
  <c r="J10" i="23" s="1"/>
  <c r="J11" i="23"/>
  <c r="J6" i="14"/>
  <c r="H27" i="14"/>
  <c r="J24" i="14"/>
  <c r="D24" i="14"/>
  <c r="E6" i="14"/>
  <c r="F6" i="14" s="1"/>
  <c r="I27" i="15"/>
  <c r="J26" i="15"/>
  <c r="D27" i="15"/>
  <c r="D51" i="15" s="1"/>
  <c r="E26" i="15"/>
  <c r="F26" i="15" s="1"/>
  <c r="I41" i="13"/>
  <c r="J41" i="13" s="1"/>
  <c r="J38" i="13"/>
  <c r="E41" i="13"/>
  <c r="C27" i="14"/>
  <c r="C92" i="23" s="1"/>
  <c r="I34" i="23" s="1"/>
  <c r="I51" i="15" l="1"/>
  <c r="J51" i="15" s="1"/>
  <c r="E51" i="15"/>
  <c r="F51" i="15" s="1"/>
  <c r="D44" i="13"/>
  <c r="D80" i="23" s="1"/>
  <c r="K12" i="23" s="1"/>
  <c r="J12" i="23" s="1"/>
  <c r="D100" i="23"/>
  <c r="D46" i="23" s="1"/>
  <c r="J27" i="14"/>
  <c r="H42" i="14"/>
  <c r="D27" i="14"/>
  <c r="D92" i="23" s="1"/>
  <c r="K34" i="23" s="1"/>
  <c r="E24" i="14"/>
  <c r="E27" i="14" s="1"/>
  <c r="E27" i="15"/>
  <c r="E44" i="15" s="1"/>
  <c r="I44" i="15"/>
  <c r="J44" i="15" s="1"/>
  <c r="J27" i="15"/>
  <c r="D44" i="15"/>
  <c r="F41" i="13"/>
  <c r="C42" i="14"/>
  <c r="C95" i="23" s="1"/>
  <c r="I37" i="23" s="1"/>
  <c r="D104" i="23" l="1"/>
  <c r="D50" i="23" s="1"/>
  <c r="I48" i="15"/>
  <c r="J48" i="15" s="1"/>
  <c r="I12" i="23"/>
  <c r="H12" i="23" s="1"/>
  <c r="E44" i="13"/>
  <c r="I44" i="13"/>
  <c r="D53" i="15"/>
  <c r="D52" i="15"/>
  <c r="F24" i="14"/>
  <c r="H44" i="14"/>
  <c r="E90" i="23" s="1"/>
  <c r="D42" i="14"/>
  <c r="F27" i="14"/>
  <c r="F27" i="15"/>
  <c r="F44" i="15"/>
  <c r="C44" i="14"/>
  <c r="C90" i="23" s="1"/>
  <c r="E34" i="23" s="1"/>
  <c r="E48" i="15" l="1"/>
  <c r="F48" i="15" s="1"/>
  <c r="I42" i="14"/>
  <c r="I44" i="14" s="1"/>
  <c r="J44" i="14" s="1"/>
  <c r="D95" i="23"/>
  <c r="K37" i="23" s="1"/>
  <c r="H46" i="14"/>
  <c r="H45" i="14"/>
  <c r="C46" i="14"/>
  <c r="C45" i="14"/>
  <c r="D44" i="14"/>
  <c r="D90" i="23" s="1"/>
  <c r="E42" i="14"/>
  <c r="E44" i="14" s="1"/>
  <c r="J42" i="14" l="1"/>
  <c r="D46" i="14"/>
  <c r="D45" i="14"/>
  <c r="F44" i="14"/>
  <c r="F42" i="14"/>
  <c r="A66" i="23" l="1"/>
  <c r="I4" i="23"/>
  <c r="E31" i="23" s="1"/>
  <c r="A64" i="23"/>
  <c r="C41" i="23" l="1"/>
  <c r="C45" i="23"/>
  <c r="C24" i="23"/>
  <c r="I33" i="23"/>
  <c r="K4" i="23"/>
  <c r="D41" i="23" l="1"/>
  <c r="D45" i="23"/>
  <c r="D24" i="23"/>
  <c r="K33" i="23"/>
  <c r="H5" i="23"/>
  <c r="J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<sst xmlns="http://schemas.openxmlformats.org/spreadsheetml/2006/main" count="963" uniqueCount="519">
  <si>
    <t>Business Name</t>
  </si>
  <si>
    <t>Reporting Year</t>
  </si>
  <si>
    <t>Other Income</t>
  </si>
  <si>
    <t>Other expenses</t>
  </si>
  <si>
    <t>Dividends</t>
  </si>
  <si>
    <t>Class</t>
  </si>
  <si>
    <t>Account Description</t>
  </si>
  <si>
    <t>ASSETS</t>
  </si>
  <si>
    <t>Investments</t>
  </si>
  <si>
    <t>EQUITY &amp; LIABILITIES</t>
  </si>
  <si>
    <t>Equity</t>
  </si>
  <si>
    <t>Non-current liabilities</t>
  </si>
  <si>
    <t>Retained earnings</t>
  </si>
  <si>
    <t>Non-current assets</t>
  </si>
  <si>
    <t>Current assets</t>
  </si>
  <si>
    <t>Total assets</t>
  </si>
  <si>
    <t>Current liabilities</t>
  </si>
  <si>
    <t>Bank overdraft</t>
  </si>
  <si>
    <t>Interest payable</t>
  </si>
  <si>
    <t>Total liabilities</t>
  </si>
  <si>
    <t>Total equity &amp; liabilities</t>
  </si>
  <si>
    <t>Cash flows from operating activities</t>
  </si>
  <si>
    <t>Net cash from operating activities</t>
  </si>
  <si>
    <t>Cash flows from investing activities</t>
  </si>
  <si>
    <t>Cash generated from operations</t>
  </si>
  <si>
    <t>Interest paid</t>
  </si>
  <si>
    <t>Income tax paid</t>
  </si>
  <si>
    <t>Net cash used in investing activities</t>
  </si>
  <si>
    <t>Cash flows from financing activities</t>
  </si>
  <si>
    <t>Dividends paid</t>
  </si>
  <si>
    <t>Net cash used in financing activities</t>
  </si>
  <si>
    <t>Trade debtors</t>
  </si>
  <si>
    <t>Cash on hand</t>
  </si>
  <si>
    <t>Acc No</t>
  </si>
  <si>
    <t>Advertising &amp; Marketing</t>
  </si>
  <si>
    <t>Other Expenses</t>
  </si>
  <si>
    <t>Interest Paid</t>
  </si>
  <si>
    <t>Description</t>
  </si>
  <si>
    <t>Trade Debtors</t>
  </si>
  <si>
    <t>Long term loans</t>
  </si>
  <si>
    <t>Finance leases</t>
  </si>
  <si>
    <t>Trade Creditors</t>
  </si>
  <si>
    <t>Dividends payable</t>
  </si>
  <si>
    <t>Gross profit</t>
  </si>
  <si>
    <t>Cost of sales</t>
  </si>
  <si>
    <t>Deferred tax</t>
  </si>
  <si>
    <t>Profit / (Loss) before tax</t>
  </si>
  <si>
    <t>Income Statement</t>
  </si>
  <si>
    <t>Balance Sheet - Assets</t>
  </si>
  <si>
    <t>Balance Sheet - Equity</t>
  </si>
  <si>
    <t>Balance Sheet - Liabilities</t>
  </si>
  <si>
    <t>Instructions</t>
  </si>
  <si>
    <t>www.excel-skills.com</t>
  </si>
  <si>
    <t>Troubleshooting</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</si>
  <si>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</si>
  <si>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</si>
  <si>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</si>
  <si>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Year End Date</t>
  </si>
  <si>
    <t>Diff</t>
  </si>
  <si>
    <t>Diff%</t>
  </si>
  <si>
    <t>Gross profit %</t>
  </si>
  <si>
    <t>- Income taxes</t>
  </si>
  <si>
    <t>- Depreciation</t>
  </si>
  <si>
    <t>- Amortisation</t>
  </si>
  <si>
    <t>Accounting Fees</t>
  </si>
  <si>
    <t>Bank Charges</t>
  </si>
  <si>
    <t>Commission</t>
  </si>
  <si>
    <t>Computer Expenses</t>
  </si>
  <si>
    <t>Consumables &amp; Cleaning</t>
  </si>
  <si>
    <t>Entertainment</t>
  </si>
  <si>
    <t>Insurance</t>
  </si>
  <si>
    <t>Office Expenses</t>
  </si>
  <si>
    <t>Office Rent</t>
  </si>
  <si>
    <t>Postage</t>
  </si>
  <si>
    <t>Professional &amp; Legal Fees</t>
  </si>
  <si>
    <t>Stationery</t>
  </si>
  <si>
    <t>Subscriptions &amp; Memberships</t>
  </si>
  <si>
    <t>Telephone &amp; Internet</t>
  </si>
  <si>
    <t>Training</t>
  </si>
  <si>
    <t>Travelling &amp; Accommodation</t>
  </si>
  <si>
    <t>Utilities</t>
  </si>
  <si>
    <t>Depreciation</t>
  </si>
  <si>
    <t>Taxation</t>
  </si>
  <si>
    <t>Inventory</t>
  </si>
  <si>
    <t>Retained earnings at start of period</t>
  </si>
  <si>
    <t>Retained earnings at end of period</t>
  </si>
  <si>
    <t>Profit / (Loss) for the period</t>
  </si>
  <si>
    <t>Non-cash income and expenses:</t>
  </si>
  <si>
    <t>Cash equivalents at beginning of period</t>
  </si>
  <si>
    <t>Cash equivalents at end of period</t>
  </si>
  <si>
    <t>Net increase / (decrease) in cash</t>
  </si>
  <si>
    <t>Dividends Received</t>
  </si>
  <si>
    <t>Interest Received</t>
  </si>
  <si>
    <t>Interest Payable</t>
  </si>
  <si>
    <t>Dividends Payable</t>
  </si>
  <si>
    <t>Default Reporting Classes</t>
  </si>
  <si>
    <t>If you require additional lines to be included on the income statement, cash flow statement or balance sheet, you may need to create additional reporting codes as main income statement or balance sheet categories or as sub codes below the existing reporting class codes.</t>
  </si>
  <si>
    <t>Amount</t>
  </si>
  <si>
    <t>Check</t>
  </si>
  <si>
    <t>Trial Balance Sequence Check</t>
  </si>
  <si>
    <t>Expense Accounts</t>
  </si>
  <si>
    <t>Cash Flow Statement</t>
  </si>
  <si>
    <t>If you want to remove a line from the cash flow statement, we strongly recommend that you hide the appropriate line instead of deleting it. If you delete cells which are used in some of the other cash flow statement calculations, you may encounter a calculation error in some of the other rows on the report.</t>
  </si>
  <si>
    <t>Balance Sheet</t>
  </si>
  <si>
    <t>If you want to remove a line from the balance sheet, we strongly recommend that you hide the appropriate line instead of deleting it. If you delete cells which are used in some of the other balance sheet calculations, you may encounter a calculation error in some of the other rows or on the cash flow statement.</t>
  </si>
  <si>
    <t>Roll Forward</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</si>
  <si>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</si>
  <si>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</si>
  <si>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Land &amp; Buildings - Cost</t>
  </si>
  <si>
    <t>Plant &amp; Equipment - Cost</t>
  </si>
  <si>
    <t>Furniture &amp; Fittings - Cost</t>
  </si>
  <si>
    <t>Land &amp; Buildings - Accum Depreciation</t>
  </si>
  <si>
    <t>Plant &amp; Equipment - Accum Depreciation</t>
  </si>
  <si>
    <t>Furniture &amp; Fittings - Accum Depreciation</t>
  </si>
  <si>
    <t>Goodwill - Cost</t>
  </si>
  <si>
    <t>Trademarks - Cost</t>
  </si>
  <si>
    <t>Software - Cost</t>
  </si>
  <si>
    <t>Goodwill - Accum Amortization</t>
  </si>
  <si>
    <t>Trademarks - Accum Amortization</t>
  </si>
  <si>
    <t>Software - Accum Amortization</t>
  </si>
  <si>
    <t>Bank Overdraft</t>
  </si>
  <si>
    <t>Prepayments</t>
  </si>
  <si>
    <t>Raw Materials</t>
  </si>
  <si>
    <t>Work in progress</t>
  </si>
  <si>
    <t>Finished goods</t>
  </si>
  <si>
    <t>Accruals</t>
  </si>
  <si>
    <t>Finance Leases</t>
  </si>
  <si>
    <t>Deferred Tax</t>
  </si>
  <si>
    <t>Trial Balance</t>
  </si>
  <si>
    <t>Excel Skills | Financial Analysis Template</t>
  </si>
  <si>
    <t>This template enables users to compare financial results for 3 annual periods. The user is required to add the appropriate annual trial balances to the template and to link each account on the trial balance to a pre-defined financial statement reporting class. The template produces automated financial reports consisting of an income statement, cash flow statement and balance sheet based on the linked trial balances and compares all amounts on the financial reports between annual periods in terms of the difference in value and percentage.</t>
  </si>
  <si>
    <t>Note: All the accounts that are included in your trial balance should be entered in a continuous cell range on the TB sheet - there should not be any blank rows or columns in between account numbers or financial periods otherwise all the accounts or periods may not be included in the financial statement calculations and your balance sheet may therefore not balance!</t>
  </si>
  <si>
    <t>We have also included totals above the column headings which will indicate if the sum of the account balances for any annual period does not equal nil. If the total of all the account balances in a trial balance does not equal nil, it means that the financial statements will not be accurate and that the balance sheet will probably not balance. You should therefore always ensure that the trial balance for each annual period adds up to a nil value.</t>
  </si>
  <si>
    <t>Adding new financial periods</t>
  </si>
  <si>
    <t>Trial balance check &amp; import</t>
  </si>
  <si>
    <t>The following steps need to be completed in order to ensure that the trial balance for the new financial period is correctly included on the TB sheet:</t>
  </si>
  <si>
    <t>■ Sort the data on the TB sheet in an ascending order based on the account number in column B.</t>
  </si>
  <si>
    <t>■ Sort the data on the trial balance export file in an ascending order based on the account number column.</t>
  </si>
  <si>
    <t>■ Copy cells D5 and E5 and paste these cells into all the rows in column D and E that contain account numbers. Note that these two cells contain formulas and formatting that will assist you in identifying new accounts or changes that need to be made to the sequence of the accounts in the export file.</t>
  </si>
  <si>
    <t>■ Rounding errors can be corrected by amending the trial balance amounts of selected accounts in column C. When the red cell background is removed from the total calculation and the "error" text is replaced by an "ok" message, it means that the trial balance has been corrected.</t>
  </si>
  <si>
    <t>Rounding in financial statements</t>
  </si>
  <si>
    <t>The TB sheet contains five financial years by default and in most instances, these financial years will represent the financial periods that the user requires. If you are however performing an analysis of previous periods, you may need to change the financial year headings on the TB sheet. The automated income statement, cash flow statement and balance sheet will automatically pick up the appropriate trial balance amounts based on the year headings that you specify on the TB sheet.</t>
  </si>
  <si>
    <t>After using the template to compile your first set of financial reports, you can add subsequent financial periods by simply copying the last column on the TB sheet to the next available column, changing the column heading to the next financial year and clearing all the account balances in the new column (we recommend replacing the existing values with nil values before entering or copying the appropriate account balances into the new column).</t>
  </si>
  <si>
    <t>If you use a trail balance export file in order to compile your financial reports, the trial balance export will have to be converted so that the account numbers are in the exact same sequence as the accounts on the TB sheet before you will be able to copy the balances onto the TB sheet. This is an absolute necessity in order to ensure that the correct account balances are included next to the correct account number.</t>
  </si>
  <si>
    <t>New accounts may also have been added during the current financial period which may not be included in the previous trial balance on the TB sheet. These accounts therefore need to be identified and inserted in the correct row position before the account balances can be copied. This could be quite a time consuming exercise and we have therefore created the TBCheck sheet to assist users in simplifying this exercise.</t>
  </si>
  <si>
    <t>■ Compare the contents of all the rows that contain errors by comparing the account sequence on the TBCheck sheet with the account sequence on the TB sheet.</t>
  </si>
  <si>
    <t>■ Copy the account number, account description and account balance from the export file and paste the data into column A to C on the TBCheck sheet (replace the existing data on this sheet).</t>
  </si>
  <si>
    <t>■ Review the contents in column D - a row that contains a light blue "ok" cell is in the correct sequence but if an "error" is displayed in orange, it means that the sequence of accounts on the TBCheck sheet is not the same as the accounts on the TB sheet.</t>
  </si>
  <si>
    <t>■ Where an account is included on the TBCheck sheet but not on the TB sheet, insert a new row on the TB sheet, copy the account number and description into column B and C and enter a nil value into all the columns that relate to previous financial years. After completing these steps, the error in the particular row will automatically be removed from the TBCheck sheet.</t>
  </si>
  <si>
    <t>■ Where an account is included on the TB sheet but not on the TBCheck sheet, insert a new row on the TBCheck sheet, copy the account number &amp; description from the TB sheet and copy the formulas in column D and E from one of the existing rows. Column D should now contain a light blue "ok" message.</t>
  </si>
  <si>
    <t>■ Repeat the previous two steps until the TBCheck sheet contains no errors.</t>
  </si>
  <si>
    <t>■ If the column E total is not nil and the difference cannot be attributable to rounding, review your trial balance export and make sure that the total of the export file is in fact nil. Also review the TBCheck sheet and ensure that all the accounts on the trial balance export have been added to this sheet.</t>
  </si>
  <si>
    <t>■ The amounts in column E can now be copied and pasted as values into the appropriate column (for the new period) on the TB sheet. After completing this step, the trial balance has successfully been added to the template.</t>
  </si>
  <si>
    <t>Rounding can have a significant impact on financial reports because the amounts that are displayed on the financial reports may not always add up to the totals that are displayed. Even the most insignificant of errors could result in financial reports appearing to be inaccurate.</t>
  </si>
  <si>
    <t>Checking all the calculations in financial reports and making the appropriate adjustments could be quite a time consuming and cumbersome approach and we therefore recommend making the required adjustments on a trial balance level instead. This approach will ensure that the calculations that are included in the financial reports are always accurate.</t>
  </si>
  <si>
    <t>This approach is followed in the calculations in column E on the TBCheck sheet in that the trial balance amounts in column C are rounded to the nearest integer value in column E. If you therefore use the TBCheck sheet to round all the amounts on the trial balance to the nearest integer values before correcting any rounding differences that may exist and copying &amp; pasting the values onto the TB sheet, your financial reports are guaranteed to be accurate. We therefore recommend always using the TBCheck sheet before including the appropriate trial balance amounts for a new financial period on the TB sheet.</t>
  </si>
  <si>
    <t>The problem with rounding in financial reporting terms is that a trial balance typically includes two decimal values while financial reports are typically compiled to the nearest integer value. When two amounts that contain decimal values are rounded and added, the result is not necessarily the same as the rounded value of the total but if the decimal values are rounded to the nearest integer value and then added together, the total that is calculated is guaranteed to be accurate.</t>
  </si>
  <si>
    <t>Adding new reporting classes</t>
  </si>
  <si>
    <t>Adding Financial Periods</t>
  </si>
  <si>
    <t>The template has been designed to incorporate 3 financial years in the default design. The formulas have however been designed in such a way that it is relatively easy to add additional financial years to the template.</t>
  </si>
  <si>
    <t>Example: You can add a fourth financial year to the template by copying columns H to J on the income statement, cash flow statement and balance sheet and pasting these copied columns into columns L to N. Note that one column (K) is left blank.</t>
  </si>
  <si>
    <t>Example: You can add a fifth financial year to the template by copying columns L to N on the income statement, cash flow statement and balance sheet and pasting these copied columns into columns P to R. Note that one column (O) is left blank.</t>
  </si>
  <si>
    <t>Additional financial years can basically be added by copying the data in columns H to J on the income statement, cash flow statement and balance sheet and pasting the columns into the same relative position as they are when compared to the copied columns. This essentially means that one column should be left blank after each copied column range.</t>
  </si>
  <si>
    <t>■ Check whether the total for the appropriate trial balance is nil (refer to the totals above the column heading row on the TB sheet for the appropriate financial year).</t>
  </si>
  <si>
    <t>■ If you encounter a #REF! error anywhere in the template, it means that you've deleted a row which is used in the formulas that have been included in another row. As we stated earlier on in these instructions, you should rather hide a row instead of deleting it in order to remove the appropriate row from the financial reports. If you've deleted a row which you shouldn't have, you may have to revert back to the downloaded copy of the template or contact our support function for assistance.</t>
  </si>
  <si>
    <t>I-01G</t>
  </si>
  <si>
    <t>Turnover</t>
  </si>
  <si>
    <t>I-02G</t>
  </si>
  <si>
    <t>I-03G</t>
  </si>
  <si>
    <t>Operating expenses</t>
  </si>
  <si>
    <t>I-0301G</t>
  </si>
  <si>
    <t>Accounting fees</t>
  </si>
  <si>
    <t>I-0302G</t>
  </si>
  <si>
    <t>Advertising &amp; marketing</t>
  </si>
  <si>
    <t>I-0303G</t>
  </si>
  <si>
    <t>Bank charges</t>
  </si>
  <si>
    <t>I-0304G</t>
  </si>
  <si>
    <t>I-0305G</t>
  </si>
  <si>
    <t>Computer expenses</t>
  </si>
  <si>
    <t>I-0306G</t>
  </si>
  <si>
    <t>Consumables &amp; cleaning</t>
  </si>
  <si>
    <t>I-0307G</t>
  </si>
  <si>
    <t>I-0308G</t>
  </si>
  <si>
    <t>I-0309G</t>
  </si>
  <si>
    <t>Office expenses</t>
  </si>
  <si>
    <t>I-0310G</t>
  </si>
  <si>
    <t>Office rent</t>
  </si>
  <si>
    <t>I-0311G</t>
  </si>
  <si>
    <t>I-0312G</t>
  </si>
  <si>
    <t>Professional &amp; legal fees</t>
  </si>
  <si>
    <t>I-0313G</t>
  </si>
  <si>
    <t>I-0314G</t>
  </si>
  <si>
    <t>Subscriptions &amp; memberships</t>
  </si>
  <si>
    <t>I-0315G</t>
  </si>
  <si>
    <t>Telephone &amp; internet</t>
  </si>
  <si>
    <t>I-0316G</t>
  </si>
  <si>
    <t>I-0317G</t>
  </si>
  <si>
    <t>Travelling &amp; accommodation</t>
  </si>
  <si>
    <t>I-0318G</t>
  </si>
  <si>
    <t>I-04G</t>
  </si>
  <si>
    <t>Staff costs</t>
  </si>
  <si>
    <t>I-0401G</t>
  </si>
  <si>
    <t>I-05G</t>
  </si>
  <si>
    <t>Depreciation &amp; amortization</t>
  </si>
  <si>
    <t>I-0501G</t>
  </si>
  <si>
    <t>I-0502G</t>
  </si>
  <si>
    <t>I-06G</t>
  </si>
  <si>
    <t>I-07G</t>
  </si>
  <si>
    <t>Taxation paid</t>
  </si>
  <si>
    <t>I-08G</t>
  </si>
  <si>
    <t>I-09G</t>
  </si>
  <si>
    <t>Other income</t>
  </si>
  <si>
    <t>I-10G</t>
  </si>
  <si>
    <t>B-00G</t>
  </si>
  <si>
    <t>Property, plant &amp; equipment - cost</t>
  </si>
  <si>
    <t>B-01G</t>
  </si>
  <si>
    <t>Property, plant &amp; equipment - accum dep</t>
  </si>
  <si>
    <t>B-02G</t>
  </si>
  <si>
    <t>Intangible assets - cost</t>
  </si>
  <si>
    <t>B-03G</t>
  </si>
  <si>
    <t>Intangible assets - amortization</t>
  </si>
  <si>
    <t>B-05G</t>
  </si>
  <si>
    <t>Loans &amp; advances</t>
  </si>
  <si>
    <t>B-06G</t>
  </si>
  <si>
    <t>B-07G</t>
  </si>
  <si>
    <t>B-08G</t>
  </si>
  <si>
    <t>B-09G</t>
  </si>
  <si>
    <t>Other debtors</t>
  </si>
  <si>
    <t>B-10G</t>
  </si>
  <si>
    <t>B-11G</t>
  </si>
  <si>
    <t>B-12G</t>
  </si>
  <si>
    <t>Trade creditors</t>
  </si>
  <si>
    <t>B-13G</t>
  </si>
  <si>
    <t>B-14G</t>
  </si>
  <si>
    <t>B-15G</t>
  </si>
  <si>
    <t>Provision for taxation</t>
  </si>
  <si>
    <t>B-16G</t>
  </si>
  <si>
    <t>Other provisions</t>
  </si>
  <si>
    <t>B-17G</t>
  </si>
  <si>
    <t>Sales tax</t>
  </si>
  <si>
    <t>B-18G</t>
  </si>
  <si>
    <t>B-22G</t>
  </si>
  <si>
    <t>B-23G</t>
  </si>
  <si>
    <t>B-19G</t>
  </si>
  <si>
    <t>B-20G</t>
  </si>
  <si>
    <t>B-21G</t>
  </si>
  <si>
    <t>BS-0005</t>
  </si>
  <si>
    <t>BS-0010</t>
  </si>
  <si>
    <t>BS-0015</t>
  </si>
  <si>
    <t>BS-0020</t>
  </si>
  <si>
    <t>Office Equipment - Cost</t>
  </si>
  <si>
    <t>BS-0025</t>
  </si>
  <si>
    <t>Computer Equipment - Cost</t>
  </si>
  <si>
    <t>BS-0030</t>
  </si>
  <si>
    <t>Motor Vehicles - Cost</t>
  </si>
  <si>
    <t>BS-0105</t>
  </si>
  <si>
    <t>BS-0110</t>
  </si>
  <si>
    <t>BS-0115</t>
  </si>
  <si>
    <t>BS-0120</t>
  </si>
  <si>
    <t>Office Equipment -  Accum Depreciation</t>
  </si>
  <si>
    <t>BS-0125</t>
  </si>
  <si>
    <t>Computer Equipment -  Accum Depreciation</t>
  </si>
  <si>
    <t>BS-0130</t>
  </si>
  <si>
    <t>Motor Vehicles -  Accum Depreciation</t>
  </si>
  <si>
    <t>BS-0205</t>
  </si>
  <si>
    <t>BS-0210</t>
  </si>
  <si>
    <t>BS-0215</t>
  </si>
  <si>
    <t>BS-0305</t>
  </si>
  <si>
    <t>BS-0310</t>
  </si>
  <si>
    <t>BS-0315</t>
  </si>
  <si>
    <t>BS-0400</t>
  </si>
  <si>
    <t>Share Investment - XYZ</t>
  </si>
  <si>
    <t>BS-0405</t>
  </si>
  <si>
    <t>ABSA Fixed Deposit</t>
  </si>
  <si>
    <t>BS-0500</t>
  </si>
  <si>
    <t>Loans &amp; Advances</t>
  </si>
  <si>
    <t>BS-0700</t>
  </si>
  <si>
    <t>Cash On Hand</t>
  </si>
  <si>
    <t>BS-0799</t>
  </si>
  <si>
    <t>Cash Transfer Control</t>
  </si>
  <si>
    <t>BS-0900</t>
  </si>
  <si>
    <t>Other Debtors</t>
  </si>
  <si>
    <t>BS-0905</t>
  </si>
  <si>
    <t>BS-1001</t>
  </si>
  <si>
    <t>BS-1002</t>
  </si>
  <si>
    <t>BS-1003</t>
  </si>
  <si>
    <t>BS-1100</t>
  </si>
  <si>
    <t>BS-1300</t>
  </si>
  <si>
    <t>BS-1305</t>
  </si>
  <si>
    <t>Payroll Accruals</t>
  </si>
  <si>
    <t>BS-1310</t>
  </si>
  <si>
    <t>BS-1405</t>
  </si>
  <si>
    <t>BS-1505</t>
  </si>
  <si>
    <t>Provision For Taxation</t>
  </si>
  <si>
    <t>BS-1610</t>
  </si>
  <si>
    <t>BS-1700</t>
  </si>
  <si>
    <t>Sales Tax Control</t>
  </si>
  <si>
    <t>BS-1805</t>
  </si>
  <si>
    <t>ABSA Loan</t>
  </si>
  <si>
    <t>BS-1810</t>
  </si>
  <si>
    <t>Investec Loan</t>
  </si>
  <si>
    <t>BS-1815</t>
  </si>
  <si>
    <t>BS-1900</t>
  </si>
  <si>
    <t>Reserves</t>
  </si>
  <si>
    <t>BS-2000</t>
  </si>
  <si>
    <t>Shareholders' Contributions</t>
  </si>
  <si>
    <t>BS-2200</t>
  </si>
  <si>
    <t>IS-0105</t>
  </si>
  <si>
    <t>Sales - Fruit Juice</t>
  </si>
  <si>
    <t>IS-0110</t>
  </si>
  <si>
    <t>Sales - Vegetable Juice</t>
  </si>
  <si>
    <t>IS-0205</t>
  </si>
  <si>
    <t>Cost of Sales - Fruit Juice</t>
  </si>
  <si>
    <t>IS-0210</t>
  </si>
  <si>
    <t>Cost of Sales - Vegetable Juice</t>
  </si>
  <si>
    <t>IS-0299</t>
  </si>
  <si>
    <t>Cost of Sales - Direct Costs</t>
  </si>
  <si>
    <t>IS-0305</t>
  </si>
  <si>
    <t>IS-0310</t>
  </si>
  <si>
    <t>IS-0315</t>
  </si>
  <si>
    <t>IS-0320</t>
  </si>
  <si>
    <t>IS-0325</t>
  </si>
  <si>
    <t>IS-0330</t>
  </si>
  <si>
    <t>IS-0335</t>
  </si>
  <si>
    <t>IS-0340</t>
  </si>
  <si>
    <t>IS-0345</t>
  </si>
  <si>
    <t>IS-0350</t>
  </si>
  <si>
    <t>IS-0355</t>
  </si>
  <si>
    <t>IS-0360</t>
  </si>
  <si>
    <t>IS-0365</t>
  </si>
  <si>
    <t>IS-0370</t>
  </si>
  <si>
    <t>IS-0375</t>
  </si>
  <si>
    <t>IS-0380</t>
  </si>
  <si>
    <t>IS-0385</t>
  </si>
  <si>
    <t>IS-0390</t>
  </si>
  <si>
    <t>IS-0405</t>
  </si>
  <si>
    <t>Salaries &amp; Wages - Staff</t>
  </si>
  <si>
    <t>IS-0410</t>
  </si>
  <si>
    <t>Salaries &amp; Wages - Management</t>
  </si>
  <si>
    <t>IS-0505</t>
  </si>
  <si>
    <t>IS-0510</t>
  </si>
  <si>
    <t>Amortisation</t>
  </si>
  <si>
    <t>IS-0605</t>
  </si>
  <si>
    <t>IS-0700</t>
  </si>
  <si>
    <t>IS-0800</t>
  </si>
  <si>
    <t>IS-0805</t>
  </si>
  <si>
    <t>Foreign Exchange Loss</t>
  </si>
  <si>
    <t>IS-0810</t>
  </si>
  <si>
    <t>Loss on Disposal of Assets</t>
  </si>
  <si>
    <t>IS-0900</t>
  </si>
  <si>
    <t>IS-0905</t>
  </si>
  <si>
    <t>IS-0910</t>
  </si>
  <si>
    <t>Profit on Disposal of Assets</t>
  </si>
  <si>
    <t>IS-0915</t>
  </si>
  <si>
    <t>IS-1000</t>
  </si>
  <si>
    <t>BS-BB1</t>
  </si>
  <si>
    <t>B1 Bank Account</t>
  </si>
  <si>
    <t>BS-BB2</t>
  </si>
  <si>
    <t>B2 Bank Account</t>
  </si>
  <si>
    <t>BS-BB3</t>
  </si>
  <si>
    <t>B3 Bank Account</t>
  </si>
  <si>
    <t>BS-BPC</t>
  </si>
  <si>
    <t>PC Petty Cash</t>
  </si>
  <si>
    <t>BS-BJC</t>
  </si>
  <si>
    <t>GL Journal Control</t>
  </si>
  <si>
    <t>BS-STG</t>
  </si>
  <si>
    <t>BS-RCG</t>
  </si>
  <si>
    <t>BS-PAG</t>
  </si>
  <si>
    <t>BS-RTG</t>
  </si>
  <si>
    <t>Retained Earnings</t>
  </si>
  <si>
    <t>Setup</t>
  </si>
  <si>
    <t>Example (Pty) Limited</t>
  </si>
  <si>
    <t>Status</t>
  </si>
  <si>
    <t>B-04G</t>
  </si>
  <si>
    <t>End of list</t>
  </si>
  <si>
    <t>B-1301G</t>
  </si>
  <si>
    <t>I-0402G</t>
  </si>
  <si>
    <t>Bank accounts</t>
  </si>
  <si>
    <t>Shareholders' contributions</t>
  </si>
  <si>
    <t>Profit / (Loss) before interest</t>
  </si>
  <si>
    <t>Salaries &amp; wages - staff</t>
  </si>
  <si>
    <t>Salaries &amp; wages - management</t>
  </si>
  <si>
    <t>- Interest paid</t>
  </si>
  <si>
    <t>Changes in operating assets &amp; liabilities</t>
  </si>
  <si>
    <t>- Loans &amp; advances</t>
  </si>
  <si>
    <t>- Other debtors</t>
  </si>
  <si>
    <t>- Trade debtors</t>
  </si>
  <si>
    <t>- Trade creditors</t>
  </si>
  <si>
    <t>- Accruals</t>
  </si>
  <si>
    <t>- Sales tax</t>
  </si>
  <si>
    <t>- Cash on hand</t>
  </si>
  <si>
    <t>- Retained earnings</t>
  </si>
  <si>
    <t>- Provisions</t>
  </si>
  <si>
    <t>- Reserves</t>
  </si>
  <si>
    <t>- Inventory</t>
  </si>
  <si>
    <t>cash flow statement status</t>
  </si>
  <si>
    <t>balance sheet status</t>
  </si>
  <si>
    <t>Year End Month</t>
  </si>
  <si>
    <t>The input cells that contain a yellow cell background on the Setup sheet need to be completed in order to include your business name as a heading on all the appropriate sheets and to specify the appropriate reporting periods for which the financial reports need to be compiled. The cell with a light blue cell background contains a formula which should not be replaced!</t>
  </si>
  <si>
    <t>The template can easily be rolled forward to include a new financial year by simply adding the trial balance for the appropriate financial year to the TB sheet and changing the year that is selected on the Setup sheet to the new year. All the calculations on the income statement, cash flow statement and balance sheet will be updated automatically to include the new financial year and the two years before it.</t>
  </si>
  <si>
    <t>The template includes the following sheets:</t>
  </si>
  <si>
    <t>In order to start using the template, you basically need to complete the following steps:</t>
  </si>
  <si>
    <t>■ Change the default settings in the cells with yellow cell backgrounds on the Setup sheet.</t>
  </si>
  <si>
    <t>Note: These are only the main steps that need to be completed and we strongly recommend that you go through the detailed instructions below in order to obtain a more through understanding of the template design.</t>
  </si>
  <si>
    <t>■ If you do not want to use your own account structure and you would rather use our standard template setup, you only need to include your trial balance values on the TB sheet. All the financial statement reporting classes will already be linked to the appropriate account balances and populated on the income statement, cash flow statement and balance sheet.</t>
  </si>
  <si>
    <t>■ If you want to use your own account structure, replace our default data by copying the account numbers &amp; descriptions of all the accounts on your trial balance onto the TB sheet and then link each individual account to the appropriate reporting class by copying or entering the class code into column B. Note that a full list of all the main classes that are used on the income statement and balance sheet are included on the Classes sheet.</t>
  </si>
  <si>
    <t>The appropriate year-end month needs to be selected in cell B6. The year-end month that is selected in this cell determines the date that is included in the headings on the income statement, cash flow statement and balance sheet reports.</t>
  </si>
  <si>
    <t>The year-end date in cell B10 is determined based on the year-end period and the reporting year in cells B6 &amp; B8 and is only used in the heading at the top of the income statement, cash flow statement and balance sheet.</t>
  </si>
  <si>
    <t>The default reporting classes on which the financial reports in this template are based have been included on the Classes sheet. These classes need to be linked to the individual accounts on the TB sheet in order for the financial reports to be automatically populated on the IS, CFS and BS sheets.</t>
  </si>
  <si>
    <t>The default reporting classes can be edited but we recommend sticking to our coding convention and only adding classes if additional income statement or balance sheet items are required. Note that the codes for all income statement items start with an "I" and the code for all balance sheet items start with a "B". All our reporting codes also end with a "G".</t>
  </si>
  <si>
    <t>Error Checking</t>
  </si>
  <si>
    <t>The formula in the Status column checks whether the appropriate class code in column A has been linked to any of the accounts on the TB sheet and if so, whether the appropriate class has been added to the income statement or balance sheet.</t>
  </si>
  <si>
    <t>If a code has been linked to the trial balance and not added to the income statement or balance sheet, the balance sheet will probably not balance and it is therefore essential that all codes which have been linked to the trial balance are added to the income statement or balance sheet. An "add!" message will therefore be displayed in the Status column and the column heading will be highlighted in red if any of these items are found.</t>
  </si>
  <si>
    <t>Once you have added the affected code to the income statement or balance sheet, the errors status will be removed automatically and replaced by an "ok" status.</t>
  </si>
  <si>
    <t>After clearing all the class codes from column B, you need to refer to the Classes sheet in order to determine which accounts need to be linked to which financial statement reporting classes. Note that you do not need to use all the default classes if they are not required but it is imperative that each account is linked to a class. After completing the linking exercise, there should therefore be no blank values in column B.</t>
  </si>
  <si>
    <t>Example: If the financial reports are to be compiled from the 2018 financial year and this year is specified on the Setup sheet, trial balances for 2018, 2017 and 2016 should be added to the TB sheet. The cash flow statement for the 2016 financial period will however not be accurate if the 2015 balance sheet is not also added as a trial balance on the TB sheet. If you therefore want to see accurate reports for 3 annual periods, we recommend that you also add the 4th financial period to the TB sheet.</t>
  </si>
  <si>
    <t>If the account category that you want to create forms part of the income statement or balance sheet and it is not provided for on the Classes sheet, you can create a new reporting class code and link it to the appropriate accounts on the TB sheet. All new income statement codes should start with "I-" and all new balance sheet codes should start with "B-". You should also ensure that the new code that you create does not clash with any of the existing reporting class codes.</t>
  </si>
  <si>
    <t>Our reporting class code convention contains a two-character account group in the first two numbers of the reporting class code. If you create a new reporting class for a new account group, you can simply use the next numbers that are available. Create the new class by adding a new row in the appropriate location on the Classes sheet, copying or entering it in column B on the TB sheet and then adding a new row to the appropriate location on the income statement or balance sheet.</t>
  </si>
  <si>
    <t>You can also create multiple additional reporting classes under the same account group by adding two numbers to the existing account group reporting class code. We have used this method to include detailed expense accounts under the operating expenses section. The main account group class is I-03G and we have linked the individual expense accounts on the trial balance to reporting classes which start with this account group (without the "G") followed by another two numbers for each individual account and ending with a "G". Refer to the IS sheet and note the reporting classes for expenses in column A.</t>
  </si>
  <si>
    <t>When you start using the template, you can use the same classes to link your expense accounts individually and simply edit the class descriptions on the Classes sheet so that the individual expense classes refer to the correct expense account descriptions.</t>
  </si>
  <si>
    <t>If you need to include more than the default number of expense accounts, you can add additional expense account classes to the Classes sheet, include the appropriate expense account descriptions on this sheet, link the accounts on the TB sheet to the new classes, insert the required number of additional rows on the income statement, copy the formulas from one of the existing rows and change the key in column A to the new class.</t>
  </si>
  <si>
    <t>Note: If you don't require all the default expense line items which have been included in the standard template, you can delete the items that you do not require by simply deleting the appropriate rows on the IS sheet.</t>
  </si>
  <si>
    <t>Example: If we wanted to add another non-cash expense line to the cash flow statement, we would insert a new row below the amortisation expense, enter the reporting class to which the new non-cash expense account has been linked on the TB sheet in column A, enter a description for the non-cash transaction in column B and copy the formulas from the amortisation row into the new blank row (for columns C to J).</t>
  </si>
  <si>
    <t>New cash flow statement items need to be added to the CFS sheet by using a reporting class which is consistent with the code that has been used to add the appropriate item to the income statement or balance sheet. This will ensure that the appropriate item is also updated on the income statement or balance sheet.</t>
  </si>
  <si>
    <t>We have included a balance status at the bottom of the CFS sheet in order to check whether the cash balance at the end of the financial period agrees to the cash balance on the balance sheet. If the closing cash balance does not agree to the balance sheet, this row will contain an error message.</t>
  </si>
  <si>
    <t>Note: If you add new lines to the balance sheet, you also need to add the new balance sheet items to the appropriate location on the cash flow statement otherwise the cash flow statement will not balance.</t>
  </si>
  <si>
    <t>■ If you've added new reporting classes to the template, check whether all of your new reporting classes have been included on the income statement and balance sheet reports. All reporting classes that have been linked to accounts on the TB sheet should be included on either the IS or BS sheets.</t>
  </si>
  <si>
    <t>■ If your cash flow statement does not balance and you've added new items to the income statement or balance sheet, make sure that you have also added the appropriate items to the cash flow statement. You can insert a new row, copy one of the existing lines which are similar in nature and just change the reporting class in column A and the description in column B.</t>
  </si>
  <si>
    <t>■ If you have completed the above steps and you still have an imbalance on any of your balance sheets, contact our Support function for assistance.</t>
  </si>
  <si>
    <t>Note: We have included a formula in the Status column (column A) which displays a "class!" message if the appropriate class in column B has not been added to the Classes sheet or an "add!" message if the class has not been added to the income statement or balance sheet. The column heading will also be highlighted in red if any of these errors are found. The formula in this column should be copied for all new accounts that are added to the TB sheet.</t>
  </si>
  <si>
    <t>■ Check the TB sheet for blank rows. No blank rows should be included between rows that contain data otherwise the template calculations may not be accurate.</t>
  </si>
  <si>
    <t>Note: New reporting classes can be added to the Classes sheet by inserting a new row in the appropriate location, entering the new code and entering the description for the new class. You also then need to copy the formula in the Status column which checks for errors.</t>
  </si>
  <si>
    <t>The template has been designed to compare the financial results for 3 annual periods and you need to add trial balances for at least 3 annual periods to the TB sheet. The cash flow statement data for the 3rd annual period will however not be correct if only 3 annual periods are included and it is recommended to add balance sheets for at least 4 annual periods to the TB sheet.</t>
  </si>
  <si>
    <t>Note: All the trial balance data on the TB sheet should form part of a continuous cell range and you should not include any blank rows or columns between rows or columns that contain data otherwise the template calculations will not be accurate.</t>
  </si>
  <si>
    <t>■ Ensure that the total of the amounts in column E on the TBCheck sheet is nil - the total calculation is included in the row above the column headings. If the total is not nil, the difference will be reflected in red in the cell above the column headings with an "error" message next to it. Note that the difference may be attributable to rounding which is covered in the next section.</t>
  </si>
  <si>
    <t>You can also add lines to the cash flow statement by inserting a new row, entering the reporting code on which the calculation should be based in column A and copying the formulas from one of the other similar lines on the cash flow statement.</t>
  </si>
  <si>
    <t>You can also add additional lines to the balance sheet by inserting a new row, entering the reporting code on which the calculation should be based in column A and copying the formulas from one of the other similar lines on the balance sheet.</t>
  </si>
  <si>
    <r>
      <rPr>
        <b/>
        <sz val="10"/>
        <rFont val="Arial"/>
        <family val="2"/>
      </rPr>
      <t>TBCheck</t>
    </r>
    <r>
      <rPr>
        <sz val="10"/>
        <rFont val="Arial"/>
        <family val="2"/>
      </rPr>
      <t xml:space="preserve"> - when you copy a trial balance from another Excel file into this template, it is important to ensure that the account numbers on the source worksheet are the same as the account numbers on the target trial balance worksheet. We have therefore included this sheet to enable users to check whether their account number sequence is consistent with the TB sheet before copying the trial balance amounts into this template.</t>
    </r>
  </si>
  <si>
    <t>■ The income statement, cash flow statement and balance sheet are automatically calculated based on the amounts included on the TB sheet. Simply select the appropriate reporting period on the Setup sheet and all calculations are updated automatically.</t>
  </si>
  <si>
    <t>A complete trial balance should be copied or entered on the TB sheet for each annual reporting period included in the financial reports. All account numbers and account descriptions that form part of the trial balance need to be copied or entered into column C and D on the TB sheet and the appropriate account balances need to be entered into the columns from column E onwards.</t>
  </si>
  <si>
    <t>The template provides for 23 expense accounts to be included on the income statement. Only one of these expense accounts has been linked to an account group class (I-08G for other expenses). All the other accounts have been linked to reporting classes with an additional two numeric characters which have been added to facilitate including individual expense accounts.</t>
  </si>
  <si>
    <r>
      <rPr>
        <b/>
        <sz val="10"/>
        <rFont val="Arial"/>
        <family val="2"/>
      </rPr>
      <t>IS</t>
    </r>
    <r>
      <rPr>
        <sz val="10"/>
        <rFont val="Arial"/>
        <family val="2"/>
      </rPr>
      <t xml:space="preserve"> - this sheet contains an income statement which is automatically calculated based on the reporting classes linked to the accounts on the TB sheet. No user input is required on this sheet but you can customize the report if necessary. The annual periods for which the income statement is compiled is determined based on the annual reporting period which is specified on the Setup sheet.</t>
    </r>
  </si>
  <si>
    <t>■ Check the Status column on the Classes sheet and ensure that there are no errors. If you see an error in this column, it indicates that the appropriate class has been linked to one or more accounts on the TB sheet and not included in the income statement or balance sheet reports. You then need to include the appropriate reporting class in the appropriate location on the income statement or balance sheet.</t>
  </si>
  <si>
    <t>■ Check whether there are any cells that contain an error message in column A on the TB sheet. If a cell contains an error message, it means that the account has been linked to a reporting class which does not form part of the income statement or balance sheet reports. This may therefore mean that the appropriate account has been linked to an invalid reporting class code. All invalid reporting classes need to be amended and there should be no accounts on the TB sheet which contain errors in column A.</t>
  </si>
  <si>
    <t>Year</t>
  </si>
  <si>
    <t>Value</t>
  </si>
  <si>
    <t>Rest</t>
  </si>
  <si>
    <t>Gap</t>
  </si>
  <si>
    <t>Arrows</t>
  </si>
  <si>
    <t></t>
  </si>
  <si>
    <t></t>
  </si>
  <si>
    <t></t>
  </si>
  <si>
    <t>Column Index</t>
  </si>
  <si>
    <t>Interest Cover</t>
  </si>
  <si>
    <t>Return on Equity (ROE)</t>
  </si>
  <si>
    <t>%</t>
  </si>
  <si>
    <t>V1</t>
  </si>
  <si>
    <t>diff</t>
  </si>
  <si>
    <t>Top 5 Expenses By Value</t>
  </si>
  <si>
    <t>rank</t>
  </si>
  <si>
    <t>sequence</t>
  </si>
  <si>
    <t>Select expense:</t>
  </si>
  <si>
    <t>Income Statement Trends Section</t>
  </si>
  <si>
    <t>Cash &amp; cash equivalents section</t>
  </si>
  <si>
    <t>Cash from operating activities</t>
  </si>
  <si>
    <t>Cash used in investing activities</t>
  </si>
  <si>
    <t>Cash from financing activities</t>
  </si>
  <si>
    <t>Cash movement</t>
  </si>
  <si>
    <t>Balance sheet summary section</t>
  </si>
  <si>
    <t>Total non-current assets</t>
  </si>
  <si>
    <t>Total current assets</t>
  </si>
  <si>
    <t>Total equity</t>
  </si>
  <si>
    <t>Total non-current liabilities</t>
  </si>
  <si>
    <t>Total current liabilities</t>
  </si>
  <si>
    <t>Return on Net Assets (RONA)</t>
  </si>
  <si>
    <t>Net Assets</t>
  </si>
  <si>
    <t>Dasboard Data (not printed)</t>
  </si>
  <si>
    <t>Income Statement formula</t>
  </si>
  <si>
    <t>Array formula</t>
  </si>
  <si>
    <t>Cash Flow Statement formula</t>
  </si>
  <si>
    <t>Balance Sheet formula</t>
  </si>
  <si>
    <t>Line Item formula</t>
  </si>
  <si>
    <t>Line Item formula (Opex if GP% is nil)</t>
  </si>
  <si>
    <t>Line Item formula (Tax% if no interest)</t>
  </si>
  <si>
    <t>Current Ratio</t>
  </si>
  <si>
    <t>Quick Ratio</t>
  </si>
  <si>
    <t>Inventory Days</t>
  </si>
  <si>
    <t>Debtors Days</t>
  </si>
  <si>
    <t>Creditors Days</t>
  </si>
  <si>
    <t>Debt / Equity</t>
  </si>
  <si>
    <r>
      <rPr>
        <b/>
        <sz val="10"/>
        <rFont val="Arial"/>
        <family val="2"/>
      </rPr>
      <t>Setup</t>
    </r>
    <r>
      <rPr>
        <sz val="10"/>
        <rFont val="Arial"/>
        <family val="2"/>
      </rPr>
      <t xml:space="preserve"> - enter your business name, select the year-end month and enter the reporting year. The business name is used as a heading on all the sheets and the reporting period selections are used to determine the annual periods which need to be included on the financial reports.</t>
    </r>
  </si>
  <si>
    <r>
      <rPr>
        <b/>
        <sz val="10"/>
        <rFont val="Arial"/>
        <family val="2"/>
      </rPr>
      <t>Classes</t>
    </r>
    <r>
      <rPr>
        <sz val="10"/>
        <rFont val="Arial"/>
        <family val="2"/>
      </rPr>
      <t xml:space="preserve"> - this sheet contains all the pre-defined reporting classes which should be used to link the trial balance accounts on the TB sheet to the calculations on the income statement, cash flow statement and balance sheet. The class descriptions included on this sheet are displayed on the financial statements and the sheet also includes error checking in the Status column which highlights errors in the linking of the reporting classes.</t>
    </r>
  </si>
  <si>
    <r>
      <rPr>
        <b/>
        <sz val="10"/>
        <rFont val="Arial"/>
        <family val="2"/>
      </rPr>
      <t xml:space="preserve">TB </t>
    </r>
    <r>
      <rPr>
        <sz val="10"/>
        <rFont val="Arial"/>
        <family val="2"/>
      </rPr>
      <t>- a complete trial balance for each annual period should be included on this sheet and each account in the trial balance should be linked to a financial statement reporting class by entering or copying the appropriate class code into column B. The amounts included on the financial reports are automatically updated based on the classes specified on this sheet.</t>
    </r>
  </si>
  <si>
    <r>
      <rPr>
        <b/>
        <sz val="10"/>
        <rFont val="Arial"/>
        <family val="2"/>
      </rPr>
      <t>CFS</t>
    </r>
    <r>
      <rPr>
        <sz val="10"/>
        <rFont val="Arial"/>
        <family val="2"/>
      </rPr>
      <t xml:space="preserve"> - this sheet contains a cash flow statement automatically calculated based on the reporting classes linked to the accounts on the TB sheet. No user input is required on this sheet but you can customize the report if necessary. The annual periods for which the cash flow statement is compiled is determined based on the annual reporting period specified on the Setup sheet.</t>
    </r>
  </si>
  <si>
    <r>
      <rPr>
        <b/>
        <sz val="10"/>
        <rFont val="Arial"/>
        <family val="2"/>
      </rPr>
      <t>BS</t>
    </r>
    <r>
      <rPr>
        <sz val="10"/>
        <rFont val="Arial"/>
        <family val="2"/>
      </rPr>
      <t xml:space="preserve"> - this sheet contains a balance sheet automatically calculated based on the reporting classes linked to the accounts on the TB sheet. No user input is required on this sheet. The annual periods for which the balance sheet is compiled is determined based on the annual reporting period specified on the Setup sheet.</t>
    </r>
  </si>
  <si>
    <r>
      <rPr>
        <b/>
        <sz val="10"/>
        <rFont val="Arial"/>
        <family val="2"/>
      </rPr>
      <t>DB</t>
    </r>
    <r>
      <rPr>
        <sz val="10"/>
        <rFont val="Arial"/>
        <family val="2"/>
      </rPr>
      <t xml:space="preserve"> - The financial dashboard on this sheet is updated automatically based on the income statement, cash flow statement and balance sheet amounts on the other sheets. The flexible design of this unique financial dashboard also makes it relatively easy to replace calculations and charts which may not be applicable to your business.</t>
    </r>
  </si>
  <si>
    <t>The financial year for which the financial reports are compiled needs to be specified in cell B8. This year will be used as the current financial year and be compared to the two years preceding it on the financial reports. If you change the year specified in this cell, the income statement, cash flow statement and balance sheet will be updated automatically.</t>
  </si>
  <si>
    <t>Note: If any of the user input cells on the Setup sheet are not completed or if the data entered is invalid, the cell background of the appropriate cell will be highlighted in red. A red cell background therefore indicates that you should replace the data in the appropriate cell with valid input.</t>
  </si>
  <si>
    <t>The descriptions included on the income statement and balance sheet are also based on the class descriptions included on the Classes sheet. If you therefore want to change any of the line item descriptions on either the income statement or balance sheet, you need to edit the appropriate reporting class description on the Classes sheet.</t>
  </si>
  <si>
    <t>Each account then needs to be linked to one of the pre-defined financial statement reporting classes listed on the Classes sheet. The template will contain default data on the TB sheet when you use it for the first time but you can replace all the account numbers and descriptions with your own and clear all the class codes in column B before you commence with the exercise of linking your accounts to the appropriate pre-defined financial statement reporting classes.</t>
  </si>
  <si>
    <t>The income statement on the IS sheet is automatically compiled based on the trial balances included on the TB sheet. The first reporting period is determined based on the reporting year specified on the Setup sheet. Aside from amendments to the default line items included on the income statement, the sheet requires no user input.</t>
  </si>
  <si>
    <t>The calculated amounts for each individual line item on the income statement are based on the reporting classes entered in column A. Most of these line items are based on main reporting classes but we have provided for sub classes to be included in the operating expenses section in order to include expense items individually on the income statement.</t>
  </si>
  <si>
    <t>The cash flow statement on the CFS sheet has been designed on the same basis as the income statement on the IS sheet. The cash flow statement is automatically compiled based on the trial balances included on the TB sheet. The first reporting period is determined based on the reporting year specified on the Setup sheet. Aside from amendments to the default line items included on the cash flow statement, the sheet requires no user input.</t>
  </si>
  <si>
    <t>The balance sheet on the BS sheet has been designed on the same basis as the income statement on the IS sheet. The balance sheet is automatically compiled based on the trial balances included on the TB sheet. The first reporting period is determined based on the reporting year specified on the Setup sheet. Aside from amendments to the default line items included on the balance sheet, the sheet requires no user input.</t>
  </si>
  <si>
    <t>We have added conditional formatting to the rows which contain the total assets and total equity &amp; liabilities calculations to highlight the cells in red if the balance sheet does not balance. Refer to the Troubleshooting section of these instructions for information on the cause of balance sheet imbalances. Once all the errors are fixed, the red highlighting will be removed automatically.</t>
  </si>
  <si>
    <t>Financial Dashboard</t>
  </si>
  <si>
    <t>The financial dashboard on the DB sheet is automatically updated based on the income statement, cash flow statement and balance sheet calculations on the other sheets. The flexible design of this unique financial dashboard also makes it relatively easy to replace calculations and charts which may not be applicable to your business.</t>
  </si>
  <si>
    <t>We have included notes on the types of formulas used in column K which indicate how to amend the dashboard items if you wish to do so. We recommend saving a copy of the template before making any changes so that you can revert back to the copy if your changes result in any errors.</t>
  </si>
  <si>
    <t>Where the notes indicate that the line item is based on an income statement formula, cash flow statement formula or a balance sheet formula, the line item can be based on any other item on the appropriate report by simply linking the line item description in column A to the intended target. The calculations in the other columns and the dashboard will be updated automatically.</t>
  </si>
  <si>
    <t>Note: The cells with light blue text are the cells which can be edited. We do not recommend making changes to the cells which are not indicated in light blue text as these contain formulas which are essential for the dashboard to be displayed correctly.</t>
  </si>
  <si>
    <t>The following troubleshooting steps need to be completed if any of the balance sheets which are included on the BS sheet are not in balance:</t>
  </si>
  <si>
    <t>All the data on which the dashboard calculations are based are included below the dashboard - this section has not been included in the print range and will not be printed. We have designed the dashboard components with as much flexibility as practically possible and also made it relatively easy to replace dashboard components if necessary.</t>
  </si>
  <si>
    <t>Where the notes indicate that a line item formula is used, it means that the formula pertains specifically to the particular line item and that you need to add your own calculation in order to replace the default template calculation. The only other description used is the array formula and we do not recommend making any changes to the top 5 expenses section of the dashboard.</t>
  </si>
  <si>
    <t>We have included additional flexibility in the charts for the gross profit percentage and the interest cover which results in the first reverting to an operating expense percentage calculation and the last to a taxation percentage calculation if the gross profit percentage or interest paid values are nil.</t>
  </si>
  <si>
    <r>
      <rPr>
        <sz val="24"/>
        <rFont val="Century Gothic"/>
        <family val="2"/>
        <scheme val="minor"/>
      </rPr>
      <t>FINANCIAL</t>
    </r>
    <r>
      <rPr>
        <sz val="11"/>
        <rFont val="Century Gothic"/>
        <family val="1"/>
        <scheme val="minor"/>
      </rPr>
      <t xml:space="preserve">
</t>
    </r>
    <r>
      <rPr>
        <sz val="20"/>
        <rFont val="Century Gothic"/>
        <family val="2"/>
        <scheme val="minor"/>
      </rPr>
      <t>DASHBOARD</t>
    </r>
  </si>
  <si>
    <t>Income Statement Trends</t>
  </si>
  <si>
    <t>Interactive Expense Chart</t>
  </si>
  <si>
    <t>Cash &amp; cash equivalents summary</t>
  </si>
  <si>
    <t>Balance sheet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</si>
</sst>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_ * \-#,##0.00_ ;_ * &quot;-&quot;??_ ;_ @_ "/>
    <numFmt numFmtId="165" formatCode="dd\ mmmm\ yyyy"/>
    <numFmt numFmtId="166" formatCode="0.0%"/>
    <numFmt numFmtId="167" formatCode="_ * #,##0_ ;_ * \(#,##0\)_ ;_ * &quot;-&quot;_ ;_ @_ "/>
    <numFmt numFmtId="168" formatCode="_ * #,##0.0%_ ;_ * \(#,##0.0%\)_ ;_ * &quot;-&quot;_ ;_ @_ "/>
    <numFmt numFmtId="169" formatCode="mmmm"/>
    <numFmt numFmtId="170" formatCode="_ * #,##0_ ;_ * \-#,##0_ ;_ * &quot;-&quot;??_ ;_ @_ "/>
    <numFmt numFmtId="171" formatCode="_ * #,##0.0_ ;_ * \(#,##0.0\)_ ;_ * &quot;-&quot;_ ;_ @_ "/>
    <numFmt numFmtId="172" formatCode="#,##0.0"/>
  </numFmts>
  <fonts count="53" x14ac:knownFonts="1">
    <font>
      <sz val="10"/>
      <name val="Century Gothic"/>
      <family val="2"/>
      <scheme val="minor"/>
    </font>
    <font>
      <sz val="10"/>
      <name val="Arial"/>
      <family val="2"/>
    </font>
    <font>
      <u/>
      <sz val="10"/>
      <color theme="10"/>
      <name val="Arial"/>
      <family val="2"/>
    </font>
    <font>
      <sz val="10"/>
      <color theme="1"/>
      <name val="Century Gothic"/>
      <family val="2"/>
      <scheme val="minor"/>
    </font>
    <font>
      <b/>
      <sz val="10"/>
      <color theme="1"/>
      <name val="Century Gothic"/>
      <family val="2"/>
      <scheme val="minor"/>
    </font>
    <font>
      <sz val="9"/>
      <color rgb="FF008000"/>
      <name val="Century Gothic"/>
      <family val="1"/>
      <scheme val="minor"/>
    </font>
    <font>
      <b/>
      <sz val="9"/>
      <color rgb="FF008000"/>
      <name val="Century Gothic"/>
      <family val="1"/>
      <scheme val="minor"/>
    </font>
    <font>
      <sz val="9"/>
      <color rgb="FFFF0000"/>
      <name val="Century Gothic"/>
      <family val="1"/>
      <scheme val="minor"/>
    </font>
    <font>
      <sz val="9"/>
      <color rgb="FF00B050"/>
      <name val="Century Gothic"/>
      <family val="1"/>
      <scheme val="minor"/>
    </font>
    <font>
      <b/>
      <sz val="12"/>
      <name val="Century Gothic"/>
      <family val="1"/>
      <scheme val="major"/>
    </font>
    <font>
      <sz val="10"/>
      <name val="Century Gothic"/>
      <family val="2"/>
      <scheme val="minor"/>
    </font>
    <font>
      <i/>
      <sz val="10"/>
      <name val="Century Gothic"/>
      <family val="2"/>
      <scheme val="minor"/>
    </font>
    <font>
      <b/>
      <sz val="10"/>
      <name val="Century Gothic"/>
      <family val="2"/>
      <scheme val="minor"/>
    </font>
    <font>
      <sz val="11"/>
      <name val="Century Gothic"/>
      <family val="2"/>
      <scheme val="minor"/>
    </font>
    <font>
      <sz val="10"/>
      <name val="Century Gothic"/>
      <family val="1"/>
      <scheme val="minor"/>
    </font>
    <font>
      <i/>
      <sz val="10"/>
      <name val="Century Gothic"/>
      <family val="1"/>
      <scheme val="minor"/>
    </font>
    <font>
      <sz val="10"/>
      <color theme="0"/>
      <name val="Century Gothic"/>
      <family val="1"/>
      <scheme val="minor"/>
    </font>
    <font>
      <b/>
      <sz val="10"/>
      <name val="Century Gothic"/>
      <family val="1"/>
      <scheme val="minor"/>
    </font>
    <font>
      <sz val="10"/>
      <color rgb="FFFF0000"/>
      <name val="Century Gothic"/>
      <family val="1"/>
      <scheme val="minor"/>
    </font>
    <font>
      <sz val="10"/>
      <color rgb="FF00B050"/>
      <name val="Century Gothic"/>
      <family val="1"/>
      <scheme val="minor"/>
    </font>
    <font>
      <sz val="9"/>
      <color rgb="FF008000"/>
      <name val="Century Gothic"/>
      <family val="2"/>
      <scheme val="minor"/>
    </font>
    <font>
      <sz val="10"/>
      <color theme="0"/>
      <name val="Century Gothic"/>
      <family val="2"/>
      <scheme val="minor"/>
    </font>
    <font>
      <i/>
      <sz val="9"/>
      <color rgb="FF008000"/>
      <name val="Century Gothic"/>
      <family val="2"/>
      <scheme val="minor"/>
    </font>
    <font>
      <b/>
      <sz val="9"/>
      <color rgb="FF008000"/>
      <name val="Century Gothic"/>
      <family val="2"/>
      <scheme val="minor"/>
    </font>
    <font>
      <b/>
      <sz val="12"/>
      <name val="Century Gothic"/>
      <family val="2"/>
      <scheme val="major"/>
    </font>
    <font>
      <b/>
      <sz val="10"/>
      <name val="Arial"/>
      <family val="2"/>
    </font>
    <font>
      <i/>
      <sz val="10"/>
      <name val="Arial"/>
      <family val="2"/>
    </font>
    <font>
      <b/>
      <u/>
      <sz val="10"/>
      <color theme="4" tint="-0.249977111117893"/>
      <name val="Arial"/>
      <family val="2"/>
    </font>
    <font>
      <b/>
      <i/>
      <sz val="10"/>
      <name val="Arial"/>
      <family val="2"/>
    </font>
    <font>
      <b/>
      <sz val="12"/>
      <name val="Arial"/>
      <family val="2"/>
    </font>
    <font>
      <sz val="10"/>
      <name val="Arial"/>
      <family val="2"/>
    </font>
    <font>
      <sz val="11"/>
      <name val="Century Gothic"/>
      <family val="1"/>
      <scheme val="minor"/>
    </font>
    <font>
      <sz val="14"/>
      <name val="Wingdings 3"/>
      <family val="1"/>
      <charset val="2"/>
    </font>
    <font>
      <sz val="14"/>
      <color theme="0" tint="-0.14999847407452621"/>
      <name val="Wingdings 3"/>
      <family val="1"/>
      <charset val="2"/>
    </font>
    <font>
      <b/>
      <u/>
      <sz val="14"/>
      <color theme="0" tint="-0.14999847407452621"/>
      <name val="Wingdings 3"/>
      <family val="1"/>
      <charset val="2"/>
    </font>
    <font>
      <b/>
      <sz val="11"/>
      <name val="Century Gothic"/>
      <family val="1"/>
      <scheme val="minor"/>
    </font>
    <font>
      <b/>
      <sz val="14"/>
      <name val="Wingdings 3"/>
      <family val="1"/>
      <charset val="2"/>
    </font>
    <font>
      <sz val="11"/>
      <name val="Wingdings 3"/>
      <family val="1"/>
      <charset val="2"/>
    </font>
    <font>
      <i/>
      <sz val="11"/>
      <name val="Century Gothic"/>
      <family val="1"/>
      <scheme val="minor"/>
    </font>
    <font>
      <i/>
      <sz val="14"/>
      <name val="Wingdings 3"/>
      <family val="1"/>
      <charset val="2"/>
    </font>
    <font>
      <b/>
      <sz val="11"/>
      <name val="Century Gothic"/>
      <family val="2"/>
      <scheme val="minor"/>
    </font>
    <font>
      <sz val="14"/>
      <name val="Century Gothic"/>
      <family val="1"/>
      <scheme val="minor"/>
    </font>
    <font>
      <sz val="20"/>
      <name val="Century Gothic"/>
      <family val="1"/>
      <scheme val="minor"/>
    </font>
    <font>
      <b/>
      <sz val="14"/>
      <name val="Century Gothic"/>
      <family val="2"/>
      <scheme val="minor"/>
    </font>
    <font>
      <i/>
      <sz val="11"/>
      <name val="Century Gothic"/>
      <family val="2"/>
      <scheme val="minor"/>
    </font>
    <font>
      <sz val="11"/>
      <color rgb="FF00B0F0"/>
      <name val="Century Gothic"/>
      <family val="1"/>
      <scheme val="minor"/>
    </font>
    <font>
      <i/>
      <sz val="11"/>
      <color rgb="FF00B0F0"/>
      <name val="Century Gothic"/>
      <family val="1"/>
      <scheme val="minor"/>
    </font>
    <font>
      <b/>
      <sz val="12"/>
      <name val="Century Gothic"/>
      <family val="1"/>
      <scheme val="minor"/>
    </font>
    <font>
      <sz val="9"/>
      <color rgb="FFFF0000"/>
      <name val="Century Gothic"/>
      <family val="2"/>
      <scheme val="minor"/>
    </font>
    <font>
      <sz val="10"/>
      <color rgb="FFFF0000"/>
      <name val="Century Gothic"/>
      <family val="2"/>
      <scheme val="minor"/>
    </font>
    <font>
      <sz val="20"/>
      <name val="Century Gothic"/>
      <family val="2"/>
      <scheme val="minor"/>
    </font>
    <font>
      <sz val="24"/>
      <name val="Century Gothic"/>
      <family val="2"/>
      <scheme val="minor"/>
    </font>
    <font>
      <sz val="18"/>
      <name val="Century Gothic"/>
      <family val="1"/>
      <scheme val="minor"/>
    </font>
  </fonts>
  <fills count="8">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FFFF99"/>
        <bgColor indexed="64"/>
      </patternFill>
    </fill>
    <fill>
      <patternFill patternType="solid">
        <fgColor rgb="FFCCFFFF"/>
        <bgColor indexed="64"/>
      </patternFill>
    </fill>
    <fill>
      <patternFill patternType="solid">
        <fgColor theme="4" tint="-0.499984740745262"/>
        <bgColor indexed="64"/>
      </patternFill>
    </fill>
    <fill>
      <patternFill patternType="solid">
        <fgColor theme="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64"/>
      </left>
      <right/>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ck">
        <color theme="4" tint="-0.499984740745262"/>
      </bottom>
      <diagonal/>
    </border>
    <border>
      <left/>
      <right style="thick">
        <color theme="4" tint="-0.499984740745262"/>
      </right>
      <top/>
      <bottom/>
      <diagonal/>
    </border>
    <border>
      <left style="thick">
        <color theme="4" tint="-0.499984740745262"/>
      </left>
      <right/>
      <top/>
      <bottom/>
      <diagonal/>
    </border>
    <border>
      <left/>
      <right style="thick">
        <color theme="4" tint="-0.499984740745262"/>
      </right>
      <top/>
      <bottom style="thick">
        <color theme="4" tint="-0.499984740745262"/>
      </bottom>
      <diagonal/>
    </border>
    <border>
      <left style="thick">
        <color theme="4" tint="-0.499984740745262"/>
      </left>
      <right/>
      <top/>
      <bottom style="thick">
        <color theme="4" tint="-0.499984740745262"/>
      </bottom>
      <diagonal/>
    </border>
    <border>
      <left/>
      <right/>
      <top style="thick">
        <color theme="4" tint="-0.499984740745262"/>
      </top>
      <bottom/>
      <diagonal/>
    </border>
    <border>
      <left/>
      <right style="thick">
        <color theme="4" tint="-0.499984740745262"/>
      </right>
      <top style="thick">
        <color theme="4" tint="-0.499984740745262"/>
      </top>
      <bottom/>
      <diagonal/>
    </border>
    <border>
      <left style="thick">
        <color theme="4" tint="-0.499984740745262"/>
      </left>
      <right/>
      <top style="thick">
        <color theme="4" tint="-0.499984740745262"/>
      </top>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style="thick">
        <color theme="4" tint="-0.499984740745262"/>
      </right>
      <top/>
      <bottom/>
      <diagonal/>
    </border>
    <border>
      <left style="thick">
        <color theme="4" tint="-0.499984740745262"/>
      </left>
      <right style="thick">
        <color theme="4" tint="-0.499984740745262"/>
      </right>
      <top/>
      <bottom style="thick">
        <color theme="4" tint="-0.499984740745262"/>
      </bottom>
      <diagonal/>
    </border>
    <border>
      <left/>
      <right/>
      <top style="thin">
        <color indexed="64"/>
      </top>
      <bottom style="thin">
        <color indexed="64"/>
      </bottom>
      <diagonal/>
    </border>
  </borders>
  <cellStyleXfs count="7">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3" fillId="2" borderId="9" applyNumberFormat="0" applyAlignment="0" applyProtection="0"/>
    <xf numFmtId="0" fontId="4" fillId="3" borderId="10" applyNumberFormat="0" applyAlignment="0" applyProtection="0"/>
    <xf numFmtId="9" fontId="1" fillId="0" borderId="0" applyFont="0" applyFill="0" applyBorder="0" applyAlignment="0" applyProtection="0"/>
    <xf numFmtId="0" fontId="30" fillId="0" borderId="0"/>
  </cellStyleXfs>
  <cellXfs count="319">
    <xf numFmtId="0" fontId="0" fillId="0" borderId="0" xfId="0"/>
    <xf numFmtId="0" fontId="5" fillId="0" borderId="0" xfId="0" applyFont="1" applyAlignment="1" applyProtection="1">
      <alignment horizontal="left"/>
      <protection hidden="1"/>
    </xf>
    <xf numFmtId="0" fontId="6" fillId="0" borderId="0" xfId="0" applyFont="1" applyAlignment="1" applyProtection="1">
      <alignment horizontal="left"/>
      <protection hidden="1"/>
    </xf>
    <xf numFmtId="0" fontId="5" fillId="0" borderId="0" xfId="0" applyFont="1" applyAlignment="1" applyProtection="1">
      <alignment horizontal="left" vertical="center"/>
      <protection hidden="1"/>
    </xf>
    <xf numFmtId="0" fontId="5" fillId="0" borderId="0" xfId="0" applyFont="1" applyProtection="1">
      <protection hidden="1"/>
    </xf>
    <xf numFmtId="0" fontId="7" fillId="0" borderId="0" xfId="0" applyFont="1" applyAlignment="1" applyProtection="1">
      <alignment horizontal="left"/>
      <protection hidden="1"/>
    </xf>
    <xf numFmtId="0" fontId="8" fillId="0" borderId="0" xfId="0" applyFont="1" applyAlignment="1" applyProtection="1">
      <alignment horizontal="left"/>
      <protection hidden="1"/>
    </xf>
    <xf numFmtId="0" fontId="9" fillId="0" borderId="0" xfId="0" applyFont="1" applyProtection="1">
      <protection hidden="1"/>
    </xf>
    <xf numFmtId="0" fontId="9" fillId="0" borderId="0" xfId="0" applyFont="1" applyAlignment="1" applyProtection="1">
      <alignment horizontal="left"/>
      <protection hidden="1"/>
    </xf>
    <xf numFmtId="0" fontId="10" fillId="0" borderId="0" xfId="0" applyFont="1" applyProtection="1">
      <protection hidden="1"/>
    </xf>
    <xf numFmtId="0" fontId="13" fillId="0" borderId="0" xfId="0" applyFont="1"/>
    <xf numFmtId="0" fontId="14" fillId="0" borderId="0" xfId="0" applyFont="1" applyProtection="1">
      <protection hidden="1"/>
    </xf>
    <xf numFmtId="0" fontId="15" fillId="0" borderId="0" xfId="0" applyFont="1" applyProtection="1">
      <protection hidden="1"/>
    </xf>
    <xf numFmtId="0" fontId="16" fillId="0" borderId="0" xfId="0" applyFont="1" applyProtection="1">
      <protection hidden="1"/>
    </xf>
    <xf numFmtId="169" fontId="14" fillId="4" borderId="1" xfId="0" applyNumberFormat="1" applyFont="1" applyFill="1" applyBorder="1" applyAlignment="1" applyProtection="1">
      <alignment horizontal="center"/>
      <protection hidden="1"/>
    </xf>
    <xf numFmtId="0" fontId="14" fillId="4" borderId="1" xfId="0" applyFont="1" applyFill="1" applyBorder="1" applyAlignment="1" applyProtection="1">
      <alignment horizontal="center"/>
      <protection hidden="1"/>
    </xf>
    <xf numFmtId="0" fontId="16" fillId="0" borderId="0" xfId="0" applyFont="1" applyAlignment="1" applyProtection="1">
      <alignment horizontal="center"/>
      <protection hidden="1"/>
    </xf>
    <xf numFmtId="169" fontId="16" fillId="0" borderId="0" xfId="0" applyNumberFormat="1" applyFont="1" applyAlignment="1" applyProtection="1">
      <alignment horizontal="left"/>
      <protection hidden="1"/>
    </xf>
    <xf numFmtId="0" fontId="14" fillId="0" borderId="0" xfId="0" applyFont="1" applyAlignment="1" applyProtection="1">
      <alignment horizontal="center"/>
      <protection hidden="1"/>
    </xf>
    <xf numFmtId="0" fontId="17" fillId="4" borderId="1" xfId="0" applyFont="1" applyFill="1" applyBorder="1" applyAlignment="1" applyProtection="1">
      <alignment horizontal="left" vertical="center"/>
      <protection hidden="1"/>
    </xf>
    <xf numFmtId="0" fontId="17" fillId="5" borderId="1" xfId="0" applyFont="1" applyFill="1" applyBorder="1" applyAlignment="1" applyProtection="1">
      <alignment horizontal="center" vertical="center"/>
      <protection hidden="1"/>
    </xf>
    <xf numFmtId="0" fontId="14" fillId="4" borderId="11" xfId="0" applyFont="1" applyFill="1" applyBorder="1" applyProtection="1">
      <protection hidden="1"/>
    </xf>
    <xf numFmtId="0" fontId="14" fillId="0" borderId="0" xfId="0" applyFont="1" applyAlignment="1" applyProtection="1">
      <alignment horizontal="left"/>
      <protection hidden="1"/>
    </xf>
    <xf numFmtId="164" fontId="14" fillId="0" borderId="0" xfId="1" applyFont="1" applyProtection="1">
      <protection hidden="1"/>
    </xf>
    <xf numFmtId="0" fontId="15" fillId="0" borderId="0" xfId="0" applyFont="1" applyAlignment="1" applyProtection="1">
      <alignment horizontal="left"/>
      <protection hidden="1"/>
    </xf>
    <xf numFmtId="0" fontId="16" fillId="0" borderId="0" xfId="0" applyFont="1" applyAlignment="1" applyProtection="1">
      <alignment horizontal="left"/>
      <protection hidden="1"/>
    </xf>
    <xf numFmtId="0" fontId="17" fillId="4" borderId="1" xfId="1" applyNumberFormat="1" applyFont="1" applyFill="1" applyBorder="1" applyAlignment="1" applyProtection="1">
      <alignment horizontal="center" vertical="center"/>
      <protection hidden="1"/>
    </xf>
    <xf numFmtId="0" fontId="17" fillId="0" borderId="0" xfId="0" applyFont="1" applyAlignment="1" applyProtection="1">
      <alignment horizontal="center" vertical="center"/>
      <protection hidden="1"/>
    </xf>
    <xf numFmtId="0" fontId="14" fillId="4" borderId="12" xfId="0" applyFont="1" applyFill="1" applyBorder="1" applyAlignment="1" applyProtection="1">
      <alignment horizontal="left"/>
      <protection hidden="1"/>
    </xf>
    <xf numFmtId="164" fontId="14" fillId="0" borderId="0" xfId="1" applyFont="1" applyFill="1" applyProtection="1">
      <protection hidden="1"/>
    </xf>
    <xf numFmtId="0" fontId="14" fillId="4" borderId="11" xfId="0" applyFont="1" applyFill="1" applyBorder="1" applyAlignment="1" applyProtection="1">
      <alignment horizontal="left"/>
      <protection hidden="1"/>
    </xf>
    <xf numFmtId="167" fontId="14" fillId="0" borderId="0" xfId="1" applyNumberFormat="1" applyFont="1" applyProtection="1">
      <protection hidden="1"/>
    </xf>
    <xf numFmtId="168" fontId="14" fillId="0" borderId="0" xfId="1" applyNumberFormat="1" applyFont="1" applyProtection="1">
      <protection hidden="1"/>
    </xf>
    <xf numFmtId="0" fontId="15" fillId="0" borderId="0" xfId="0" applyFont="1" applyAlignment="1" applyProtection="1">
      <alignment horizontal="left" vertical="center"/>
      <protection hidden="1"/>
    </xf>
    <xf numFmtId="0" fontId="16" fillId="0" borderId="0" xfId="0" applyFont="1" applyAlignment="1" applyProtection="1">
      <alignment vertical="center"/>
      <protection hidden="1"/>
    </xf>
    <xf numFmtId="164" fontId="14" fillId="0" borderId="0" xfId="1" applyFont="1" applyAlignment="1" applyProtection="1">
      <alignment vertical="center"/>
      <protection hidden="1"/>
    </xf>
    <xf numFmtId="0" fontId="14" fillId="0" borderId="0" xfId="0" applyFont="1" applyAlignment="1" applyProtection="1">
      <alignment vertical="center"/>
      <protection hidden="1"/>
    </xf>
    <xf numFmtId="0" fontId="17" fillId="5" borderId="1" xfId="0" applyFont="1" applyFill="1" applyBorder="1" applyAlignment="1" applyProtection="1">
      <alignment horizontal="left" vertical="center"/>
      <protection hidden="1"/>
    </xf>
    <xf numFmtId="0" fontId="17" fillId="5" borderId="1" xfId="1" applyNumberFormat="1" applyFont="1" applyFill="1" applyBorder="1" applyAlignment="1" applyProtection="1">
      <alignment horizontal="center" vertical="center"/>
      <protection hidden="1"/>
    </xf>
    <xf numFmtId="0" fontId="17" fillId="0" borderId="0" xfId="1" applyNumberFormat="1" applyFont="1" applyFill="1" applyBorder="1" applyAlignment="1" applyProtection="1">
      <alignment horizontal="center" vertical="center"/>
      <protection hidden="1"/>
    </xf>
    <xf numFmtId="0" fontId="14" fillId="0" borderId="13" xfId="0" applyFont="1" applyBorder="1" applyAlignment="1" applyProtection="1">
      <alignment horizontal="left"/>
      <protection hidden="1"/>
    </xf>
    <xf numFmtId="167" fontId="14" fillId="0" borderId="21" xfId="1" applyNumberFormat="1" applyFont="1" applyBorder="1" applyProtection="1">
      <protection hidden="1"/>
    </xf>
    <xf numFmtId="167" fontId="14" fillId="0" borderId="0" xfId="1" applyNumberFormat="1" applyFont="1" applyBorder="1" applyProtection="1">
      <protection hidden="1"/>
    </xf>
    <xf numFmtId="168" fontId="14" fillId="0" borderId="14" xfId="1" applyNumberFormat="1" applyFont="1" applyBorder="1" applyProtection="1">
      <protection hidden="1"/>
    </xf>
    <xf numFmtId="167" fontId="14" fillId="0" borderId="13" xfId="1" applyNumberFormat="1" applyFont="1" applyBorder="1" applyProtection="1">
      <protection hidden="1"/>
    </xf>
    <xf numFmtId="167" fontId="14" fillId="0" borderId="2" xfId="1" applyNumberFormat="1" applyFont="1" applyBorder="1" applyProtection="1">
      <protection hidden="1"/>
    </xf>
    <xf numFmtId="168" fontId="14" fillId="0" borderId="15" xfId="1" applyNumberFormat="1" applyFont="1" applyBorder="1" applyProtection="1">
      <protection hidden="1"/>
    </xf>
    <xf numFmtId="0" fontId="17" fillId="0" borderId="19" xfId="0" applyFont="1" applyBorder="1" applyAlignment="1" applyProtection="1">
      <alignment horizontal="left"/>
      <protection hidden="1"/>
    </xf>
    <xf numFmtId="167" fontId="17" fillId="0" borderId="25" xfId="1" applyNumberFormat="1" applyFont="1" applyBorder="1" applyProtection="1">
      <protection hidden="1"/>
    </xf>
    <xf numFmtId="167" fontId="17" fillId="0" borderId="6" xfId="1" applyNumberFormat="1" applyFont="1" applyBorder="1" applyProtection="1">
      <protection hidden="1"/>
    </xf>
    <xf numFmtId="168" fontId="17" fillId="0" borderId="20" xfId="1" applyNumberFormat="1" applyFont="1" applyBorder="1" applyProtection="1">
      <protection hidden="1"/>
    </xf>
    <xf numFmtId="164" fontId="17" fillId="0" borderId="0" xfId="1" applyFont="1" applyProtection="1">
      <protection hidden="1"/>
    </xf>
    <xf numFmtId="0" fontId="17" fillId="0" borderId="0" xfId="0" applyFont="1" applyProtection="1">
      <protection hidden="1"/>
    </xf>
    <xf numFmtId="167" fontId="14" fillId="0" borderId="0" xfId="1" applyNumberFormat="1" applyFont="1" applyAlignment="1" applyProtection="1">
      <alignment vertical="center"/>
      <protection hidden="1"/>
    </xf>
    <xf numFmtId="168" fontId="14" fillId="0" borderId="0" xfId="1" applyNumberFormat="1" applyFont="1" applyAlignment="1" applyProtection="1">
      <alignment vertical="center"/>
      <protection hidden="1"/>
    </xf>
    <xf numFmtId="49" fontId="16" fillId="0" borderId="0" xfId="0" applyNumberFormat="1" applyFont="1" applyAlignment="1" applyProtection="1">
      <alignment vertical="center"/>
      <protection hidden="1"/>
    </xf>
    <xf numFmtId="49" fontId="17" fillId="0" borderId="13" xfId="0" applyNumberFormat="1" applyFont="1" applyBorder="1" applyAlignment="1" applyProtection="1">
      <alignment horizontal="left"/>
      <protection hidden="1"/>
    </xf>
    <xf numFmtId="167" fontId="17" fillId="0" borderId="21" xfId="1" applyNumberFormat="1" applyFont="1" applyBorder="1" applyProtection="1">
      <protection hidden="1"/>
    </xf>
    <xf numFmtId="167" fontId="17" fillId="0" borderId="0" xfId="1" applyNumberFormat="1" applyFont="1" applyBorder="1" applyProtection="1">
      <protection hidden="1"/>
    </xf>
    <xf numFmtId="168" fontId="17" fillId="0" borderId="14" xfId="1" applyNumberFormat="1" applyFont="1" applyBorder="1" applyProtection="1">
      <protection hidden="1"/>
    </xf>
    <xf numFmtId="167" fontId="17" fillId="0" borderId="13" xfId="1" applyNumberFormat="1" applyFont="1" applyBorder="1" applyProtection="1">
      <protection hidden="1"/>
    </xf>
    <xf numFmtId="49" fontId="14" fillId="0" borderId="13" xfId="0" applyNumberFormat="1" applyFont="1" applyBorder="1" applyAlignment="1" applyProtection="1">
      <alignment horizontal="left"/>
      <protection hidden="1"/>
    </xf>
    <xf numFmtId="167" fontId="17" fillId="0" borderId="26" xfId="1" applyNumberFormat="1" applyFont="1" applyBorder="1" applyProtection="1">
      <protection hidden="1"/>
    </xf>
    <xf numFmtId="167" fontId="17" fillId="0" borderId="27" xfId="1" applyNumberFormat="1" applyFont="1" applyBorder="1" applyProtection="1">
      <protection hidden="1"/>
    </xf>
    <xf numFmtId="168" fontId="17" fillId="0" borderId="28" xfId="1" applyNumberFormat="1" applyFont="1" applyBorder="1" applyProtection="1">
      <protection hidden="1"/>
    </xf>
    <xf numFmtId="49" fontId="17" fillId="0" borderId="19" xfId="0" applyNumberFormat="1" applyFont="1" applyBorder="1" applyAlignment="1" applyProtection="1">
      <alignment horizontal="left"/>
      <protection hidden="1"/>
    </xf>
    <xf numFmtId="49" fontId="18" fillId="0" borderId="0" xfId="0" applyNumberFormat="1" applyFont="1" applyAlignment="1" applyProtection="1">
      <alignment horizontal="left"/>
      <protection hidden="1"/>
    </xf>
    <xf numFmtId="167" fontId="18" fillId="0" borderId="0" xfId="1" applyNumberFormat="1" applyFont="1" applyProtection="1">
      <protection hidden="1"/>
    </xf>
    <xf numFmtId="168" fontId="18" fillId="0" borderId="0" xfId="1" applyNumberFormat="1" applyFont="1" applyProtection="1">
      <protection hidden="1"/>
    </xf>
    <xf numFmtId="0" fontId="18" fillId="0" borderId="0" xfId="0" applyFont="1" applyProtection="1">
      <protection hidden="1"/>
    </xf>
    <xf numFmtId="164" fontId="18" fillId="0" borderId="0" xfId="1" applyFont="1" applyProtection="1">
      <protection hidden="1"/>
    </xf>
    <xf numFmtId="0" fontId="19" fillId="0" borderId="0" xfId="0" applyFont="1" applyAlignment="1" applyProtection="1">
      <alignment horizontal="left"/>
      <protection hidden="1"/>
    </xf>
    <xf numFmtId="49" fontId="19" fillId="0" borderId="0" xfId="0" applyNumberFormat="1" applyFont="1" applyAlignment="1" applyProtection="1">
      <alignment horizontal="left"/>
      <protection hidden="1"/>
    </xf>
    <xf numFmtId="167" fontId="19" fillId="0" borderId="0" xfId="1" applyNumberFormat="1" applyFont="1" applyAlignment="1" applyProtection="1">
      <alignment horizontal="center"/>
      <protection hidden="1"/>
    </xf>
    <xf numFmtId="167" fontId="19" fillId="0" borderId="0" xfId="1" applyNumberFormat="1" applyFont="1" applyProtection="1">
      <protection hidden="1"/>
    </xf>
    <xf numFmtId="168" fontId="19" fillId="0" borderId="0" xfId="1" applyNumberFormat="1" applyFont="1" applyProtection="1">
      <protection hidden="1"/>
    </xf>
    <xf numFmtId="0" fontId="19" fillId="0" borderId="0" xfId="0" applyFont="1" applyProtection="1">
      <protection hidden="1"/>
    </xf>
    <xf numFmtId="164" fontId="19" fillId="0" borderId="0" xfId="1" applyFont="1" applyProtection="1">
      <protection hidden="1"/>
    </xf>
    <xf numFmtId="49" fontId="14" fillId="0" borderId="0" xfId="0" applyNumberFormat="1" applyFont="1" applyAlignment="1" applyProtection="1">
      <alignment horizontal="left"/>
      <protection hidden="1"/>
    </xf>
    <xf numFmtId="0" fontId="17" fillId="0" borderId="13" xfId="0" applyFont="1" applyBorder="1" applyAlignment="1" applyProtection="1">
      <alignment horizontal="left"/>
      <protection hidden="1"/>
    </xf>
    <xf numFmtId="167" fontId="14" fillId="0" borderId="26" xfId="1" applyNumberFormat="1" applyFont="1" applyBorder="1" applyProtection="1">
      <protection hidden="1"/>
    </xf>
    <xf numFmtId="167" fontId="14" fillId="0" borderId="27" xfId="1" applyNumberFormat="1" applyFont="1" applyBorder="1" applyProtection="1">
      <protection hidden="1"/>
    </xf>
    <xf numFmtId="168" fontId="14" fillId="0" borderId="28" xfId="1" applyNumberFormat="1" applyFont="1" applyBorder="1" applyProtection="1">
      <protection hidden="1"/>
    </xf>
    <xf numFmtId="164" fontId="15" fillId="0" borderId="0" xfId="1" applyFont="1" applyProtection="1">
      <protection hidden="1"/>
    </xf>
    <xf numFmtId="0" fontId="14" fillId="5" borderId="12" xfId="0" applyFont="1" applyFill="1" applyBorder="1" applyAlignment="1" applyProtection="1">
      <alignment horizontal="center"/>
      <protection hidden="1"/>
    </xf>
    <xf numFmtId="0" fontId="20" fillId="0" borderId="0" xfId="0" applyFont="1" applyAlignment="1" applyProtection="1">
      <alignment horizontal="left"/>
      <protection hidden="1"/>
    </xf>
    <xf numFmtId="167" fontId="10" fillId="0" borderId="0" xfId="1" applyNumberFormat="1" applyFont="1" applyProtection="1">
      <protection hidden="1"/>
    </xf>
    <xf numFmtId="168" fontId="10" fillId="0" borderId="0" xfId="1" applyNumberFormat="1" applyFont="1" applyProtection="1">
      <protection hidden="1"/>
    </xf>
    <xf numFmtId="164" fontId="10" fillId="0" borderId="0" xfId="1" applyFont="1" applyProtection="1">
      <protection hidden="1"/>
    </xf>
    <xf numFmtId="0" fontId="11" fillId="0" borderId="0" xfId="0" applyFont="1" applyAlignment="1" applyProtection="1">
      <alignment horizontal="left" vertical="center"/>
      <protection hidden="1"/>
    </xf>
    <xf numFmtId="0" fontId="20" fillId="0" borderId="0" xfId="0" applyFont="1" applyAlignment="1" applyProtection="1">
      <alignment horizontal="left" vertical="center"/>
      <protection hidden="1"/>
    </xf>
    <xf numFmtId="0" fontId="21" fillId="0" borderId="0" xfId="0" applyFont="1" applyAlignment="1" applyProtection="1">
      <alignment vertical="center"/>
      <protection hidden="1"/>
    </xf>
    <xf numFmtId="164" fontId="10" fillId="0" borderId="0" xfId="1" applyFont="1" applyAlignment="1" applyProtection="1">
      <alignment vertical="center"/>
      <protection hidden="1"/>
    </xf>
    <xf numFmtId="0" fontId="10" fillId="0" borderId="0" xfId="0" applyFont="1" applyAlignment="1" applyProtection="1">
      <alignment vertical="center"/>
      <protection hidden="1"/>
    </xf>
    <xf numFmtId="0" fontId="20" fillId="0" borderId="0" xfId="0" applyFont="1" applyProtection="1">
      <protection hidden="1"/>
    </xf>
    <xf numFmtId="0" fontId="12" fillId="5" borderId="1" xfId="0" applyFont="1" applyFill="1" applyBorder="1" applyAlignment="1" applyProtection="1">
      <alignment horizontal="left" vertical="center"/>
      <protection hidden="1"/>
    </xf>
    <xf numFmtId="0" fontId="12" fillId="5" borderId="1" xfId="1" applyNumberFormat="1" applyFont="1" applyFill="1" applyBorder="1" applyAlignment="1" applyProtection="1">
      <alignment horizontal="center" vertical="center"/>
      <protection hidden="1"/>
    </xf>
    <xf numFmtId="0" fontId="12" fillId="0" borderId="0" xfId="1" applyNumberFormat="1" applyFont="1" applyFill="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13" xfId="0" applyFont="1" applyBorder="1" applyAlignment="1" applyProtection="1">
      <alignment horizontal="left"/>
      <protection hidden="1"/>
    </xf>
    <xf numFmtId="167" fontId="10" fillId="0" borderId="21" xfId="1" applyNumberFormat="1" applyFont="1" applyBorder="1" applyProtection="1">
      <protection hidden="1"/>
    </xf>
    <xf numFmtId="167" fontId="10" fillId="0" borderId="0" xfId="1" applyNumberFormat="1" applyFont="1" applyBorder="1" applyProtection="1">
      <protection hidden="1"/>
    </xf>
    <xf numFmtId="168" fontId="10" fillId="0" borderId="14" xfId="1" applyNumberFormat="1" applyFont="1" applyBorder="1" applyProtection="1">
      <protection hidden="1"/>
    </xf>
    <xf numFmtId="167" fontId="10" fillId="0" borderId="13" xfId="1" applyNumberFormat="1" applyFont="1" applyBorder="1" applyProtection="1">
      <protection hidden="1"/>
    </xf>
    <xf numFmtId="167" fontId="10" fillId="0" borderId="2" xfId="1" applyNumberFormat="1" applyFont="1" applyBorder="1" applyProtection="1">
      <protection hidden="1"/>
    </xf>
    <xf numFmtId="168" fontId="10" fillId="0" borderId="15" xfId="1" applyNumberFormat="1" applyFont="1" applyBorder="1" applyProtection="1">
      <protection hidden="1"/>
    </xf>
    <xf numFmtId="166" fontId="22" fillId="0" borderId="0" xfId="5" applyNumberFormat="1" applyFont="1" applyAlignment="1" applyProtection="1">
      <alignment horizontal="left"/>
      <protection hidden="1"/>
    </xf>
    <xf numFmtId="166" fontId="11" fillId="0" borderId="13" xfId="5" applyNumberFormat="1" applyFont="1" applyBorder="1" applyAlignment="1" applyProtection="1">
      <alignment horizontal="left"/>
      <protection hidden="1"/>
    </xf>
    <xf numFmtId="168" fontId="11" fillId="0" borderId="13" xfId="5" applyNumberFormat="1" applyFont="1" applyBorder="1" applyProtection="1">
      <protection hidden="1"/>
    </xf>
    <xf numFmtId="168" fontId="11" fillId="0" borderId="0" xfId="5" applyNumberFormat="1" applyFont="1" applyBorder="1" applyProtection="1">
      <protection hidden="1"/>
    </xf>
    <xf numFmtId="168" fontId="11" fillId="0" borderId="14" xfId="5" applyNumberFormat="1" applyFont="1" applyBorder="1" applyProtection="1">
      <protection hidden="1"/>
    </xf>
    <xf numFmtId="166" fontId="11" fillId="0" borderId="0" xfId="5" applyNumberFormat="1" applyFont="1" applyProtection="1">
      <protection hidden="1"/>
    </xf>
    <xf numFmtId="167" fontId="10" fillId="0" borderId="22" xfId="1" applyNumberFormat="1" applyFont="1" applyBorder="1" applyProtection="1">
      <protection hidden="1"/>
    </xf>
    <xf numFmtId="167" fontId="10" fillId="0" borderId="3" xfId="1" applyNumberFormat="1" applyFont="1" applyBorder="1" applyProtection="1">
      <protection hidden="1"/>
    </xf>
    <xf numFmtId="168" fontId="10" fillId="0" borderId="16" xfId="1" applyNumberFormat="1" applyFont="1" applyBorder="1" applyProtection="1">
      <protection hidden="1"/>
    </xf>
    <xf numFmtId="167" fontId="10" fillId="0" borderId="23" xfId="1" applyNumberFormat="1" applyFont="1" applyBorder="1" applyProtection="1">
      <protection hidden="1"/>
    </xf>
    <xf numFmtId="167" fontId="10" fillId="0" borderId="4" xfId="1" applyNumberFormat="1" applyFont="1" applyBorder="1" applyProtection="1">
      <protection hidden="1"/>
    </xf>
    <xf numFmtId="168" fontId="10" fillId="0" borderId="17" xfId="1" applyNumberFormat="1" applyFont="1" applyBorder="1" applyProtection="1">
      <protection hidden="1"/>
    </xf>
    <xf numFmtId="167" fontId="10" fillId="0" borderId="24" xfId="1" applyNumberFormat="1" applyFont="1" applyBorder="1" applyProtection="1">
      <protection hidden="1"/>
    </xf>
    <xf numFmtId="167" fontId="10" fillId="0" borderId="5" xfId="1" applyNumberFormat="1" applyFont="1" applyBorder="1" applyProtection="1">
      <protection hidden="1"/>
    </xf>
    <xf numFmtId="168" fontId="10" fillId="0" borderId="18" xfId="1" applyNumberFormat="1" applyFont="1" applyBorder="1" applyProtection="1">
      <protection hidden="1"/>
    </xf>
    <xf numFmtId="0" fontId="23" fillId="0" borderId="0" xfId="0" applyFont="1" applyAlignment="1" applyProtection="1">
      <alignment horizontal="left"/>
      <protection hidden="1"/>
    </xf>
    <xf numFmtId="0" fontId="12" fillId="0" borderId="19" xfId="0" applyFont="1" applyBorder="1" applyAlignment="1" applyProtection="1">
      <alignment horizontal="left"/>
      <protection hidden="1"/>
    </xf>
    <xf numFmtId="167" fontId="12" fillId="0" borderId="25" xfId="1" applyNumberFormat="1" applyFont="1" applyBorder="1" applyProtection="1">
      <protection hidden="1"/>
    </xf>
    <xf numFmtId="167" fontId="12" fillId="0" borderId="6" xfId="1" applyNumberFormat="1" applyFont="1" applyBorder="1" applyProtection="1">
      <protection hidden="1"/>
    </xf>
    <xf numFmtId="168" fontId="12" fillId="0" borderId="20" xfId="1" applyNumberFormat="1" applyFont="1" applyBorder="1" applyProtection="1">
      <protection hidden="1"/>
    </xf>
    <xf numFmtId="164" fontId="12" fillId="0" borderId="0" xfId="1" applyFont="1" applyProtection="1">
      <protection hidden="1"/>
    </xf>
    <xf numFmtId="0" fontId="12" fillId="0" borderId="0" xfId="0" applyFont="1" applyProtection="1">
      <protection hidden="1"/>
    </xf>
    <xf numFmtId="0" fontId="10" fillId="0" borderId="0" xfId="0" applyFont="1" applyAlignment="1" applyProtection="1">
      <alignment horizontal="left"/>
      <protection hidden="1"/>
    </xf>
    <xf numFmtId="168" fontId="10" fillId="0" borderId="0" xfId="1" applyNumberFormat="1" applyFont="1" applyBorder="1" applyProtection="1">
      <protection hidden="1"/>
    </xf>
    <xf numFmtId="0" fontId="24" fillId="0" borderId="0" xfId="0" applyFont="1" applyProtection="1">
      <protection hidden="1"/>
    </xf>
    <xf numFmtId="0" fontId="1" fillId="0" borderId="0" xfId="0" applyFont="1" applyProtection="1">
      <protection hidden="1"/>
    </xf>
    <xf numFmtId="0" fontId="25" fillId="0" borderId="0" xfId="0" applyFont="1" applyAlignment="1" applyProtection="1">
      <alignment horizontal="justify" wrapText="1"/>
      <protection hidden="1"/>
    </xf>
    <xf numFmtId="0" fontId="26" fillId="0" borderId="0" xfId="0" applyFont="1" applyAlignment="1" applyProtection="1">
      <alignment horizontal="justify" wrapText="1"/>
      <protection hidden="1"/>
    </xf>
    <xf numFmtId="0" fontId="27" fillId="0" borderId="0" xfId="2" applyFont="1" applyAlignment="1" applyProtection="1">
      <alignment horizontal="left" vertical="center" wrapText="1"/>
      <protection hidden="1"/>
    </xf>
    <xf numFmtId="0" fontId="1" fillId="0" borderId="0" xfId="0" applyFont="1" applyAlignment="1" applyProtection="1">
      <alignment horizontal="justify" wrapText="1"/>
      <protection hidden="1"/>
    </xf>
    <xf numFmtId="0" fontId="28" fillId="0" borderId="0" xfId="0" applyFont="1" applyAlignment="1" applyProtection="1">
      <alignment horizontal="justify" wrapText="1"/>
      <protection hidden="1"/>
    </xf>
    <xf numFmtId="0" fontId="1" fillId="0" borderId="0" xfId="0" applyFont="1" applyAlignment="1" applyProtection="1">
      <alignment wrapText="1"/>
      <protection hidden="1"/>
    </xf>
    <xf numFmtId="0" fontId="29" fillId="0" borderId="0" xfId="0" applyFont="1" applyAlignment="1" applyProtection="1">
      <alignment horizontal="justify" wrapText="1"/>
      <protection hidden="1"/>
    </xf>
    <xf numFmtId="0" fontId="31" fillId="6" borderId="0" xfId="6" applyFont="1" applyFill="1"/>
    <xf numFmtId="0" fontId="32" fillId="6" borderId="0" xfId="6" applyFont="1" applyFill="1" applyAlignment="1">
      <alignment horizontal="center"/>
    </xf>
    <xf numFmtId="0" fontId="31" fillId="6" borderId="0" xfId="6" applyFont="1" applyFill="1" applyAlignment="1">
      <alignment horizontal="center"/>
    </xf>
    <xf numFmtId="0" fontId="31" fillId="0" borderId="0" xfId="6" applyFont="1"/>
    <xf numFmtId="0" fontId="31" fillId="7" borderId="0" xfId="6" applyFont="1" applyFill="1" applyAlignment="1">
      <alignment horizontal="left" indent="1"/>
    </xf>
    <xf numFmtId="0" fontId="33" fillId="7" borderId="0" xfId="6" applyFont="1" applyFill="1" applyAlignment="1">
      <alignment horizontal="center"/>
    </xf>
    <xf numFmtId="0" fontId="34" fillId="7" borderId="0" xfId="6" applyFont="1" applyFill="1" applyAlignment="1">
      <alignment horizontal="center"/>
    </xf>
    <xf numFmtId="166" fontId="31" fillId="7" borderId="0" xfId="6" applyNumberFormat="1" applyFont="1" applyFill="1" applyAlignment="1">
      <alignment horizontal="left" indent="1"/>
    </xf>
    <xf numFmtId="166" fontId="33" fillId="7" borderId="0" xfId="6" applyNumberFormat="1" applyFont="1" applyFill="1" applyAlignment="1">
      <alignment horizontal="center"/>
    </xf>
    <xf numFmtId="166" fontId="31" fillId="7" borderId="0" xfId="5" applyNumberFormat="1" applyFont="1" applyFill="1" applyBorder="1" applyAlignment="1">
      <alignment horizontal="center"/>
    </xf>
    <xf numFmtId="0" fontId="31" fillId="7" borderId="29" xfId="6" applyFont="1" applyFill="1" applyBorder="1" applyAlignment="1">
      <alignment horizontal="left" indent="1"/>
    </xf>
    <xf numFmtId="0" fontId="33" fillId="7" borderId="29" xfId="6" applyFont="1" applyFill="1" applyBorder="1" applyAlignment="1">
      <alignment horizontal="center"/>
    </xf>
    <xf numFmtId="166" fontId="31" fillId="7" borderId="29" xfId="5" applyNumberFormat="1" applyFont="1" applyFill="1" applyBorder="1" applyAlignment="1">
      <alignment horizontal="center"/>
    </xf>
    <xf numFmtId="0" fontId="35" fillId="0" borderId="0" xfId="6" applyFont="1"/>
    <xf numFmtId="0" fontId="36" fillId="0" borderId="0" xfId="6" applyFont="1" applyAlignment="1">
      <alignment horizontal="center"/>
    </xf>
    <xf numFmtId="0" fontId="35" fillId="0" borderId="0" xfId="6" applyFont="1" applyAlignment="1">
      <alignment horizontal="center"/>
    </xf>
    <xf numFmtId="0" fontId="32" fillId="0" borderId="0" xfId="6" applyFont="1" applyAlignment="1">
      <alignment horizontal="center"/>
    </xf>
    <xf numFmtId="0" fontId="31" fillId="0" borderId="0" xfId="6" applyFont="1" applyAlignment="1">
      <alignment horizontal="center"/>
    </xf>
    <xf numFmtId="0" fontId="31" fillId="0" borderId="0" xfId="1" applyNumberFormat="1" applyFont="1" applyBorder="1"/>
    <xf numFmtId="170" fontId="31" fillId="0" borderId="0" xfId="1" applyNumberFormat="1" applyFont="1" applyBorder="1"/>
    <xf numFmtId="170" fontId="32" fillId="0" borderId="0" xfId="1" applyNumberFormat="1" applyFont="1" applyBorder="1" applyAlignment="1">
      <alignment horizontal="center"/>
    </xf>
    <xf numFmtId="170" fontId="31" fillId="0" borderId="0" xfId="1" applyNumberFormat="1" applyFont="1" applyBorder="1" applyAlignment="1">
      <alignment horizontal="center"/>
    </xf>
    <xf numFmtId="170" fontId="31" fillId="0" borderId="0" xfId="1" applyNumberFormat="1" applyFont="1" applyFill="1" applyBorder="1"/>
    <xf numFmtId="166" fontId="31" fillId="0" borderId="0" xfId="5" applyNumberFormat="1" applyFont="1" applyBorder="1"/>
    <xf numFmtId="166" fontId="32" fillId="0" borderId="0" xfId="5" applyNumberFormat="1" applyFont="1" applyBorder="1" applyAlignment="1">
      <alignment horizontal="center"/>
    </xf>
    <xf numFmtId="166" fontId="31" fillId="0" borderId="0" xfId="5" applyNumberFormat="1" applyFont="1" applyBorder="1" applyAlignment="1">
      <alignment horizontal="center"/>
    </xf>
    <xf numFmtId="166" fontId="31" fillId="0" borderId="0" xfId="5" applyNumberFormat="1" applyFont="1" applyFill="1" applyBorder="1"/>
    <xf numFmtId="3" fontId="31" fillId="0" borderId="0" xfId="6" applyNumberFormat="1" applyFont="1" applyAlignment="1">
      <alignment horizontal="center"/>
    </xf>
    <xf numFmtId="3" fontId="31" fillId="0" borderId="0" xfId="1" applyNumberFormat="1" applyFont="1" applyBorder="1" applyAlignment="1">
      <alignment horizontal="center"/>
    </xf>
    <xf numFmtId="3" fontId="32" fillId="0" borderId="0" xfId="6" applyNumberFormat="1" applyFont="1" applyAlignment="1">
      <alignment horizontal="center"/>
    </xf>
    <xf numFmtId="1" fontId="31" fillId="0" borderId="0" xfId="6" applyNumberFormat="1" applyFont="1" applyAlignment="1">
      <alignment horizontal="center"/>
    </xf>
    <xf numFmtId="1" fontId="31" fillId="0" borderId="0" xfId="1" applyNumberFormat="1" applyFont="1" applyBorder="1" applyAlignment="1">
      <alignment horizontal="center"/>
    </xf>
    <xf numFmtId="1" fontId="32" fillId="0" borderId="0" xfId="6" applyNumberFormat="1" applyFont="1" applyAlignment="1">
      <alignment horizontal="center"/>
    </xf>
    <xf numFmtId="0" fontId="37" fillId="0" borderId="0" xfId="6" applyFont="1" applyAlignment="1">
      <alignment horizontal="center"/>
    </xf>
    <xf numFmtId="0" fontId="38" fillId="0" borderId="0" xfId="1" applyNumberFormat="1" applyFont="1" applyBorder="1"/>
    <xf numFmtId="170" fontId="38" fillId="0" borderId="0" xfId="1" applyNumberFormat="1" applyFont="1" applyBorder="1"/>
    <xf numFmtId="170" fontId="39" fillId="0" borderId="0" xfId="1" applyNumberFormat="1" applyFont="1" applyBorder="1" applyAlignment="1">
      <alignment horizontal="center"/>
    </xf>
    <xf numFmtId="170" fontId="38" fillId="0" borderId="0" xfId="1" applyNumberFormat="1" applyFont="1" applyBorder="1" applyAlignment="1">
      <alignment horizontal="center"/>
    </xf>
    <xf numFmtId="170" fontId="38" fillId="0" borderId="0" xfId="1" applyNumberFormat="1" applyFont="1" applyFill="1" applyBorder="1"/>
    <xf numFmtId="0" fontId="38" fillId="0" borderId="0" xfId="6" applyFont="1"/>
    <xf numFmtId="0" fontId="38" fillId="0" borderId="0" xfId="6" applyFont="1" applyAlignment="1">
      <alignment horizontal="center"/>
    </xf>
    <xf numFmtId="1" fontId="38" fillId="0" borderId="0" xfId="6" applyNumberFormat="1" applyFont="1" applyAlignment="1">
      <alignment horizontal="center"/>
    </xf>
    <xf numFmtId="1" fontId="38" fillId="0" borderId="0" xfId="1" applyNumberFormat="1" applyFont="1" applyBorder="1" applyAlignment="1">
      <alignment horizontal="center"/>
    </xf>
    <xf numFmtId="1" fontId="39" fillId="0" borderId="0" xfId="6" applyNumberFormat="1" applyFont="1" applyAlignment="1">
      <alignment horizontal="center"/>
    </xf>
    <xf numFmtId="171" fontId="10" fillId="0" borderId="0" xfId="1" applyNumberFormat="1" applyFont="1" applyProtection="1">
      <protection hidden="1"/>
    </xf>
    <xf numFmtId="166" fontId="10" fillId="0" borderId="0" xfId="5" applyNumberFormat="1" applyFont="1" applyProtection="1">
      <protection hidden="1"/>
    </xf>
    <xf numFmtId="166" fontId="20" fillId="0" borderId="0" xfId="5" applyNumberFormat="1" applyFont="1" applyAlignment="1" applyProtection="1">
      <alignment horizontal="left"/>
      <protection hidden="1"/>
    </xf>
    <xf numFmtId="0" fontId="10" fillId="0" borderId="0" xfId="5" applyNumberFormat="1" applyFont="1" applyAlignment="1" applyProtection="1">
      <alignment horizontal="left"/>
      <protection hidden="1"/>
    </xf>
    <xf numFmtId="0" fontId="35" fillId="7" borderId="0" xfId="6" applyFont="1" applyFill="1" applyAlignment="1">
      <alignment horizontal="center"/>
    </xf>
    <xf numFmtId="0" fontId="31" fillId="0" borderId="30" xfId="6" applyFont="1" applyBorder="1"/>
    <xf numFmtId="0" fontId="31" fillId="0" borderId="31" xfId="6" applyFont="1" applyBorder="1"/>
    <xf numFmtId="170" fontId="31" fillId="0" borderId="0" xfId="1" applyNumberFormat="1" applyFont="1" applyBorder="1" applyAlignment="1">
      <alignment horizontal="right"/>
    </xf>
    <xf numFmtId="0" fontId="38" fillId="0" borderId="0" xfId="1" applyNumberFormat="1" applyFont="1" applyBorder="1" applyAlignment="1">
      <alignment horizontal="center"/>
    </xf>
    <xf numFmtId="170" fontId="38" fillId="0" borderId="0" xfId="1" applyNumberFormat="1" applyFont="1" applyBorder="1" applyAlignment="1">
      <alignment horizontal="right"/>
    </xf>
    <xf numFmtId="0" fontId="31" fillId="6" borderId="0" xfId="6" applyFont="1" applyFill="1" applyAlignment="1">
      <alignment vertical="center"/>
    </xf>
    <xf numFmtId="0" fontId="40" fillId="0" borderId="30" xfId="6" applyFont="1" applyBorder="1" applyAlignment="1">
      <alignment horizontal="center" vertical="center"/>
    </xf>
    <xf numFmtId="0" fontId="31" fillId="0" borderId="0" xfId="6" applyFont="1" applyAlignment="1">
      <alignment vertical="center"/>
    </xf>
    <xf numFmtId="0" fontId="31" fillId="0" borderId="32" xfId="6" applyFont="1" applyBorder="1"/>
    <xf numFmtId="0" fontId="31" fillId="0" borderId="29" xfId="6" applyFont="1" applyBorder="1"/>
    <xf numFmtId="0" fontId="31" fillId="0" borderId="33" xfId="6" applyFont="1" applyBorder="1"/>
    <xf numFmtId="0" fontId="32" fillId="0" borderId="29" xfId="6" applyFont="1" applyBorder="1" applyAlignment="1">
      <alignment horizontal="center"/>
    </xf>
    <xf numFmtId="0" fontId="31" fillId="0" borderId="29" xfId="6" applyFont="1" applyBorder="1" applyAlignment="1">
      <alignment horizontal="center"/>
    </xf>
    <xf numFmtId="0" fontId="31" fillId="0" borderId="34" xfId="6" applyFont="1" applyBorder="1"/>
    <xf numFmtId="0" fontId="31" fillId="0" borderId="35" xfId="6" applyFont="1" applyBorder="1"/>
    <xf numFmtId="0" fontId="16" fillId="0" borderId="13" xfId="0" applyFont="1" applyBorder="1" applyAlignment="1" applyProtection="1">
      <alignment horizontal="left"/>
      <protection hidden="1"/>
    </xf>
    <xf numFmtId="3" fontId="31" fillId="0" borderId="29" xfId="6" applyNumberFormat="1" applyFont="1" applyBorder="1" applyAlignment="1">
      <alignment horizontal="center"/>
    </xf>
    <xf numFmtId="3" fontId="31" fillId="0" borderId="30" xfId="6" applyNumberFormat="1" applyFont="1" applyBorder="1" applyAlignment="1">
      <alignment horizontal="center"/>
    </xf>
    <xf numFmtId="0" fontId="31" fillId="0" borderId="36" xfId="6" applyFont="1" applyBorder="1"/>
    <xf numFmtId="0" fontId="38" fillId="0" borderId="0" xfId="1" applyNumberFormat="1" applyFont="1" applyBorder="1" applyAlignment="1">
      <alignment horizontal="left"/>
    </xf>
    <xf numFmtId="0" fontId="31" fillId="0" borderId="0" xfId="6" applyFont="1" applyAlignment="1">
      <alignment horizontal="left"/>
    </xf>
    <xf numFmtId="0" fontId="44" fillId="0" borderId="0" xfId="6" applyFont="1" applyAlignment="1">
      <alignment horizontal="center"/>
    </xf>
    <xf numFmtId="0" fontId="44" fillId="0" borderId="0" xfId="1" applyNumberFormat="1" applyFont="1" applyBorder="1" applyAlignment="1">
      <alignment horizontal="left"/>
    </xf>
    <xf numFmtId="0" fontId="44" fillId="0" borderId="0" xfId="6" applyFont="1" applyAlignment="1">
      <alignment horizontal="left"/>
    </xf>
    <xf numFmtId="0" fontId="39" fillId="0" borderId="0" xfId="1" applyNumberFormat="1" applyFont="1" applyBorder="1" applyAlignment="1">
      <alignment horizontal="center"/>
    </xf>
    <xf numFmtId="0" fontId="44" fillId="0" borderId="0" xfId="1" applyNumberFormat="1" applyFont="1" applyBorder="1" applyAlignment="1">
      <alignment horizontal="center"/>
    </xf>
    <xf numFmtId="0" fontId="38" fillId="0" borderId="0" xfId="1" applyNumberFormat="1" applyFont="1" applyFill="1" applyBorder="1" applyAlignment="1">
      <alignment horizontal="center"/>
    </xf>
    <xf numFmtId="0" fontId="38" fillId="0" borderId="0" xfId="6" applyFont="1" applyAlignment="1">
      <alignment horizontal="left"/>
    </xf>
    <xf numFmtId="0" fontId="45" fillId="0" borderId="0" xfId="1" applyNumberFormat="1" applyFont="1" applyBorder="1"/>
    <xf numFmtId="0" fontId="45" fillId="0" borderId="0" xfId="1" applyNumberFormat="1" applyFont="1" applyBorder="1" applyAlignment="1">
      <alignment horizontal="left"/>
    </xf>
    <xf numFmtId="3" fontId="45" fillId="0" borderId="0" xfId="1" applyNumberFormat="1" applyFont="1" applyBorder="1" applyAlignment="1">
      <alignment horizontal="center"/>
    </xf>
    <xf numFmtId="0" fontId="45" fillId="0" borderId="0" xfId="5" applyNumberFormat="1" applyFont="1" applyBorder="1"/>
    <xf numFmtId="0" fontId="45" fillId="0" borderId="0" xfId="6" applyFont="1" applyAlignment="1">
      <alignment horizontal="left"/>
    </xf>
    <xf numFmtId="0" fontId="45" fillId="0" borderId="0" xfId="6" applyFont="1"/>
    <xf numFmtId="49" fontId="45" fillId="0" borderId="0" xfId="6" applyNumberFormat="1" applyFont="1"/>
    <xf numFmtId="172" fontId="45" fillId="0" borderId="0" xfId="1" applyNumberFormat="1" applyFont="1" applyBorder="1" applyAlignment="1">
      <alignment horizontal="center"/>
    </xf>
    <xf numFmtId="170" fontId="46" fillId="0" borderId="0" xfId="1" applyNumberFormat="1" applyFont="1" applyBorder="1" applyAlignment="1">
      <alignment horizontal="center"/>
    </xf>
    <xf numFmtId="0" fontId="47" fillId="0" borderId="0" xfId="6" applyFont="1"/>
    <xf numFmtId="0" fontId="0" fillId="0" borderId="0" xfId="0" applyAlignment="1" applyProtection="1">
      <alignment horizontal="left"/>
      <protection hidden="1"/>
    </xf>
    <xf numFmtId="0" fontId="0" fillId="0" borderId="0" xfId="0" applyProtection="1">
      <protection hidden="1"/>
    </xf>
    <xf numFmtId="0" fontId="48" fillId="0" borderId="0" xfId="0" applyFont="1" applyAlignment="1" applyProtection="1">
      <alignment horizontal="left"/>
      <protection hidden="1"/>
    </xf>
    <xf numFmtId="0" fontId="49" fillId="0" borderId="0" xfId="0" applyFont="1" applyAlignment="1" applyProtection="1">
      <alignment horizontal="left"/>
      <protection hidden="1"/>
    </xf>
    <xf numFmtId="167" fontId="49" fillId="0" borderId="0" xfId="1" applyNumberFormat="1" applyFont="1" applyProtection="1">
      <protection hidden="1"/>
    </xf>
    <xf numFmtId="168" fontId="49" fillId="0" borderId="0" xfId="1" applyNumberFormat="1" applyFont="1" applyProtection="1">
      <protection hidden="1"/>
    </xf>
    <xf numFmtId="0" fontId="49" fillId="0" borderId="0" xfId="0" applyFont="1" applyProtection="1">
      <protection hidden="1"/>
    </xf>
    <xf numFmtId="164" fontId="49" fillId="0" borderId="0" xfId="1" applyFont="1" applyProtection="1">
      <protection hidden="1"/>
    </xf>
    <xf numFmtId="171" fontId="14" fillId="0" borderId="0" xfId="1" applyNumberFormat="1" applyFont="1" applyBorder="1" applyProtection="1">
      <protection hidden="1"/>
    </xf>
    <xf numFmtId="171" fontId="14" fillId="0" borderId="0" xfId="0" applyNumberFormat="1" applyFont="1" applyProtection="1">
      <protection hidden="1"/>
    </xf>
    <xf numFmtId="168" fontId="14" fillId="0" borderId="0" xfId="1" applyNumberFormat="1" applyFont="1" applyBorder="1" applyProtection="1">
      <protection hidden="1"/>
    </xf>
    <xf numFmtId="0" fontId="31" fillId="0" borderId="32" xfId="6" applyFont="1" applyBorder="1" applyAlignment="1">
      <alignment horizontal="center"/>
    </xf>
    <xf numFmtId="0" fontId="31" fillId="0" borderId="30" xfId="6" applyFont="1" applyBorder="1" applyAlignment="1">
      <alignment horizontal="center"/>
    </xf>
    <xf numFmtId="0" fontId="31" fillId="0" borderId="31" xfId="6" applyFont="1" applyBorder="1" applyAlignment="1">
      <alignment vertical="center"/>
    </xf>
    <xf numFmtId="0" fontId="40" fillId="0" borderId="0" xfId="6" applyFont="1" applyAlignment="1">
      <alignment horizontal="center" vertical="center"/>
    </xf>
    <xf numFmtId="170" fontId="31" fillId="0" borderId="31" xfId="6" applyNumberFormat="1" applyFont="1" applyBorder="1"/>
    <xf numFmtId="37" fontId="31" fillId="0" borderId="0" xfId="6" applyNumberFormat="1" applyFont="1" applyAlignment="1">
      <alignment horizontal="center"/>
    </xf>
    <xf numFmtId="37" fontId="31" fillId="0" borderId="30" xfId="6" applyNumberFormat="1" applyFont="1" applyBorder="1" applyAlignment="1">
      <alignment horizontal="center"/>
    </xf>
    <xf numFmtId="0" fontId="14" fillId="0" borderId="31" xfId="6" applyFont="1" applyBorder="1" applyAlignment="1">
      <alignment horizontal="left" vertical="center" indent="1"/>
    </xf>
    <xf numFmtId="0" fontId="32" fillId="0" borderId="0" xfId="6" applyFont="1" applyAlignment="1">
      <alignment horizontal="center" vertical="center"/>
    </xf>
    <xf numFmtId="0" fontId="31" fillId="0" borderId="30" xfId="6" applyFont="1" applyBorder="1" applyAlignment="1">
      <alignment horizontal="center" vertical="center"/>
    </xf>
    <xf numFmtId="0" fontId="31" fillId="0" borderId="31" xfId="6" applyFont="1" applyBorder="1" applyAlignment="1">
      <alignment horizontal="left" indent="1"/>
    </xf>
    <xf numFmtId="49" fontId="31" fillId="0" borderId="31" xfId="6" applyNumberFormat="1" applyFont="1" applyBorder="1" applyAlignment="1">
      <alignment horizontal="left" indent="1"/>
    </xf>
    <xf numFmtId="3" fontId="31" fillId="0" borderId="32" xfId="6" applyNumberFormat="1" applyFont="1" applyBorder="1" applyAlignment="1">
      <alignment horizontal="center"/>
    </xf>
    <xf numFmtId="0" fontId="40" fillId="0" borderId="0" xfId="6" applyFont="1" applyAlignment="1">
      <alignment horizontal="center"/>
    </xf>
    <xf numFmtId="165" fontId="14" fillId="5" borderId="7" xfId="0" applyNumberFormat="1" applyFont="1" applyFill="1" applyBorder="1" applyAlignment="1" applyProtection="1">
      <alignment horizontal="center"/>
      <protection hidden="1"/>
    </xf>
    <xf numFmtId="165" fontId="14" fillId="5" borderId="8" xfId="0" applyNumberFormat="1" applyFont="1" applyFill="1" applyBorder="1" applyAlignment="1" applyProtection="1">
      <alignment horizontal="center"/>
      <protection hidden="1"/>
    </xf>
    <xf numFmtId="0" fontId="14" fillId="4" borderId="1" xfId="0" applyFont="1" applyFill="1" applyBorder="1" applyProtection="1">
      <protection hidden="1"/>
    </xf>
    <xf numFmtId="0" fontId="41" fillId="0" borderId="36" xfId="6" applyFont="1" applyBorder="1" applyAlignment="1">
      <alignment horizontal="center" vertical="center"/>
    </xf>
    <xf numFmtId="0" fontId="41" fillId="0" borderId="35" xfId="6" applyFont="1" applyBorder="1" applyAlignment="1">
      <alignment horizontal="center" vertical="center"/>
    </xf>
    <xf numFmtId="0" fontId="41" fillId="0" borderId="31" xfId="6" applyFont="1" applyBorder="1" applyAlignment="1">
      <alignment horizontal="center" vertical="center"/>
    </xf>
    <xf numFmtId="0" fontId="41" fillId="0" borderId="30" xfId="6" applyFont="1" applyBorder="1" applyAlignment="1">
      <alignment horizontal="center" vertical="center"/>
    </xf>
    <xf numFmtId="3" fontId="42" fillId="0" borderId="36" xfId="6" applyNumberFormat="1" applyFont="1" applyBorder="1" applyAlignment="1">
      <alignment horizontal="center" vertical="center"/>
    </xf>
    <xf numFmtId="3" fontId="42" fillId="0" borderId="35" xfId="6" applyNumberFormat="1" applyFont="1" applyBorder="1" applyAlignment="1">
      <alignment horizontal="center" vertical="center"/>
    </xf>
    <xf numFmtId="3" fontId="42" fillId="0" borderId="33" xfId="6" applyNumberFormat="1" applyFont="1" applyBorder="1" applyAlignment="1">
      <alignment horizontal="center" vertical="center"/>
    </xf>
    <xf numFmtId="3" fontId="42" fillId="0" borderId="32" xfId="6" applyNumberFormat="1" applyFont="1" applyBorder="1" applyAlignment="1">
      <alignment horizontal="center" vertical="center"/>
    </xf>
    <xf numFmtId="0" fontId="52" fillId="0" borderId="36" xfId="6" applyFont="1" applyBorder="1" applyAlignment="1">
      <alignment horizontal="center" vertical="center"/>
    </xf>
    <xf numFmtId="0" fontId="52" fillId="0" borderId="34" xfId="6" applyFont="1" applyBorder="1" applyAlignment="1">
      <alignment horizontal="center" vertical="center"/>
    </xf>
    <xf numFmtId="0" fontId="52" fillId="0" borderId="31" xfId="6" applyFont="1" applyBorder="1" applyAlignment="1">
      <alignment horizontal="center" vertical="center"/>
    </xf>
    <xf numFmtId="0" fontId="52" fillId="0" borderId="0" xfId="6" applyFont="1" applyAlignment="1">
      <alignment horizontal="center" vertical="center"/>
    </xf>
    <xf numFmtId="0" fontId="31" fillId="0" borderId="36" xfId="6" applyFont="1" applyBorder="1" applyAlignment="1">
      <alignment horizontal="center" vertical="center"/>
    </xf>
    <xf numFmtId="0" fontId="31" fillId="0" borderId="34" xfId="6" applyFont="1" applyBorder="1" applyAlignment="1">
      <alignment horizontal="center" vertical="center"/>
    </xf>
    <xf numFmtId="0" fontId="31" fillId="0" borderId="31" xfId="6" applyFont="1" applyBorder="1" applyAlignment="1">
      <alignment horizontal="center" vertical="center"/>
    </xf>
    <xf numFmtId="0" fontId="31" fillId="0" borderId="0" xfId="6" applyFont="1" applyAlignment="1">
      <alignment horizontal="center" vertical="center"/>
    </xf>
    <xf numFmtId="0" fontId="31" fillId="0" borderId="29" xfId="6" applyFont="1" applyBorder="1" applyAlignment="1">
      <alignment horizontal="center"/>
    </xf>
    <xf numFmtId="0" fontId="31" fillId="0" borderId="32" xfId="6" applyFont="1" applyBorder="1" applyAlignment="1">
      <alignment horizontal="center"/>
    </xf>
    <xf numFmtId="0" fontId="31" fillId="0" borderId="33" xfId="6" applyFont="1" applyBorder="1" applyAlignment="1">
      <alignment horizontal="center"/>
    </xf>
    <xf numFmtId="3" fontId="43" fillId="0" borderId="31" xfId="6" applyNumberFormat="1" applyFont="1" applyBorder="1" applyAlignment="1">
      <alignment horizontal="center"/>
    </xf>
    <xf numFmtId="0" fontId="43" fillId="0" borderId="0" xfId="6" applyFont="1" applyAlignment="1">
      <alignment horizontal="center"/>
    </xf>
    <xf numFmtId="0" fontId="14" fillId="0" borderId="0" xfId="6" applyFont="1" applyAlignment="1">
      <alignment horizontal="center"/>
    </xf>
    <xf numFmtId="3" fontId="43" fillId="0" borderId="0" xfId="6" applyNumberFormat="1" applyFont="1" applyAlignment="1">
      <alignment horizontal="center"/>
    </xf>
    <xf numFmtId="3" fontId="14" fillId="0" borderId="0" xfId="6" applyNumberFormat="1" applyFont="1" applyAlignment="1">
      <alignment horizontal="center"/>
    </xf>
    <xf numFmtId="0" fontId="14" fillId="0" borderId="30" xfId="6" applyFont="1" applyBorder="1" applyAlignment="1">
      <alignment horizontal="center"/>
    </xf>
    <xf numFmtId="0" fontId="43" fillId="0" borderId="30" xfId="6" applyFont="1" applyBorder="1" applyAlignment="1">
      <alignment horizontal="center"/>
    </xf>
    <xf numFmtId="0" fontId="14" fillId="0" borderId="31" xfId="6" applyFont="1" applyBorder="1" applyAlignment="1">
      <alignment horizontal="center"/>
    </xf>
    <xf numFmtId="0" fontId="31" fillId="0" borderId="35" xfId="6" applyFont="1" applyBorder="1" applyAlignment="1">
      <alignment horizontal="center" vertical="center"/>
    </xf>
    <xf numFmtId="0" fontId="31" fillId="0" borderId="30" xfId="6" applyFont="1" applyBorder="1" applyAlignment="1">
      <alignment horizontal="center" vertical="center"/>
    </xf>
    <xf numFmtId="0" fontId="52" fillId="0" borderId="36" xfId="6" applyFont="1" applyBorder="1" applyAlignment="1">
      <alignment horizontal="center" vertical="center" wrapText="1"/>
    </xf>
    <xf numFmtId="0" fontId="52" fillId="0" borderId="34" xfId="6" applyFont="1" applyBorder="1" applyAlignment="1">
      <alignment horizontal="center" vertical="center" wrapText="1"/>
    </xf>
    <xf numFmtId="0" fontId="52" fillId="0" borderId="35" xfId="6" applyFont="1" applyBorder="1" applyAlignment="1">
      <alignment horizontal="center" vertical="center" wrapText="1"/>
    </xf>
    <xf numFmtId="0" fontId="52" fillId="0" borderId="33" xfId="6" applyFont="1" applyBorder="1" applyAlignment="1">
      <alignment horizontal="center" vertical="center" wrapText="1"/>
    </xf>
    <xf numFmtId="0" fontId="52" fillId="0" borderId="29" xfId="6" applyFont="1" applyBorder="1" applyAlignment="1">
      <alignment horizontal="center" vertical="center" wrapText="1"/>
    </xf>
    <xf numFmtId="0" fontId="52" fillId="0" borderId="32" xfId="6" applyFont="1" applyBorder="1" applyAlignment="1">
      <alignment horizontal="center" vertical="center" wrapText="1"/>
    </xf>
    <xf numFmtId="0" fontId="13" fillId="0" borderId="37" xfId="6" applyFont="1" applyBorder="1" applyAlignment="1">
      <alignment horizontal="center" vertical="center" wrapText="1"/>
    </xf>
    <xf numFmtId="0" fontId="31" fillId="0" borderId="38" xfId="6" applyFont="1" applyBorder="1" applyAlignment="1">
      <alignment horizontal="center" vertical="center"/>
    </xf>
    <xf numFmtId="0" fontId="31" fillId="0" borderId="39" xfId="6" applyFont="1" applyBorder="1" applyAlignment="1">
      <alignment horizontal="center" vertical="center"/>
    </xf>
    <xf numFmtId="0" fontId="41" fillId="0" borderId="34" xfId="6" applyFont="1" applyBorder="1" applyAlignment="1">
      <alignment horizontal="center" vertical="center"/>
    </xf>
    <xf numFmtId="0" fontId="41" fillId="0" borderId="33" xfId="6" applyFont="1" applyBorder="1" applyAlignment="1">
      <alignment horizontal="center" vertical="center"/>
    </xf>
    <xf numFmtId="0" fontId="41" fillId="0" borderId="29" xfId="6" applyFont="1" applyBorder="1" applyAlignment="1">
      <alignment horizontal="center" vertical="center"/>
    </xf>
    <xf numFmtId="0" fontId="41" fillId="0" borderId="32" xfId="6" applyFont="1" applyBorder="1" applyAlignment="1">
      <alignment horizontal="center" vertical="center"/>
    </xf>
    <xf numFmtId="0" fontId="31" fillId="0" borderId="36" xfId="6" applyFont="1" applyBorder="1" applyAlignment="1">
      <alignment horizontal="center"/>
    </xf>
    <xf numFmtId="0" fontId="31" fillId="0" borderId="35" xfId="6" applyFont="1" applyBorder="1" applyAlignment="1">
      <alignment horizontal="center"/>
    </xf>
    <xf numFmtId="0" fontId="31" fillId="0" borderId="31" xfId="6" applyFont="1" applyBorder="1" applyAlignment="1">
      <alignment horizontal="center"/>
    </xf>
    <xf numFmtId="0" fontId="31" fillId="0" borderId="30" xfId="6" applyFont="1" applyBorder="1" applyAlignment="1">
      <alignment horizontal="center"/>
    </xf>
    <xf numFmtId="0" fontId="31" fillId="0" borderId="33" xfId="6" applyFont="1" applyBorder="1" applyAlignment="1">
      <alignment horizontal="center" vertical="center"/>
    </xf>
    <xf numFmtId="0" fontId="31" fillId="0" borderId="29" xfId="6" applyFont="1" applyBorder="1" applyAlignment="1">
      <alignment horizontal="center" vertical="center"/>
    </xf>
    <xf numFmtId="0" fontId="31" fillId="0" borderId="32" xfId="6" applyFont="1" applyBorder="1" applyAlignment="1">
      <alignment horizontal="center" vertical="center"/>
    </xf>
    <xf numFmtId="0" fontId="41" fillId="0" borderId="0" xfId="6" applyFont="1" applyAlignment="1">
      <alignment horizontal="center" vertical="center"/>
    </xf>
    <xf numFmtId="0" fontId="31" fillId="0" borderId="37" xfId="6" applyFont="1" applyBorder="1" applyAlignment="1">
      <alignment horizontal="center" vertical="center"/>
    </xf>
    <xf numFmtId="0" fontId="32" fillId="0" borderId="36" xfId="6" applyFont="1" applyBorder="1" applyAlignment="1">
      <alignment horizontal="center" vertical="center"/>
    </xf>
    <xf numFmtId="0" fontId="32" fillId="0" borderId="34" xfId="6" applyFont="1" applyBorder="1" applyAlignment="1">
      <alignment horizontal="center" vertical="center"/>
    </xf>
    <xf numFmtId="0" fontId="32" fillId="0" borderId="35" xfId="6" applyFont="1" applyBorder="1" applyAlignment="1">
      <alignment horizontal="center" vertical="center"/>
    </xf>
    <xf numFmtId="0" fontId="32" fillId="0" borderId="31" xfId="6" applyFont="1" applyBorder="1" applyAlignment="1">
      <alignment horizontal="center" vertical="center"/>
    </xf>
    <xf numFmtId="0" fontId="32" fillId="0" borderId="0" xfId="6" applyFont="1" applyAlignment="1">
      <alignment horizontal="center" vertical="center"/>
    </xf>
    <xf numFmtId="0" fontId="32" fillId="0" borderId="30" xfId="6" applyFont="1" applyBorder="1" applyAlignment="1">
      <alignment horizontal="center" vertical="center"/>
    </xf>
    <xf numFmtId="0" fontId="32" fillId="0" borderId="33" xfId="6" applyFont="1" applyBorder="1" applyAlignment="1">
      <alignment horizontal="center" vertical="center"/>
    </xf>
    <xf numFmtId="0" fontId="32" fillId="0" borderId="29" xfId="6" applyFont="1" applyBorder="1" applyAlignment="1">
      <alignment horizontal="center" vertical="center"/>
    </xf>
    <xf numFmtId="0" fontId="32" fillId="0" borderId="32" xfId="6" applyFont="1" applyBorder="1" applyAlignment="1">
      <alignment horizontal="center" vertical="center"/>
    </xf>
    <xf numFmtId="0" fontId="52" fillId="0" borderId="35" xfId="6" applyFont="1" applyBorder="1" applyAlignment="1">
      <alignment horizontal="center" vertical="center"/>
    </xf>
    <xf numFmtId="0" fontId="52" fillId="0" borderId="30" xfId="6" applyFont="1" applyBorder="1" applyAlignment="1">
      <alignment horizontal="center" vertical="center"/>
    </xf>
    <xf numFmtId="0" fontId="31" fillId="0" borderId="7" xfId="6" applyFont="1" applyBorder="1" applyAlignment="1">
      <alignment horizontal="center" vertical="center"/>
    </xf>
    <xf numFmtId="0" fontId="31" fillId="0" borderId="40" xfId="6" applyFont="1" applyBorder="1" applyAlignment="1">
      <alignment horizontal="center" vertical="center"/>
    </xf>
    <xf numFmtId="0" fontId="31" fillId="0" borderId="8" xfId="6" applyFont="1" applyBorder="1" applyAlignment="1">
      <alignment horizontal="center" vertical="center"/>
    </xf>
  </cellXfs>
  <cellStyles count="7">
    <cellStyle name="Comma" xfId="1" builtinId="3"/>
    <cellStyle name="Hyperlink" xfId="2" builtinId="8"/>
    <cellStyle name="Input" xfId="3" builtinId="20" customBuiltin="1"/>
    <cellStyle name="Normal" xfId="0" builtinId="0" customBuiltin="1"/>
    <cellStyle name="Normal 2" xfId="6" xr:uid="{15282CD2-DC0E-4379-982D-345541C6BDA7}"/>
    <cellStyle name="Output" xfId="4" builtinId="21" customBuiltin="1"/>
    <cellStyle name="Percent" xfId="5" builtinId="5"/>
  </cellStyles>
  <dxfs count="19">
    <dxf>
      <font>
        <b/>
        <i val="0"/>
        <color theme="0"/>
      </font>
      <fill>
        <patternFill>
          <bgColor rgb="FFFF0000"/>
        </patternFill>
      </fill>
    </dxf>
    <dxf>
      <font>
        <b/>
        <i val="0"/>
        <color theme="0"/>
      </font>
      <fill>
        <patternFill>
          <bgColor rgb="FFFF0000"/>
        </patternFill>
      </fill>
    </dxf>
    <dxf>
      <font>
        <b/>
        <i val="0"/>
        <color theme="0"/>
      </font>
      <fill>
        <patternFill>
          <bgColor rgb="FFFF6600"/>
        </patternFill>
      </fill>
    </dxf>
    <dxf>
      <font>
        <color theme="4" tint="-0.24994659260841701"/>
      </font>
    </dxf>
    <dxf>
      <font>
        <color theme="9" tint="-0.24994659260841701"/>
      </font>
    </dxf>
    <dxf>
      <font>
        <color theme="4" tint="-0.24994659260841701"/>
      </font>
    </dxf>
    <dxf>
      <font>
        <color theme="9" tint="-0.24994659260841701"/>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s>
  <tableStyles count="0" defaultTableStyle="TableStyleMedium9" defaultPivotStyle="PivotStyleLight16"/>
  <colors>
    <mruColors>
      <color rgb="FF2EC4B6"/>
      <color rgb="FFFE4A49"/>
      <color rgb="FF239589"/>
      <color rgb="FFFF5050"/>
      <color rgb="FFFF99CC"/>
      <color rgb="FFFF33CC"/>
      <color rgb="FFFF6699"/>
      <color rgb="FFFF3399"/>
      <color rgb="FFFF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DB!$A$61</c:f>
          <c:strCache>
            <c:ptCount val="1"/>
            <c:pt idx="0">
              <c:v>Turnover</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5828888888888887"/>
          <c:w val="0.81256808688387638"/>
          <c:h val="0.71662905982905978"/>
        </c:manualLayout>
      </c:layout>
      <c:barChart>
        <c:barDir val="col"/>
        <c:grouping val="clustered"/>
        <c:varyColors val="0"/>
        <c:ser>
          <c:idx val="0"/>
          <c:order val="0"/>
          <c:tx>
            <c:strRef>
              <c:f>DB!$A$61</c:f>
              <c:strCache>
                <c:ptCount val="1"/>
                <c:pt idx="0">
                  <c:v>Turnover</c:v>
                </c:pt>
              </c:strCache>
            </c:strRef>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DB!$C$59:$E$59</c:f>
              <c:numCache>
                <c:formatCode>0</c:formatCode>
                <c:ptCount val="3"/>
                <c:pt idx="0">
                  <c:v>2023</c:v>
                </c:pt>
                <c:pt idx="1">
                  <c:v>2022</c:v>
                </c:pt>
                <c:pt idx="2">
                  <c:v>2021</c:v>
                </c:pt>
              </c:numCache>
            </c:numRef>
          </c:cat>
          <c:val>
            <c:numRef>
              <c:f>DB!$C$61:$E$61</c:f>
              <c:numCache>
                <c:formatCode>_ * #,##0_ ;_ * \-#,##0_ ;_ * "-"??_ ;_ @_ </c:formatCode>
                <c:ptCount val="3"/>
                <c:pt idx="0">
                  <c:v>6911623</c:v>
                </c:pt>
                <c:pt idx="1">
                  <c:v>6242037</c:v>
                </c:pt>
                <c:pt idx="2">
                  <c:v>5201696</c:v>
                </c:pt>
              </c:numCache>
            </c:numRef>
          </c:val>
          <c:extLst>
            <c:ext xmlns:c16="http://schemas.microsoft.com/office/drawing/2014/chart" uri="{C3380CC4-5D6E-409C-BE32-E72D297353CC}">
              <c16:uniqueId val="{00000000-A605-4F35-AAEE-E9AC702FEABD}"/>
            </c:ext>
          </c:extLst>
        </c:ser>
        <c:dLbls>
          <c:showLegendKey val="0"/>
          <c:showVal val="0"/>
          <c:showCatName val="0"/>
          <c:showSerName val="0"/>
          <c:showPercent val="0"/>
          <c:showBubbleSize val="0"/>
        </c:dLbls>
        <c:gapWidth val="100"/>
        <c:overlap val="-24"/>
        <c:axId val="399210136"/>
        <c:axId val="399207840"/>
      </c:barChart>
      <c:catAx>
        <c:axId val="399210136"/>
        <c:scaling>
          <c:orientation val="maxMin"/>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Algn val="ctr"/>
        <c:lblOffset val="100"/>
        <c:noMultiLvlLbl val="0"/>
      </c:catAx>
      <c:valAx>
        <c:axId val="399207840"/>
        <c:scaling>
          <c:orientation val="minMax"/>
        </c:scaling>
        <c:delete val="0"/>
        <c:axPos val="r"/>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DB!$A$108</c:f>
          <c:strCache>
            <c:ptCount val="1"/>
            <c:pt idx="0">
              <c:v>2023 Debt / Equity Ratio</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dPt>
            <c:idx val="0"/>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1-04E9-4ADE-A0A9-0F4581465657}"/>
              </c:ext>
            </c:extLst>
          </c:dPt>
          <c:dPt>
            <c:idx val="1"/>
            <c:bubble3D val="0"/>
            <c:spPr>
              <a:solidFill>
                <a:srgbClr val="2EC4B6"/>
              </a:solidFill>
              <a:ln w="0">
                <a:noFill/>
              </a:ln>
              <a:effectLst/>
            </c:spPr>
            <c:extLst>
              <c:ext xmlns:c16="http://schemas.microsoft.com/office/drawing/2014/chart" uri="{C3380CC4-5D6E-409C-BE32-E72D297353CC}">
                <c16:uniqueId val="{00000003-04E9-4ADE-A0A9-0F4581465657}"/>
              </c:ext>
            </c:extLst>
          </c:dPt>
          <c:dPt>
            <c:idx val="2"/>
            <c:bubble3D val="0"/>
            <c:spPr>
              <a:noFill/>
              <a:ln w="19050">
                <a:solidFill>
                  <a:schemeClr val="lt1"/>
                </a:solidFill>
              </a:ln>
              <a:effectLst/>
            </c:spPr>
            <c:extLst>
              <c:ext xmlns:c16="http://schemas.microsoft.com/office/drawing/2014/chart" uri="{C3380CC4-5D6E-409C-BE32-E72D297353CC}">
                <c16:uniqueId val="{00000005-04E9-4ADE-A0A9-0F4581465657}"/>
              </c:ext>
            </c:extLst>
          </c:dPt>
          <c:val>
            <c:numRef>
              <c:f>DB!$D$108:$F$108</c:f>
              <c:numCache>
                <c:formatCode>#,##0</c:formatCode>
                <c:ptCount val="3"/>
                <c:pt idx="0">
                  <c:v>39.589372112497102</c:v>
                </c:pt>
                <c:pt idx="1">
                  <c:v>90.410627887502898</c:v>
                </c:pt>
                <c:pt idx="2">
                  <c:v>30</c:v>
                </c:pt>
              </c:numCache>
            </c:numRef>
          </c:val>
          <c:extLst>
            <c:ext xmlns:c16="http://schemas.microsoft.com/office/drawing/2014/chart" uri="{C3380CC4-5D6E-409C-BE32-E72D297353CC}">
              <c16:uniqueId val="{00000006-04E9-4ADE-A0A9-0F4581465657}"/>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DB!$A$110</c:f>
          <c:strCache>
            <c:ptCount val="1"/>
            <c:pt idx="0">
              <c:v>2023 RONA</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RONA</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951-41BB-B267-A6D890E39E89}"/>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6951-41BB-B267-A6D890E39E89}"/>
              </c:ext>
            </c:extLst>
          </c:dPt>
          <c:dPt>
            <c:idx val="2"/>
            <c:bubble3D val="0"/>
            <c:spPr>
              <a:noFill/>
              <a:ln w="19050">
                <a:solidFill>
                  <a:schemeClr val="lt1"/>
                </a:solidFill>
              </a:ln>
              <a:effectLst/>
            </c:spPr>
            <c:extLst>
              <c:ext xmlns:c16="http://schemas.microsoft.com/office/drawing/2014/chart" uri="{C3380CC4-5D6E-409C-BE32-E72D297353CC}">
                <c16:uniqueId val="{00000005-6951-41BB-B267-A6D890E39E89}"/>
              </c:ext>
            </c:extLst>
          </c:dPt>
          <c:val>
            <c:numRef>
              <c:f>DB!$D$110:$F$110</c:f>
              <c:numCache>
                <c:formatCode>#,##0</c:formatCode>
                <c:ptCount val="3"/>
                <c:pt idx="0">
                  <c:v>20.547344927343953</c:v>
                </c:pt>
                <c:pt idx="1">
                  <c:v>109.45265507265604</c:v>
                </c:pt>
                <c:pt idx="2">
                  <c:v>30</c:v>
                </c:pt>
              </c:numCache>
            </c:numRef>
          </c:val>
          <c:extLst>
            <c:ext xmlns:c16="http://schemas.microsoft.com/office/drawing/2014/chart" uri="{C3380CC4-5D6E-409C-BE32-E72D297353CC}">
              <c16:uniqueId val="{00000006-6951-41BB-B267-A6D890E39E89}"/>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DB!$A$65</c:f>
          <c:strCache>
            <c:ptCount val="1"/>
            <c:pt idx="0">
              <c:v>2023 Gross Profit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Top</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F0C-4014-AC53-C8BF695EFBA7}"/>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5F0C-4014-AC53-C8BF695EFBA7}"/>
              </c:ext>
            </c:extLst>
          </c:dPt>
          <c:dPt>
            <c:idx val="2"/>
            <c:bubble3D val="0"/>
            <c:spPr>
              <a:noFill/>
              <a:ln w="19050">
                <a:solidFill>
                  <a:schemeClr val="lt1"/>
                </a:solidFill>
              </a:ln>
              <a:effectLst/>
            </c:spPr>
            <c:extLst>
              <c:ext xmlns:c16="http://schemas.microsoft.com/office/drawing/2014/chart" uri="{C3380CC4-5D6E-409C-BE32-E72D297353CC}">
                <c16:uniqueId val="{00000005-5F0C-4014-AC53-C8BF695EFBA7}"/>
              </c:ext>
            </c:extLst>
          </c:dPt>
          <c:val>
            <c:numRef>
              <c:f>DB!$D$65:$F$65</c:f>
              <c:numCache>
                <c:formatCode>#,##0</c:formatCode>
                <c:ptCount val="3"/>
                <c:pt idx="0">
                  <c:v>75.800754757601794</c:v>
                </c:pt>
                <c:pt idx="1">
                  <c:v>54.199245242398206</c:v>
                </c:pt>
                <c:pt idx="2">
                  <c:v>30</c:v>
                </c:pt>
              </c:numCache>
            </c:numRef>
          </c:val>
          <c:extLst>
            <c:ext xmlns:c16="http://schemas.microsoft.com/office/drawing/2014/chart" uri="{C3380CC4-5D6E-409C-BE32-E72D297353CC}">
              <c16:uniqueId val="{00000006-5F0C-4014-AC53-C8BF695EFBA7}"/>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DB!$A$67</c:f>
          <c:strCache>
            <c:ptCount val="1"/>
            <c:pt idx="0">
              <c:v>2023 Net Profit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Top</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739-4FFD-80E3-76E395514F3A}"/>
              </c:ext>
            </c:extLst>
          </c:dPt>
          <c:dPt>
            <c:idx val="1"/>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03-8739-4FFD-80E3-76E395514F3A}"/>
              </c:ext>
            </c:extLst>
          </c:dPt>
          <c:dPt>
            <c:idx val="2"/>
            <c:bubble3D val="0"/>
            <c:spPr>
              <a:noFill/>
              <a:ln w="19050">
                <a:solidFill>
                  <a:schemeClr val="lt1"/>
                </a:solidFill>
              </a:ln>
              <a:effectLst/>
            </c:spPr>
            <c:extLst>
              <c:ext xmlns:c16="http://schemas.microsoft.com/office/drawing/2014/chart" uri="{C3380CC4-5D6E-409C-BE32-E72D297353CC}">
                <c16:uniqueId val="{00000005-8739-4FFD-80E3-76E395514F3A}"/>
              </c:ext>
            </c:extLst>
          </c:dPt>
          <c:val>
            <c:numRef>
              <c:f>DB!$D$67:$F$67</c:f>
              <c:numCache>
                <c:formatCode>#,##0</c:formatCode>
                <c:ptCount val="3"/>
                <c:pt idx="0">
                  <c:v>19.4496965473956</c:v>
                </c:pt>
                <c:pt idx="1">
                  <c:v>110.5503034526044</c:v>
                </c:pt>
                <c:pt idx="2">
                  <c:v>30</c:v>
                </c:pt>
              </c:numCache>
            </c:numRef>
          </c:val>
          <c:extLst>
            <c:ext xmlns:c16="http://schemas.microsoft.com/office/drawing/2014/chart" uri="{C3380CC4-5D6E-409C-BE32-E72D297353CC}">
              <c16:uniqueId val="{00000006-8739-4FFD-80E3-76E395514F3A}"/>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DB!$A$63</c:f>
          <c:strCache>
            <c:ptCount val="1"/>
            <c:pt idx="0">
              <c:v>Profit / (Loss) for the period</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6914358974358976"/>
          <c:w val="0.81256808688387638"/>
          <c:h val="0.70577435897435903"/>
        </c:manualLayout>
      </c:layout>
      <c:barChart>
        <c:barDir val="col"/>
        <c:grouping val="clustered"/>
        <c:varyColors val="0"/>
        <c:ser>
          <c:idx val="0"/>
          <c:order val="0"/>
          <c:tx>
            <c:strRef>
              <c:f>DB!$A$63</c:f>
              <c:strCache>
                <c:ptCount val="1"/>
                <c:pt idx="0">
                  <c:v>Profit / (Loss) for the period</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DB!$C$59:$E$59</c:f>
              <c:numCache>
                <c:formatCode>0</c:formatCode>
                <c:ptCount val="3"/>
                <c:pt idx="0">
                  <c:v>2023</c:v>
                </c:pt>
                <c:pt idx="1">
                  <c:v>2022</c:v>
                </c:pt>
                <c:pt idx="2">
                  <c:v>2021</c:v>
                </c:pt>
              </c:numCache>
            </c:numRef>
          </c:cat>
          <c:val>
            <c:numRef>
              <c:f>DB!$C$63:$E$63</c:f>
              <c:numCache>
                <c:formatCode>_ * #,##0_ ;_ * \-#,##0_ ;_ * "-"??_ ;_ @_ </c:formatCode>
                <c:ptCount val="3"/>
                <c:pt idx="0">
                  <c:v>1034069</c:v>
                </c:pt>
                <c:pt idx="1">
                  <c:v>1104667</c:v>
                </c:pt>
                <c:pt idx="2">
                  <c:v>608918</c:v>
                </c:pt>
              </c:numCache>
            </c:numRef>
          </c:val>
          <c:extLst>
            <c:ext xmlns:c16="http://schemas.microsoft.com/office/drawing/2014/chart" uri="{C3380CC4-5D6E-409C-BE32-E72D297353CC}">
              <c16:uniqueId val="{00000000-ED52-4796-B065-14E93303CDC2}"/>
            </c:ext>
          </c:extLst>
        </c:ser>
        <c:dLbls>
          <c:showLegendKey val="0"/>
          <c:showVal val="0"/>
          <c:showCatName val="0"/>
          <c:showSerName val="0"/>
          <c:showPercent val="0"/>
          <c:showBubbleSize val="0"/>
        </c:dLbls>
        <c:gapWidth val="100"/>
        <c:overlap val="-24"/>
        <c:axId val="399210136"/>
        <c:axId val="399207840"/>
      </c:barChart>
      <c:catAx>
        <c:axId val="399210136"/>
        <c:scaling>
          <c:orientation val="maxMin"/>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Algn val="ctr"/>
        <c:lblOffset val="100"/>
        <c:noMultiLvlLbl val="0"/>
      </c:catAx>
      <c:valAx>
        <c:axId val="399207840"/>
        <c:scaling>
          <c:orientation val="minMax"/>
        </c:scaling>
        <c:delete val="0"/>
        <c:axPos val="r"/>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DB!$A$69</c:f>
          <c:strCache>
            <c:ptCount val="1"/>
            <c:pt idx="0">
              <c:v>2023 Interest Cover</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193-42BC-9955-7DF5A1BE2461}"/>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B193-42BC-9955-7DF5A1BE2461}"/>
              </c:ext>
            </c:extLst>
          </c:dPt>
          <c:dPt>
            <c:idx val="2"/>
            <c:bubble3D val="0"/>
            <c:spPr>
              <a:noFill/>
              <a:ln w="19050">
                <a:solidFill>
                  <a:schemeClr val="lt1"/>
                </a:solidFill>
              </a:ln>
              <a:effectLst/>
            </c:spPr>
            <c:extLst>
              <c:ext xmlns:c16="http://schemas.microsoft.com/office/drawing/2014/chart" uri="{C3380CC4-5D6E-409C-BE32-E72D297353CC}">
                <c16:uniqueId val="{00000005-B193-42BC-9955-7DF5A1BE2461}"/>
              </c:ext>
            </c:extLst>
          </c:dPt>
          <c:val>
            <c:numRef>
              <c:f>DB!$D$69:$F$69</c:f>
              <c:numCache>
                <c:formatCode>#,##0</c:formatCode>
                <c:ptCount val="3"/>
                <c:pt idx="0">
                  <c:v>116.4599149805148</c:v>
                </c:pt>
                <c:pt idx="1">
                  <c:v>13.540085019485204</c:v>
                </c:pt>
                <c:pt idx="2">
                  <c:v>30</c:v>
                </c:pt>
              </c:numCache>
            </c:numRef>
          </c:val>
          <c:extLst>
            <c:ext xmlns:c16="http://schemas.microsoft.com/office/drawing/2014/chart" uri="{C3380CC4-5D6E-409C-BE32-E72D297353CC}">
              <c16:uniqueId val="{00000006-B193-42BC-9955-7DF5A1BE2461}"/>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DB!$A$71</c:f>
          <c:strCache>
            <c:ptCount val="1"/>
            <c:pt idx="0">
              <c:v>2023 ROE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6A2-45E2-B86C-BEB68AF9328B}"/>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66A2-45E2-B86C-BEB68AF9328B}"/>
              </c:ext>
            </c:extLst>
          </c:dPt>
          <c:dPt>
            <c:idx val="2"/>
            <c:bubble3D val="0"/>
            <c:spPr>
              <a:noFill/>
              <a:ln w="19050">
                <a:solidFill>
                  <a:schemeClr val="lt1"/>
                </a:solidFill>
              </a:ln>
              <a:effectLst/>
            </c:spPr>
            <c:extLst>
              <c:ext xmlns:c16="http://schemas.microsoft.com/office/drawing/2014/chart" uri="{C3380CC4-5D6E-409C-BE32-E72D297353CC}">
                <c16:uniqueId val="{00000005-66A2-45E2-B86C-BEB68AF9328B}"/>
              </c:ext>
            </c:extLst>
          </c:dPt>
          <c:val>
            <c:numRef>
              <c:f>DB!$D$71:$F$71</c:f>
              <c:numCache>
                <c:formatCode>#,##0</c:formatCode>
                <c:ptCount val="3"/>
                <c:pt idx="0">
                  <c:v>25.728652978043105</c:v>
                </c:pt>
                <c:pt idx="1">
                  <c:v>104.2713470219569</c:v>
                </c:pt>
                <c:pt idx="2">
                  <c:v>30</c:v>
                </c:pt>
              </c:numCache>
            </c:numRef>
          </c:val>
          <c:extLst>
            <c:ext xmlns:c16="http://schemas.microsoft.com/office/drawing/2014/chart" uri="{C3380CC4-5D6E-409C-BE32-E72D297353CC}">
              <c16:uniqueId val="{00000006-66A2-45E2-B86C-BEB68AF9328B}"/>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2.9177109440267336E-2"/>
          <c:y val="6.0596581196581206E-2"/>
          <c:w val="0.81256808688387638"/>
          <c:h val="0.81432136752136752"/>
        </c:manualLayout>
      </c:layout>
      <c:barChart>
        <c:barDir val="col"/>
        <c:grouping val="clustered"/>
        <c:varyColors val="0"/>
        <c:ser>
          <c:idx val="0"/>
          <c:order val="0"/>
          <c:tx>
            <c:strRef>
              <c:f>DB!$A$88</c:f>
              <c:strCache>
                <c:ptCount val="1"/>
                <c:pt idx="0">
                  <c:v>Operating expenses</c:v>
                </c:pt>
              </c:strCache>
            </c:strRef>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DB!$C$59:$E$59</c:f>
              <c:numCache>
                <c:formatCode>0</c:formatCode>
                <c:ptCount val="3"/>
                <c:pt idx="0">
                  <c:v>2023</c:v>
                </c:pt>
                <c:pt idx="1">
                  <c:v>2022</c:v>
                </c:pt>
                <c:pt idx="2">
                  <c:v>2021</c:v>
                </c:pt>
              </c:numCache>
            </c:numRef>
          </c:cat>
          <c:val>
            <c:numRef>
              <c:f>DB!$C$88:$E$88</c:f>
              <c:numCache>
                <c:formatCode>_ * #,##0_ ;_ * \-#,##0_ ;_ * "-"??_ ;_ @_ </c:formatCode>
                <c:ptCount val="3"/>
                <c:pt idx="0">
                  <c:v>2427451</c:v>
                </c:pt>
                <c:pt idx="1">
                  <c:v>1896411</c:v>
                </c:pt>
                <c:pt idx="2">
                  <c:v>1603492</c:v>
                </c:pt>
              </c:numCache>
            </c:numRef>
          </c:val>
          <c:extLst>
            <c:ext xmlns:c16="http://schemas.microsoft.com/office/drawing/2014/chart" uri="{C3380CC4-5D6E-409C-BE32-E72D297353CC}">
              <c16:uniqueId val="{00000000-A278-4210-8282-C97F6B0EEF32}"/>
            </c:ext>
          </c:extLst>
        </c:ser>
        <c:dLbls>
          <c:showLegendKey val="0"/>
          <c:showVal val="0"/>
          <c:showCatName val="0"/>
          <c:showSerName val="0"/>
          <c:showPercent val="0"/>
          <c:showBubbleSize val="0"/>
        </c:dLbls>
        <c:gapWidth val="100"/>
        <c:overlap val="-24"/>
        <c:axId val="399210136"/>
        <c:axId val="399207840"/>
      </c:barChart>
      <c:catAx>
        <c:axId val="399210136"/>
        <c:scaling>
          <c:orientation val="maxMin"/>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Algn val="ctr"/>
        <c:lblOffset val="100"/>
        <c:noMultiLvlLbl val="0"/>
      </c:catAx>
      <c:valAx>
        <c:axId val="399207840"/>
        <c:scaling>
          <c:orientation val="minMax"/>
        </c:scaling>
        <c:delete val="0"/>
        <c:axPos val="r"/>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sz="1400"/>
              <a:t>Cash Balance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81048835125448"/>
          <c:w val="0.81256808688387638"/>
          <c:h val="0.69386917562724015"/>
        </c:manualLayout>
      </c:layout>
      <c:barChart>
        <c:barDir val="col"/>
        <c:grouping val="clustered"/>
        <c:varyColors val="0"/>
        <c:ser>
          <c:idx val="0"/>
          <c:order val="0"/>
          <c:tx>
            <c:v>Cash Balance</c:v>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DB!$C$59:$E$59</c:f>
              <c:numCache>
                <c:formatCode>0</c:formatCode>
                <c:ptCount val="3"/>
                <c:pt idx="0">
                  <c:v>2023</c:v>
                </c:pt>
                <c:pt idx="1">
                  <c:v>2022</c:v>
                </c:pt>
                <c:pt idx="2">
                  <c:v>2021</c:v>
                </c:pt>
              </c:numCache>
            </c:numRef>
          </c:cat>
          <c:val>
            <c:numRef>
              <c:f>DB!$C$90:$E$90</c:f>
              <c:numCache>
                <c:formatCode>_ * #,##0_ ;_ * \-#,##0_ ;_ * "-"??_ ;_ @_ </c:formatCode>
                <c:ptCount val="3"/>
                <c:pt idx="0">
                  <c:v>326674</c:v>
                </c:pt>
                <c:pt idx="1">
                  <c:v>393980</c:v>
                </c:pt>
                <c:pt idx="2">
                  <c:v>187624</c:v>
                </c:pt>
              </c:numCache>
            </c:numRef>
          </c:val>
          <c:extLst>
            <c:ext xmlns:c16="http://schemas.microsoft.com/office/drawing/2014/chart" uri="{C3380CC4-5D6E-409C-BE32-E72D297353CC}">
              <c16:uniqueId val="{00000000-9E42-483A-AE20-DBEE1E51BAF0}"/>
            </c:ext>
          </c:extLst>
        </c:ser>
        <c:dLbls>
          <c:showLegendKey val="0"/>
          <c:showVal val="0"/>
          <c:showCatName val="0"/>
          <c:showSerName val="0"/>
          <c:showPercent val="0"/>
          <c:showBubbleSize val="0"/>
        </c:dLbls>
        <c:gapWidth val="100"/>
        <c:overlap val="-24"/>
        <c:axId val="399210136"/>
        <c:axId val="399207840"/>
      </c:barChart>
      <c:catAx>
        <c:axId val="399210136"/>
        <c:scaling>
          <c:orientation val="maxMin"/>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Algn val="ctr"/>
        <c:lblOffset val="100"/>
        <c:noMultiLvlLbl val="0"/>
      </c:catAx>
      <c:valAx>
        <c:axId val="399207840"/>
        <c:scaling>
          <c:orientation val="minMax"/>
        </c:scaling>
        <c:delete val="0"/>
        <c:axPos val="r"/>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DB!$A$106</c:f>
          <c:strCache>
            <c:ptCount val="1"/>
            <c:pt idx="0">
              <c:v>2023 Current Ratio</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Current</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CDB-4986-AEB3-2711A1780381}"/>
              </c:ext>
            </c:extLst>
          </c:dPt>
          <c:dPt>
            <c:idx val="1"/>
            <c:bubble3D val="0"/>
            <c:spPr>
              <a:solidFill>
                <a:schemeClr val="accent6">
                  <a:lumMod val="60000"/>
                  <a:lumOff val="40000"/>
                </a:schemeClr>
              </a:solidFill>
              <a:ln w="0">
                <a:noFill/>
              </a:ln>
              <a:effectLst/>
            </c:spPr>
            <c:extLst>
              <c:ext xmlns:c16="http://schemas.microsoft.com/office/drawing/2014/chart" uri="{C3380CC4-5D6E-409C-BE32-E72D297353CC}">
                <c16:uniqueId val="{00000003-7CDB-4986-AEB3-2711A1780381}"/>
              </c:ext>
            </c:extLst>
          </c:dPt>
          <c:dPt>
            <c:idx val="2"/>
            <c:bubble3D val="0"/>
            <c:spPr>
              <a:noFill/>
              <a:ln w="19050">
                <a:solidFill>
                  <a:schemeClr val="lt1"/>
                </a:solidFill>
              </a:ln>
              <a:effectLst/>
            </c:spPr>
            <c:extLst>
              <c:ext xmlns:c16="http://schemas.microsoft.com/office/drawing/2014/chart" uri="{C3380CC4-5D6E-409C-BE32-E72D297353CC}">
                <c16:uniqueId val="{00000005-7CDB-4986-AEB3-2711A1780381}"/>
              </c:ext>
            </c:extLst>
          </c:dPt>
          <c:val>
            <c:numRef>
              <c:f>DB!$D$106:$F$106</c:f>
              <c:numCache>
                <c:formatCode>#,##0</c:formatCode>
                <c:ptCount val="3"/>
                <c:pt idx="0">
                  <c:v>75.225563909774436</c:v>
                </c:pt>
                <c:pt idx="1">
                  <c:v>54.774436090225564</c:v>
                </c:pt>
                <c:pt idx="2">
                  <c:v>30</c:v>
                </c:pt>
              </c:numCache>
            </c:numRef>
          </c:val>
          <c:extLst>
            <c:ext xmlns:c16="http://schemas.microsoft.com/office/drawing/2014/chart" uri="{C3380CC4-5D6E-409C-BE32-E72D297353CC}">
              <c16:uniqueId val="{00000006-7CDB-4986-AEB3-2711A1780381}"/>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48" TargetMode="External"/></Relationships>
</file>

<file path=xl/drawings/_rels/drawing10.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financial-projections-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3" name="Group 2">
          <a:extLst>
            <a:ext uri="{FF2B5EF4-FFF2-40B4-BE49-F238E27FC236}">
              <a16:creationId xmlns:a16="http://schemas.microsoft.com/office/drawing/2014/main" id="{F3952993-FE4C-4EAC-BACB-D159CFBFC941}"/>
            </a:ext>
          </a:extLst>
        </xdr:cNvPr>
        <xdr:cNvGrpSpPr/>
      </xdr:nvGrpSpPr>
      <xdr:grpSpPr>
        <a:xfrm>
          <a:off x="22860" y="22860"/>
          <a:ext cx="9394240" cy="3591600"/>
          <a:chOff x="17134" y="17145"/>
          <a:chExt cx="9252000" cy="3671610"/>
        </a:xfrm>
      </xdr:grpSpPr>
      <xdr:sp macro="" textlink="" fLocksText="0">
        <xdr:nvSpPr>
          <xdr:cNvPr id="4" name="Rectangle 1">
            <a:extLst>
              <a:ext uri="{FF2B5EF4-FFF2-40B4-BE49-F238E27FC236}">
                <a16:creationId xmlns:a16="http://schemas.microsoft.com/office/drawing/2014/main" id="{CFBA495E-47F6-4EAF-996F-E577813428FF}"/>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FDCE505D-711C-4472-ADE3-4B872D47B454}"/>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0C6007F4-515D-42CF-9196-A986BB18DC0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20780</xdr:colOff>
      <xdr:row>5</xdr:row>
      <xdr:rowOff>23503</xdr:rowOff>
    </xdr:from>
    <xdr:to>
      <xdr:col>3</xdr:col>
      <xdr:colOff>1129980</xdr:colOff>
      <xdr:row>12</xdr:row>
      <xdr:rowOff>242394</xdr:rowOff>
    </xdr:to>
    <xdr:graphicFrame macro="">
      <xdr:nvGraphicFramePr>
        <xdr:cNvPr id="3" name="Chart 1">
          <a:extLst>
            <a:ext uri="{FF2B5EF4-FFF2-40B4-BE49-F238E27FC236}">
              <a16:creationId xmlns:a16="http://schemas.microsoft.com/office/drawing/2014/main" id="{73624733-2F44-47E2-9F48-E41C5E481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4</xdr:col>
      <xdr:colOff>67935</xdr:colOff>
      <xdr:row>5</xdr:row>
      <xdr:rowOff>23504</xdr:rowOff>
    </xdr:from>
    <xdr:to>
      <xdr:col>5</xdr:col>
      <xdr:colOff>1152735</xdr:colOff>
      <xdr:row>12</xdr:row>
      <xdr:rowOff>253171</xdr:rowOff>
    </xdr:to>
    <xdr:graphicFrame macro="">
      <xdr:nvGraphicFramePr>
        <xdr:cNvPr id="4" name="Chart 3">
          <a:extLst>
            <a:ext uri="{FF2B5EF4-FFF2-40B4-BE49-F238E27FC236}">
              <a16:creationId xmlns:a16="http://schemas.microsoft.com/office/drawing/2014/main" id="{B901C6FE-B854-4E18-8EFE-C8A87831EF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4</xdr:col>
      <xdr:colOff>951784</xdr:colOff>
      <xdr:row>8</xdr:row>
      <xdr:rowOff>76851</xdr:rowOff>
    </xdr:from>
    <xdr:to>
      <xdr:col>5</xdr:col>
      <xdr:colOff>276758</xdr:colOff>
      <xdr:row>10</xdr:row>
      <xdr:rowOff>460</xdr:rowOff>
    </xdr:to>
    <xdr:sp macro="" textlink="$C$65">
      <xdr:nvSpPr>
        <xdr:cNvPr id="5" name="TextBox 4">
          <a:extLst>
            <a:ext uri="{FF2B5EF4-FFF2-40B4-BE49-F238E27FC236}">
              <a16:creationId xmlns:a16="http://schemas.microsoft.com/office/drawing/2014/main" id="{C9FE2F4D-548A-41D7-8284-45786071AE8D}"/>
            </a:ext>
          </a:extLst>
        </xdr:cNvPr>
        <xdr:cNvSpPr txBox="1"/>
      </xdr:nvSpPr>
      <xdr:spPr>
        <a:xfrm>
          <a:off x="6175717" y="2447518"/>
          <a:ext cx="544174" cy="51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99F43E1D-FAAD-4472-A741-AEBFC743B5D3}" type="TxLink">
            <a:rPr lang="en-US" sz="2400" b="0" i="0" u="none" strike="noStrike">
              <a:solidFill>
                <a:srgbClr val="000000"/>
              </a:solidFill>
              <a:latin typeface="+mn-lt"/>
              <a:cs typeface="Arial"/>
            </a:rPr>
            <a:pPr algn="ctr"/>
            <a:t>58</a:t>
          </a:fld>
          <a:endParaRPr lang="en-ZA" sz="8800">
            <a:latin typeface="+mn-lt"/>
          </a:endParaRPr>
        </a:p>
      </xdr:txBody>
    </xdr:sp>
    <xdr:clientData/>
  </xdr:twoCellAnchor>
  <xdr:twoCellAnchor editAs="absolute">
    <xdr:from>
      <xdr:col>4</xdr:col>
      <xdr:colOff>73768</xdr:colOff>
      <xdr:row>13</xdr:row>
      <xdr:rowOff>28800</xdr:rowOff>
    </xdr:from>
    <xdr:to>
      <xdr:col>5</xdr:col>
      <xdr:colOff>1158568</xdr:colOff>
      <xdr:row>20</xdr:row>
      <xdr:rowOff>258466</xdr:rowOff>
    </xdr:to>
    <xdr:graphicFrame macro="">
      <xdr:nvGraphicFramePr>
        <xdr:cNvPr id="8" name="Chart 4">
          <a:extLst>
            <a:ext uri="{FF2B5EF4-FFF2-40B4-BE49-F238E27FC236}">
              <a16:creationId xmlns:a16="http://schemas.microsoft.com/office/drawing/2014/main" id="{47AC956D-C9F9-4B50-8D65-6470D054CB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4</xdr:col>
      <xdr:colOff>975660</xdr:colOff>
      <xdr:row>16</xdr:row>
      <xdr:rowOff>84740</xdr:rowOff>
    </xdr:from>
    <xdr:to>
      <xdr:col>5</xdr:col>
      <xdr:colOff>315311</xdr:colOff>
      <xdr:row>18</xdr:row>
      <xdr:rowOff>23627</xdr:rowOff>
    </xdr:to>
    <xdr:sp macro="" textlink="$C$67">
      <xdr:nvSpPr>
        <xdr:cNvPr id="9" name="TextBox 8">
          <a:extLst>
            <a:ext uri="{FF2B5EF4-FFF2-40B4-BE49-F238E27FC236}">
              <a16:creationId xmlns:a16="http://schemas.microsoft.com/office/drawing/2014/main" id="{227D977E-09EB-429B-9330-ED027A1B776F}"/>
            </a:ext>
          </a:extLst>
        </xdr:cNvPr>
        <xdr:cNvSpPr txBox="1"/>
      </xdr:nvSpPr>
      <xdr:spPr>
        <a:xfrm>
          <a:off x="6199593" y="4826073"/>
          <a:ext cx="558851" cy="531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48EDDB7C-F561-4BCB-8002-9FC4E1C6F767}" type="TxLink">
            <a:rPr lang="en-US" sz="2400" b="0" i="0" u="none" strike="noStrike">
              <a:solidFill>
                <a:srgbClr val="000000"/>
              </a:solidFill>
              <a:latin typeface="+mn-lt"/>
              <a:cs typeface="Arial"/>
            </a:rPr>
            <a:pPr algn="ctr"/>
            <a:t>15</a:t>
          </a:fld>
          <a:endParaRPr lang="en-ZA" sz="41300">
            <a:latin typeface="+mn-lt"/>
          </a:endParaRPr>
        </a:p>
      </xdr:txBody>
    </xdr:sp>
    <xdr:clientData/>
  </xdr:twoCellAnchor>
  <xdr:twoCellAnchor editAs="absolute">
    <xdr:from>
      <xdr:col>1</xdr:col>
      <xdr:colOff>41562</xdr:colOff>
      <xdr:row>13</xdr:row>
      <xdr:rowOff>28801</xdr:rowOff>
    </xdr:from>
    <xdr:to>
      <xdr:col>3</xdr:col>
      <xdr:colOff>1150762</xdr:colOff>
      <xdr:row>20</xdr:row>
      <xdr:rowOff>247691</xdr:rowOff>
    </xdr:to>
    <xdr:graphicFrame macro="">
      <xdr:nvGraphicFramePr>
        <xdr:cNvPr id="10" name="Chart 2">
          <a:extLst>
            <a:ext uri="{FF2B5EF4-FFF2-40B4-BE49-F238E27FC236}">
              <a16:creationId xmlns:a16="http://schemas.microsoft.com/office/drawing/2014/main" id="{8B96B2DF-6A4B-4F6C-A7E2-B9FAC53BE1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6</xdr:col>
      <xdr:colOff>34637</xdr:colOff>
      <xdr:row>13</xdr:row>
      <xdr:rowOff>36823</xdr:rowOff>
    </xdr:from>
    <xdr:to>
      <xdr:col>6</xdr:col>
      <xdr:colOff>2338637</xdr:colOff>
      <xdr:row>20</xdr:row>
      <xdr:rowOff>266489</xdr:rowOff>
    </xdr:to>
    <xdr:graphicFrame macro="">
      <xdr:nvGraphicFramePr>
        <xdr:cNvPr id="12" name="Chart 5">
          <a:extLst>
            <a:ext uri="{FF2B5EF4-FFF2-40B4-BE49-F238E27FC236}">
              <a16:creationId xmlns:a16="http://schemas.microsoft.com/office/drawing/2014/main" id="{49412F1C-2C42-44FA-9D1F-381304CF63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6</xdr:col>
      <xdr:colOff>922130</xdr:colOff>
      <xdr:row>16</xdr:row>
      <xdr:rowOff>111460</xdr:rowOff>
    </xdr:from>
    <xdr:to>
      <xdr:col>6</xdr:col>
      <xdr:colOff>1479887</xdr:colOff>
      <xdr:row>18</xdr:row>
      <xdr:rowOff>50345</xdr:rowOff>
    </xdr:to>
    <xdr:sp macro="" textlink="$C$69">
      <xdr:nvSpPr>
        <xdr:cNvPr id="13" name="TextBox 12">
          <a:extLst>
            <a:ext uri="{FF2B5EF4-FFF2-40B4-BE49-F238E27FC236}">
              <a16:creationId xmlns:a16="http://schemas.microsoft.com/office/drawing/2014/main" id="{A573D4D5-FC61-4381-BF62-864C8DD085F7}"/>
            </a:ext>
          </a:extLst>
        </xdr:cNvPr>
        <xdr:cNvSpPr txBox="1"/>
      </xdr:nvSpPr>
      <xdr:spPr>
        <a:xfrm>
          <a:off x="8576766" y="4877424"/>
          <a:ext cx="557757" cy="534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CED0BB45-FF36-4D5E-8D01-450322157D79}" type="TxLink">
            <a:rPr lang="en-US" sz="2400" b="0" i="0" u="none" strike="noStrike">
              <a:solidFill>
                <a:srgbClr val="000000"/>
              </a:solidFill>
              <a:latin typeface="Century Gothic"/>
              <a:cs typeface="Arial"/>
            </a:rPr>
            <a:pPr algn="ctr"/>
            <a:t>9</a:t>
          </a:fld>
          <a:endParaRPr lang="en-ZA" sz="71400">
            <a:latin typeface="+mn-lt"/>
          </a:endParaRPr>
        </a:p>
      </xdr:txBody>
    </xdr:sp>
    <xdr:clientData/>
  </xdr:twoCellAnchor>
  <xdr:twoCellAnchor editAs="absolute">
    <xdr:from>
      <xdr:col>7</xdr:col>
      <xdr:colOff>30991</xdr:colOff>
      <xdr:row>13</xdr:row>
      <xdr:rowOff>36824</xdr:rowOff>
    </xdr:from>
    <xdr:to>
      <xdr:col>10</xdr:col>
      <xdr:colOff>794057</xdr:colOff>
      <xdr:row>20</xdr:row>
      <xdr:rowOff>266490</xdr:rowOff>
    </xdr:to>
    <xdr:graphicFrame macro="">
      <xdr:nvGraphicFramePr>
        <xdr:cNvPr id="14" name="Chart 6">
          <a:extLst>
            <a:ext uri="{FF2B5EF4-FFF2-40B4-BE49-F238E27FC236}">
              <a16:creationId xmlns:a16="http://schemas.microsoft.com/office/drawing/2014/main" id="{50FB46F1-8862-4EA3-A863-981C86A00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8</xdr:col>
      <xdr:colOff>676761</xdr:colOff>
      <xdr:row>16</xdr:row>
      <xdr:rowOff>98101</xdr:rowOff>
    </xdr:from>
    <xdr:to>
      <xdr:col>9</xdr:col>
      <xdr:colOff>225688</xdr:colOff>
      <xdr:row>18</xdr:row>
      <xdr:rowOff>36986</xdr:rowOff>
    </xdr:to>
    <xdr:sp macro="" textlink="$C$71">
      <xdr:nvSpPr>
        <xdr:cNvPr id="15" name="TextBox 14">
          <a:extLst>
            <a:ext uri="{FF2B5EF4-FFF2-40B4-BE49-F238E27FC236}">
              <a16:creationId xmlns:a16="http://schemas.microsoft.com/office/drawing/2014/main" id="{23C65CA6-D6CF-4598-A883-AE36D8E67964}"/>
            </a:ext>
          </a:extLst>
        </xdr:cNvPr>
        <xdr:cNvSpPr txBox="1"/>
      </xdr:nvSpPr>
      <xdr:spPr>
        <a:xfrm>
          <a:off x="10989161" y="4839434"/>
          <a:ext cx="564927" cy="531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27D75242-5F20-43D4-8F3A-4060A1A10BFE}" type="TxLink">
            <a:rPr lang="en-US" sz="2400" b="0" i="0" u="none" strike="noStrike">
              <a:solidFill>
                <a:srgbClr val="000000"/>
              </a:solidFill>
              <a:latin typeface="Century Gothic"/>
              <a:cs typeface="Arial"/>
            </a:rPr>
            <a:pPr algn="ctr"/>
            <a:t>20</a:t>
          </a:fld>
          <a:endParaRPr lang="en-ZA" sz="71400">
            <a:latin typeface="+mn-lt"/>
          </a:endParaRPr>
        </a:p>
      </xdr:txBody>
    </xdr:sp>
    <xdr:clientData/>
  </xdr:twoCellAnchor>
  <xdr:twoCellAnchor editAs="absolute">
    <xdr:from>
      <xdr:col>5</xdr:col>
      <xdr:colOff>50680</xdr:colOff>
      <xdr:row>24</xdr:row>
      <xdr:rowOff>72637</xdr:rowOff>
    </xdr:from>
    <xdr:to>
      <xdr:col>10</xdr:col>
      <xdr:colOff>770465</xdr:colOff>
      <xdr:row>29</xdr:row>
      <xdr:rowOff>144827</xdr:rowOff>
    </xdr:to>
    <xdr:graphicFrame macro="">
      <xdr:nvGraphicFramePr>
        <xdr:cNvPr id="18" name="Chart 7">
          <a:extLst>
            <a:ext uri="{FF2B5EF4-FFF2-40B4-BE49-F238E27FC236}">
              <a16:creationId xmlns:a16="http://schemas.microsoft.com/office/drawing/2014/main" id="{1E0F545D-CF7E-4B82-A24E-384D13A3F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44156</xdr:colOff>
      <xdr:row>30</xdr:row>
      <xdr:rowOff>41442</xdr:rowOff>
    </xdr:from>
    <xdr:to>
      <xdr:col>3</xdr:col>
      <xdr:colOff>1117356</xdr:colOff>
      <xdr:row>37</xdr:row>
      <xdr:rowOff>199109</xdr:rowOff>
    </xdr:to>
    <xdr:graphicFrame macro="">
      <xdr:nvGraphicFramePr>
        <xdr:cNvPr id="19" name="Chart 8">
          <a:extLst>
            <a:ext uri="{FF2B5EF4-FFF2-40B4-BE49-F238E27FC236}">
              <a16:creationId xmlns:a16="http://schemas.microsoft.com/office/drawing/2014/main" id="{C0DC0372-DF71-4DF2-A27F-79B27B45B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4</xdr:col>
      <xdr:colOff>46466</xdr:colOff>
      <xdr:row>38</xdr:row>
      <xdr:rowOff>41444</xdr:rowOff>
    </xdr:from>
    <xdr:to>
      <xdr:col>5</xdr:col>
      <xdr:colOff>1131266</xdr:colOff>
      <xdr:row>45</xdr:row>
      <xdr:rowOff>271111</xdr:rowOff>
    </xdr:to>
    <xdr:graphicFrame macro="">
      <xdr:nvGraphicFramePr>
        <xdr:cNvPr id="27" name="Chart 9">
          <a:extLst>
            <a:ext uri="{FF2B5EF4-FFF2-40B4-BE49-F238E27FC236}">
              <a16:creationId xmlns:a16="http://schemas.microsoft.com/office/drawing/2014/main" id="{997D1A60-5582-4E0E-8901-9CEAC7EA1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4</xdr:col>
      <xdr:colOff>711767</xdr:colOff>
      <xdr:row>41</xdr:row>
      <xdr:rowOff>152903</xdr:rowOff>
    </xdr:from>
    <xdr:to>
      <xdr:col>5</xdr:col>
      <xdr:colOff>464567</xdr:colOff>
      <xdr:row>43</xdr:row>
      <xdr:rowOff>100237</xdr:rowOff>
    </xdr:to>
    <xdr:sp macro="" textlink="$C$106">
      <xdr:nvSpPr>
        <xdr:cNvPr id="28" name="TextBox 27">
          <a:extLst>
            <a:ext uri="{FF2B5EF4-FFF2-40B4-BE49-F238E27FC236}">
              <a16:creationId xmlns:a16="http://schemas.microsoft.com/office/drawing/2014/main" id="{42E256FD-A432-4D02-B802-6C828EAA7A8D}"/>
            </a:ext>
          </a:extLst>
        </xdr:cNvPr>
        <xdr:cNvSpPr txBox="1"/>
      </xdr:nvSpPr>
      <xdr:spPr>
        <a:xfrm>
          <a:off x="5935700" y="12302570"/>
          <a:ext cx="972000"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B7325DD5-B865-4BCA-8E0B-F06483331672}" type="TxLink">
            <a:rPr lang="en-US" sz="1800" b="0" i="0" u="none" strike="noStrike">
              <a:solidFill>
                <a:srgbClr val="000000"/>
              </a:solidFill>
              <a:latin typeface="Century Gothic"/>
              <a:cs typeface="Arial"/>
            </a:rPr>
            <a:pPr algn="ctr"/>
            <a:t>1.4</a:t>
          </a:fld>
          <a:endParaRPr lang="en-ZA" sz="148100">
            <a:latin typeface="+mn-lt"/>
          </a:endParaRPr>
        </a:p>
      </xdr:txBody>
    </xdr:sp>
    <xdr:clientData/>
  </xdr:twoCellAnchor>
  <xdr:twoCellAnchor editAs="absolute">
    <xdr:from>
      <xdr:col>6</xdr:col>
      <xdr:colOff>28597</xdr:colOff>
      <xdr:row>38</xdr:row>
      <xdr:rowOff>32974</xdr:rowOff>
    </xdr:from>
    <xdr:to>
      <xdr:col>6</xdr:col>
      <xdr:colOff>2332597</xdr:colOff>
      <xdr:row>45</xdr:row>
      <xdr:rowOff>262641</xdr:rowOff>
    </xdr:to>
    <xdr:graphicFrame macro="">
      <xdr:nvGraphicFramePr>
        <xdr:cNvPr id="29" name="Chart 10">
          <a:extLst>
            <a:ext uri="{FF2B5EF4-FFF2-40B4-BE49-F238E27FC236}">
              <a16:creationId xmlns:a16="http://schemas.microsoft.com/office/drawing/2014/main" id="{18D80094-D9BF-46AC-8653-1601EEB747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6</xdr:col>
      <xdr:colOff>696280</xdr:colOff>
      <xdr:row>41</xdr:row>
      <xdr:rowOff>128391</xdr:rowOff>
    </xdr:from>
    <xdr:to>
      <xdr:col>6</xdr:col>
      <xdr:colOff>1668280</xdr:colOff>
      <xdr:row>43</xdr:row>
      <xdr:rowOff>75725</xdr:rowOff>
    </xdr:to>
    <xdr:sp macro="" textlink="$C$108">
      <xdr:nvSpPr>
        <xdr:cNvPr id="30" name="TextBox 29">
          <a:extLst>
            <a:ext uri="{FF2B5EF4-FFF2-40B4-BE49-F238E27FC236}">
              <a16:creationId xmlns:a16="http://schemas.microsoft.com/office/drawing/2014/main" id="{1D1F1FC4-0A43-4D08-9602-D689EF42AB8D}"/>
            </a:ext>
          </a:extLst>
        </xdr:cNvPr>
        <xdr:cNvSpPr txBox="1"/>
      </xdr:nvSpPr>
      <xdr:spPr>
        <a:xfrm>
          <a:off x="8358613" y="12278058"/>
          <a:ext cx="972000"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364A354F-4F80-4670-926D-C1BFE8C595D8}" type="TxLink">
            <a:rPr lang="en-US" sz="1800" b="0" i="0" u="none" strike="noStrike">
              <a:solidFill>
                <a:srgbClr val="000000"/>
              </a:solidFill>
              <a:latin typeface="Century Gothic"/>
              <a:cs typeface="Arial"/>
            </a:rPr>
            <a:pPr algn="ctr"/>
            <a:t>0.4</a:t>
          </a:fld>
          <a:endParaRPr lang="en-ZA" sz="148100">
            <a:latin typeface="+mn-lt"/>
          </a:endParaRPr>
        </a:p>
      </xdr:txBody>
    </xdr:sp>
    <xdr:clientData/>
  </xdr:twoCellAnchor>
  <xdr:twoCellAnchor editAs="absolute">
    <xdr:from>
      <xdr:col>7</xdr:col>
      <xdr:colOff>177275</xdr:colOff>
      <xdr:row>38</xdr:row>
      <xdr:rowOff>32974</xdr:rowOff>
    </xdr:from>
    <xdr:to>
      <xdr:col>10</xdr:col>
      <xdr:colOff>940341</xdr:colOff>
      <xdr:row>45</xdr:row>
      <xdr:rowOff>262641</xdr:rowOff>
    </xdr:to>
    <xdr:graphicFrame macro="">
      <xdr:nvGraphicFramePr>
        <xdr:cNvPr id="31" name="Chart 11">
          <a:extLst>
            <a:ext uri="{FF2B5EF4-FFF2-40B4-BE49-F238E27FC236}">
              <a16:creationId xmlns:a16="http://schemas.microsoft.com/office/drawing/2014/main" id="{4A674204-7AAA-4F6A-81A3-DEA5ADB81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8</xdr:col>
      <xdr:colOff>578401</xdr:colOff>
      <xdr:row>41</xdr:row>
      <xdr:rowOff>120370</xdr:rowOff>
    </xdr:from>
    <xdr:to>
      <xdr:col>10</xdr:col>
      <xdr:colOff>271934</xdr:colOff>
      <xdr:row>43</xdr:row>
      <xdr:rowOff>67704</xdr:rowOff>
    </xdr:to>
    <xdr:sp macro="" textlink="$C$110">
      <xdr:nvSpPr>
        <xdr:cNvPr id="32" name="TextBox 31">
          <a:extLst>
            <a:ext uri="{FF2B5EF4-FFF2-40B4-BE49-F238E27FC236}">
              <a16:creationId xmlns:a16="http://schemas.microsoft.com/office/drawing/2014/main" id="{EFF0E4C5-6C8D-4773-9CC0-6678F6769C8A}"/>
            </a:ext>
          </a:extLst>
        </xdr:cNvPr>
        <xdr:cNvSpPr txBox="1"/>
      </xdr:nvSpPr>
      <xdr:spPr>
        <a:xfrm>
          <a:off x="10890801" y="12270037"/>
          <a:ext cx="972000"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052695DD-366F-4407-AE01-74376626413F}" type="TxLink">
            <a:rPr lang="en-US" sz="1600" b="0" i="0" u="none" strike="noStrike">
              <a:solidFill>
                <a:srgbClr val="000000"/>
              </a:solidFill>
              <a:latin typeface="Century Gothic"/>
              <a:cs typeface="Arial"/>
            </a:rPr>
            <a:pPr algn="ctr"/>
            <a:t>16</a:t>
          </a:fld>
          <a:endParaRPr lang="en-ZA" sz="123400">
            <a:latin typeface="+mn-lt"/>
          </a:endParaRPr>
        </a:p>
      </xdr:txBody>
    </xdr:sp>
    <xdr:clientData/>
  </xdr:twoCellAnchor>
  <xdr:oneCellAnchor>
    <xdr:from>
      <xdr:col>2</xdr:col>
      <xdr:colOff>1019362</xdr:colOff>
      <xdr:row>11</xdr:row>
      <xdr:rowOff>193608</xdr:rowOff>
    </xdr:from>
    <xdr:ext cx="5430252" cy="1500622"/>
    <xdr:sp macro="" textlink="">
      <xdr:nvSpPr>
        <xdr:cNvPr id="33" name="Rectangle 17">
          <a:extLst>
            <a:ext uri="{FF2B5EF4-FFF2-40B4-BE49-F238E27FC236}">
              <a16:creationId xmlns:a16="http://schemas.microsoft.com/office/drawing/2014/main" id="{72B3A820-FDC7-4E62-87BA-3AEEB55D7500}"/>
            </a:ext>
          </a:extLst>
        </xdr:cNvPr>
        <xdr:cNvSpPr>
          <a:spLocks noChangeArrowheads="1"/>
        </xdr:cNvSpPr>
      </xdr:nvSpPr>
      <xdr:spPr bwMode="auto">
        <a:xfrm>
          <a:off x="3804895" y="3453275"/>
          <a:ext cx="543025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financial dashboard on this sheet is updated automatically based on the income statement, cash flow statement and balance sheet amounts on the other sheets. The flexible design of this unique financial dashboard also makes it relatively easy to replace calculations and charts which may not be applicable to your business.</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1138989</xdr:colOff>
      <xdr:row>11</xdr:row>
      <xdr:rowOff>48271</xdr:rowOff>
    </xdr:from>
    <xdr:ext cx="7700211" cy="1692982"/>
    <xdr:sp macro="" textlink="">
      <xdr:nvSpPr>
        <xdr:cNvPr id="4" name="Rectangle 17">
          <a:extLst>
            <a:ext uri="{FF2B5EF4-FFF2-40B4-BE49-F238E27FC236}">
              <a16:creationId xmlns:a16="http://schemas.microsoft.com/office/drawing/2014/main" id="{FA719613-EA24-4970-A4CD-391E323F0154}"/>
            </a:ext>
          </a:extLst>
        </xdr:cNvPr>
        <xdr:cNvSpPr>
          <a:spLocks noChangeArrowheads="1"/>
        </xdr:cNvSpPr>
      </xdr:nvSpPr>
      <xdr:spPr bwMode="auto">
        <a:xfrm>
          <a:off x="2005263" y="2286145"/>
          <a:ext cx="770021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formulas in column D on this worksheet enable users to check whether the account numbers which have been pasted into column A (from another Excel workbook or export file) are consistent with the account numbers on the TB sheet. An error message will be displayed in column D if the account number sequence which has been pasted into column A on this sheet is not consistent with the account number sequence on the TB sheet. You can then amend the account numbers until no error messages are reflected before pasting the trial balance amounts into the appropriate annual period on the TB sheet.</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3" name="Group 2">
          <a:extLst>
            <a:ext uri="{FF2B5EF4-FFF2-40B4-BE49-F238E27FC236}">
              <a16:creationId xmlns:a16="http://schemas.microsoft.com/office/drawing/2014/main" id="{09E8692A-4FDF-4C8E-992D-6B63F64A4766}"/>
            </a:ext>
          </a:extLst>
        </xdr:cNvPr>
        <xdr:cNvGrpSpPr/>
      </xdr:nvGrpSpPr>
      <xdr:grpSpPr>
        <a:xfrm>
          <a:off x="22860" y="22860"/>
          <a:ext cx="9394240" cy="3591600"/>
          <a:chOff x="17134" y="17145"/>
          <a:chExt cx="9252000" cy="3671610"/>
        </a:xfrm>
      </xdr:grpSpPr>
      <xdr:sp macro="" textlink="" fLocksText="0">
        <xdr:nvSpPr>
          <xdr:cNvPr id="4" name="Rectangle 1">
            <a:extLst>
              <a:ext uri="{FF2B5EF4-FFF2-40B4-BE49-F238E27FC236}">
                <a16:creationId xmlns:a16="http://schemas.microsoft.com/office/drawing/2014/main" id="{D0F24287-CDE9-47F4-A604-416FA8B5C5DF}"/>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FINANCIAL ANALYSIS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compare financial results for 3 annual periods. The user is required to add the appropriate annual trial balances to the template and to link each account on the trial balance to a pre-defined financial statement reporting class. The template produces automated financial reports consisting of an income statement, cash flow statement and balance sheet based on the linked trial balances and compares all amounts on the financial reports between annual periods in terms of the difference in value and percentage.</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41E5BCC-8748-4931-84DC-5D44B3CB157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4C902BE3-D551-4391-A1BF-3CB65F1AB5FB}"/>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975B3D2A-AD26-4136-BFD4-064402A0118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342900</xdr:colOff>
      <xdr:row>4</xdr:row>
      <xdr:rowOff>28305</xdr:rowOff>
    </xdr:from>
    <xdr:ext cx="2758440" cy="1114490"/>
    <xdr:sp macro="" textlink="">
      <xdr:nvSpPr>
        <xdr:cNvPr id="10" name="Rectangle 17">
          <a:extLst>
            <a:ext uri="{FF2B5EF4-FFF2-40B4-BE49-F238E27FC236}">
              <a16:creationId xmlns:a16="http://schemas.microsoft.com/office/drawing/2014/main" id="{FB02ECD4-D4AE-4421-973B-6E44AD3E7FDA}"/>
            </a:ext>
          </a:extLst>
        </xdr:cNvPr>
        <xdr:cNvSpPr>
          <a:spLocks noChangeArrowheads="1"/>
        </xdr:cNvSpPr>
      </xdr:nvSpPr>
      <xdr:spPr bwMode="auto">
        <a:xfrm>
          <a:off x="7871460" y="775065"/>
          <a:ext cx="275844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3</xdr:col>
      <xdr:colOff>188495</xdr:colOff>
      <xdr:row>5</xdr:row>
      <xdr:rowOff>77791</xdr:rowOff>
    </xdr:from>
    <xdr:ext cx="5049252" cy="1308261"/>
    <xdr:sp macro="" textlink="">
      <xdr:nvSpPr>
        <xdr:cNvPr id="2" name="Rectangle 17">
          <a:extLst>
            <a:ext uri="{FF2B5EF4-FFF2-40B4-BE49-F238E27FC236}">
              <a16:creationId xmlns:a16="http://schemas.microsoft.com/office/drawing/2014/main" id="{00000000-0008-0000-0400-000002000000}"/>
            </a:ext>
          </a:extLst>
        </xdr:cNvPr>
        <xdr:cNvSpPr>
          <a:spLocks noChangeArrowheads="1"/>
        </xdr:cNvSpPr>
      </xdr:nvSpPr>
      <xdr:spPr bwMode="auto">
        <a:xfrm>
          <a:off x="3404937" y="1040317"/>
          <a:ext cx="5049252"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and specify the financial year end month &amp; reporting year. The reporting year determines which annual periods will be included on the income statement, cash flow statement and balance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3</xdr:col>
      <xdr:colOff>96253</xdr:colOff>
      <xdr:row>9</xdr:row>
      <xdr:rowOff>72261</xdr:rowOff>
    </xdr:from>
    <xdr:ext cx="6031831" cy="1500622"/>
    <xdr:sp macro="" textlink="">
      <xdr:nvSpPr>
        <xdr:cNvPr id="3" name="Rectangle 17">
          <a:extLst>
            <a:ext uri="{FF2B5EF4-FFF2-40B4-BE49-F238E27FC236}">
              <a16:creationId xmlns:a16="http://schemas.microsoft.com/office/drawing/2014/main" id="{2BCEFE63-7D73-4D3D-A961-C69B52907BF4}"/>
            </a:ext>
          </a:extLst>
        </xdr:cNvPr>
        <xdr:cNvSpPr>
          <a:spLocks noChangeArrowheads="1"/>
        </xdr:cNvSpPr>
      </xdr:nvSpPr>
      <xdr:spPr bwMode="auto">
        <a:xfrm>
          <a:off x="4692316" y="1909082"/>
          <a:ext cx="603183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all the pre-defined financial statement reporting classes used to link the accounts on the trial balance to the calculations on the financial reports. The class descriptions on this sheet are displayed on the financial statements and the sheet also includes error checking in the Status column which highlights errors in the linking of the reporting classes.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609599</xdr:colOff>
      <xdr:row>10</xdr:row>
      <xdr:rowOff>48271</xdr:rowOff>
    </xdr:from>
    <xdr:ext cx="5253790" cy="1692982"/>
    <xdr:sp macro="" textlink="">
      <xdr:nvSpPr>
        <xdr:cNvPr id="4" name="Rectangle 17">
          <a:extLst>
            <a:ext uri="{FF2B5EF4-FFF2-40B4-BE49-F238E27FC236}">
              <a16:creationId xmlns:a16="http://schemas.microsoft.com/office/drawing/2014/main" id="{B8B81E9E-7923-4ACB-98D5-1F55E6684C2B}"/>
            </a:ext>
          </a:extLst>
        </xdr:cNvPr>
        <xdr:cNvSpPr>
          <a:spLocks noChangeArrowheads="1"/>
        </xdr:cNvSpPr>
      </xdr:nvSpPr>
      <xdr:spPr bwMode="auto">
        <a:xfrm>
          <a:off x="2101515" y="2085618"/>
          <a:ext cx="5253790"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each annual period should be included on this sheet and each account in the trial balance should be linked to the appropriate financial statement reporting class by entering or copying the appropriate class code into column B. The amounts included on the financial reports are automatically updated based on the classes specified on this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80211</xdr:colOff>
      <xdr:row>8</xdr:row>
      <xdr:rowOff>56292</xdr:rowOff>
    </xdr:from>
    <xdr:ext cx="5638800" cy="1692982"/>
    <xdr:sp macro="" textlink="">
      <xdr:nvSpPr>
        <xdr:cNvPr id="4" name="Rectangle 17">
          <a:extLst>
            <a:ext uri="{FF2B5EF4-FFF2-40B4-BE49-F238E27FC236}">
              <a16:creationId xmlns:a16="http://schemas.microsoft.com/office/drawing/2014/main" id="{B5B5E280-C601-43B8-BAB1-D1E2B9B1604B}"/>
            </a:ext>
          </a:extLst>
        </xdr:cNvPr>
        <xdr:cNvSpPr>
          <a:spLocks noChangeArrowheads="1"/>
        </xdr:cNvSpPr>
      </xdr:nvSpPr>
      <xdr:spPr bwMode="auto">
        <a:xfrm>
          <a:off x="3954379" y="1692587"/>
          <a:ext cx="5638800"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income statement on this sheet is automatically calculated based on the reporting periods specified on the Setup sheet and the account balances on the TB sheet. No user input is required on this sheet but you can customize the line items included on the income statement by adding the appropriate reporting classes to the TB sheet, entering the appropriate classes in column A and copying the formulas from one of the existing rows.</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1</xdr:col>
      <xdr:colOff>2590800</xdr:colOff>
      <xdr:row>11</xdr:row>
      <xdr:rowOff>40250</xdr:rowOff>
    </xdr:from>
    <xdr:ext cx="5719010" cy="1692982"/>
    <xdr:sp macro="" textlink="">
      <xdr:nvSpPr>
        <xdr:cNvPr id="4" name="Rectangle 17">
          <a:extLst>
            <a:ext uri="{FF2B5EF4-FFF2-40B4-BE49-F238E27FC236}">
              <a16:creationId xmlns:a16="http://schemas.microsoft.com/office/drawing/2014/main" id="{54222F67-2948-405B-953B-D222F5E519FB}"/>
            </a:ext>
          </a:extLst>
        </xdr:cNvPr>
        <xdr:cNvSpPr>
          <a:spLocks noChangeArrowheads="1"/>
        </xdr:cNvSpPr>
      </xdr:nvSpPr>
      <xdr:spPr bwMode="auto">
        <a:xfrm>
          <a:off x="3328737" y="2278124"/>
          <a:ext cx="5719010"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cash flow statement on this sheet is automatically calculated based on the reporting periods specified on the Setup sheet and the account balances on the TB sheet. No user input is required on this sheet but you can customize the line items included on the cash flow statement by adding the appropriate reporting classes to the TB sheet, entering the appropriate classes in column A and copying the formulas from one of the existing rows.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1</xdr:col>
      <xdr:colOff>1884950</xdr:colOff>
      <xdr:row>12</xdr:row>
      <xdr:rowOff>192649</xdr:rowOff>
    </xdr:from>
    <xdr:ext cx="5638797" cy="1692982"/>
    <xdr:sp macro="" textlink="">
      <xdr:nvSpPr>
        <xdr:cNvPr id="4" name="Rectangle 17">
          <a:extLst>
            <a:ext uri="{FF2B5EF4-FFF2-40B4-BE49-F238E27FC236}">
              <a16:creationId xmlns:a16="http://schemas.microsoft.com/office/drawing/2014/main" id="{C9E5FE06-A63E-4864-8732-E09B94478087}"/>
            </a:ext>
          </a:extLst>
        </xdr:cNvPr>
        <xdr:cNvSpPr>
          <a:spLocks noChangeArrowheads="1"/>
        </xdr:cNvSpPr>
      </xdr:nvSpPr>
      <xdr:spPr bwMode="auto">
        <a:xfrm>
          <a:off x="2622887" y="2631049"/>
          <a:ext cx="5638797"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balance sheet on this sheet is automatically calculated based on the reporting periods specified on the Setup sheet and the account balances on the TB sheet. No user input is required on this sheet but you can customise the line items that are included on the balance sheet by adding the appropriate reporting classes to the TB sheet, entering the appropriate classes in column A and copying the formulas from one of the existing rows.</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0" customWidth="1"/>
    <col min="15" max="16384" width="8.90625" style="10"/>
  </cols>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10E95-CEE2-4ED1-84BC-BCF730D697B2}">
  <sheetPr codeName="Sheet10">
    <pageSetUpPr fitToPage="1"/>
  </sheetPr>
  <dimension ref="A1:M120"/>
  <sheetViews>
    <sheetView showGridLines="0" zoomScale="90" zoomScaleNormal="90" workbookViewId="0">
      <selection activeCell="B2" sqref="B2:B5"/>
    </sheetView>
  </sheetViews>
  <sheetFormatPr defaultColWidth="9.08984375" defaultRowHeight="23.4" customHeight="1" x14ac:dyDescent="0.3"/>
  <cols>
    <col min="1" max="1" width="5.81640625" style="142" customWidth="1"/>
    <col min="2" max="2" width="34.81640625" style="142" customWidth="1"/>
    <col min="3" max="6" width="17.81640625" style="142" customWidth="1"/>
    <col min="7" max="7" width="34.81640625" style="142" customWidth="1"/>
    <col min="8" max="8" width="3.81640625" style="155" customWidth="1"/>
    <col min="9" max="9" width="14.81640625" style="156" customWidth="1"/>
    <col min="10" max="10" width="3.81640625" style="155" customWidth="1"/>
    <col min="11" max="11" width="14.81640625" style="156" customWidth="1"/>
    <col min="12" max="12" width="5.81640625" style="142" customWidth="1"/>
    <col min="13" max="15" width="13.6328125" style="142" customWidth="1"/>
    <col min="16" max="16" width="10.6328125" style="142" customWidth="1"/>
    <col min="17" max="16384" width="9.08984375" style="142"/>
  </cols>
  <sheetData>
    <row r="1" spans="1:12" ht="23.4" customHeight="1" thickBot="1" x14ac:dyDescent="0.35">
      <c r="A1" s="139"/>
      <c r="B1" s="139"/>
      <c r="C1" s="139"/>
      <c r="D1" s="139"/>
      <c r="E1" s="139"/>
      <c r="F1" s="139"/>
      <c r="G1" s="139"/>
      <c r="H1" s="140"/>
      <c r="I1" s="141"/>
      <c r="J1" s="140"/>
      <c r="K1" s="141"/>
      <c r="L1" s="139"/>
    </row>
    <row r="2" spans="1:12" ht="23.4" customHeight="1" thickTop="1" x14ac:dyDescent="0.25">
      <c r="A2" s="139"/>
      <c r="B2" s="289" t="s">
        <v>514</v>
      </c>
      <c r="C2" s="283" t="str">
        <f>$A$55</f>
        <v>Example (Pty) Limited</v>
      </c>
      <c r="D2" s="284"/>
      <c r="E2" s="284"/>
      <c r="F2" s="285"/>
      <c r="G2" s="264" t="s">
        <v>515</v>
      </c>
      <c r="H2" s="265"/>
      <c r="I2" s="265"/>
      <c r="J2" s="265"/>
      <c r="K2" s="265"/>
      <c r="L2" s="139"/>
    </row>
    <row r="3" spans="1:12" ht="23.4" customHeight="1" thickBot="1" x14ac:dyDescent="0.3">
      <c r="A3" s="139"/>
      <c r="B3" s="290"/>
      <c r="C3" s="286"/>
      <c r="D3" s="287"/>
      <c r="E3" s="287"/>
      <c r="F3" s="288"/>
      <c r="G3" s="264"/>
      <c r="H3" s="265"/>
      <c r="I3" s="265"/>
      <c r="J3" s="265"/>
      <c r="K3" s="265"/>
      <c r="L3" s="139"/>
    </row>
    <row r="4" spans="1:12" ht="23.4" customHeight="1" thickTop="1" x14ac:dyDescent="0.3">
      <c r="A4" s="139"/>
      <c r="B4" s="290"/>
      <c r="C4" s="254" t="str">
        <f ca="1">$A$56</f>
        <v>AS AT 28 FEBRUARY 2023</v>
      </c>
      <c r="D4" s="292"/>
      <c r="E4" s="292"/>
      <c r="F4" s="255"/>
      <c r="G4" s="143"/>
      <c r="H4" s="144"/>
      <c r="I4" s="187">
        <f ca="1">C59</f>
        <v>2023</v>
      </c>
      <c r="J4" s="145"/>
      <c r="K4" s="187">
        <f ca="1">D59</f>
        <v>2022</v>
      </c>
      <c r="L4" s="139"/>
    </row>
    <row r="5" spans="1:12" ht="23.4" customHeight="1" thickBot="1" x14ac:dyDescent="0.35">
      <c r="A5" s="139"/>
      <c r="B5" s="291"/>
      <c r="C5" s="293"/>
      <c r="D5" s="294"/>
      <c r="E5" s="294"/>
      <c r="F5" s="295"/>
      <c r="G5" s="146" t="str">
        <f ca="1">DB!A73</f>
        <v>Turnover</v>
      </c>
      <c r="H5" s="147" t="str">
        <f t="shared" ref="H5:H12" ca="1" si="0">IF(I5&gt;0,$C$58,IF(I5&lt;0,$E$58,$D$58))</f>
        <v></v>
      </c>
      <c r="I5" s="148">
        <f ca="1">IF(D73=0,IF(C73-D73=0,0,-1),(C73-D73)/ABS(D73))</f>
        <v>0.10727043111086974</v>
      </c>
      <c r="J5" s="147" t="str">
        <f t="shared" ref="J5:J12" ca="1" si="1">IF(K5&gt;0,$C$58,IF(K5&lt;0,$E$58,$D$58))</f>
        <v></v>
      </c>
      <c r="K5" s="148">
        <f ca="1">IF(E73=0,IF(D73-E73=0,0,-1),(D73-E73)/ABS(E73))</f>
        <v>0.20000034604098355</v>
      </c>
      <c r="L5" s="139"/>
    </row>
    <row r="6" spans="1:12" ht="23.4" customHeight="1" thickTop="1" x14ac:dyDescent="0.3">
      <c r="A6" s="139"/>
      <c r="B6" s="267"/>
      <c r="C6" s="267"/>
      <c r="D6" s="281"/>
      <c r="E6" s="296"/>
      <c r="F6" s="297"/>
      <c r="G6" s="146" t="str">
        <f>DB!A74</f>
        <v>Gross profit</v>
      </c>
      <c r="H6" s="147" t="str">
        <f t="shared" ca="1" si="0"/>
        <v></v>
      </c>
      <c r="I6" s="148">
        <f t="shared" ref="I6:I12" ca="1" si="2">IF(D74=0,IF(C74-D74=0,0,-1),(C74-D74)/ABS(D74))</f>
        <v>0.1719435973238129</v>
      </c>
      <c r="J6" s="147" t="str">
        <f t="shared" ca="1" si="1"/>
        <v></v>
      </c>
      <c r="K6" s="148">
        <f t="shared" ref="K6:K12" ca="1" si="3">IF(E74=0,IF(D74-E74=0,0,-1),(D74-E74)/ABS(E74))</f>
        <v>0.31964746700375735</v>
      </c>
      <c r="L6" s="139"/>
    </row>
    <row r="7" spans="1:12" ht="23.4" customHeight="1" x14ac:dyDescent="0.3">
      <c r="A7" s="139"/>
      <c r="B7" s="269"/>
      <c r="C7" s="269"/>
      <c r="D7" s="282"/>
      <c r="E7" s="298"/>
      <c r="F7" s="299"/>
      <c r="G7" s="146" t="str">
        <f>DB!A75</f>
        <v>Operating expenses</v>
      </c>
      <c r="H7" s="147" t="str">
        <f t="shared" ca="1" si="0"/>
        <v></v>
      </c>
      <c r="I7" s="148">
        <f t="shared" ca="1" si="2"/>
        <v>0.28002368684847323</v>
      </c>
      <c r="J7" s="147" t="str">
        <f t="shared" ca="1" si="1"/>
        <v></v>
      </c>
      <c r="K7" s="148">
        <f t="shared" ca="1" si="3"/>
        <v>0.18267568531679609</v>
      </c>
      <c r="L7" s="139"/>
    </row>
    <row r="8" spans="1:12" ht="23.4" customHeight="1" x14ac:dyDescent="0.3">
      <c r="A8" s="139"/>
      <c r="B8" s="269"/>
      <c r="C8" s="269"/>
      <c r="D8" s="282"/>
      <c r="E8" s="298"/>
      <c r="F8" s="299"/>
      <c r="G8" s="146" t="str">
        <f ca="1">DB!A76</f>
        <v>Interest paid</v>
      </c>
      <c r="H8" s="147" t="str">
        <f t="shared" ca="1" si="0"/>
        <v></v>
      </c>
      <c r="I8" s="148">
        <f t="shared" ca="1" si="2"/>
        <v>-8.5385723838496103E-2</v>
      </c>
      <c r="J8" s="147" t="str">
        <f t="shared" ca="1" si="1"/>
        <v></v>
      </c>
      <c r="K8" s="148">
        <f t="shared" ca="1" si="3"/>
        <v>0.17490124044217725</v>
      </c>
      <c r="L8" s="139"/>
    </row>
    <row r="9" spans="1:12" ht="23.4" customHeight="1" x14ac:dyDescent="0.3">
      <c r="A9" s="139"/>
      <c r="B9" s="269"/>
      <c r="C9" s="269"/>
      <c r="D9" s="282"/>
      <c r="E9" s="298"/>
      <c r="F9" s="299"/>
      <c r="G9" s="146" t="str">
        <f ca="1">DB!A77</f>
        <v>Taxation paid</v>
      </c>
      <c r="H9" s="147" t="str">
        <f t="shared" ca="1" si="0"/>
        <v></v>
      </c>
      <c r="I9" s="148">
        <f t="shared" ca="1" si="2"/>
        <v>0.67606962968016282</v>
      </c>
      <c r="J9" s="147" t="str">
        <f t="shared" ca="1" si="1"/>
        <v></v>
      </c>
      <c r="K9" s="148">
        <f t="shared" ca="1" si="3"/>
        <v>0.11423938243504039</v>
      </c>
      <c r="L9" s="139"/>
    </row>
    <row r="10" spans="1:12" ht="23.4" customHeight="1" x14ac:dyDescent="0.3">
      <c r="A10" s="139"/>
      <c r="B10" s="269"/>
      <c r="C10" s="269"/>
      <c r="D10" s="282"/>
      <c r="E10" s="298"/>
      <c r="F10" s="299"/>
      <c r="G10" s="146" t="str">
        <f>DB!A78</f>
        <v>Profit / (Loss) for the period</v>
      </c>
      <c r="H10" s="147" t="str">
        <f t="shared" ca="1" si="0"/>
        <v></v>
      </c>
      <c r="I10" s="148">
        <f t="shared" ca="1" si="2"/>
        <v>-6.3908852169929947E-2</v>
      </c>
      <c r="J10" s="147" t="str">
        <f t="shared" ca="1" si="1"/>
        <v></v>
      </c>
      <c r="K10" s="148">
        <f t="shared" ca="1" si="3"/>
        <v>0.81414738930365005</v>
      </c>
      <c r="L10" s="139"/>
    </row>
    <row r="11" spans="1:12" ht="23.4" customHeight="1" x14ac:dyDescent="0.3">
      <c r="A11" s="139"/>
      <c r="B11" s="269"/>
      <c r="C11" s="269"/>
      <c r="D11" s="282"/>
      <c r="E11" s="298"/>
      <c r="F11" s="299"/>
      <c r="G11" s="146" t="str">
        <f>DB!A79</f>
        <v>Interest Cover</v>
      </c>
      <c r="H11" s="147" t="str">
        <f t="shared" ca="1" si="0"/>
        <v></v>
      </c>
      <c r="I11" s="148">
        <f t="shared" ca="1" si="2"/>
        <v>0.15536249769012508</v>
      </c>
      <c r="J11" s="147" t="str">
        <f t="shared" ca="1" si="1"/>
        <v></v>
      </c>
      <c r="K11" s="148">
        <f t="shared" ca="1" si="3"/>
        <v>0.31085133699775891</v>
      </c>
      <c r="L11" s="139"/>
    </row>
    <row r="12" spans="1:12" ht="23.4" customHeight="1" x14ac:dyDescent="0.3">
      <c r="A12" s="139"/>
      <c r="B12" s="269"/>
      <c r="C12" s="269"/>
      <c r="D12" s="282"/>
      <c r="E12" s="298"/>
      <c r="F12" s="299"/>
      <c r="G12" s="146" t="str">
        <f>DB!A80</f>
        <v>Return on Equity (ROE)</v>
      </c>
      <c r="H12" s="147" t="str">
        <f t="shared" ca="1" si="0"/>
        <v></v>
      </c>
      <c r="I12" s="148">
        <f t="shared" ca="1" si="2"/>
        <v>-0.22229911478123543</v>
      </c>
      <c r="J12" s="147" t="str">
        <f t="shared" ca="1" si="1"/>
        <v></v>
      </c>
      <c r="K12" s="148">
        <f t="shared" ca="1" si="3"/>
        <v>0.39426812378273174</v>
      </c>
      <c r="L12" s="139"/>
    </row>
    <row r="13" spans="1:12" ht="23.4" customHeight="1" thickBot="1" x14ac:dyDescent="0.35">
      <c r="A13" s="139"/>
      <c r="B13" s="269"/>
      <c r="C13" s="269"/>
      <c r="D13" s="282"/>
      <c r="E13" s="272"/>
      <c r="F13" s="271"/>
      <c r="G13" s="149"/>
      <c r="H13" s="150"/>
      <c r="I13" s="151"/>
      <c r="J13" s="150"/>
      <c r="K13" s="151"/>
      <c r="L13" s="139"/>
    </row>
    <row r="14" spans="1:12" ht="23.4" customHeight="1" thickTop="1" x14ac:dyDescent="0.25">
      <c r="A14" s="139"/>
      <c r="B14" s="206"/>
      <c r="C14" s="201"/>
      <c r="D14" s="202"/>
      <c r="E14" s="206"/>
      <c r="F14" s="202"/>
      <c r="G14" s="304"/>
      <c r="H14" s="305"/>
      <c r="I14" s="306"/>
      <c r="J14" s="306"/>
      <c r="K14" s="307"/>
      <c r="L14" s="139"/>
    </row>
    <row r="15" spans="1:12" ht="23.4" customHeight="1" x14ac:dyDescent="0.25">
      <c r="A15" s="139"/>
      <c r="B15" s="189"/>
      <c r="D15" s="188"/>
      <c r="E15" s="189"/>
      <c r="F15" s="188"/>
      <c r="G15" s="290"/>
      <c r="H15" s="308"/>
      <c r="I15" s="309"/>
      <c r="J15" s="309"/>
      <c r="K15" s="310"/>
      <c r="L15" s="139"/>
    </row>
    <row r="16" spans="1:12" ht="23.4" customHeight="1" x14ac:dyDescent="0.25">
      <c r="A16" s="139"/>
      <c r="B16" s="189"/>
      <c r="D16" s="188"/>
      <c r="E16" s="189"/>
      <c r="F16" s="188"/>
      <c r="G16" s="290"/>
      <c r="H16" s="308"/>
      <c r="I16" s="309"/>
      <c r="J16" s="309"/>
      <c r="K16" s="310"/>
      <c r="L16" s="139"/>
    </row>
    <row r="17" spans="1:12" ht="23.4" customHeight="1" x14ac:dyDescent="0.25">
      <c r="A17" s="139"/>
      <c r="B17" s="189"/>
      <c r="D17" s="188"/>
      <c r="E17" s="189"/>
      <c r="F17" s="188"/>
      <c r="G17" s="290"/>
      <c r="H17" s="308"/>
      <c r="I17" s="309"/>
      <c r="J17" s="309"/>
      <c r="K17" s="310"/>
      <c r="L17" s="139"/>
    </row>
    <row r="18" spans="1:12" ht="23.4" customHeight="1" x14ac:dyDescent="0.25">
      <c r="A18" s="139"/>
      <c r="B18" s="189"/>
      <c r="D18" s="188"/>
      <c r="E18" s="189"/>
      <c r="F18" s="188"/>
      <c r="G18" s="290"/>
      <c r="H18" s="308"/>
      <c r="I18" s="309"/>
      <c r="J18" s="309"/>
      <c r="K18" s="310"/>
      <c r="L18" s="139"/>
    </row>
    <row r="19" spans="1:12" ht="23.4" customHeight="1" x14ac:dyDescent="0.25">
      <c r="A19" s="139"/>
      <c r="B19" s="189"/>
      <c r="D19" s="188"/>
      <c r="E19" s="189"/>
      <c r="F19" s="188"/>
      <c r="G19" s="290"/>
      <c r="H19" s="308"/>
      <c r="I19" s="309"/>
      <c r="J19" s="309"/>
      <c r="K19" s="310"/>
      <c r="L19" s="139"/>
    </row>
    <row r="20" spans="1:12" ht="23.4" customHeight="1" x14ac:dyDescent="0.25">
      <c r="A20" s="139"/>
      <c r="B20" s="189"/>
      <c r="D20" s="188"/>
      <c r="E20" s="189"/>
      <c r="F20" s="188"/>
      <c r="G20" s="290"/>
      <c r="H20" s="308"/>
      <c r="I20" s="309"/>
      <c r="J20" s="309"/>
      <c r="K20" s="310"/>
      <c r="L20" s="139"/>
    </row>
    <row r="21" spans="1:12" ht="23.4" customHeight="1" thickBot="1" x14ac:dyDescent="0.3">
      <c r="A21" s="139"/>
      <c r="B21" s="198"/>
      <c r="C21" s="197"/>
      <c r="D21" s="196"/>
      <c r="E21" s="198"/>
      <c r="F21" s="196"/>
      <c r="G21" s="291"/>
      <c r="H21" s="311"/>
      <c r="I21" s="312"/>
      <c r="J21" s="312"/>
      <c r="K21" s="313"/>
      <c r="L21" s="139"/>
    </row>
    <row r="22" spans="1:12" ht="23.4" customHeight="1" thickTop="1" x14ac:dyDescent="0.25">
      <c r="A22" s="139"/>
      <c r="B22" s="262" t="s">
        <v>458</v>
      </c>
      <c r="C22" s="263"/>
      <c r="D22" s="263"/>
      <c r="E22" s="314"/>
      <c r="F22" s="262" t="s">
        <v>516</v>
      </c>
      <c r="G22" s="263"/>
      <c r="H22" s="263"/>
      <c r="I22" s="263"/>
      <c r="J22" s="263"/>
      <c r="K22" s="314"/>
      <c r="L22" s="139"/>
    </row>
    <row r="23" spans="1:12" ht="23.4" customHeight="1" x14ac:dyDescent="0.25">
      <c r="A23" s="139"/>
      <c r="B23" s="264"/>
      <c r="C23" s="265"/>
      <c r="D23" s="265"/>
      <c r="E23" s="315"/>
      <c r="F23" s="264"/>
      <c r="G23" s="265"/>
      <c r="H23" s="265"/>
      <c r="I23" s="265"/>
      <c r="J23" s="265"/>
      <c r="K23" s="315"/>
      <c r="L23" s="139"/>
    </row>
    <row r="24" spans="1:12" s="195" customFormat="1" ht="23.4" customHeight="1" x14ac:dyDescent="0.25">
      <c r="A24" s="193"/>
      <c r="B24" s="239"/>
      <c r="C24" s="240">
        <f ca="1">$I$4</f>
        <v>2023</v>
      </c>
      <c r="D24" s="240">
        <f ca="1">$K$4</f>
        <v>2022</v>
      </c>
      <c r="E24" s="194" t="s">
        <v>457</v>
      </c>
      <c r="F24" s="244" t="s">
        <v>461</v>
      </c>
      <c r="G24" s="316"/>
      <c r="H24" s="317"/>
      <c r="I24" s="318"/>
      <c r="J24" s="245"/>
      <c r="K24" s="246"/>
      <c r="L24" s="193"/>
    </row>
    <row r="25" spans="1:12" ht="23.4" customHeight="1" x14ac:dyDescent="0.3">
      <c r="A25" s="139"/>
      <c r="B25" s="241" t="str" cm="1">
        <f t="array" aca="1" ref="B25" ca="1">OFFSET(B$81,MATCH(ROW(1:1),$G$82:$G$86,0),0,1,1)</f>
        <v>Salaries &amp; wages - management</v>
      </c>
      <c r="C25" s="242" cm="1">
        <f t="array" aca="1" ref="C25" ca="1">OFFSET(C$81,MATCH(ROW(1:1),$G$82:$G$86,0),0,1,1)</f>
        <v>785720</v>
      </c>
      <c r="D25" s="242" cm="1">
        <f t="array" aca="1" ref="D25" ca="1">OFFSET(D$81,MATCH(ROW(1:1),$G$82:$G$86,0),0,1,1)</f>
        <v>434640</v>
      </c>
      <c r="E25" s="243" cm="1">
        <f t="array" aca="1" ref="E25" ca="1">OFFSET(E$81,MATCH(ROW(1:1),$G$82:$G$86,0),0,1,1)</f>
        <v>-351080</v>
      </c>
      <c r="F25" s="189"/>
      <c r="K25" s="238"/>
      <c r="L25" s="139"/>
    </row>
    <row r="26" spans="1:12" ht="23.4" customHeight="1" x14ac:dyDescent="0.3">
      <c r="A26" s="139"/>
      <c r="B26" s="241" t="str" cm="1">
        <f t="array" aca="1" ref="B26" ca="1">OFFSET(B$81,MATCH(ROW(2:2),$G$82:$G$86,0),0,1,1)</f>
        <v>Salaries &amp; wages - staff</v>
      </c>
      <c r="C26" s="242" cm="1">
        <f t="array" aca="1" ref="C26" ca="1">OFFSET(C$81,MATCH(ROW(2:2),$G$82:$G$86,0),0,1,1)</f>
        <v>548600</v>
      </c>
      <c r="D26" s="242" cm="1">
        <f t="array" aca="1" ref="D26" ca="1">OFFSET(D$81,MATCH(ROW(2:2),$G$82:$G$86,0),0,1,1)</f>
        <v>435500</v>
      </c>
      <c r="E26" s="243" cm="1">
        <f t="array" aca="1" ref="E26" ca="1">OFFSET(E$81,MATCH(ROW(2:2),$G$82:$G$86,0),0,1,1)</f>
        <v>-113100</v>
      </c>
      <c r="F26" s="189"/>
      <c r="K26" s="238"/>
      <c r="L26" s="139"/>
    </row>
    <row r="27" spans="1:12" ht="23.4" customHeight="1" x14ac:dyDescent="0.3">
      <c r="A27" s="139"/>
      <c r="B27" s="241" t="str" cm="1">
        <f t="array" aca="1" ref="B27" ca="1">OFFSET(B$81,MATCH(ROW(3:3),$G$82:$G$86,0),0,1,1)</f>
        <v>Depreciation</v>
      </c>
      <c r="C27" s="242" cm="1">
        <f t="array" aca="1" ref="C27" ca="1">OFFSET(C$81,MATCH(ROW(3:3),$G$82:$G$86,0),0,1,1)</f>
        <v>546530</v>
      </c>
      <c r="D27" s="242" cm="1">
        <f t="array" aca="1" ref="D27" ca="1">OFFSET(D$81,MATCH(ROW(3:3),$G$82:$G$86,0),0,1,1)</f>
        <v>450300</v>
      </c>
      <c r="E27" s="243" cm="1">
        <f t="array" aca="1" ref="E27" ca="1">OFFSET(E$81,MATCH(ROW(3:3),$G$82:$G$86,0),0,1,1)</f>
        <v>-96230</v>
      </c>
      <c r="F27" s="189"/>
      <c r="K27" s="238"/>
      <c r="L27" s="139"/>
    </row>
    <row r="28" spans="1:12" ht="23.4" customHeight="1" x14ac:dyDescent="0.3">
      <c r="A28" s="139"/>
      <c r="B28" s="241" t="str" cm="1">
        <f t="array" aca="1" ref="B28" ca="1">OFFSET(B$81,MATCH(ROW(4:4),$G$82:$G$86,0),0,1,1)</f>
        <v>Office rent</v>
      </c>
      <c r="C28" s="242" cm="1">
        <f t="array" aca="1" ref="C28" ca="1">OFFSET(C$81,MATCH(ROW(4:4),$G$82:$G$86,0),0,1,1)</f>
        <v>144000</v>
      </c>
      <c r="D28" s="242" cm="1">
        <f t="array" aca="1" ref="D28" ca="1">OFFSET(D$81,MATCH(ROW(4:4),$G$82:$G$86,0),0,1,1)</f>
        <v>120000</v>
      </c>
      <c r="E28" s="243" cm="1">
        <f t="array" aca="1" ref="E28" ca="1">OFFSET(E$81,MATCH(ROW(4:4),$G$82:$G$86,0),0,1,1)</f>
        <v>-24000</v>
      </c>
      <c r="F28" s="189"/>
      <c r="K28" s="238"/>
      <c r="L28" s="139"/>
    </row>
    <row r="29" spans="1:12" ht="23.4" customHeight="1" x14ac:dyDescent="0.3">
      <c r="A29" s="139"/>
      <c r="B29" s="241" t="str" cm="1">
        <f t="array" aca="1" ref="B29" ca="1">OFFSET(B$81,MATCH(ROW(5:5),$G$82:$G$86,0),0,1,1)</f>
        <v>Advertising &amp; marketing</v>
      </c>
      <c r="C29" s="242" cm="1">
        <f t="array" aca="1" ref="C29" ca="1">OFFSET(C$81,MATCH(ROW(5:5),$G$82:$G$86,0),0,1,1)</f>
        <v>143644</v>
      </c>
      <c r="D29" s="242" cm="1">
        <f t="array" aca="1" ref="D29" ca="1">OFFSET(D$81,MATCH(ROW(5:5),$G$82:$G$86,0),0,1,1)</f>
        <v>170000</v>
      </c>
      <c r="E29" s="243" cm="1">
        <f t="array" aca="1" ref="E29" ca="1">OFFSET(E$81,MATCH(ROW(5:5),$G$82:$G$86,0),0,1,1)</f>
        <v>26356</v>
      </c>
      <c r="F29" s="189"/>
      <c r="K29" s="238"/>
      <c r="L29" s="139"/>
    </row>
    <row r="30" spans="1:12" ht="23.4" customHeight="1" thickBot="1" x14ac:dyDescent="0.35">
      <c r="A30" s="139"/>
      <c r="B30" s="198"/>
      <c r="C30" s="197"/>
      <c r="D30" s="197"/>
      <c r="E30" s="196"/>
      <c r="F30" s="198"/>
      <c r="G30" s="197"/>
      <c r="H30" s="199"/>
      <c r="I30" s="200"/>
      <c r="J30" s="199"/>
      <c r="K30" s="237"/>
      <c r="L30" s="139"/>
    </row>
    <row r="31" spans="1:12" ht="23.4" customHeight="1" thickTop="1" x14ac:dyDescent="0.25">
      <c r="A31" s="139"/>
      <c r="B31" s="266"/>
      <c r="C31" s="267"/>
      <c r="D31" s="281"/>
      <c r="E31" s="254" t="str">
        <f ca="1">$I$4&amp;" Cash Balance"</f>
        <v>2023 Cash Balance</v>
      </c>
      <c r="F31" s="255"/>
      <c r="G31" s="254" t="s">
        <v>517</v>
      </c>
      <c r="H31" s="292"/>
      <c r="I31" s="292"/>
      <c r="J31" s="292"/>
      <c r="K31" s="255"/>
      <c r="L31" s="139"/>
    </row>
    <row r="32" spans="1:12" ht="23.4" customHeight="1" x14ac:dyDescent="0.25">
      <c r="A32" s="139"/>
      <c r="B32" s="268"/>
      <c r="C32" s="269"/>
      <c r="D32" s="282"/>
      <c r="E32" s="256"/>
      <c r="F32" s="257"/>
      <c r="G32" s="256"/>
      <c r="H32" s="303"/>
      <c r="I32" s="303"/>
      <c r="J32" s="303"/>
      <c r="K32" s="257"/>
      <c r="L32" s="139"/>
    </row>
    <row r="33" spans="1:12" ht="23.4" customHeight="1" thickBot="1" x14ac:dyDescent="0.35">
      <c r="A33" s="139"/>
      <c r="B33" s="268"/>
      <c r="C33" s="269"/>
      <c r="D33" s="282"/>
      <c r="E33" s="189"/>
      <c r="F33" s="188"/>
      <c r="G33" s="189"/>
      <c r="I33" s="240">
        <f ca="1">$I$4</f>
        <v>2023</v>
      </c>
      <c r="K33" s="194">
        <f ca="1">$K$4</f>
        <v>2022</v>
      </c>
      <c r="L33" s="139"/>
    </row>
    <row r="34" spans="1:12" ht="23.4" customHeight="1" thickTop="1" x14ac:dyDescent="0.3">
      <c r="A34" s="139"/>
      <c r="B34" s="268"/>
      <c r="C34" s="269"/>
      <c r="D34" s="282"/>
      <c r="E34" s="258">
        <f ca="1">$C$90</f>
        <v>326674</v>
      </c>
      <c r="F34" s="259"/>
      <c r="G34" s="247" t="s">
        <v>464</v>
      </c>
      <c r="I34" s="166">
        <f ca="1">C92</f>
        <v>1620482</v>
      </c>
      <c r="J34" s="168"/>
      <c r="K34" s="205">
        <f ca="1">D92</f>
        <v>1670075</v>
      </c>
      <c r="L34" s="139"/>
    </row>
    <row r="35" spans="1:12" ht="23.4" customHeight="1" thickBot="1" x14ac:dyDescent="0.35">
      <c r="A35" s="139"/>
      <c r="B35" s="268"/>
      <c r="C35" s="269"/>
      <c r="D35" s="282"/>
      <c r="E35" s="260"/>
      <c r="F35" s="261"/>
      <c r="G35" s="247" t="s">
        <v>465</v>
      </c>
      <c r="I35" s="166">
        <f t="shared" ref="I35:I36" ca="1" si="4">C93</f>
        <v>-825000</v>
      </c>
      <c r="J35" s="168"/>
      <c r="K35" s="205">
        <f t="shared" ref="K35:K36" ca="1" si="5">D93</f>
        <v>-1647250</v>
      </c>
      <c r="L35" s="139"/>
    </row>
    <row r="36" spans="1:12" ht="23.4" customHeight="1" thickTop="1" x14ac:dyDescent="0.3">
      <c r="A36" s="139"/>
      <c r="B36" s="268"/>
      <c r="C36" s="269"/>
      <c r="D36" s="282"/>
      <c r="E36" s="189"/>
      <c r="F36" s="188"/>
      <c r="G36" s="248" t="s">
        <v>466</v>
      </c>
      <c r="I36" s="166">
        <f t="shared" ca="1" si="4"/>
        <v>-862788</v>
      </c>
      <c r="J36" s="168"/>
      <c r="K36" s="205">
        <f t="shared" ca="1" si="5"/>
        <v>183531</v>
      </c>
      <c r="L36" s="139"/>
    </row>
    <row r="37" spans="1:12" ht="23.4" customHeight="1" x14ac:dyDescent="0.3">
      <c r="A37" s="139"/>
      <c r="B37" s="268"/>
      <c r="C37" s="269"/>
      <c r="D37" s="282"/>
      <c r="E37" s="189"/>
      <c r="F37" s="188"/>
      <c r="G37" s="247" t="s">
        <v>467</v>
      </c>
      <c r="I37" s="166">
        <f t="shared" ref="I37" ca="1" si="6">C95</f>
        <v>-67306</v>
      </c>
      <c r="J37" s="168"/>
      <c r="K37" s="205">
        <f t="shared" ref="K37" ca="1" si="7">D95</f>
        <v>206356</v>
      </c>
      <c r="L37" s="139"/>
    </row>
    <row r="38" spans="1:12" ht="23.4" customHeight="1" thickBot="1" x14ac:dyDescent="0.35">
      <c r="A38" s="139"/>
      <c r="B38" s="300"/>
      <c r="C38" s="301"/>
      <c r="D38" s="302"/>
      <c r="E38" s="189"/>
      <c r="F38" s="188"/>
      <c r="G38" s="189"/>
      <c r="I38" s="166"/>
      <c r="J38" s="168"/>
      <c r="K38" s="205"/>
      <c r="L38" s="139"/>
    </row>
    <row r="39" spans="1:12" ht="23.4" customHeight="1" thickTop="1" x14ac:dyDescent="0.25">
      <c r="A39" s="139"/>
      <c r="B39" s="262" t="s">
        <v>518</v>
      </c>
      <c r="C39" s="263"/>
      <c r="D39" s="263"/>
      <c r="E39" s="266"/>
      <c r="F39" s="267"/>
      <c r="G39" s="267"/>
      <c r="H39" s="267"/>
      <c r="I39" s="267"/>
      <c r="J39" s="267"/>
      <c r="K39" s="281"/>
      <c r="L39" s="139"/>
    </row>
    <row r="40" spans="1:12" ht="23.4" customHeight="1" x14ac:dyDescent="0.25">
      <c r="A40" s="139"/>
      <c r="B40" s="264"/>
      <c r="C40" s="265"/>
      <c r="D40" s="265"/>
      <c r="E40" s="268"/>
      <c r="F40" s="269"/>
      <c r="G40" s="269"/>
      <c r="H40" s="269"/>
      <c r="I40" s="269"/>
      <c r="J40" s="269"/>
      <c r="K40" s="282"/>
      <c r="L40" s="139"/>
    </row>
    <row r="41" spans="1:12" ht="23.4" customHeight="1" x14ac:dyDescent="0.3">
      <c r="A41" s="139"/>
      <c r="B41" s="239"/>
      <c r="C41" s="250">
        <f ca="1">$I$4</f>
        <v>2023</v>
      </c>
      <c r="D41" s="250">
        <f ca="1">$K$4</f>
        <v>2022</v>
      </c>
      <c r="E41" s="268"/>
      <c r="F41" s="269"/>
      <c r="G41" s="269"/>
      <c r="H41" s="269"/>
      <c r="I41" s="269"/>
      <c r="J41" s="269"/>
      <c r="K41" s="282"/>
      <c r="L41" s="139"/>
    </row>
    <row r="42" spans="1:12" ht="23.4" customHeight="1" x14ac:dyDescent="0.25">
      <c r="A42" s="139"/>
      <c r="B42" s="247" t="str">
        <f>A97</f>
        <v>Total non-current assets</v>
      </c>
      <c r="C42" s="166">
        <f ca="1">C97</f>
        <v>6180097</v>
      </c>
      <c r="D42" s="166">
        <f ca="1">D97</f>
        <v>6005677</v>
      </c>
      <c r="E42" s="268"/>
      <c r="F42" s="269"/>
      <c r="G42" s="269"/>
      <c r="H42" s="269"/>
      <c r="I42" s="269"/>
      <c r="J42" s="269"/>
      <c r="K42" s="282"/>
      <c r="L42" s="139"/>
    </row>
    <row r="43" spans="1:12" ht="23.4" customHeight="1" x14ac:dyDescent="0.25">
      <c r="A43" s="139"/>
      <c r="B43" s="247" t="str">
        <f>A98</f>
        <v>Total current assets</v>
      </c>
      <c r="C43" s="166">
        <f t="shared" ref="C43:D43" ca="1" si="8">C98</f>
        <v>1332666</v>
      </c>
      <c r="D43" s="166">
        <f t="shared" ca="1" si="8"/>
        <v>1297357</v>
      </c>
      <c r="E43" s="268"/>
      <c r="F43" s="269"/>
      <c r="G43" s="269"/>
      <c r="H43" s="269"/>
      <c r="I43" s="269"/>
      <c r="J43" s="269"/>
      <c r="K43" s="282"/>
      <c r="L43" s="139"/>
    </row>
    <row r="44" spans="1:12" ht="23.4" customHeight="1" x14ac:dyDescent="0.25">
      <c r="A44" s="139"/>
      <c r="B44" s="247" t="str">
        <f>A99</f>
        <v>Total assets</v>
      </c>
      <c r="C44" s="166">
        <f t="shared" ref="C44:D44" ca="1" si="9">C99</f>
        <v>7512763</v>
      </c>
      <c r="D44" s="166">
        <f t="shared" ca="1" si="9"/>
        <v>7303034</v>
      </c>
      <c r="E44" s="268"/>
      <c r="F44" s="269"/>
      <c r="G44" s="269"/>
      <c r="H44" s="269"/>
      <c r="I44" s="269"/>
      <c r="J44" s="269"/>
      <c r="K44" s="282"/>
      <c r="L44" s="139"/>
    </row>
    <row r="45" spans="1:12" ht="23.4" customHeight="1" x14ac:dyDescent="0.3">
      <c r="A45" s="139"/>
      <c r="B45" s="189"/>
      <c r="C45" s="250">
        <f ca="1">$I$4</f>
        <v>2023</v>
      </c>
      <c r="D45" s="250">
        <f ca="1">$K$4</f>
        <v>2022</v>
      </c>
      <c r="E45" s="268"/>
      <c r="F45" s="269"/>
      <c r="G45" s="269"/>
      <c r="H45" s="269"/>
      <c r="I45" s="269"/>
      <c r="J45" s="269"/>
      <c r="K45" s="282"/>
      <c r="L45" s="139"/>
    </row>
    <row r="46" spans="1:12" ht="23.4" customHeight="1" x14ac:dyDescent="0.25">
      <c r="A46" s="139"/>
      <c r="B46" s="247" t="str">
        <f t="shared" ref="B46:B50" si="10">A100</f>
        <v>Total equity</v>
      </c>
      <c r="C46" s="166">
        <f t="shared" ref="C46:D46" ca="1" si="11">C100</f>
        <v>5224874</v>
      </c>
      <c r="D46" s="166">
        <f t="shared" ca="1" si="11"/>
        <v>4340805</v>
      </c>
      <c r="E46" s="268"/>
      <c r="F46" s="269"/>
      <c r="G46" s="269"/>
      <c r="H46" s="269"/>
      <c r="I46" s="269"/>
      <c r="J46" s="269"/>
      <c r="K46" s="282"/>
      <c r="L46" s="139"/>
    </row>
    <row r="47" spans="1:12" ht="23.4" customHeight="1" x14ac:dyDescent="0.25">
      <c r="A47" s="139"/>
      <c r="B47" s="247" t="str">
        <f t="shared" si="10"/>
        <v>Total non-current liabilities</v>
      </c>
      <c r="C47" s="166">
        <f t="shared" ref="C47:D50" ca="1" si="12">C101</f>
        <v>1317527</v>
      </c>
      <c r="D47" s="205">
        <f t="shared" ca="1" si="12"/>
        <v>2131482</v>
      </c>
      <c r="E47" s="280" t="str">
        <f>B43</f>
        <v>Total current assets</v>
      </c>
      <c r="F47" s="275"/>
      <c r="G47" s="275" t="str">
        <f>B49</f>
        <v>Total liabilities</v>
      </c>
      <c r="H47" s="275"/>
      <c r="I47" s="275" t="s">
        <v>86</v>
      </c>
      <c r="J47" s="275"/>
      <c r="K47" s="278"/>
      <c r="L47" s="139"/>
    </row>
    <row r="48" spans="1:12" ht="23.4" customHeight="1" x14ac:dyDescent="0.35">
      <c r="A48" s="139"/>
      <c r="B48" s="247" t="str">
        <f t="shared" si="10"/>
        <v>Total current liabilities</v>
      </c>
      <c r="C48" s="166">
        <f t="shared" ca="1" si="12"/>
        <v>970362</v>
      </c>
      <c r="D48" s="205">
        <f t="shared" ca="1" si="12"/>
        <v>830747</v>
      </c>
      <c r="E48" s="273">
        <f ca="1">C43</f>
        <v>1332666</v>
      </c>
      <c r="F48" s="274"/>
      <c r="G48" s="276">
        <f ca="1">C49</f>
        <v>2287889</v>
      </c>
      <c r="H48" s="274"/>
      <c r="I48" s="276">
        <f ca="1">IS!C38</f>
        <v>1034069</v>
      </c>
      <c r="J48" s="274"/>
      <c r="K48" s="279"/>
      <c r="L48" s="139"/>
    </row>
    <row r="49" spans="1:13" ht="23.4" customHeight="1" x14ac:dyDescent="0.25">
      <c r="A49" s="139"/>
      <c r="B49" s="247" t="str">
        <f t="shared" si="10"/>
        <v>Total liabilities</v>
      </c>
      <c r="C49" s="166">
        <f t="shared" ca="1" si="12"/>
        <v>2287889</v>
      </c>
      <c r="D49" s="205">
        <f t="shared" ca="1" si="12"/>
        <v>2962229</v>
      </c>
      <c r="E49" s="280" t="str">
        <f>B48</f>
        <v>Total current liabilities</v>
      </c>
      <c r="F49" s="275"/>
      <c r="G49" s="277" t="str">
        <f>B46</f>
        <v>Total equity</v>
      </c>
      <c r="H49" s="275"/>
      <c r="I49" s="275" t="s">
        <v>475</v>
      </c>
      <c r="J49" s="275"/>
      <c r="K49" s="278"/>
      <c r="L49" s="139"/>
    </row>
    <row r="50" spans="1:13" ht="23.4" customHeight="1" x14ac:dyDescent="0.35">
      <c r="A50" s="139"/>
      <c r="B50" s="247" t="str">
        <f t="shared" si="10"/>
        <v>Total equity &amp; liabilities</v>
      </c>
      <c r="C50" s="166">
        <f t="shared" ca="1" si="12"/>
        <v>7512763</v>
      </c>
      <c r="D50" s="205">
        <f t="shared" ca="1" si="12"/>
        <v>7303034</v>
      </c>
      <c r="E50" s="273">
        <f ca="1">C48</f>
        <v>970362</v>
      </c>
      <c r="F50" s="274"/>
      <c r="G50" s="276">
        <f ca="1">C46</f>
        <v>5224874</v>
      </c>
      <c r="H50" s="274"/>
      <c r="I50" s="276">
        <f ca="1">C44-C48</f>
        <v>6542401</v>
      </c>
      <c r="J50" s="274"/>
      <c r="K50" s="279"/>
      <c r="L50" s="139"/>
    </row>
    <row r="51" spans="1:13" ht="23.4" customHeight="1" thickBot="1" x14ac:dyDescent="0.3">
      <c r="A51" s="139"/>
      <c r="B51" s="198"/>
      <c r="C51" s="204"/>
      <c r="D51" s="249"/>
      <c r="E51" s="272"/>
      <c r="F51" s="270"/>
      <c r="G51" s="270"/>
      <c r="H51" s="270"/>
      <c r="I51" s="270"/>
      <c r="J51" s="270"/>
      <c r="K51" s="271"/>
      <c r="L51" s="139"/>
    </row>
    <row r="52" spans="1:13" ht="23.4" customHeight="1" thickTop="1" x14ac:dyDescent="0.3">
      <c r="A52" s="139"/>
      <c r="B52" s="139"/>
      <c r="C52" s="139"/>
      <c r="D52" s="139"/>
      <c r="E52" s="139"/>
      <c r="F52" s="139"/>
      <c r="G52" s="139"/>
      <c r="H52" s="140"/>
      <c r="I52" s="141"/>
      <c r="J52" s="140"/>
      <c r="K52" s="141"/>
      <c r="L52" s="139"/>
    </row>
    <row r="54" spans="1:13" s="152" customFormat="1" ht="23.4" customHeight="1" x14ac:dyDescent="0.3">
      <c r="A54" s="225" t="s">
        <v>476</v>
      </c>
      <c r="H54" s="153"/>
      <c r="I54" s="154"/>
      <c r="J54" s="153"/>
      <c r="K54" s="209"/>
    </row>
    <row r="55" spans="1:13" ht="23.4" customHeight="1" x14ac:dyDescent="0.3">
      <c r="A55" s="142" t="str">
        <f>IF(ISBLANK(Setup!$B$4),"Example (Pty) Limited",Setup!$B$4)</f>
        <v>Example (Pty) Limited</v>
      </c>
      <c r="K55" s="209"/>
    </row>
    <row r="56" spans="1:13" ht="23.4" customHeight="1" x14ac:dyDescent="0.3">
      <c r="A56" s="142" t="str">
        <f ca="1">"AS AT "&amp;UPPER(TEXT(Setup!$B$10,"dd mmmm yyyy"))</f>
        <v>AS AT 28 FEBRUARY 2023</v>
      </c>
      <c r="C56" s="156"/>
      <c r="D56" s="156"/>
      <c r="K56" s="209"/>
    </row>
    <row r="57" spans="1:13" s="156" customFormat="1" ht="23.4" customHeight="1" x14ac:dyDescent="0.3">
      <c r="A57" s="208" t="s">
        <v>452</v>
      </c>
      <c r="C57" s="156">
        <v>1</v>
      </c>
      <c r="D57" s="156">
        <v>2</v>
      </c>
      <c r="E57" s="156">
        <f>D57+4</f>
        <v>6</v>
      </c>
      <c r="H57" s="155"/>
      <c r="J57" s="155"/>
      <c r="K57" s="209"/>
    </row>
    <row r="58" spans="1:13" s="156" customFormat="1" ht="23.4" customHeight="1" x14ac:dyDescent="0.3">
      <c r="A58" s="208" t="s">
        <v>448</v>
      </c>
      <c r="C58" s="172" t="s">
        <v>449</v>
      </c>
      <c r="D58" s="172" t="s">
        <v>450</v>
      </c>
      <c r="E58" s="172" t="s">
        <v>451</v>
      </c>
      <c r="H58" s="155"/>
      <c r="J58" s="155"/>
      <c r="K58" s="209"/>
    </row>
    <row r="59" spans="1:13" s="169" customFormat="1" ht="23.4" customHeight="1" x14ac:dyDescent="0.3">
      <c r="A59" s="208" t="s">
        <v>444</v>
      </c>
      <c r="C59" s="170">
        <f ca="1">OFFSET(IS!$B$1,ROW(IS!$C$4)-1,C$57,1,1)</f>
        <v>2023</v>
      </c>
      <c r="D59" s="170">
        <f ca="1">OFFSET(IS!$B$1,ROW(IS!$C$4)-1,D$57,1,1)</f>
        <v>2022</v>
      </c>
      <c r="E59" s="170">
        <f ca="1">OFFSET(IS!$B$1,ROW(IS!$C$4)-1,E$57,1,1)</f>
        <v>2021</v>
      </c>
      <c r="F59" s="170"/>
      <c r="H59" s="171"/>
      <c r="J59" s="171"/>
      <c r="K59" s="209"/>
    </row>
    <row r="60" spans="1:13" s="180" customFormat="1" ht="23.4" customHeight="1" x14ac:dyDescent="0.3">
      <c r="A60" s="215" t="str">
        <f ca="1">"Chart 1 : "&amp;A61</f>
        <v>Chart 1 : Turnover</v>
      </c>
      <c r="C60" s="181"/>
      <c r="D60" s="181"/>
      <c r="E60" s="181"/>
      <c r="F60" s="181"/>
      <c r="H60" s="182"/>
      <c r="J60" s="182"/>
      <c r="K60" s="209"/>
    </row>
    <row r="61" spans="1:13" s="158" customFormat="1" ht="23.4" customHeight="1" x14ac:dyDescent="0.3">
      <c r="A61" s="216" t="str">
        <f ca="1">IS!B5</f>
        <v>Turnover</v>
      </c>
      <c r="C61" s="158">
        <f ca="1">IF(ISNA(MATCH(DB!$A61,IncRowNo,0)),0,OFFSET(IS!$B$1,MATCH(DB!$A61,IncRowNo,0)-1,C$57,1,1))</f>
        <v>6911623</v>
      </c>
      <c r="D61" s="158">
        <f ca="1">IF(ISNA(MATCH(DB!$A61,IncRowNo,0)),0,OFFSET(IS!$B$1,MATCH(DB!$A61,IncRowNo,0)-1,D$57,1,1))</f>
        <v>6242037</v>
      </c>
      <c r="E61" s="158">
        <f ca="1">IF(ISNA(MATCH(DB!$A61,IncRowNo,0)),0,OFFSET(IS!$B$1,MATCH(DB!$A61,IncRowNo,0)-1,E$57,1,1))</f>
        <v>5201696</v>
      </c>
      <c r="H61" s="159"/>
      <c r="I61" s="160"/>
      <c r="J61" s="159"/>
      <c r="K61" s="210" t="s">
        <v>477</v>
      </c>
      <c r="M61" s="161"/>
    </row>
    <row r="62" spans="1:13" s="174" customFormat="1" ht="23.4" customHeight="1" x14ac:dyDescent="0.3">
      <c r="A62" s="173" t="str">
        <f>"Chart 2 : "&amp;A63</f>
        <v>Chart 2 : Profit / (Loss) for the period</v>
      </c>
      <c r="H62" s="175"/>
      <c r="I62" s="176"/>
      <c r="J62" s="175"/>
      <c r="K62" s="210"/>
      <c r="M62" s="177"/>
    </row>
    <row r="63" spans="1:13" s="158" customFormat="1" ht="23.4" customHeight="1" x14ac:dyDescent="0.3">
      <c r="A63" s="216" t="str">
        <f>IS!B38</f>
        <v>Profit / (Loss) for the period</v>
      </c>
      <c r="C63" s="158">
        <f ca="1">IF(ISNA(MATCH(DB!$A63,IncRowNo,0)),0,OFFSET(IS!$B$1,MATCH(DB!$A63,IncRowNo,0)-1,C$57,1,1))</f>
        <v>1034069</v>
      </c>
      <c r="D63" s="158">
        <f ca="1">IF(ISNA(MATCH(DB!$A63,IncRowNo,0)),0,OFFSET(IS!$B$1,MATCH(DB!$A63,IncRowNo,0)-1,D$57,1,1))</f>
        <v>1104667</v>
      </c>
      <c r="E63" s="158">
        <f ca="1">IF(ISNA(MATCH(DB!$A63,IncRowNo,0)),0,OFFSET(IS!$B$1,MATCH(DB!$A63,IncRowNo,0)-1,E$57,1,1))</f>
        <v>608918</v>
      </c>
      <c r="H63" s="159"/>
      <c r="I63" s="160"/>
      <c r="J63" s="159"/>
      <c r="K63" s="210" t="s">
        <v>477</v>
      </c>
      <c r="M63" s="161"/>
    </row>
    <row r="64" spans="1:13" s="174" customFormat="1" ht="23.4" customHeight="1" x14ac:dyDescent="0.3">
      <c r="A64" s="173" t="str">
        <f ca="1">"Chart 3 : "&amp;A65</f>
        <v>Chart 3 : 2023 Gross Profit %</v>
      </c>
      <c r="C64" s="176" t="s">
        <v>455</v>
      </c>
      <c r="D64" s="176" t="s">
        <v>445</v>
      </c>
      <c r="E64" s="176" t="s">
        <v>446</v>
      </c>
      <c r="F64" s="176" t="s">
        <v>447</v>
      </c>
      <c r="G64" s="176"/>
      <c r="H64" s="175"/>
      <c r="I64" s="176"/>
      <c r="J64" s="175"/>
      <c r="K64" s="210"/>
      <c r="M64" s="177"/>
    </row>
    <row r="65" spans="1:13" s="166" customFormat="1" ht="23.4" customHeight="1" x14ac:dyDescent="0.3">
      <c r="A65" s="217" t="str">
        <f ca="1">$C$59&amp;" "&amp;IF(OR(IS!$C$8=0,ISERROR(IS!$C$8)),"Opex %","Gross Profit %")</f>
        <v>2023 Gross Profit %</v>
      </c>
      <c r="C65" s="218">
        <f ca="1">IF(IS!$C$8=0,IF(OR(IS!$C$5=0,ISERROR(IS!$C$8)),0,IS!$C$10/IS!$C$5),IS!$C$8)*100</f>
        <v>58.308272890462916</v>
      </c>
      <c r="D65" s="167">
        <f ca="1">IF($C64="V1",C65,(100+F65)*(C65/100))</f>
        <v>75.800754757601794</v>
      </c>
      <c r="E65" s="167">
        <f ca="1">(100+F65)-D65</f>
        <v>54.199245242398206</v>
      </c>
      <c r="F65" s="166">
        <v>30</v>
      </c>
      <c r="H65" s="168"/>
      <c r="J65" s="168"/>
      <c r="K65" s="211" t="s">
        <v>482</v>
      </c>
    </row>
    <row r="66" spans="1:13" s="174" customFormat="1" ht="23.4" customHeight="1" x14ac:dyDescent="0.3">
      <c r="A66" s="173" t="str">
        <f ca="1">"Chart 4 : "&amp;A67</f>
        <v>Chart 4 : 2023 Net Profit %</v>
      </c>
      <c r="B66" s="178"/>
      <c r="C66" s="224" t="s">
        <v>455</v>
      </c>
      <c r="D66" s="176" t="s">
        <v>445</v>
      </c>
      <c r="E66" s="176" t="s">
        <v>446</v>
      </c>
      <c r="F66" s="179" t="s">
        <v>447</v>
      </c>
      <c r="H66" s="175"/>
      <c r="I66" s="176"/>
      <c r="J66" s="175"/>
      <c r="K66" s="210"/>
      <c r="M66" s="177"/>
    </row>
    <row r="67" spans="1:13" s="158" customFormat="1" ht="23.4" customHeight="1" x14ac:dyDescent="0.3">
      <c r="A67" s="217" t="str">
        <f ca="1">$C$59&amp;" Net Profit %"</f>
        <v>2023 Net Profit %</v>
      </c>
      <c r="B67" s="166"/>
      <c r="C67" s="218">
        <f ca="1">IF(IS!C5=0,0,IS!C38/IS!C5)*100</f>
        <v>14.961305036458153</v>
      </c>
      <c r="D67" s="167">
        <f ca="1">IF($C66="V1",C67,(100+F67)*(C67/100))</f>
        <v>19.4496965473956</v>
      </c>
      <c r="E67" s="167">
        <f ca="1">(100+F67)-D67</f>
        <v>110.5503034526044</v>
      </c>
      <c r="F67" s="166">
        <v>30</v>
      </c>
      <c r="H67" s="159"/>
      <c r="I67" s="160"/>
      <c r="J67" s="159"/>
      <c r="K67" s="211" t="s">
        <v>481</v>
      </c>
      <c r="M67" s="161"/>
    </row>
    <row r="68" spans="1:13" s="174" customFormat="1" ht="23.4" customHeight="1" x14ac:dyDescent="0.3">
      <c r="A68" s="173" t="str">
        <f ca="1">"Chart 5 : "&amp;A69</f>
        <v>Chart 5 : 2023 Interest Cover</v>
      </c>
      <c r="B68" s="178"/>
      <c r="C68" s="176" t="str">
        <f ca="1">IF(IS!$C$43=0,"%","V1")</f>
        <v>V1</v>
      </c>
      <c r="D68" s="176" t="s">
        <v>445</v>
      </c>
      <c r="E68" s="176" t="s">
        <v>446</v>
      </c>
      <c r="F68" s="179" t="s">
        <v>447</v>
      </c>
      <c r="H68" s="175"/>
      <c r="I68" s="176"/>
      <c r="J68" s="175"/>
      <c r="K68" s="210"/>
      <c r="M68" s="177"/>
    </row>
    <row r="69" spans="1:13" s="158" customFormat="1" ht="23.4" customHeight="1" x14ac:dyDescent="0.3">
      <c r="A69" s="217" t="str">
        <f ca="1">$C$59&amp;" "&amp;IF(IS!$C$43=0,"Taxation %","Interest Cover")</f>
        <v>2023 Interest Cover</v>
      </c>
      <c r="B69" s="166"/>
      <c r="C69" s="218">
        <f ca="1">IF(IS!$C$43=0,IF(IS!$C$36=0,0,IS!$C$37/IS!$C$36*100),IS!$C$43)</f>
        <v>8.6011213971640696</v>
      </c>
      <c r="D69" s="167">
        <f ca="1">IF($C68="V1",(C69/(C69+1))*(100+F69),(100+F69)*(C69/100))</f>
        <v>116.4599149805148</v>
      </c>
      <c r="E69" s="167">
        <f ca="1">(100+F69)-D69</f>
        <v>13.540085019485204</v>
      </c>
      <c r="F69" s="166">
        <v>30</v>
      </c>
      <c r="H69" s="159"/>
      <c r="I69" s="160"/>
      <c r="J69" s="159"/>
      <c r="K69" s="211" t="s">
        <v>483</v>
      </c>
      <c r="M69" s="161"/>
    </row>
    <row r="70" spans="1:13" s="174" customFormat="1" ht="23.4" customHeight="1" x14ac:dyDescent="0.3">
      <c r="A70" s="173" t="str">
        <f ca="1">"Chart 6 : "&amp;A71</f>
        <v>Chart 6 : 2023 ROE %</v>
      </c>
      <c r="B70" s="178"/>
      <c r="C70" s="224" t="s">
        <v>455</v>
      </c>
      <c r="D70" s="176" t="s">
        <v>445</v>
      </c>
      <c r="E70" s="176" t="s">
        <v>446</v>
      </c>
      <c r="F70" s="179" t="s">
        <v>447</v>
      </c>
      <c r="H70" s="175"/>
      <c r="I70" s="176"/>
      <c r="J70" s="175"/>
      <c r="K70" s="210"/>
      <c r="M70" s="177"/>
    </row>
    <row r="71" spans="1:13" s="158" customFormat="1" ht="23.4" customHeight="1" x14ac:dyDescent="0.3">
      <c r="A71" s="217" t="str">
        <f ca="1">$C$59&amp;" ROE %"</f>
        <v>2023 ROE %</v>
      </c>
      <c r="B71" s="166"/>
      <c r="C71" s="218">
        <f ca="1">IS!C44*100</f>
        <v>19.79127152157162</v>
      </c>
      <c r="D71" s="167">
        <f ca="1">IF($C70="V1",C71,(100+F71)*(C71/100))</f>
        <v>25.728652978043105</v>
      </c>
      <c r="E71" s="167">
        <f ca="1">(100+F71)-D71</f>
        <v>104.2713470219569</v>
      </c>
      <c r="F71" s="166">
        <v>30</v>
      </c>
      <c r="H71" s="159"/>
      <c r="I71" s="160"/>
      <c r="J71" s="159"/>
      <c r="K71" s="211" t="s">
        <v>481</v>
      </c>
      <c r="M71" s="161"/>
    </row>
    <row r="72" spans="1:13" s="191" customFormat="1" ht="23.4" customHeight="1" x14ac:dyDescent="0.3">
      <c r="A72" s="207" t="s">
        <v>462</v>
      </c>
      <c r="C72" s="191">
        <f ca="1">C59</f>
        <v>2023</v>
      </c>
      <c r="D72" s="191">
        <f t="shared" ref="D72:E72" ca="1" si="13">D59</f>
        <v>2022</v>
      </c>
      <c r="E72" s="191">
        <f t="shared" ca="1" si="13"/>
        <v>2021</v>
      </c>
      <c r="H72" s="212"/>
      <c r="J72" s="212"/>
      <c r="K72" s="213"/>
      <c r="M72" s="214"/>
    </row>
    <row r="73" spans="1:13" s="162" customFormat="1" ht="23.4" customHeight="1" x14ac:dyDescent="0.3">
      <c r="A73" s="219" t="str">
        <f ca="1">IS!B5</f>
        <v>Turnover</v>
      </c>
      <c r="C73" s="158">
        <f ca="1">IF(ISNA(MATCH(DB!$A73,IncRowNo,0)),0,OFFSET(IS!$B$1,MATCH(DB!$A73,IncRowNo,0)-1,C$57,1,1))</f>
        <v>6911623</v>
      </c>
      <c r="D73" s="158">
        <f ca="1">IF(ISNA(MATCH(DB!$A73,IncRowNo,0)),0,OFFSET(IS!$B$1,MATCH(DB!$A73,IncRowNo,0)-1,D$57,1,1))</f>
        <v>6242037</v>
      </c>
      <c r="E73" s="158">
        <f ca="1">IF(ISNA(MATCH(DB!$A73,IncRowNo,0)),0,OFFSET(IS!$B$1,MATCH(DB!$A73,IncRowNo,0)-1,E$57,1,1))</f>
        <v>5201696</v>
      </c>
      <c r="H73" s="163"/>
      <c r="I73" s="164"/>
      <c r="J73" s="163"/>
      <c r="K73" s="210" t="s">
        <v>477</v>
      </c>
      <c r="M73" s="165"/>
    </row>
    <row r="74" spans="1:13" s="162" customFormat="1" ht="23.4" customHeight="1" x14ac:dyDescent="0.3">
      <c r="A74" s="219" t="str">
        <f>IS!B7</f>
        <v>Gross profit</v>
      </c>
      <c r="C74" s="158">
        <f ca="1">IF(ISNA(MATCH(DB!$A74,IncRowNo,0)),0,OFFSET(IS!$B$1,MATCH(DB!$A74,IncRowNo,0)-1,C$57,1,1))</f>
        <v>4030048</v>
      </c>
      <c r="D74" s="158">
        <f ca="1">IF(ISNA(MATCH(DB!$A74,IncRowNo,0)),0,OFFSET(IS!$B$1,MATCH(DB!$A74,IncRowNo,0)-1,D$57,1,1))</f>
        <v>3438773</v>
      </c>
      <c r="E74" s="158">
        <f ca="1">IF(ISNA(MATCH(DB!$A74,IncRowNo,0)),0,OFFSET(IS!$B$1,MATCH(DB!$A74,IncRowNo,0)-1,E$57,1,1))</f>
        <v>2605827</v>
      </c>
      <c r="H74" s="163"/>
      <c r="I74" s="164"/>
      <c r="J74" s="163"/>
      <c r="K74" s="210" t="s">
        <v>477</v>
      </c>
      <c r="M74" s="165"/>
    </row>
    <row r="75" spans="1:13" s="158" customFormat="1" ht="23.4" customHeight="1" x14ac:dyDescent="0.3">
      <c r="A75" s="216" t="str">
        <f>IS!B10</f>
        <v>Operating expenses</v>
      </c>
      <c r="C75" s="158">
        <f ca="1">IF(ISNA(MATCH(DB!$A75,IncRowNo,0)),0,OFFSET(IS!$B$1,MATCH(DB!$A75,IncRowNo,0)-1,C$57,1,1))</f>
        <v>2427451</v>
      </c>
      <c r="D75" s="158">
        <f ca="1">IF(ISNA(MATCH(DB!$A75,IncRowNo,0)),0,OFFSET(IS!$B$1,MATCH(DB!$A75,IncRowNo,0)-1,D$57,1,1))</f>
        <v>1896411</v>
      </c>
      <c r="E75" s="158">
        <f ca="1">IF(ISNA(MATCH(DB!$A75,IncRowNo,0)),0,OFFSET(IS!$B$1,MATCH(DB!$A75,IncRowNo,0)-1,E$57,1,1))</f>
        <v>1603492</v>
      </c>
      <c r="H75" s="159"/>
      <c r="I75" s="160"/>
      <c r="J75" s="159"/>
      <c r="K75" s="210" t="s">
        <v>477</v>
      </c>
      <c r="M75" s="161"/>
    </row>
    <row r="76" spans="1:13" s="158" customFormat="1" ht="23.4" customHeight="1" x14ac:dyDescent="0.3">
      <c r="A76" s="216" t="str">
        <f ca="1">IS!B35</f>
        <v>Interest paid</v>
      </c>
      <c r="C76" s="158">
        <f ca="1">IF(ISNA(MATCH(DB!$A76,IncRowNo,0)),0,OFFSET(IS!$B$1,MATCH(DB!$A76,IncRowNo,0)-1,C$57,1,1))</f>
        <v>194222</v>
      </c>
      <c r="D76" s="158">
        <f ca="1">IF(ISNA(MATCH(DB!$A76,IncRowNo,0)),0,OFFSET(IS!$B$1,MATCH(DB!$A76,IncRowNo,0)-1,D$57,1,1))</f>
        <v>212354</v>
      </c>
      <c r="E76" s="158">
        <f ca="1">IF(ISNA(MATCH(DB!$A76,IncRowNo,0)),0,OFFSET(IS!$B$1,MATCH(DB!$A76,IncRowNo,0)-1,E$57,1,1))</f>
        <v>180742</v>
      </c>
      <c r="H76" s="159"/>
      <c r="I76" s="160"/>
      <c r="J76" s="159"/>
      <c r="K76" s="210" t="s">
        <v>477</v>
      </c>
      <c r="M76" s="161"/>
    </row>
    <row r="77" spans="1:13" s="158" customFormat="1" ht="23.4" customHeight="1" x14ac:dyDescent="0.3">
      <c r="A77" s="216" t="str">
        <f ca="1">IS!B37</f>
        <v>Taxation paid</v>
      </c>
      <c r="C77" s="158">
        <f ca="1">IF(ISNA(MATCH(DB!$A77,IncRowNo,0)),0,OFFSET(IS!$B$1,MATCH(DB!$A77,IncRowNo,0)-1,C$57,1,1))</f>
        <v>442236</v>
      </c>
      <c r="D77" s="158">
        <f ca="1">IF(ISNA(MATCH(DB!$A77,IncRowNo,0)),0,OFFSET(IS!$B$1,MATCH(DB!$A77,IncRowNo,0)-1,D$57,1,1))</f>
        <v>263853</v>
      </c>
      <c r="E77" s="158">
        <f ca="1">IF(ISNA(MATCH(DB!$A77,IncRowNo,0)),0,OFFSET(IS!$B$1,MATCH(DB!$A77,IncRowNo,0)-1,E$57,1,1))</f>
        <v>236801</v>
      </c>
      <c r="H77" s="159"/>
      <c r="I77" s="160"/>
      <c r="J77" s="159"/>
      <c r="K77" s="210" t="s">
        <v>477</v>
      </c>
      <c r="M77" s="161"/>
    </row>
    <row r="78" spans="1:13" s="158" customFormat="1" ht="23.4" customHeight="1" x14ac:dyDescent="0.3">
      <c r="A78" s="216" t="str">
        <f>IS!B38</f>
        <v>Profit / (Loss) for the period</v>
      </c>
      <c r="C78" s="158">
        <f ca="1">IF(ISNA(MATCH(DB!$A78,IncRowNo,0)),0,OFFSET(IS!$B$1,MATCH(DB!$A78,IncRowNo,0)-1,C$57,1,1))</f>
        <v>1034069</v>
      </c>
      <c r="D78" s="158">
        <f ca="1">IF(ISNA(MATCH(DB!$A78,IncRowNo,0)),0,OFFSET(IS!$B$1,MATCH(DB!$A78,IncRowNo,0)-1,D$57,1,1))</f>
        <v>1104667</v>
      </c>
      <c r="E78" s="158">
        <f ca="1">IF(ISNA(MATCH(DB!$A78,IncRowNo,0)),0,OFFSET(IS!$B$1,MATCH(DB!$A78,IncRowNo,0)-1,E$57,1,1))</f>
        <v>608918</v>
      </c>
      <c r="H78" s="159"/>
      <c r="I78" s="160"/>
      <c r="J78" s="159"/>
      <c r="K78" s="210" t="s">
        <v>477</v>
      </c>
      <c r="M78" s="161"/>
    </row>
    <row r="79" spans="1:13" s="158" customFormat="1" ht="23.4" customHeight="1" x14ac:dyDescent="0.3">
      <c r="A79" s="216" t="str">
        <f>IS!B43</f>
        <v>Interest Cover</v>
      </c>
      <c r="C79" s="158">
        <f ca="1">IF(ISNA(MATCH(DB!$A79,IncRowNo,0)),0,OFFSET(IS!$B$1,MATCH(DB!$A79,IncRowNo,0)-1,C$57,1,1))</f>
        <v>8.6011213971640696</v>
      </c>
      <c r="D79" s="158">
        <f ca="1">IF(ISNA(MATCH(DB!$A79,IncRowNo,0)),0,OFFSET(IS!$B$1,MATCH(DB!$A79,IncRowNo,0)-1,D$57,1,1))</f>
        <v>7.4445218832703883</v>
      </c>
      <c r="E79" s="158">
        <f ca="1">IF(ISNA(MATCH(DB!$A79,IncRowNo,0)),0,OFFSET(IS!$B$1,MATCH(DB!$A79,IncRowNo,0)-1,E$57,1,1))</f>
        <v>5.6791503911653072</v>
      </c>
      <c r="H79" s="159"/>
      <c r="I79" s="160"/>
      <c r="J79" s="159"/>
      <c r="K79" s="210" t="s">
        <v>477</v>
      </c>
      <c r="M79" s="161"/>
    </row>
    <row r="80" spans="1:13" s="158" customFormat="1" ht="23.4" customHeight="1" x14ac:dyDescent="0.3">
      <c r="A80" s="216" t="str">
        <f>IS!B44</f>
        <v>Return on Equity (ROE)</v>
      </c>
      <c r="C80" s="158">
        <f ca="1">IF(ISNA(MATCH(DB!$A80,IncRowNo,0)),0,OFFSET(IS!$B$1,MATCH(DB!$A80,IncRowNo,0)-1,C$57,1,1))</f>
        <v>0.19791271521571621</v>
      </c>
      <c r="D80" s="158">
        <f ca="1">IF(ISNA(MATCH(DB!$A80,IncRowNo,0)),0,OFFSET(IS!$B$1,MATCH(DB!$A80,IncRowNo,0)-1,D$57,1,1))</f>
        <v>0.25448436407532704</v>
      </c>
      <c r="E80" s="158">
        <f ca="1">IF(ISNA(MATCH(DB!$A80,IncRowNo,0)),0,OFFSET(IS!$B$1,MATCH(DB!$A80,IncRowNo,0)-1,E$57,1,1))</f>
        <v>0.18252182613548959</v>
      </c>
      <c r="H80" s="159"/>
      <c r="I80" s="160"/>
      <c r="J80" s="159"/>
      <c r="K80" s="210" t="s">
        <v>477</v>
      </c>
      <c r="M80" s="161"/>
    </row>
    <row r="81" spans="1:13" s="174" customFormat="1" ht="23.4" customHeight="1" x14ac:dyDescent="0.3">
      <c r="A81" s="173" t="s">
        <v>458</v>
      </c>
      <c r="C81" s="181">
        <f ca="1">$C$59</f>
        <v>2023</v>
      </c>
      <c r="D81" s="181">
        <f ca="1">$D$59</f>
        <v>2022</v>
      </c>
      <c r="E81" s="191" t="s">
        <v>457</v>
      </c>
      <c r="F81" s="191" t="s">
        <v>459</v>
      </c>
      <c r="G81" s="192" t="s">
        <v>460</v>
      </c>
      <c r="H81" s="175"/>
      <c r="I81" s="176"/>
      <c r="J81" s="175"/>
      <c r="K81" s="210"/>
      <c r="M81" s="177"/>
    </row>
    <row r="82" spans="1:13" s="158" customFormat="1" ht="23.4" customHeight="1" x14ac:dyDescent="0.3">
      <c r="A82" s="157"/>
      <c r="B82" s="158" t="str">
        <f t="array" aca="1" ref="B82" ca="1">INDEX(ExpenseAll,SMALL(IF(ExpenseCY&gt;=LARGE(ExpenseCY,5),ROW(ExpenseCY)-ROW(IS!$B$10)),ROW(1:1)),1)</f>
        <v>Advertising &amp; marketing</v>
      </c>
      <c r="C82" s="158">
        <f t="array" aca="1" ref="C82" ca="1">INDEX(ExpenseAll,SMALL(IF(ExpenseCY&gt;=LARGE(ExpenseCY,5),ROW(ExpenseCY)-ROW(IS!$B$10)),ROW(1:1)),2)</f>
        <v>143644</v>
      </c>
      <c r="D82" s="190">
        <f t="array" aca="1" ref="D82" ca="1">INDEX(ExpenseAll,SMALL(IF(ExpenseCY&gt;=LARGE(ExpenseCY,5),ROW(ExpenseCY)-ROW(IS!$B$10)),ROW(1:1)),3)</f>
        <v>170000</v>
      </c>
      <c r="E82" s="158">
        <f ca="1">D82-C82</f>
        <v>26356</v>
      </c>
      <c r="F82" s="190">
        <f ca="1">RANK(C82,$C$82:$C$86,0)</f>
        <v>5</v>
      </c>
      <c r="G82" s="158">
        <f ca="1">F82+COUNTIF($F$82:$F82,$F82)-1</f>
        <v>5</v>
      </c>
      <c r="H82" s="159"/>
      <c r="I82" s="160"/>
      <c r="J82" s="159"/>
      <c r="K82" s="210" t="s">
        <v>478</v>
      </c>
      <c r="M82" s="161"/>
    </row>
    <row r="83" spans="1:13" ht="23.4" customHeight="1" x14ac:dyDescent="0.3">
      <c r="B83" s="158" t="str">
        <f t="array" aca="1" ref="B83" ca="1">INDEX(ExpenseAll,SMALL(IF(ExpenseCY&gt;=LARGE(ExpenseCY,5),ROW(ExpenseCY)-ROW(IS!$B$10)),ROW(2:2)),1)</f>
        <v>Depreciation</v>
      </c>
      <c r="C83" s="158">
        <f t="array" aca="1" ref="C83" ca="1">INDEX(ExpenseAll,SMALL(IF(ExpenseCY&gt;=LARGE(ExpenseCY,5),ROW(ExpenseCY)-ROW(IS!$B$10)),ROW(2:2)),2)</f>
        <v>546530</v>
      </c>
      <c r="D83" s="190">
        <f t="array" aca="1" ref="D83" ca="1">INDEX(ExpenseAll,SMALL(IF(ExpenseCY&gt;=LARGE(ExpenseCY,5),ROW(ExpenseCY)-ROW(IS!$B$10)),ROW(2:2)),3)</f>
        <v>450300</v>
      </c>
      <c r="E83" s="158">
        <f t="shared" ref="E83:E86" ca="1" si="14">D83-C83</f>
        <v>-96230</v>
      </c>
      <c r="F83" s="190">
        <f t="shared" ref="F83:F86" ca="1" si="15">RANK(C83,$C$82:$C$86,0)</f>
        <v>3</v>
      </c>
      <c r="G83" s="158">
        <f ca="1">F83+COUNTIF($F$82:$F83,$F83)-1</f>
        <v>3</v>
      </c>
      <c r="K83" s="210" t="s">
        <v>478</v>
      </c>
    </row>
    <row r="84" spans="1:13" ht="23.4" customHeight="1" x14ac:dyDescent="0.3">
      <c r="B84" s="158" t="str">
        <f t="array" aca="1" ref="B84" ca="1">INDEX(ExpenseAll,SMALL(IF(ExpenseCY&gt;=LARGE(ExpenseCY,5),ROW(ExpenseCY)-ROW(IS!$B$10)),ROW(3:3)),1)</f>
        <v>Office rent</v>
      </c>
      <c r="C84" s="158">
        <f t="array" aca="1" ref="C84" ca="1">INDEX(ExpenseAll,SMALL(IF(ExpenseCY&gt;=LARGE(ExpenseCY,5),ROW(ExpenseCY)-ROW(IS!$B$10)),ROW(3:3)),2)</f>
        <v>144000</v>
      </c>
      <c r="D84" s="190">
        <f t="array" aca="1" ref="D84" ca="1">INDEX(ExpenseAll,SMALL(IF(ExpenseCY&gt;=LARGE(ExpenseCY,5),ROW(ExpenseCY)-ROW(IS!$B$10)),ROW(3:3)),3)</f>
        <v>120000</v>
      </c>
      <c r="E84" s="158">
        <f t="shared" ca="1" si="14"/>
        <v>-24000</v>
      </c>
      <c r="F84" s="190">
        <f t="shared" ca="1" si="15"/>
        <v>4</v>
      </c>
      <c r="G84" s="158">
        <f ca="1">F84+COUNTIF($F$82:$F84,$F84)-1</f>
        <v>4</v>
      </c>
      <c r="K84" s="210" t="s">
        <v>478</v>
      </c>
    </row>
    <row r="85" spans="1:13" ht="23.4" customHeight="1" x14ac:dyDescent="0.3">
      <c r="B85" s="158" t="str">
        <f t="array" aca="1" ref="B85" ca="1">INDEX(ExpenseAll,SMALL(IF(ExpenseCY&gt;=LARGE(ExpenseCY,5),ROW(ExpenseCY)-ROW(IS!$B$10)),ROW(4:4)),1)</f>
        <v>Salaries &amp; wages - staff</v>
      </c>
      <c r="C85" s="158">
        <f t="array" aca="1" ref="C85" ca="1">INDEX(ExpenseAll,SMALL(IF(ExpenseCY&gt;=LARGE(ExpenseCY,5),ROW(ExpenseCY)-ROW(IS!$B$10)),ROW(4:4)),2)</f>
        <v>548600</v>
      </c>
      <c r="D85" s="190">
        <f t="array" aca="1" ref="D85" ca="1">INDEX(ExpenseAll,SMALL(IF(ExpenseCY&gt;=LARGE(ExpenseCY,5),ROW(ExpenseCY)-ROW(IS!$B$10)),ROW(4:4)),3)</f>
        <v>435500</v>
      </c>
      <c r="E85" s="158">
        <f t="shared" ca="1" si="14"/>
        <v>-113100</v>
      </c>
      <c r="F85" s="190">
        <f t="shared" ca="1" si="15"/>
        <v>2</v>
      </c>
      <c r="G85" s="158">
        <f ca="1">F85+COUNTIF($F$82:$F85,$F85)-1</f>
        <v>2</v>
      </c>
      <c r="K85" s="210" t="s">
        <v>478</v>
      </c>
    </row>
    <row r="86" spans="1:13" s="166" customFormat="1" ht="23.4" customHeight="1" x14ac:dyDescent="0.3">
      <c r="A86" s="156"/>
      <c r="B86" s="158" t="str">
        <f t="array" aca="1" ref="B86" ca="1">INDEX(ExpenseAll,SMALL(IF(ExpenseCY&gt;=LARGE(ExpenseCY,5),ROW(ExpenseCY)-ROW(IS!$B$10)),ROW(5:5)),1)</f>
        <v>Salaries &amp; wages - management</v>
      </c>
      <c r="C86" s="158">
        <f t="array" aca="1" ref="C86" ca="1">INDEX(ExpenseAll,SMALL(IF(ExpenseCY&gt;=LARGE(ExpenseCY,5),ROW(ExpenseCY)-ROW(IS!$B$10)),ROW(5:5)),2)</f>
        <v>785720</v>
      </c>
      <c r="D86" s="190">
        <f t="array" aca="1" ref="D86" ca="1">INDEX(ExpenseAll,SMALL(IF(ExpenseCY&gt;=LARGE(ExpenseCY,5),ROW(ExpenseCY)-ROW(IS!$B$10)),ROW(5:5)),3)</f>
        <v>434640</v>
      </c>
      <c r="E86" s="158">
        <f t="shared" ca="1" si="14"/>
        <v>-351080</v>
      </c>
      <c r="F86" s="190">
        <f t="shared" ca="1" si="15"/>
        <v>1</v>
      </c>
      <c r="G86" s="158">
        <f ca="1">F86+COUNTIF($F$82:$F86,$F86)-1</f>
        <v>1</v>
      </c>
      <c r="H86" s="168"/>
      <c r="J86" s="168"/>
      <c r="K86" s="210" t="s">
        <v>478</v>
      </c>
    </row>
    <row r="87" spans="1:13" s="174" customFormat="1" ht="23.4" customHeight="1" x14ac:dyDescent="0.3">
      <c r="A87" s="173" t="str">
        <f>"Chart 7 : Interactive Expenses (select in cell G24 to change - default is total operating expenses)"</f>
        <v>Chart 7 : Interactive Expenses (select in cell G24 to change - default is total operating expenses)</v>
      </c>
      <c r="H87" s="175"/>
      <c r="I87" s="176"/>
      <c r="J87" s="175"/>
      <c r="K87" s="210"/>
      <c r="M87" s="177"/>
    </row>
    <row r="88" spans="1:13" s="158" customFormat="1" ht="23.4" customHeight="1" x14ac:dyDescent="0.3">
      <c r="A88" s="157" t="str">
        <f>IF(ISBLANK($G$24),A75,$G$24)</f>
        <v>Operating expenses</v>
      </c>
      <c r="C88" s="158">
        <f ca="1">IF(ISNA(MATCH(DB!$A88,IncRowNo,0)),0,OFFSET(IS!$B$1,MATCH(DB!$A88,IncRowNo,0)-1,C$57,1,1))</f>
        <v>2427451</v>
      </c>
      <c r="D88" s="158">
        <f ca="1">IF(ISNA(MATCH(DB!$A88,IncRowNo,0)),0,OFFSET(IS!$B$1,MATCH(DB!$A88,IncRowNo,0)-1,D$57,1,1))</f>
        <v>1896411</v>
      </c>
      <c r="E88" s="158">
        <f ca="1">IF(ISNA(MATCH(DB!$A88,IncRowNo,0)),0,OFFSET(IS!$B$1,MATCH(DB!$A88,IncRowNo,0)-1,E$57,1,1))</f>
        <v>1603492</v>
      </c>
      <c r="H88" s="159"/>
      <c r="I88" s="160"/>
      <c r="J88" s="159"/>
      <c r="K88" s="210" t="s">
        <v>477</v>
      </c>
      <c r="M88" s="161"/>
    </row>
    <row r="89" spans="1:13" s="174" customFormat="1" ht="23.4" customHeight="1" x14ac:dyDescent="0.3">
      <c r="A89" s="215" t="str">
        <f>"Chart 8 : Cash Balance"</f>
        <v>Chart 8 : Cash Balance</v>
      </c>
      <c r="B89" s="180"/>
      <c r="C89" s="181" t="str">
        <f ca="1">$C$59&amp;" Cash Balance"</f>
        <v>2023 Cash Balance</v>
      </c>
      <c r="D89" s="181"/>
      <c r="E89" s="181"/>
      <c r="F89" s="181"/>
      <c r="H89" s="175"/>
      <c r="I89" s="176"/>
      <c r="J89" s="175"/>
      <c r="K89" s="210"/>
      <c r="M89" s="177"/>
    </row>
    <row r="90" spans="1:13" s="158" customFormat="1" ht="23.4" customHeight="1" x14ac:dyDescent="0.3">
      <c r="A90" s="216" t="str">
        <f>CFS!B44</f>
        <v>Cash equivalents at end of period</v>
      </c>
      <c r="C90" s="158">
        <f ca="1">IF(ISNA(MATCH(DB!$A90,CfsRowNo,0)),0,OFFSET(CFS!$B$1,MATCH(DB!$A90,CfsRowNo,0)-1,C$57,1,1))</f>
        <v>326674</v>
      </c>
      <c r="D90" s="158">
        <f ca="1">IF(ISNA(MATCH(DB!$A90,CfsRowNo,0)),0,OFFSET(CFS!$B$1,MATCH(DB!$A90,CfsRowNo,0)-1,D$57,1,1))</f>
        <v>393980</v>
      </c>
      <c r="E90" s="158">
        <f ca="1">IF(ISNA(MATCH(DB!$A90,CfsRowNo,0)),0,OFFSET(CFS!$B$1,MATCH(DB!$A90,CfsRowNo,0)-1,E$57,1,1))</f>
        <v>187624</v>
      </c>
      <c r="H90" s="159"/>
      <c r="I90" s="160"/>
      <c r="J90" s="159"/>
      <c r="K90" s="210" t="s">
        <v>479</v>
      </c>
      <c r="M90" s="161"/>
    </row>
    <row r="91" spans="1:13" ht="23.4" customHeight="1" x14ac:dyDescent="0.3">
      <c r="A91" s="173" t="s">
        <v>463</v>
      </c>
      <c r="B91" s="158"/>
      <c r="C91" s="181">
        <f ca="1">$C$59</f>
        <v>2023</v>
      </c>
      <c r="D91" s="181">
        <f ca="1">$D$59</f>
        <v>2022</v>
      </c>
      <c r="E91" s="191"/>
      <c r="F91" s="190"/>
      <c r="G91" s="158"/>
      <c r="K91" s="211"/>
    </row>
    <row r="92" spans="1:13" s="166" customFormat="1" ht="23.4" customHeight="1" x14ac:dyDescent="0.3">
      <c r="A92" s="220" t="str">
        <f>CFS!B27</f>
        <v>Net cash from operating activities</v>
      </c>
      <c r="B92" s="158"/>
      <c r="C92" s="158">
        <f ca="1">IF(ISNA(MATCH(DB!$A92,CfsRowNo,0)),0,OFFSET(CFS!$B$1,MATCH(DB!$A92,CfsRowNo,0)-1,C$57,1,1))</f>
        <v>1620482</v>
      </c>
      <c r="D92" s="158">
        <f ca="1">IF(ISNA(MATCH(DB!$A92,CfsRowNo,0)),0,OFFSET(CFS!$B$1,MATCH(DB!$A92,CfsRowNo,0)-1,D$57,1,1))</f>
        <v>1670075</v>
      </c>
      <c r="E92" s="158"/>
      <c r="F92" s="190"/>
      <c r="G92" s="158"/>
      <c r="H92" s="168"/>
      <c r="J92" s="168"/>
      <c r="K92" s="210" t="s">
        <v>479</v>
      </c>
    </row>
    <row r="93" spans="1:13" ht="23.4" customHeight="1" x14ac:dyDescent="0.3">
      <c r="A93" s="221" t="str">
        <f>CFS!B33</f>
        <v>Net cash used in investing activities</v>
      </c>
      <c r="C93" s="158">
        <f ca="1">IF(ISNA(MATCH(DB!$A93,CfsRowNo,0)),0,OFFSET(CFS!$B$1,MATCH(DB!$A93,CfsRowNo,0)-1,C$57,1,1))</f>
        <v>-825000</v>
      </c>
      <c r="D93" s="158">
        <f ca="1">IF(ISNA(MATCH(DB!$A93,CfsRowNo,0)),0,OFFSET(CFS!$B$1,MATCH(DB!$A93,CfsRowNo,0)-1,D$57,1,1))</f>
        <v>-1647250</v>
      </c>
      <c r="E93" s="158"/>
      <c r="K93" s="210" t="s">
        <v>479</v>
      </c>
    </row>
    <row r="94" spans="1:13" ht="23.4" customHeight="1" x14ac:dyDescent="0.3">
      <c r="A94" s="222" t="str">
        <f>CFS!B40</f>
        <v>Net cash used in financing activities</v>
      </c>
      <c r="C94" s="158">
        <f ca="1">IF(ISNA(MATCH(DB!$A94,CfsRowNo,0)),0,OFFSET(CFS!$B$1,MATCH(DB!$A94,CfsRowNo,0)-1,C$57,1,1))</f>
        <v>-862788</v>
      </c>
      <c r="D94" s="158">
        <f ca="1">IF(ISNA(MATCH(DB!$A94,CfsRowNo,0)),0,OFFSET(CFS!$B$1,MATCH(DB!$A94,CfsRowNo,0)-1,D$57,1,1))</f>
        <v>183531</v>
      </c>
      <c r="E94" s="158"/>
      <c r="K94" s="210" t="s">
        <v>479</v>
      </c>
    </row>
    <row r="95" spans="1:13" ht="23.4" customHeight="1" x14ac:dyDescent="0.3">
      <c r="A95" s="221" t="str">
        <f>CFS!B42</f>
        <v>Net increase / (decrease) in cash</v>
      </c>
      <c r="C95" s="158">
        <f ca="1">IF(ISNA(MATCH(DB!$A95,CfsRowNo,0)),0,OFFSET(CFS!$B$1,MATCH(DB!$A95,CfsRowNo,0)-1,C$57,1,1))</f>
        <v>-67306</v>
      </c>
      <c r="D95" s="158">
        <f ca="1">IF(ISNA(MATCH(DB!$A95,CfsRowNo,0)),0,OFFSET(CFS!$B$1,MATCH(DB!$A95,CfsRowNo,0)-1,D$57,1,1))</f>
        <v>206356</v>
      </c>
      <c r="E95" s="158"/>
      <c r="K95" s="210" t="s">
        <v>479</v>
      </c>
    </row>
    <row r="96" spans="1:13" ht="23.4" customHeight="1" x14ac:dyDescent="0.3">
      <c r="A96" s="173" t="s">
        <v>468</v>
      </c>
      <c r="B96" s="158"/>
      <c r="C96" s="181">
        <f ca="1">$C$59</f>
        <v>2023</v>
      </c>
      <c r="D96" s="181">
        <f ca="1">$D$59</f>
        <v>2022</v>
      </c>
      <c r="E96" s="191"/>
      <c r="F96" s="190"/>
      <c r="G96" s="158"/>
      <c r="K96" s="211"/>
    </row>
    <row r="97" spans="1:13" ht="23.4" customHeight="1" x14ac:dyDescent="0.3">
      <c r="A97" s="221" t="str">
        <f>BS!B12</f>
        <v>Total non-current assets</v>
      </c>
      <c r="B97" s="156"/>
      <c r="C97" s="158">
        <f ca="1">IF(ISNA(MATCH(DB!$A97,BalRowNo,0)),0,OFFSET(BS!$B$1,MATCH(DB!$A97,BalRowNo,0)-1,C$57,1,1))</f>
        <v>6180097</v>
      </c>
      <c r="D97" s="158">
        <f ca="1">IF(ISNA(MATCH(DB!$A97,BalRowNo,0)),0,OFFSET(BS!$B$1,MATCH(DB!$A97,BalRowNo,0)-1,D$57,1,1))</f>
        <v>6005677</v>
      </c>
      <c r="K97" s="210" t="s">
        <v>480</v>
      </c>
    </row>
    <row r="98" spans="1:13" ht="23.4" customHeight="1" x14ac:dyDescent="0.3">
      <c r="A98" s="221" t="str">
        <f>BS!B20</f>
        <v>Total current assets</v>
      </c>
      <c r="B98" s="156"/>
      <c r="C98" s="158">
        <f ca="1">IF(ISNA(MATCH(DB!$A98,BalRowNo,0)),0,OFFSET(BS!$B$1,MATCH(DB!$A98,BalRowNo,0)-1,C$57,1,1))</f>
        <v>1332666</v>
      </c>
      <c r="D98" s="158">
        <f ca="1">IF(ISNA(MATCH(DB!$A98,BalRowNo,0)),0,OFFSET(BS!$B$1,MATCH(DB!$A98,BalRowNo,0)-1,D$57,1,1))</f>
        <v>1297357</v>
      </c>
      <c r="K98" s="210" t="s">
        <v>480</v>
      </c>
    </row>
    <row r="99" spans="1:13" ht="23.4" customHeight="1" x14ac:dyDescent="0.3">
      <c r="A99" s="221" t="str">
        <f>BS!B21</f>
        <v>Total assets</v>
      </c>
      <c r="B99" s="156"/>
      <c r="C99" s="158">
        <f ca="1">IF(ISNA(MATCH(DB!$A99,BalRowNo,0)),0,OFFSET(BS!$B$1,MATCH(DB!$A99,BalRowNo,0)-1,C$57,1,1))</f>
        <v>7512763</v>
      </c>
      <c r="D99" s="158">
        <f ca="1">IF(ISNA(MATCH(DB!$A99,BalRowNo,0)),0,OFFSET(BS!$B$1,MATCH(DB!$A99,BalRowNo,0)-1,D$57,1,1))</f>
        <v>7303034</v>
      </c>
      <c r="K99" s="210" t="s">
        <v>480</v>
      </c>
    </row>
    <row r="100" spans="1:13" ht="23.4" customHeight="1" x14ac:dyDescent="0.3">
      <c r="A100" s="221" t="str">
        <f>BS!B27</f>
        <v>Total equity</v>
      </c>
      <c r="C100" s="158">
        <f ca="1">IF(ISNA(MATCH(DB!$A100,BalRowNo,0)),0,OFFSET(BS!$B$1,MATCH(DB!$A100,BalRowNo,0)-1,C$57,1,1))</f>
        <v>5224874</v>
      </c>
      <c r="D100" s="158">
        <f ca="1">IF(ISNA(MATCH(DB!$A100,BalRowNo,0)),0,OFFSET(BS!$B$1,MATCH(DB!$A100,BalRowNo,0)-1,D$57,1,1))</f>
        <v>4340805</v>
      </c>
      <c r="K100" s="210" t="s">
        <v>480</v>
      </c>
    </row>
    <row r="101" spans="1:13" ht="23.4" customHeight="1" x14ac:dyDescent="0.3">
      <c r="A101" s="221" t="str">
        <f>BS!B32</f>
        <v>Total non-current liabilities</v>
      </c>
      <c r="C101" s="158">
        <f ca="1">IF(ISNA(MATCH(DB!$A101,BalRowNo,0)),0,OFFSET(BS!$B$1,MATCH(DB!$A101,BalRowNo,0)-1,C$57,1,1))</f>
        <v>1317527</v>
      </c>
      <c r="D101" s="158">
        <f ca="1">IF(ISNA(MATCH(DB!$A101,BalRowNo,0)),0,OFFSET(BS!$B$1,MATCH(DB!$A101,BalRowNo,0)-1,D$57,1,1))</f>
        <v>2131482</v>
      </c>
      <c r="K101" s="210" t="s">
        <v>480</v>
      </c>
    </row>
    <row r="102" spans="1:13" ht="23.4" customHeight="1" x14ac:dyDescent="0.3">
      <c r="A102" s="221" t="str">
        <f>BS!B42</f>
        <v>Total current liabilities</v>
      </c>
      <c r="C102" s="158">
        <f ca="1">IF(ISNA(MATCH(DB!$A102,BalRowNo,0)),0,OFFSET(BS!$B$1,MATCH(DB!$A102,BalRowNo,0)-1,C$57,1,1))</f>
        <v>970362</v>
      </c>
      <c r="D102" s="158">
        <f ca="1">IF(ISNA(MATCH(DB!$A102,BalRowNo,0)),0,OFFSET(BS!$B$1,MATCH(DB!$A102,BalRowNo,0)-1,D$57,1,1))</f>
        <v>830747</v>
      </c>
      <c r="K102" s="210" t="s">
        <v>480</v>
      </c>
    </row>
    <row r="103" spans="1:13" ht="23.4" customHeight="1" x14ac:dyDescent="0.3">
      <c r="A103" s="221" t="str">
        <f>BS!B43</f>
        <v>Total liabilities</v>
      </c>
      <c r="C103" s="158">
        <f ca="1">IF(ISNA(MATCH(DB!$A103,BalRowNo,0)),0,OFFSET(BS!$B$1,MATCH(DB!$A103,BalRowNo,0)-1,C$57,1,1))</f>
        <v>2287889</v>
      </c>
      <c r="D103" s="158">
        <f ca="1">IF(ISNA(MATCH(DB!$A103,BalRowNo,0)),0,OFFSET(BS!$B$1,MATCH(DB!$A103,BalRowNo,0)-1,D$57,1,1))</f>
        <v>2962229</v>
      </c>
      <c r="K103" s="210" t="s">
        <v>480</v>
      </c>
    </row>
    <row r="104" spans="1:13" ht="23.4" customHeight="1" x14ac:dyDescent="0.3">
      <c r="A104" s="221" t="str">
        <f>BS!B44</f>
        <v>Total equity &amp; liabilities</v>
      </c>
      <c r="C104" s="158">
        <f ca="1">IF(ISNA(MATCH(DB!$A104,BalRowNo,0)),0,OFFSET(BS!$B$1,MATCH(DB!$A104,BalRowNo,0)-1,C$57,1,1))</f>
        <v>7512763</v>
      </c>
      <c r="D104" s="158">
        <f ca="1">IF(ISNA(MATCH(DB!$A104,BalRowNo,0)),0,OFFSET(BS!$B$1,MATCH(DB!$A104,BalRowNo,0)-1,D$57,1,1))</f>
        <v>7303034</v>
      </c>
      <c r="K104" s="210" t="s">
        <v>480</v>
      </c>
    </row>
    <row r="105" spans="1:13" s="174" customFormat="1" ht="23.4" customHeight="1" x14ac:dyDescent="0.3">
      <c r="A105" s="215" t="str">
        <f ca="1">"Chart 9 : "&amp;A106</f>
        <v>Chart 9 : 2023 Current Ratio</v>
      </c>
      <c r="B105" s="180"/>
      <c r="C105" s="224" t="s">
        <v>456</v>
      </c>
      <c r="D105" s="176" t="s">
        <v>445</v>
      </c>
      <c r="E105" s="176" t="s">
        <v>446</v>
      </c>
      <c r="F105" s="179" t="s">
        <v>447</v>
      </c>
      <c r="H105" s="175"/>
      <c r="I105" s="176"/>
      <c r="J105" s="175"/>
      <c r="K105" s="210"/>
      <c r="M105" s="177"/>
    </row>
    <row r="106" spans="1:13" s="158" customFormat="1" ht="23.4" customHeight="1" x14ac:dyDescent="0.3">
      <c r="A106" s="216" t="str">
        <f ca="1">$C$59&amp;" Current Ratio"</f>
        <v>2023 Current Ratio</v>
      </c>
      <c r="C106" s="223">
        <f ca="1">IF(BS!C42=0,0,BS!C20/BS!C42)</f>
        <v>1.3733699382292381</v>
      </c>
      <c r="D106" s="167">
        <f ca="1">IF($C105="V1",(C106/(C106+1))*(100+F106),(100+F106)*(C106/100))</f>
        <v>75.225563909774436</v>
      </c>
      <c r="E106" s="167">
        <f ca="1">(100+F106)-D106</f>
        <v>54.774436090225564</v>
      </c>
      <c r="F106" s="166">
        <v>30</v>
      </c>
      <c r="H106" s="159"/>
      <c r="I106" s="160"/>
      <c r="J106" s="159"/>
      <c r="K106" s="211" t="s">
        <v>481</v>
      </c>
      <c r="M106" s="161"/>
    </row>
    <row r="107" spans="1:13" ht="23.4" customHeight="1" x14ac:dyDescent="0.3">
      <c r="A107" s="215" t="str">
        <f ca="1">"Chart 10 : "&amp;A108</f>
        <v>Chart 10 : 2023 Debt / Equity Ratio</v>
      </c>
      <c r="B107" s="180"/>
      <c r="C107" s="224" t="s">
        <v>456</v>
      </c>
      <c r="D107" s="176" t="s">
        <v>445</v>
      </c>
      <c r="E107" s="176" t="s">
        <v>446</v>
      </c>
      <c r="F107" s="179" t="s">
        <v>447</v>
      </c>
      <c r="K107" s="211"/>
    </row>
    <row r="108" spans="1:13" ht="23.4" customHeight="1" x14ac:dyDescent="0.3">
      <c r="A108" s="216" t="str">
        <f ca="1">$C$59&amp;" Debt / Equity Ratio"</f>
        <v>2023 Debt / Equity Ratio</v>
      </c>
      <c r="B108" s="158"/>
      <c r="C108" s="223">
        <f ca="1">IF(BS!C27=0,0,BS!C43/BS!C27)</f>
        <v>0.43788405232355843</v>
      </c>
      <c r="D108" s="167">
        <f ca="1">IF($C107="V1",(C108/(C108+1))*(100+F108),(100+F108)*(C108/100))</f>
        <v>39.589372112497102</v>
      </c>
      <c r="E108" s="167">
        <f ca="1">(100+F108)-D108</f>
        <v>90.410627887502898</v>
      </c>
      <c r="F108" s="166">
        <v>30</v>
      </c>
      <c r="K108" s="211" t="s">
        <v>481</v>
      </c>
    </row>
    <row r="109" spans="1:13" ht="23.4" customHeight="1" x14ac:dyDescent="0.3">
      <c r="A109" s="215" t="str">
        <f ca="1">"Chart 11 : "&amp;A110</f>
        <v>Chart 11 : 2023 RONA</v>
      </c>
      <c r="B109" s="180"/>
      <c r="C109" s="224" t="s">
        <v>455</v>
      </c>
      <c r="D109" s="176" t="s">
        <v>445</v>
      </c>
      <c r="E109" s="176" t="s">
        <v>446</v>
      </c>
      <c r="F109" s="179" t="s">
        <v>447</v>
      </c>
      <c r="K109" s="211"/>
    </row>
    <row r="110" spans="1:13" ht="23.4" customHeight="1" x14ac:dyDescent="0.3">
      <c r="A110" s="216" t="str">
        <f ca="1">$C$59&amp;" RONA"</f>
        <v>2023 RONA</v>
      </c>
      <c r="B110" s="158"/>
      <c r="C110" s="218">
        <f ca="1">IF(BS!C21-BS!C42=0,0,IS!C38/(BS!C21-BS!C42))*100</f>
        <v>15.805649944110733</v>
      </c>
      <c r="D110" s="167">
        <f ca="1">IF($C109="V1",(C110/(C110+1))*(100+F110),(100+F110)*(C110/100))</f>
        <v>20.547344927343953</v>
      </c>
      <c r="E110" s="167">
        <f ca="1">(100+F110)-D110</f>
        <v>109.45265507265604</v>
      </c>
      <c r="F110" s="166">
        <v>30</v>
      </c>
      <c r="K110" s="211" t="s">
        <v>481</v>
      </c>
    </row>
    <row r="111" spans="1:13" ht="23.4" customHeight="1" x14ac:dyDescent="0.3">
      <c r="K111" s="209"/>
    </row>
    <row r="112" spans="1:13" ht="23.4" customHeight="1" x14ac:dyDescent="0.3">
      <c r="K112" s="209"/>
    </row>
    <row r="113" spans="11:11" ht="23.4" customHeight="1" x14ac:dyDescent="0.3">
      <c r="K113" s="209"/>
    </row>
    <row r="114" spans="11:11" ht="23.4" customHeight="1" x14ac:dyDescent="0.3">
      <c r="K114" s="209"/>
    </row>
    <row r="115" spans="11:11" ht="23.4" customHeight="1" x14ac:dyDescent="0.3">
      <c r="K115" s="209"/>
    </row>
    <row r="116" spans="11:11" ht="23.4" customHeight="1" x14ac:dyDescent="0.3">
      <c r="K116" s="209"/>
    </row>
    <row r="117" spans="11:11" ht="23.4" customHeight="1" x14ac:dyDescent="0.3">
      <c r="K117" s="209"/>
    </row>
    <row r="118" spans="11:11" ht="23.4" customHeight="1" x14ac:dyDescent="0.3">
      <c r="K118" s="209"/>
    </row>
    <row r="119" spans="11:11" ht="23.4" customHeight="1" x14ac:dyDescent="0.3">
      <c r="K119" s="209"/>
    </row>
    <row r="120" spans="11:11" ht="23.4" customHeight="1" x14ac:dyDescent="0.3">
      <c r="K120" s="209"/>
    </row>
  </sheetData>
  <mergeCells count="34">
    <mergeCell ref="B31:D38"/>
    <mergeCell ref="G31:K32"/>
    <mergeCell ref="G14:G21"/>
    <mergeCell ref="H14:K21"/>
    <mergeCell ref="B22:E23"/>
    <mergeCell ref="F22:K23"/>
    <mergeCell ref="G24:I24"/>
    <mergeCell ref="C2:F3"/>
    <mergeCell ref="B2:B5"/>
    <mergeCell ref="C4:F5"/>
    <mergeCell ref="G2:K3"/>
    <mergeCell ref="E6:F13"/>
    <mergeCell ref="B6:D13"/>
    <mergeCell ref="E48:F48"/>
    <mergeCell ref="E49:F49"/>
    <mergeCell ref="G39:G46"/>
    <mergeCell ref="H39:K46"/>
    <mergeCell ref="I50:K50"/>
    <mergeCell ref="E31:F32"/>
    <mergeCell ref="E34:F35"/>
    <mergeCell ref="B39:D40"/>
    <mergeCell ref="E39:F46"/>
    <mergeCell ref="I51:K51"/>
    <mergeCell ref="G51:H51"/>
    <mergeCell ref="E51:F51"/>
    <mergeCell ref="E50:F50"/>
    <mergeCell ref="G47:H47"/>
    <mergeCell ref="G48:H48"/>
    <mergeCell ref="G49:H49"/>
    <mergeCell ref="G50:H50"/>
    <mergeCell ref="I47:K47"/>
    <mergeCell ref="I48:K48"/>
    <mergeCell ref="I49:K49"/>
    <mergeCell ref="E47:F47"/>
  </mergeCells>
  <conditionalFormatting sqref="H5:H12">
    <cfRule type="expression" dxfId="6" priority="3">
      <formula>I5&lt;0</formula>
    </cfRule>
    <cfRule type="expression" dxfId="5" priority="4">
      <formula>I5&gt;0</formula>
    </cfRule>
  </conditionalFormatting>
  <conditionalFormatting sqref="J5:J12">
    <cfRule type="expression" dxfId="4" priority="1">
      <formula>K5&lt;0</formula>
    </cfRule>
    <cfRule type="expression" dxfId="3" priority="2">
      <formula>K5&gt;0</formula>
    </cfRule>
  </conditionalFormatting>
  <dataValidations count="2">
    <dataValidation type="list" allowBlank="1" showInputMessage="1" showErrorMessage="1" sqref="G24" xr:uid="{DA6A78F3-09B3-4E05-9246-B69E3D3C1FC1}">
      <formula1>ExpenseList</formula1>
    </dataValidation>
    <dataValidation type="list" allowBlank="1" showInputMessage="1" showErrorMessage="1" sqref="C107 C66 C109 C70 C105" xr:uid="{DCCB5392-2F38-4724-BA0E-6C94B4D8BDE3}">
      <formula1>"%,V1"</formula1>
    </dataValidation>
  </dataValidations>
  <pageMargins left="0.70866141732283472" right="0.70866141732283472" top="0.74803149606299213" bottom="0.74803149606299213" header="0.31496062992125984" footer="0.31496062992125984"/>
  <pageSetup paperSize="9" scale="46" orientation="portrait" r:id="rId1"/>
  <ignoredErrors>
    <ignoredError sqref="I5:I12"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9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2.6328125" style="11" customWidth="1"/>
    <col min="2" max="2" width="45.81640625" style="11" customWidth="1"/>
    <col min="3" max="3" width="16.6328125" style="23" customWidth="1"/>
    <col min="4" max="4" width="16.6328125" style="18" customWidth="1"/>
    <col min="5" max="5" width="15.6328125" style="23" customWidth="1"/>
    <col min="6" max="15" width="15.6328125" style="11" customWidth="1"/>
    <col min="16" max="16384" width="9.08984375" style="11"/>
  </cols>
  <sheetData>
    <row r="1" spans="1:5" ht="16" customHeight="1" x14ac:dyDescent="0.3">
      <c r="A1" s="7" t="str">
        <f>IF(ISBLANK(Setup!$B$4),"Example (Pty) Limited",Setup!$B$4)</f>
        <v>Example (Pty) Limited</v>
      </c>
      <c r="B1" s="52"/>
      <c r="C1" s="51"/>
    </row>
    <row r="2" spans="1:5" ht="16" customHeight="1" x14ac:dyDescent="0.25">
      <c r="A2" s="12" t="s">
        <v>99</v>
      </c>
      <c r="B2" s="12"/>
      <c r="C2" s="83"/>
    </row>
    <row r="3" spans="1:5" ht="16" customHeight="1" x14ac:dyDescent="0.25">
      <c r="A3" s="13" t="s">
        <v>56</v>
      </c>
      <c r="B3" s="13"/>
      <c r="C3" s="23" cm="1">
        <f t="array" aca="1" ref="C3" ca="1">SUBTOTAL(109,OFFSET(C4,1,0,CheckRowCount,1))</f>
        <v>0</v>
      </c>
      <c r="D3" s="18" t="str">
        <f ca="1">IF(ROUND(C3,2)&lt;&gt;0,"error!","ok")</f>
        <v>ok</v>
      </c>
      <c r="E3" s="23" cm="1">
        <f t="array" aca="1" ref="E3" ca="1">SUBTOTAL(109,OFFSET(E4,1,0,CheckRowCount,1))</f>
        <v>0</v>
      </c>
    </row>
    <row r="4" spans="1:5" s="36" customFormat="1" ht="18" customHeight="1" x14ac:dyDescent="0.25">
      <c r="A4" s="19" t="s">
        <v>33</v>
      </c>
      <c r="B4" s="19" t="s">
        <v>6</v>
      </c>
      <c r="C4" s="26" t="s">
        <v>97</v>
      </c>
      <c r="D4" s="20" t="s">
        <v>98</v>
      </c>
      <c r="E4" s="38" t="s">
        <v>97</v>
      </c>
    </row>
    <row r="5" spans="1:5" ht="16" customHeight="1" x14ac:dyDescent="0.25">
      <c r="A5" s="11" t="s">
        <v>246</v>
      </c>
      <c r="B5" s="11" t="s">
        <v>108</v>
      </c>
      <c r="C5" s="23">
        <v>2400000</v>
      </c>
      <c r="D5" s="84" t="str">
        <f ca="1">IF(OFFSET(TB!$C$4,ROW($A5)-ROW($A$4),0,1,1)=$A5,"ok","error!")</f>
        <v>ok</v>
      </c>
      <c r="E5" s="23">
        <f>ROUND(C5,0)</f>
        <v>2400000</v>
      </c>
    </row>
    <row r="6" spans="1:5" ht="16" customHeight="1" x14ac:dyDescent="0.25">
      <c r="A6" s="11" t="s">
        <v>247</v>
      </c>
      <c r="B6" s="11" t="s">
        <v>109</v>
      </c>
      <c r="C6" s="23">
        <v>1546045</v>
      </c>
      <c r="D6" s="84" t="str">
        <f ca="1">IF(OFFSET(TB!$C$4,ROW($A6)-ROW($A$4),0,1,1)=$A6,"ok","error!")</f>
        <v>ok</v>
      </c>
      <c r="E6" s="23">
        <f t="shared" ref="E6:E69" si="0">ROUND(C6,0)</f>
        <v>1546045</v>
      </c>
    </row>
    <row r="7" spans="1:5" ht="16" customHeight="1" x14ac:dyDescent="0.25">
      <c r="A7" s="11" t="s">
        <v>248</v>
      </c>
      <c r="B7" s="11" t="s">
        <v>110</v>
      </c>
      <c r="C7" s="23">
        <v>410000</v>
      </c>
      <c r="D7" s="84" t="str">
        <f ca="1">IF(OFFSET(TB!$C$4,ROW($A7)-ROW($A$4),0,1,1)=$A7,"ok","error!")</f>
        <v>ok</v>
      </c>
      <c r="E7" s="23">
        <f t="shared" si="0"/>
        <v>410000</v>
      </c>
    </row>
    <row r="8" spans="1:5" ht="16" customHeight="1" x14ac:dyDescent="0.25">
      <c r="A8" s="11" t="s">
        <v>249</v>
      </c>
      <c r="B8" s="11" t="s">
        <v>250</v>
      </c>
      <c r="C8" s="23">
        <v>240000</v>
      </c>
      <c r="D8" s="84" t="str">
        <f ca="1">IF(OFFSET(TB!$C$4,ROW($A8)-ROW($A$4),0,1,1)=$A8,"ok","error!")</f>
        <v>ok</v>
      </c>
      <c r="E8" s="23">
        <f t="shared" si="0"/>
        <v>240000</v>
      </c>
    </row>
    <row r="9" spans="1:5" ht="16" customHeight="1" x14ac:dyDescent="0.25">
      <c r="A9" s="11" t="s">
        <v>251</v>
      </c>
      <c r="B9" s="11" t="s">
        <v>252</v>
      </c>
      <c r="C9" s="23">
        <v>165500</v>
      </c>
      <c r="D9" s="84" t="str">
        <f ca="1">IF(OFFSET(TB!$C$4,ROW($A9)-ROW($A$4),0,1,1)=$A9,"ok","error!")</f>
        <v>ok</v>
      </c>
      <c r="E9" s="23">
        <f t="shared" si="0"/>
        <v>165500</v>
      </c>
    </row>
    <row r="10" spans="1:5" ht="16" customHeight="1" x14ac:dyDescent="0.25">
      <c r="A10" s="11" t="s">
        <v>253</v>
      </c>
      <c r="B10" s="11" t="s">
        <v>254</v>
      </c>
      <c r="C10" s="23">
        <v>452000</v>
      </c>
      <c r="D10" s="84" t="str">
        <f ca="1">IF(OFFSET(TB!$C$4,ROW($A10)-ROW($A$4),0,1,1)=$A10,"ok","error!")</f>
        <v>ok</v>
      </c>
      <c r="E10" s="23">
        <f t="shared" si="0"/>
        <v>452000</v>
      </c>
    </row>
    <row r="11" spans="1:5" ht="16" customHeight="1" x14ac:dyDescent="0.25">
      <c r="A11" s="11" t="s">
        <v>255</v>
      </c>
      <c r="B11" s="11" t="s">
        <v>111</v>
      </c>
      <c r="C11" s="23">
        <v>0</v>
      </c>
      <c r="D11" s="84" t="str">
        <f ca="1">IF(OFFSET(TB!$C$4,ROW($A11)-ROW($A$4),0,1,1)=$A11,"ok","error!")</f>
        <v>ok</v>
      </c>
      <c r="E11" s="23">
        <f t="shared" si="0"/>
        <v>0</v>
      </c>
    </row>
    <row r="12" spans="1:5" ht="16" customHeight="1" x14ac:dyDescent="0.25">
      <c r="A12" s="11" t="s">
        <v>256</v>
      </c>
      <c r="B12" s="11" t="s">
        <v>112</v>
      </c>
      <c r="C12" s="23">
        <v>-1051018</v>
      </c>
      <c r="D12" s="84" t="str">
        <f ca="1">IF(OFFSET(TB!$C$4,ROW($A12)-ROW($A$4),0,1,1)=$A12,"ok","error!")</f>
        <v>ok</v>
      </c>
      <c r="E12" s="23">
        <f t="shared" si="0"/>
        <v>-1051018</v>
      </c>
    </row>
    <row r="13" spans="1:5" ht="16" customHeight="1" x14ac:dyDescent="0.25">
      <c r="A13" s="11" t="s">
        <v>257</v>
      </c>
      <c r="B13" s="11" t="s">
        <v>113</v>
      </c>
      <c r="C13" s="23">
        <v>-224700</v>
      </c>
      <c r="D13" s="84" t="str">
        <f ca="1">IF(OFFSET(TB!$C$4,ROW($A13)-ROW($A$4),0,1,1)=$A13,"ok","error!")</f>
        <v>ok</v>
      </c>
      <c r="E13" s="23">
        <f t="shared" si="0"/>
        <v>-224700</v>
      </c>
    </row>
    <row r="14" spans="1:5" ht="16" customHeight="1" x14ac:dyDescent="0.25">
      <c r="A14" s="11" t="s">
        <v>258</v>
      </c>
      <c r="B14" s="11" t="s">
        <v>259</v>
      </c>
      <c r="C14" s="23">
        <v>-186980</v>
      </c>
      <c r="D14" s="84" t="str">
        <f ca="1">IF(OFFSET(TB!$C$4,ROW($A14)-ROW($A$4),0,1,1)=$A14,"ok","error!")</f>
        <v>ok</v>
      </c>
      <c r="E14" s="23">
        <f t="shared" si="0"/>
        <v>-186980</v>
      </c>
    </row>
    <row r="15" spans="1:5" ht="16" customHeight="1" x14ac:dyDescent="0.25">
      <c r="A15" s="11" t="s">
        <v>260</v>
      </c>
      <c r="B15" s="11" t="s">
        <v>261</v>
      </c>
      <c r="C15" s="23">
        <v>-145550</v>
      </c>
      <c r="D15" s="84" t="str">
        <f ca="1">IF(OFFSET(TB!$C$4,ROW($A15)-ROW($A$4),0,1,1)=$A15,"ok","error!")</f>
        <v>ok</v>
      </c>
      <c r="E15" s="23">
        <f t="shared" si="0"/>
        <v>-145550</v>
      </c>
    </row>
    <row r="16" spans="1:5" ht="16" customHeight="1" x14ac:dyDescent="0.25">
      <c r="A16" s="11" t="s">
        <v>262</v>
      </c>
      <c r="B16" s="11" t="s">
        <v>263</v>
      </c>
      <c r="C16" s="23">
        <v>-56500</v>
      </c>
      <c r="D16" s="84" t="str">
        <f ca="1">IF(OFFSET(TB!$C$4,ROW($A16)-ROW($A$4),0,1,1)=$A16,"ok","error!")</f>
        <v>ok</v>
      </c>
      <c r="E16" s="23">
        <f t="shared" si="0"/>
        <v>-56500</v>
      </c>
    </row>
    <row r="17" spans="1:5" ht="16" customHeight="1" x14ac:dyDescent="0.25">
      <c r="A17" s="11" t="s">
        <v>264</v>
      </c>
      <c r="B17" s="11" t="s">
        <v>114</v>
      </c>
      <c r="C17" s="23">
        <v>500000</v>
      </c>
      <c r="D17" s="84" t="str">
        <f ca="1">IF(OFFSET(TB!$C$4,ROW($A17)-ROW($A$4),0,1,1)=$A17,"ok","error!")</f>
        <v>ok</v>
      </c>
      <c r="E17" s="23">
        <f t="shared" si="0"/>
        <v>500000</v>
      </c>
    </row>
    <row r="18" spans="1:5" ht="16" customHeight="1" x14ac:dyDescent="0.25">
      <c r="A18" s="11" t="s">
        <v>265</v>
      </c>
      <c r="B18" s="11" t="s">
        <v>115</v>
      </c>
      <c r="C18" s="23">
        <v>390500</v>
      </c>
      <c r="D18" s="84" t="str">
        <f ca="1">IF(OFFSET(TB!$C$4,ROW($A18)-ROW($A$4),0,1,1)=$A18,"ok","error!")</f>
        <v>ok</v>
      </c>
      <c r="E18" s="23">
        <f t="shared" si="0"/>
        <v>390500</v>
      </c>
    </row>
    <row r="19" spans="1:5" ht="16" customHeight="1" x14ac:dyDescent="0.25">
      <c r="A19" s="11" t="s">
        <v>266</v>
      </c>
      <c r="B19" s="11" t="s">
        <v>116</v>
      </c>
      <c r="C19" s="23">
        <v>150000</v>
      </c>
      <c r="D19" s="84" t="str">
        <f ca="1">IF(OFFSET(TB!$C$4,ROW($A19)-ROW($A$4),0,1,1)=$A19,"ok","error!")</f>
        <v>ok</v>
      </c>
      <c r="E19" s="23">
        <f t="shared" si="0"/>
        <v>150000</v>
      </c>
    </row>
    <row r="20" spans="1:5" ht="16" customHeight="1" x14ac:dyDescent="0.25">
      <c r="A20" s="11" t="s">
        <v>267</v>
      </c>
      <c r="B20" s="11" t="s">
        <v>117</v>
      </c>
      <c r="C20" s="23">
        <v>-200000</v>
      </c>
      <c r="D20" s="84" t="str">
        <f ca="1">IF(OFFSET(TB!$C$4,ROW($A20)-ROW($A$4),0,1,1)=$A20,"ok","error!")</f>
        <v>ok</v>
      </c>
      <c r="E20" s="23">
        <f t="shared" si="0"/>
        <v>-200000</v>
      </c>
    </row>
    <row r="21" spans="1:5" ht="16" customHeight="1" x14ac:dyDescent="0.25">
      <c r="A21" s="11" t="s">
        <v>268</v>
      </c>
      <c r="B21" s="11" t="s">
        <v>118</v>
      </c>
      <c r="C21" s="23">
        <v>-156200</v>
      </c>
      <c r="D21" s="84" t="str">
        <f ca="1">IF(OFFSET(TB!$C$4,ROW($A21)-ROW($A$4),0,1,1)=$A21,"ok","error!")</f>
        <v>ok</v>
      </c>
      <c r="E21" s="23">
        <f t="shared" si="0"/>
        <v>-156200</v>
      </c>
    </row>
    <row r="22" spans="1:5" ht="16" customHeight="1" x14ac:dyDescent="0.25">
      <c r="A22" s="11" t="s">
        <v>269</v>
      </c>
      <c r="B22" s="11" t="s">
        <v>119</v>
      </c>
      <c r="C22" s="23">
        <v>-60000</v>
      </c>
      <c r="D22" s="84" t="str">
        <f ca="1">IF(OFFSET(TB!$C$4,ROW($A22)-ROW($A$4),0,1,1)=$A22,"ok","error!")</f>
        <v>ok</v>
      </c>
      <c r="E22" s="23">
        <f t="shared" si="0"/>
        <v>-60000</v>
      </c>
    </row>
    <row r="23" spans="1:5" ht="16" customHeight="1" x14ac:dyDescent="0.25">
      <c r="A23" s="11" t="s">
        <v>270</v>
      </c>
      <c r="B23" s="11" t="s">
        <v>271</v>
      </c>
      <c r="C23" s="23">
        <v>802500</v>
      </c>
      <c r="D23" s="84" t="str">
        <f ca="1">IF(OFFSET(TB!$C$4,ROW($A23)-ROW($A$4),0,1,1)=$A23,"ok","error!")</f>
        <v>ok</v>
      </c>
      <c r="E23" s="23">
        <f t="shared" si="0"/>
        <v>802500</v>
      </c>
    </row>
    <row r="24" spans="1:5" ht="16" customHeight="1" x14ac:dyDescent="0.25">
      <c r="A24" s="11" t="s">
        <v>272</v>
      </c>
      <c r="B24" s="11" t="s">
        <v>273</v>
      </c>
      <c r="C24" s="23">
        <v>1500000</v>
      </c>
      <c r="D24" s="84" t="str">
        <f ca="1">IF(OFFSET(TB!$C$4,ROW($A24)-ROW($A$4),0,1,1)=$A24,"ok","error!")</f>
        <v>ok</v>
      </c>
      <c r="E24" s="23">
        <f t="shared" si="0"/>
        <v>1500000</v>
      </c>
    </row>
    <row r="25" spans="1:5" ht="16" customHeight="1" x14ac:dyDescent="0.25">
      <c r="A25" s="11" t="s">
        <v>274</v>
      </c>
      <c r="B25" s="11" t="s">
        <v>275</v>
      </c>
      <c r="C25" s="23">
        <v>60000</v>
      </c>
      <c r="D25" s="84" t="str">
        <f ca="1">IF(OFFSET(TB!$C$4,ROW($A25)-ROW($A$4),0,1,1)=$A25,"ok","error!")</f>
        <v>ok</v>
      </c>
      <c r="E25" s="23">
        <f t="shared" si="0"/>
        <v>60000</v>
      </c>
    </row>
    <row r="26" spans="1:5" ht="16" customHeight="1" x14ac:dyDescent="0.25">
      <c r="A26" s="11" t="s">
        <v>276</v>
      </c>
      <c r="B26" s="11" t="s">
        <v>277</v>
      </c>
      <c r="C26" s="23">
        <v>0</v>
      </c>
      <c r="D26" s="84" t="str">
        <f ca="1">IF(OFFSET(TB!$C$4,ROW($A26)-ROW($A$4),0,1,1)=$A26,"ok","error!")</f>
        <v>ok</v>
      </c>
      <c r="E26" s="23">
        <f t="shared" si="0"/>
        <v>0</v>
      </c>
    </row>
    <row r="27" spans="1:5" ht="16" customHeight="1" x14ac:dyDescent="0.25">
      <c r="A27" s="11" t="s">
        <v>278</v>
      </c>
      <c r="B27" s="11" t="s">
        <v>279</v>
      </c>
      <c r="C27" s="23">
        <v>0</v>
      </c>
      <c r="D27" s="84" t="str">
        <f ca="1">IF(OFFSET(TB!$C$4,ROW($A27)-ROW($A$4),0,1,1)=$A27,"ok","error!")</f>
        <v>ok</v>
      </c>
      <c r="E27" s="23">
        <f t="shared" si="0"/>
        <v>0</v>
      </c>
    </row>
    <row r="28" spans="1:5" ht="16" customHeight="1" x14ac:dyDescent="0.25">
      <c r="A28" s="11" t="s">
        <v>280</v>
      </c>
      <c r="B28" s="11" t="s">
        <v>281</v>
      </c>
      <c r="C28" s="23">
        <v>0</v>
      </c>
      <c r="D28" s="84" t="str">
        <f ca="1">IF(OFFSET(TB!$C$4,ROW($A28)-ROW($A$4),0,1,1)=$A28,"ok","error!")</f>
        <v>ok</v>
      </c>
      <c r="E28" s="23">
        <f t="shared" si="0"/>
        <v>0</v>
      </c>
    </row>
    <row r="29" spans="1:5" ht="16" customHeight="1" x14ac:dyDescent="0.25">
      <c r="A29" s="11" t="s">
        <v>282</v>
      </c>
      <c r="B29" s="11" t="s">
        <v>121</v>
      </c>
      <c r="C29" s="23">
        <v>24000</v>
      </c>
      <c r="D29" s="84" t="str">
        <f ca="1">IF(OFFSET(TB!$C$4,ROW($A29)-ROW($A$4),0,1,1)=$A29,"ok","error!")</f>
        <v>ok</v>
      </c>
      <c r="E29" s="23">
        <f t="shared" si="0"/>
        <v>24000</v>
      </c>
    </row>
    <row r="30" spans="1:5" ht="16" customHeight="1" x14ac:dyDescent="0.25">
      <c r="A30" s="11" t="s">
        <v>283</v>
      </c>
      <c r="B30" s="11" t="s">
        <v>122</v>
      </c>
      <c r="C30" s="23">
        <v>85200</v>
      </c>
      <c r="D30" s="84" t="str">
        <f ca="1">IF(OFFSET(TB!$C$4,ROW($A30)-ROW($A$4),0,1,1)=$A30,"ok","error!")</f>
        <v>ok</v>
      </c>
      <c r="E30" s="23">
        <f t="shared" si="0"/>
        <v>85200</v>
      </c>
    </row>
    <row r="31" spans="1:5" ht="16" customHeight="1" x14ac:dyDescent="0.25">
      <c r="A31" s="11" t="s">
        <v>284</v>
      </c>
      <c r="B31" s="11" t="s">
        <v>123</v>
      </c>
      <c r="C31" s="23">
        <v>22653</v>
      </c>
      <c r="D31" s="84" t="str">
        <f ca="1">IF(OFFSET(TB!$C$4,ROW($A31)-ROW($A$4),0,1,1)=$A31,"ok","error!")</f>
        <v>ok</v>
      </c>
      <c r="E31" s="23">
        <f t="shared" si="0"/>
        <v>22653</v>
      </c>
    </row>
    <row r="32" spans="1:5" ht="16" customHeight="1" x14ac:dyDescent="0.25">
      <c r="A32" s="11" t="s">
        <v>285</v>
      </c>
      <c r="B32" s="11" t="s">
        <v>124</v>
      </c>
      <c r="C32" s="23">
        <v>0</v>
      </c>
      <c r="D32" s="84" t="str">
        <f ca="1">IF(OFFSET(TB!$C$4,ROW($A32)-ROW($A$4),0,1,1)=$A32,"ok","error!")</f>
        <v>ok</v>
      </c>
      <c r="E32" s="23">
        <f t="shared" si="0"/>
        <v>0</v>
      </c>
    </row>
    <row r="33" spans="1:5" ht="16" customHeight="1" x14ac:dyDescent="0.25">
      <c r="A33" s="11" t="s">
        <v>286</v>
      </c>
      <c r="B33" s="11" t="s">
        <v>120</v>
      </c>
      <c r="C33" s="23">
        <v>0</v>
      </c>
      <c r="D33" s="84" t="str">
        <f ca="1">IF(OFFSET(TB!$C$4,ROW($A33)-ROW($A$4),0,1,1)=$A33,"ok","error!")</f>
        <v>ok</v>
      </c>
      <c r="E33" s="23">
        <f t="shared" si="0"/>
        <v>0</v>
      </c>
    </row>
    <row r="34" spans="1:5" ht="16" customHeight="1" x14ac:dyDescent="0.25">
      <c r="A34" s="11" t="s">
        <v>287</v>
      </c>
      <c r="B34" s="11" t="s">
        <v>125</v>
      </c>
      <c r="C34" s="23">
        <v>-90365</v>
      </c>
      <c r="D34" s="84" t="str">
        <f ca="1">IF(OFFSET(TB!$C$4,ROW($A34)-ROW($A$4),0,1,1)=$A34,"ok","error!")</f>
        <v>ok</v>
      </c>
      <c r="E34" s="23">
        <f t="shared" si="0"/>
        <v>-90365</v>
      </c>
    </row>
    <row r="35" spans="1:5" ht="16" customHeight="1" x14ac:dyDescent="0.25">
      <c r="A35" s="11" t="s">
        <v>288</v>
      </c>
      <c r="B35" s="11" t="s">
        <v>289</v>
      </c>
      <c r="C35" s="23">
        <v>-20572</v>
      </c>
      <c r="D35" s="84" t="str">
        <f ca="1">IF(OFFSET(TB!$C$4,ROW($A35)-ROW($A$4),0,1,1)=$A35,"ok","error!")</f>
        <v>ok</v>
      </c>
      <c r="E35" s="23">
        <f t="shared" si="0"/>
        <v>-20572</v>
      </c>
    </row>
    <row r="36" spans="1:5" ht="16" customHeight="1" x14ac:dyDescent="0.25">
      <c r="A36" s="11" t="s">
        <v>290</v>
      </c>
      <c r="B36" s="11" t="s">
        <v>93</v>
      </c>
      <c r="C36" s="23">
        <v>-16185</v>
      </c>
      <c r="D36" s="84" t="str">
        <f ca="1">IF(OFFSET(TB!$C$4,ROW($A36)-ROW($A$4),0,1,1)=$A36,"ok","error!")</f>
        <v>ok</v>
      </c>
      <c r="E36" s="23">
        <f t="shared" si="0"/>
        <v>-16185</v>
      </c>
    </row>
    <row r="37" spans="1:5" ht="16" customHeight="1" x14ac:dyDescent="0.25">
      <c r="A37" s="11" t="s">
        <v>291</v>
      </c>
      <c r="B37" s="11" t="s">
        <v>94</v>
      </c>
      <c r="C37" s="23">
        <v>-150000</v>
      </c>
      <c r="D37" s="84" t="str">
        <f ca="1">IF(OFFSET(TB!$C$4,ROW($A37)-ROW($A$4),0,1,1)=$A37,"ok","error!")</f>
        <v>ok</v>
      </c>
      <c r="E37" s="23">
        <f t="shared" si="0"/>
        <v>-150000</v>
      </c>
    </row>
    <row r="38" spans="1:5" ht="16" customHeight="1" x14ac:dyDescent="0.25">
      <c r="A38" s="11" t="s">
        <v>292</v>
      </c>
      <c r="B38" s="11" t="s">
        <v>293</v>
      </c>
      <c r="C38" s="23">
        <v>-215724</v>
      </c>
      <c r="D38" s="84" t="str">
        <f ca="1">IF(OFFSET(TB!$C$4,ROW($A38)-ROW($A$4),0,1,1)=$A38,"ok","error!")</f>
        <v>ok</v>
      </c>
      <c r="E38" s="23">
        <f t="shared" si="0"/>
        <v>-215724</v>
      </c>
    </row>
    <row r="39" spans="1:5" ht="16" customHeight="1" x14ac:dyDescent="0.25">
      <c r="A39" s="11" t="s">
        <v>294</v>
      </c>
      <c r="B39" s="11" t="s">
        <v>237</v>
      </c>
      <c r="C39" s="23">
        <v>-214823</v>
      </c>
      <c r="D39" s="84" t="str">
        <f ca="1">IF(OFFSET(TB!$C$4,ROW($A39)-ROW($A$4),0,1,1)=$A39,"ok","error!")</f>
        <v>ok</v>
      </c>
      <c r="E39" s="23">
        <f t="shared" si="0"/>
        <v>-214823</v>
      </c>
    </row>
    <row r="40" spans="1:5" ht="16" customHeight="1" x14ac:dyDescent="0.25">
      <c r="A40" s="11" t="s">
        <v>295</v>
      </c>
      <c r="B40" s="11" t="s">
        <v>296</v>
      </c>
      <c r="C40" s="23">
        <v>-75891</v>
      </c>
      <c r="D40" s="84" t="str">
        <f ca="1">IF(OFFSET(TB!$C$4,ROW($A40)-ROW($A$4),0,1,1)=$A40,"ok","error!")</f>
        <v>ok</v>
      </c>
      <c r="E40" s="23">
        <f t="shared" si="0"/>
        <v>-75891</v>
      </c>
    </row>
    <row r="41" spans="1:5" ht="16" customHeight="1" x14ac:dyDescent="0.25">
      <c r="A41" s="11" t="s">
        <v>297</v>
      </c>
      <c r="B41" s="11" t="s">
        <v>298</v>
      </c>
      <c r="C41" s="23">
        <v>-604187</v>
      </c>
      <c r="D41" s="84" t="str">
        <f ca="1">IF(OFFSET(TB!$C$4,ROW($A41)-ROW($A$4),0,1,1)=$A41,"ok","error!")</f>
        <v>ok</v>
      </c>
      <c r="E41" s="23">
        <f t="shared" si="0"/>
        <v>-604187</v>
      </c>
    </row>
    <row r="42" spans="1:5" ht="16" customHeight="1" x14ac:dyDescent="0.25">
      <c r="A42" s="11" t="s">
        <v>299</v>
      </c>
      <c r="B42" s="11" t="s">
        <v>300</v>
      </c>
      <c r="C42" s="23">
        <v>-661805</v>
      </c>
      <c r="D42" s="84" t="str">
        <f ca="1">IF(OFFSET(TB!$C$4,ROW($A42)-ROW($A$4),0,1,1)=$A42,"ok","error!")</f>
        <v>ok</v>
      </c>
      <c r="E42" s="23">
        <f t="shared" si="0"/>
        <v>-661805</v>
      </c>
    </row>
    <row r="43" spans="1:5" ht="16" customHeight="1" x14ac:dyDescent="0.25">
      <c r="A43" s="11" t="s">
        <v>301</v>
      </c>
      <c r="B43" s="11" t="s">
        <v>126</v>
      </c>
      <c r="C43" s="23">
        <v>-416240</v>
      </c>
      <c r="D43" s="84" t="str">
        <f ca="1">IF(OFFSET(TB!$C$4,ROW($A43)-ROW($A$4),0,1,1)=$A43,"ok","error!")</f>
        <v>ok</v>
      </c>
      <c r="E43" s="23">
        <f t="shared" si="0"/>
        <v>-416240</v>
      </c>
    </row>
    <row r="44" spans="1:5" ht="16" customHeight="1" x14ac:dyDescent="0.25">
      <c r="A44" s="11" t="s">
        <v>302</v>
      </c>
      <c r="B44" s="11" t="s">
        <v>303</v>
      </c>
      <c r="C44" s="23">
        <v>0</v>
      </c>
      <c r="D44" s="84" t="str">
        <f ca="1">IF(OFFSET(TB!$C$4,ROW($A44)-ROW($A$4),0,1,1)=$A44,"ok","error!")</f>
        <v>ok</v>
      </c>
      <c r="E44" s="23">
        <f t="shared" si="0"/>
        <v>0</v>
      </c>
    </row>
    <row r="45" spans="1:5" ht="16" customHeight="1" x14ac:dyDescent="0.25">
      <c r="A45" s="11" t="s">
        <v>304</v>
      </c>
      <c r="B45" s="11" t="s">
        <v>305</v>
      </c>
      <c r="C45" s="23">
        <v>-1000</v>
      </c>
      <c r="D45" s="84" t="str">
        <f ca="1">IF(OFFSET(TB!$C$4,ROW($A45)-ROW($A$4),0,1,1)=$A45,"ok","error!")</f>
        <v>ok</v>
      </c>
      <c r="E45" s="23">
        <f t="shared" si="0"/>
        <v>-1000</v>
      </c>
    </row>
    <row r="46" spans="1:5" ht="16" customHeight="1" x14ac:dyDescent="0.25">
      <c r="A46" s="11" t="s">
        <v>306</v>
      </c>
      <c r="B46" s="11" t="s">
        <v>127</v>
      </c>
      <c r="C46" s="23">
        <v>33790</v>
      </c>
      <c r="D46" s="84" t="str">
        <f ca="1">IF(OFFSET(TB!$C$4,ROW($A46)-ROW($A$4),0,1,1)=$A46,"ok","error!")</f>
        <v>ok</v>
      </c>
      <c r="E46" s="23">
        <f t="shared" si="0"/>
        <v>33790</v>
      </c>
    </row>
    <row r="47" spans="1:5" ht="16" customHeight="1" x14ac:dyDescent="0.25">
      <c r="A47" s="11" t="s">
        <v>307</v>
      </c>
      <c r="B47" s="11" t="s">
        <v>308</v>
      </c>
      <c r="C47" s="23">
        <v>-4370245</v>
      </c>
      <c r="D47" s="84" t="str">
        <f ca="1">IF(OFFSET(TB!$C$4,ROW($A47)-ROW($A$4),0,1,1)=$A47,"ok","error!")</f>
        <v>ok</v>
      </c>
      <c r="E47" s="23">
        <f t="shared" si="0"/>
        <v>-4370245</v>
      </c>
    </row>
    <row r="48" spans="1:5" ht="16" customHeight="1" x14ac:dyDescent="0.25">
      <c r="A48" s="11" t="s">
        <v>309</v>
      </c>
      <c r="B48" s="11" t="s">
        <v>310</v>
      </c>
      <c r="C48" s="23">
        <v>-2541378</v>
      </c>
      <c r="D48" s="84" t="str">
        <f ca="1">IF(OFFSET(TB!$C$4,ROW($A48)-ROW($A$4),0,1,1)=$A48,"ok","error!")</f>
        <v>ok</v>
      </c>
      <c r="E48" s="23">
        <f t="shared" si="0"/>
        <v>-2541378</v>
      </c>
    </row>
    <row r="49" spans="1:5" ht="16" customHeight="1" x14ac:dyDescent="0.25">
      <c r="A49" s="11" t="s">
        <v>311</v>
      </c>
      <c r="B49" s="11" t="s">
        <v>312</v>
      </c>
      <c r="C49" s="23">
        <v>1966610</v>
      </c>
      <c r="D49" s="84" t="str">
        <f ca="1">IF(OFFSET(TB!$C$4,ROW($A49)-ROW($A$4),0,1,1)=$A49,"ok","error!")</f>
        <v>ok</v>
      </c>
      <c r="E49" s="23">
        <f t="shared" si="0"/>
        <v>1966610</v>
      </c>
    </row>
    <row r="50" spans="1:5" ht="16" customHeight="1" x14ac:dyDescent="0.25">
      <c r="A50" s="11" t="s">
        <v>313</v>
      </c>
      <c r="B50" s="11" t="s">
        <v>314</v>
      </c>
      <c r="C50" s="23">
        <v>914965</v>
      </c>
      <c r="D50" s="84" t="str">
        <f ca="1">IF(OFFSET(TB!$C$4,ROW($A50)-ROW($A$4),0,1,1)=$A50,"ok","error!")</f>
        <v>ok</v>
      </c>
      <c r="E50" s="23">
        <f t="shared" si="0"/>
        <v>914965</v>
      </c>
    </row>
    <row r="51" spans="1:5" ht="16" customHeight="1" x14ac:dyDescent="0.25">
      <c r="A51" s="11" t="s">
        <v>315</v>
      </c>
      <c r="B51" s="11" t="s">
        <v>316</v>
      </c>
      <c r="C51" s="23">
        <v>0</v>
      </c>
      <c r="D51" s="84" t="str">
        <f ca="1">IF(OFFSET(TB!$C$4,ROW($A51)-ROW($A$4),0,1,1)=$A51,"ok","error!")</f>
        <v>ok</v>
      </c>
      <c r="E51" s="23">
        <f t="shared" si="0"/>
        <v>0</v>
      </c>
    </row>
    <row r="52" spans="1:5" ht="16" customHeight="1" x14ac:dyDescent="0.25">
      <c r="A52" s="11" t="s">
        <v>317</v>
      </c>
      <c r="B52" s="11" t="s">
        <v>64</v>
      </c>
      <c r="C52" s="23">
        <v>24000</v>
      </c>
      <c r="D52" s="84" t="str">
        <f ca="1">IF(OFFSET(TB!$C$4,ROW($A52)-ROW($A$4),0,1,1)=$A52,"ok","error!")</f>
        <v>ok</v>
      </c>
      <c r="E52" s="23">
        <f t="shared" si="0"/>
        <v>24000</v>
      </c>
    </row>
    <row r="53" spans="1:5" ht="16" customHeight="1" x14ac:dyDescent="0.25">
      <c r="A53" s="11" t="s">
        <v>318</v>
      </c>
      <c r="B53" s="11" t="s">
        <v>34</v>
      </c>
      <c r="C53" s="23">
        <v>143644</v>
      </c>
      <c r="D53" s="84" t="str">
        <f ca="1">IF(OFFSET(TB!$C$4,ROW($A53)-ROW($A$4),0,1,1)=$A53,"ok","error!")</f>
        <v>ok</v>
      </c>
      <c r="E53" s="23">
        <f t="shared" si="0"/>
        <v>143644</v>
      </c>
    </row>
    <row r="54" spans="1:5" ht="16" customHeight="1" x14ac:dyDescent="0.25">
      <c r="A54" s="11" t="s">
        <v>319</v>
      </c>
      <c r="B54" s="11" t="s">
        <v>65</v>
      </c>
      <c r="C54" s="23">
        <v>1180</v>
      </c>
      <c r="D54" s="84" t="str">
        <f ca="1">IF(OFFSET(TB!$C$4,ROW($A54)-ROW($A$4),0,1,1)=$A54,"ok","error!")</f>
        <v>ok</v>
      </c>
      <c r="E54" s="23">
        <f t="shared" si="0"/>
        <v>1180</v>
      </c>
    </row>
    <row r="55" spans="1:5" ht="16" customHeight="1" x14ac:dyDescent="0.25">
      <c r="A55" s="11" t="s">
        <v>320</v>
      </c>
      <c r="B55" s="11" t="s">
        <v>66</v>
      </c>
      <c r="C55" s="23">
        <v>27850</v>
      </c>
      <c r="D55" s="84" t="str">
        <f ca="1">IF(OFFSET(TB!$C$4,ROW($A55)-ROW($A$4),0,1,1)=$A55,"ok","error!")</f>
        <v>ok</v>
      </c>
      <c r="E55" s="23">
        <f t="shared" si="0"/>
        <v>27850</v>
      </c>
    </row>
    <row r="56" spans="1:5" ht="16" customHeight="1" x14ac:dyDescent="0.25">
      <c r="A56" s="11" t="s">
        <v>321</v>
      </c>
      <c r="B56" s="11" t="s">
        <v>67</v>
      </c>
      <c r="C56" s="23">
        <v>3477</v>
      </c>
      <c r="D56" s="84" t="str">
        <f ca="1">IF(OFFSET(TB!$C$4,ROW($A56)-ROW($A$4),0,1,1)=$A56,"ok","error!")</f>
        <v>ok</v>
      </c>
      <c r="E56" s="23">
        <f t="shared" si="0"/>
        <v>3477</v>
      </c>
    </row>
    <row r="57" spans="1:5" ht="16" customHeight="1" x14ac:dyDescent="0.25">
      <c r="A57" s="11" t="s">
        <v>322</v>
      </c>
      <c r="B57" s="11" t="s">
        <v>68</v>
      </c>
      <c r="C57" s="23">
        <v>2500</v>
      </c>
      <c r="D57" s="84" t="str">
        <f ca="1">IF(OFFSET(TB!$C$4,ROW($A57)-ROW($A$4),0,1,1)=$A57,"ok","error!")</f>
        <v>ok</v>
      </c>
      <c r="E57" s="23">
        <f t="shared" si="0"/>
        <v>2500</v>
      </c>
    </row>
    <row r="58" spans="1:5" ht="16" customHeight="1" x14ac:dyDescent="0.25">
      <c r="A58" s="11" t="s">
        <v>323</v>
      </c>
      <c r="B58" s="11" t="s">
        <v>69</v>
      </c>
      <c r="C58" s="23">
        <v>12420</v>
      </c>
      <c r="D58" s="84" t="str">
        <f ca="1">IF(OFFSET(TB!$C$4,ROW($A58)-ROW($A$4),0,1,1)=$A58,"ok","error!")</f>
        <v>ok</v>
      </c>
      <c r="E58" s="23">
        <f t="shared" si="0"/>
        <v>12420</v>
      </c>
    </row>
    <row r="59" spans="1:5" ht="16" customHeight="1" x14ac:dyDescent="0.25">
      <c r="A59" s="11" t="s">
        <v>324</v>
      </c>
      <c r="B59" s="11" t="s">
        <v>70</v>
      </c>
      <c r="C59" s="23">
        <v>3840</v>
      </c>
      <c r="D59" s="84" t="str">
        <f ca="1">IF(OFFSET(TB!$C$4,ROW($A59)-ROW($A$4),0,1,1)=$A59,"ok","error!")</f>
        <v>ok</v>
      </c>
      <c r="E59" s="23">
        <f t="shared" si="0"/>
        <v>3840</v>
      </c>
    </row>
    <row r="60" spans="1:5" ht="16" customHeight="1" x14ac:dyDescent="0.25">
      <c r="A60" s="11" t="s">
        <v>325</v>
      </c>
      <c r="B60" s="11" t="s">
        <v>71</v>
      </c>
      <c r="C60" s="23">
        <v>996</v>
      </c>
      <c r="D60" s="84" t="str">
        <f ca="1">IF(OFFSET(TB!$C$4,ROW($A60)-ROW($A$4),0,1,1)=$A60,"ok","error!")</f>
        <v>ok</v>
      </c>
      <c r="E60" s="23">
        <f t="shared" si="0"/>
        <v>996</v>
      </c>
    </row>
    <row r="61" spans="1:5" ht="16" customHeight="1" x14ac:dyDescent="0.25">
      <c r="A61" s="11" t="s">
        <v>326</v>
      </c>
      <c r="B61" s="11" t="s">
        <v>72</v>
      </c>
      <c r="C61" s="23">
        <v>144000</v>
      </c>
      <c r="D61" s="84" t="str">
        <f ca="1">IF(OFFSET(TB!$C$4,ROW($A61)-ROW($A$4),0,1,1)=$A61,"ok","error!")</f>
        <v>ok</v>
      </c>
      <c r="E61" s="23">
        <f t="shared" si="0"/>
        <v>144000</v>
      </c>
    </row>
    <row r="62" spans="1:5" ht="16" customHeight="1" x14ac:dyDescent="0.25">
      <c r="A62" s="11" t="s">
        <v>327</v>
      </c>
      <c r="B62" s="11" t="s">
        <v>73</v>
      </c>
      <c r="C62" s="23">
        <v>524</v>
      </c>
      <c r="D62" s="84" t="str">
        <f ca="1">IF(OFFSET(TB!$C$4,ROW($A62)-ROW($A$4),0,1,1)=$A62,"ok","error!")</f>
        <v>ok</v>
      </c>
      <c r="E62" s="23">
        <f t="shared" si="0"/>
        <v>524</v>
      </c>
    </row>
    <row r="63" spans="1:5" ht="16" customHeight="1" x14ac:dyDescent="0.25">
      <c r="A63" s="11" t="s">
        <v>328</v>
      </c>
      <c r="B63" s="11" t="s">
        <v>74</v>
      </c>
      <c r="C63" s="23">
        <v>5652</v>
      </c>
      <c r="D63" s="84" t="str">
        <f ca="1">IF(OFFSET(TB!$C$4,ROW($A63)-ROW($A$4),0,1,1)=$A63,"ok","error!")</f>
        <v>ok</v>
      </c>
      <c r="E63" s="23">
        <f t="shared" si="0"/>
        <v>5652</v>
      </c>
    </row>
    <row r="64" spans="1:5" ht="16" customHeight="1" x14ac:dyDescent="0.25">
      <c r="A64" s="11" t="s">
        <v>329</v>
      </c>
      <c r="B64" s="11" t="s">
        <v>75</v>
      </c>
      <c r="C64" s="23">
        <v>2491</v>
      </c>
      <c r="D64" s="84" t="str">
        <f ca="1">IF(OFFSET(TB!$C$4,ROW($A64)-ROW($A$4),0,1,1)=$A64,"ok","error!")</f>
        <v>ok</v>
      </c>
      <c r="E64" s="23">
        <f t="shared" si="0"/>
        <v>2491</v>
      </c>
    </row>
    <row r="65" spans="1:5" ht="16" customHeight="1" x14ac:dyDescent="0.25">
      <c r="A65" s="11" t="s">
        <v>330</v>
      </c>
      <c r="B65" s="11" t="s">
        <v>76</v>
      </c>
      <c r="C65" s="23">
        <v>5200</v>
      </c>
      <c r="D65" s="84" t="str">
        <f ca="1">IF(OFFSET(TB!$C$4,ROW($A65)-ROW($A$4),0,1,1)=$A65,"ok","error!")</f>
        <v>ok</v>
      </c>
      <c r="E65" s="23">
        <f t="shared" si="0"/>
        <v>5200</v>
      </c>
    </row>
    <row r="66" spans="1:5" ht="16" customHeight="1" x14ac:dyDescent="0.25">
      <c r="A66" s="11" t="s">
        <v>331</v>
      </c>
      <c r="B66" s="11" t="s">
        <v>77</v>
      </c>
      <c r="C66" s="23">
        <v>8867</v>
      </c>
      <c r="D66" s="84" t="str">
        <f ca="1">IF(OFFSET(TB!$C$4,ROW($A66)-ROW($A$4),0,1,1)=$A66,"ok","error!")</f>
        <v>ok</v>
      </c>
      <c r="E66" s="23">
        <f t="shared" si="0"/>
        <v>8867</v>
      </c>
    </row>
    <row r="67" spans="1:5" ht="16" customHeight="1" x14ac:dyDescent="0.25">
      <c r="A67" s="11" t="s">
        <v>332</v>
      </c>
      <c r="B67" s="11" t="s">
        <v>78</v>
      </c>
      <c r="C67" s="23">
        <v>4043</v>
      </c>
      <c r="D67" s="84" t="str">
        <f ca="1">IF(OFFSET(TB!$C$4,ROW($A67)-ROW($A$4),0,1,1)=$A67,"ok","error!")</f>
        <v>ok</v>
      </c>
      <c r="E67" s="23">
        <f t="shared" si="0"/>
        <v>4043</v>
      </c>
    </row>
    <row r="68" spans="1:5" ht="16" customHeight="1" x14ac:dyDescent="0.25">
      <c r="A68" s="11" t="s">
        <v>333</v>
      </c>
      <c r="B68" s="11" t="s">
        <v>79</v>
      </c>
      <c r="C68" s="23">
        <v>13705</v>
      </c>
      <c r="D68" s="84" t="str">
        <f ca="1">IF(OFFSET(TB!$C$4,ROW($A68)-ROW($A$4),0,1,1)=$A68,"ok","error!")</f>
        <v>ok</v>
      </c>
      <c r="E68" s="23">
        <f t="shared" si="0"/>
        <v>13705</v>
      </c>
    </row>
    <row r="69" spans="1:5" ht="16" customHeight="1" x14ac:dyDescent="0.25">
      <c r="A69" s="11" t="s">
        <v>334</v>
      </c>
      <c r="B69" s="11" t="s">
        <v>80</v>
      </c>
      <c r="C69" s="23">
        <v>6540</v>
      </c>
      <c r="D69" s="84" t="str">
        <f ca="1">IF(OFFSET(TB!$C$4,ROW($A69)-ROW($A$4),0,1,1)=$A69,"ok","error!")</f>
        <v>ok</v>
      </c>
      <c r="E69" s="23">
        <f t="shared" si="0"/>
        <v>6540</v>
      </c>
    </row>
    <row r="70" spans="1:5" ht="16" customHeight="1" x14ac:dyDescent="0.25">
      <c r="A70" s="11" t="s">
        <v>335</v>
      </c>
      <c r="B70" s="11" t="s">
        <v>336</v>
      </c>
      <c r="C70" s="23">
        <v>548600</v>
      </c>
      <c r="D70" s="84" t="str">
        <f ca="1">IF(OFFSET(TB!$C$4,ROW($A70)-ROW($A$4),0,1,1)=$A70,"ok","error!")</f>
        <v>ok</v>
      </c>
      <c r="E70" s="23">
        <f t="shared" ref="E70:E92" si="1">ROUND(C70,0)</f>
        <v>548600</v>
      </c>
    </row>
    <row r="71" spans="1:5" ht="16" customHeight="1" x14ac:dyDescent="0.25">
      <c r="A71" s="11" t="s">
        <v>337</v>
      </c>
      <c r="B71" s="11" t="s">
        <v>338</v>
      </c>
      <c r="C71" s="23">
        <v>685720</v>
      </c>
      <c r="D71" s="84" t="str">
        <f ca="1">IF(OFFSET(TB!$C$4,ROW($A71)-ROW($A$4),0,1,1)=$A71,"ok","error!")</f>
        <v>ok</v>
      </c>
      <c r="E71" s="23">
        <f t="shared" si="1"/>
        <v>685720</v>
      </c>
    </row>
    <row r="72" spans="1:5" ht="16" customHeight="1" x14ac:dyDescent="0.25">
      <c r="A72" s="11" t="s">
        <v>339</v>
      </c>
      <c r="B72" s="11" t="s">
        <v>81</v>
      </c>
      <c r="C72" s="23">
        <v>513280</v>
      </c>
      <c r="D72" s="84" t="str">
        <f ca="1">IF(OFFSET(TB!$C$4,ROW($A72)-ROW($A$4),0,1,1)=$A72,"ok","error!")</f>
        <v>ok</v>
      </c>
      <c r="E72" s="23">
        <f t="shared" si="1"/>
        <v>513280</v>
      </c>
    </row>
    <row r="73" spans="1:5" ht="16" customHeight="1" x14ac:dyDescent="0.25">
      <c r="A73" s="11" t="s">
        <v>340</v>
      </c>
      <c r="B73" s="11" t="s">
        <v>341</v>
      </c>
      <c r="C73" s="23">
        <v>104050</v>
      </c>
      <c r="D73" s="84" t="str">
        <f ca="1">IF(OFFSET(TB!$C$4,ROW($A73)-ROW($A$4),0,1,1)=$A73,"ok","error!")</f>
        <v>ok</v>
      </c>
      <c r="E73" s="23">
        <f t="shared" si="1"/>
        <v>104050</v>
      </c>
    </row>
    <row r="74" spans="1:5" ht="16" customHeight="1" x14ac:dyDescent="0.25">
      <c r="A74" s="11" t="s">
        <v>342</v>
      </c>
      <c r="B74" s="11" t="s">
        <v>36</v>
      </c>
      <c r="C74" s="23">
        <v>194222</v>
      </c>
      <c r="D74" s="84" t="str">
        <f ca="1">IF(OFFSET(TB!$C$4,ROW($A74)-ROW($A$4),0,1,1)=$A74,"ok","error!")</f>
        <v>ok</v>
      </c>
      <c r="E74" s="23">
        <f t="shared" si="1"/>
        <v>194222</v>
      </c>
    </row>
    <row r="75" spans="1:5" ht="16" customHeight="1" x14ac:dyDescent="0.25">
      <c r="A75" s="11" t="s">
        <v>343</v>
      </c>
      <c r="B75" s="11" t="s">
        <v>82</v>
      </c>
      <c r="C75" s="23">
        <v>442236</v>
      </c>
      <c r="D75" s="84" t="str">
        <f ca="1">IF(OFFSET(TB!$C$4,ROW($A75)-ROW($A$4),0,1,1)=$A75,"ok","error!")</f>
        <v>ok</v>
      </c>
      <c r="E75" s="23">
        <f t="shared" si="1"/>
        <v>442236</v>
      </c>
    </row>
    <row r="76" spans="1:5" ht="16" customHeight="1" x14ac:dyDescent="0.25">
      <c r="A76" s="11" t="s">
        <v>344</v>
      </c>
      <c r="B76" s="11" t="s">
        <v>35</v>
      </c>
      <c r="C76" s="23">
        <v>125362</v>
      </c>
      <c r="D76" s="84" t="str">
        <f ca="1">IF(OFFSET(TB!$C$4,ROW($A76)-ROW($A$4),0,1,1)=$A76,"ok","error!")</f>
        <v>ok</v>
      </c>
      <c r="E76" s="23">
        <f t="shared" si="1"/>
        <v>125362</v>
      </c>
    </row>
    <row r="77" spans="1:5" ht="16" customHeight="1" x14ac:dyDescent="0.25">
      <c r="A77" s="11" t="s">
        <v>345</v>
      </c>
      <c r="B77" s="11" t="s">
        <v>346</v>
      </c>
      <c r="C77" s="23">
        <v>6260</v>
      </c>
      <c r="D77" s="84" t="str">
        <f ca="1">IF(OFFSET(TB!$C$4,ROW($A77)-ROW($A$4),0,1,1)=$A77,"ok","error!")</f>
        <v>ok</v>
      </c>
      <c r="E77" s="23">
        <f t="shared" si="1"/>
        <v>6260</v>
      </c>
    </row>
    <row r="78" spans="1:5" ht="16" customHeight="1" x14ac:dyDescent="0.25">
      <c r="A78" s="11" t="s">
        <v>347</v>
      </c>
      <c r="B78" s="11" t="s">
        <v>348</v>
      </c>
      <c r="C78" s="23">
        <v>0</v>
      </c>
      <c r="D78" s="84" t="str">
        <f ca="1">IF(OFFSET(TB!$C$4,ROW($A78)-ROW($A$4),0,1,1)=$A78,"ok","error!")</f>
        <v>ok</v>
      </c>
      <c r="E78" s="23">
        <f t="shared" si="1"/>
        <v>0</v>
      </c>
    </row>
    <row r="79" spans="1:5" ht="16" customHeight="1" x14ac:dyDescent="0.25">
      <c r="A79" s="11" t="s">
        <v>349</v>
      </c>
      <c r="B79" s="11" t="s">
        <v>2</v>
      </c>
      <c r="C79" s="23">
        <v>-41850</v>
      </c>
      <c r="D79" s="84" t="str">
        <f ca="1">IF(OFFSET(TB!$C$4,ROW($A79)-ROW($A$4),0,1,1)=$A79,"ok","error!")</f>
        <v>ok</v>
      </c>
      <c r="E79" s="23">
        <f t="shared" si="1"/>
        <v>-41850</v>
      </c>
    </row>
    <row r="80" spans="1:5" ht="16" customHeight="1" x14ac:dyDescent="0.25">
      <c r="A80" s="11" t="s">
        <v>350</v>
      </c>
      <c r="B80" s="11" t="s">
        <v>91</v>
      </c>
      <c r="C80" s="23">
        <v>-4065</v>
      </c>
      <c r="D80" s="84" t="str">
        <f ca="1">IF(OFFSET(TB!$C$4,ROW($A80)-ROW($A$4),0,1,1)=$A80,"ok","error!")</f>
        <v>ok</v>
      </c>
      <c r="E80" s="23">
        <f t="shared" si="1"/>
        <v>-4065</v>
      </c>
    </row>
    <row r="81" spans="1:5" ht="16" customHeight="1" x14ac:dyDescent="0.25">
      <c r="A81" s="11" t="s">
        <v>351</v>
      </c>
      <c r="B81" s="11" t="s">
        <v>352</v>
      </c>
      <c r="C81" s="23">
        <v>-48250</v>
      </c>
      <c r="D81" s="84" t="str">
        <f ca="1">IF(OFFSET(TB!$C$4,ROW($A81)-ROW($A$4),0,1,1)=$A81,"ok","error!")</f>
        <v>ok</v>
      </c>
      <c r="E81" s="23">
        <f t="shared" si="1"/>
        <v>-48250</v>
      </c>
    </row>
    <row r="82" spans="1:5" ht="16" customHeight="1" x14ac:dyDescent="0.25">
      <c r="A82" s="11" t="s">
        <v>353</v>
      </c>
      <c r="B82" s="11" t="s">
        <v>92</v>
      </c>
      <c r="C82" s="23">
        <v>-5100</v>
      </c>
      <c r="D82" s="84" t="str">
        <f ca="1">IF(OFFSET(TB!$C$4,ROW($A82)-ROW($A$4),0,1,1)=$A82,"ok","error!")</f>
        <v>ok</v>
      </c>
      <c r="E82" s="23">
        <f t="shared" si="1"/>
        <v>-5100</v>
      </c>
    </row>
    <row r="83" spans="1:5" ht="16" customHeight="1" x14ac:dyDescent="0.25">
      <c r="A83" s="11" t="s">
        <v>354</v>
      </c>
      <c r="B83" s="11" t="s">
        <v>4</v>
      </c>
      <c r="C83" s="23">
        <v>150000</v>
      </c>
      <c r="D83" s="84" t="str">
        <f ca="1">IF(OFFSET(TB!$C$4,ROW($A83)-ROW($A$4),0,1,1)=$A83,"ok","error!")</f>
        <v>ok</v>
      </c>
      <c r="E83" s="23">
        <f t="shared" si="1"/>
        <v>150000</v>
      </c>
    </row>
    <row r="84" spans="1:5" ht="16" customHeight="1" x14ac:dyDescent="0.25">
      <c r="A84" s="11" t="s">
        <v>355</v>
      </c>
      <c r="B84" s="11" t="s">
        <v>356</v>
      </c>
      <c r="C84" s="23">
        <v>276526</v>
      </c>
      <c r="D84" s="84" t="str">
        <f ca="1">IF(OFFSET(TB!$C$4,ROW($A84)-ROW($A$4),0,1,1)=$A84,"ok","error!")</f>
        <v>ok</v>
      </c>
      <c r="E84" s="23">
        <f t="shared" si="1"/>
        <v>276526</v>
      </c>
    </row>
    <row r="85" spans="1:5" ht="16" customHeight="1" x14ac:dyDescent="0.25">
      <c r="A85" s="11" t="s">
        <v>357</v>
      </c>
      <c r="B85" s="11" t="s">
        <v>358</v>
      </c>
      <c r="C85" s="23">
        <v>40691</v>
      </c>
      <c r="D85" s="84" t="str">
        <f ca="1">IF(OFFSET(TB!$C$4,ROW($A85)-ROW($A$4),0,1,1)=$A85,"ok","error!")</f>
        <v>ok</v>
      </c>
      <c r="E85" s="23">
        <f t="shared" si="1"/>
        <v>40691</v>
      </c>
    </row>
    <row r="86" spans="1:5" ht="16" customHeight="1" x14ac:dyDescent="0.25">
      <c r="A86" s="11" t="s">
        <v>359</v>
      </c>
      <c r="B86" s="11" t="s">
        <v>360</v>
      </c>
      <c r="C86" s="23">
        <v>9457</v>
      </c>
      <c r="D86" s="84" t="str">
        <f ca="1">IF(OFFSET(TB!$C$4,ROW($A86)-ROW($A$4),0,1,1)=$A86,"ok","error!")</f>
        <v>ok</v>
      </c>
      <c r="E86" s="23">
        <f t="shared" si="1"/>
        <v>9457</v>
      </c>
    </row>
    <row r="87" spans="1:5" ht="16" customHeight="1" x14ac:dyDescent="0.25">
      <c r="A87" s="11" t="s">
        <v>361</v>
      </c>
      <c r="B87" s="11" t="s">
        <v>362</v>
      </c>
      <c r="C87" s="23">
        <v>1000</v>
      </c>
      <c r="D87" s="84" t="str">
        <f ca="1">IF(OFFSET(TB!$C$4,ROW($A87)-ROW($A$4),0,1,1)=$A87,"ok","error!")</f>
        <v>ok</v>
      </c>
      <c r="E87" s="23">
        <f t="shared" si="1"/>
        <v>1000</v>
      </c>
    </row>
    <row r="88" spans="1:5" ht="16" customHeight="1" x14ac:dyDescent="0.25">
      <c r="A88" s="11" t="s">
        <v>363</v>
      </c>
      <c r="B88" s="11" t="s">
        <v>364</v>
      </c>
      <c r="C88" s="23">
        <v>0</v>
      </c>
      <c r="D88" s="84" t="str">
        <f ca="1">IF(OFFSET(TB!$C$4,ROW($A88)-ROW($A$4),0,1,1)=$A88,"ok","error!")</f>
        <v>ok</v>
      </c>
      <c r="E88" s="23">
        <f t="shared" si="1"/>
        <v>0</v>
      </c>
    </row>
    <row r="89" spans="1:5" ht="16" customHeight="1" x14ac:dyDescent="0.25">
      <c r="A89" s="11" t="s">
        <v>365</v>
      </c>
      <c r="B89" s="11" t="s">
        <v>83</v>
      </c>
      <c r="C89" s="23">
        <v>245060</v>
      </c>
      <c r="D89" s="84" t="str">
        <f ca="1">IF(OFFSET(TB!$C$4,ROW($A89)-ROW($A$4),0,1,1)=$A89,"ok","error!")</f>
        <v>ok</v>
      </c>
      <c r="E89" s="23">
        <f t="shared" si="1"/>
        <v>245060</v>
      </c>
    </row>
    <row r="90" spans="1:5" ht="16" customHeight="1" x14ac:dyDescent="0.25">
      <c r="A90" s="11" t="s">
        <v>366</v>
      </c>
      <c r="B90" s="11" t="s">
        <v>38</v>
      </c>
      <c r="C90" s="23">
        <v>568079</v>
      </c>
      <c r="D90" s="84" t="str">
        <f ca="1">IF(OFFSET(TB!$C$4,ROW($A90)-ROW($A$4),0,1,1)=$A90,"ok","error!")</f>
        <v>ok</v>
      </c>
      <c r="E90" s="23">
        <f t="shared" si="1"/>
        <v>568079</v>
      </c>
    </row>
    <row r="91" spans="1:5" ht="16" customHeight="1" x14ac:dyDescent="0.25">
      <c r="A91" s="11" t="s">
        <v>367</v>
      </c>
      <c r="B91" s="11" t="s">
        <v>41</v>
      </c>
      <c r="C91" s="23">
        <v>-186802</v>
      </c>
      <c r="D91" s="84" t="str">
        <f ca="1">IF(OFFSET(TB!$C$4,ROW($A91)-ROW($A$4),0,1,1)=$A91,"ok","error!")</f>
        <v>ok</v>
      </c>
      <c r="E91" s="23">
        <f t="shared" si="1"/>
        <v>-186802</v>
      </c>
    </row>
    <row r="92" spans="1:5" ht="16" customHeight="1" x14ac:dyDescent="0.25">
      <c r="A92" s="11" t="s">
        <v>368</v>
      </c>
      <c r="B92" s="11" t="s">
        <v>369</v>
      </c>
      <c r="C92" s="23">
        <v>-4239805</v>
      </c>
      <c r="D92" s="84" t="str">
        <f ca="1">IF(OFFSET(TB!$C$4,ROW($A92)-ROW($A$4),0,1,1)=$A92,"ok","error!")</f>
        <v>ok</v>
      </c>
      <c r="E92" s="23">
        <f t="shared" si="1"/>
        <v>-4239805</v>
      </c>
    </row>
  </sheetData>
  <conditionalFormatting sqref="D5:D92">
    <cfRule type="cellIs" dxfId="2" priority="4" stopIfTrue="1" operator="equal">
      <formula>"error!"</formula>
    </cfRule>
  </conditionalFormatting>
  <conditionalFormatting sqref="D3">
    <cfRule type="cellIs" dxfId="1" priority="3" stopIfTrue="1" operator="equal">
      <formula>"error!"</formula>
    </cfRule>
  </conditionalFormatting>
  <conditionalFormatting sqref="C3 E3">
    <cfRule type="expression" dxfId="0" priority="2" stopIfTrue="1">
      <formula>ROUND(C3,2)&lt;&gt;0</formula>
    </cfRule>
  </conditionalFormatting>
  <pageMargins left="0.55118110236220474" right="0.55118110236220474" top="0.55118110236220474" bottom="0.55118110236220474" header="0.39370078740157483" footer="0.39370078740157483"/>
  <pageSetup paperSize="57" scale="86" fitToHeight="0" orientation="portrait" r:id="rId1"/>
  <headerFooter>
    <oddFooter>&amp;C&amp;"-,Regular"&amp;9Page &amp;P of &amp;N</oddFooter>
  </headerFooter>
  <ignoredErrors>
    <ignoredError sqref="D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0" customWidth="1"/>
    <col min="15" max="16384" width="8.90625" style="10"/>
  </cols>
  <sheetData/>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12"/>
  <sheetViews>
    <sheetView zoomScaleNormal="100" workbookViewId="0">
      <pane ySplit="3" topLeftCell="A4" activePane="bottomLeft" state="frozen"/>
      <selection pane="bottomLeft"/>
    </sheetView>
  </sheetViews>
  <sheetFormatPr defaultColWidth="50.81640625" defaultRowHeight="12.5" x14ac:dyDescent="0.25"/>
  <cols>
    <col min="1" max="1" width="109.81640625" style="137" customWidth="1"/>
    <col min="2" max="16384" width="50.81640625" style="131"/>
  </cols>
  <sheetData>
    <row r="1" spans="1:1" ht="15.5" x14ac:dyDescent="0.35">
      <c r="A1" s="138" t="s">
        <v>129</v>
      </c>
    </row>
    <row r="2" spans="1:1" ht="15" customHeight="1" x14ac:dyDescent="0.3">
      <c r="A2" s="133" t="s">
        <v>51</v>
      </c>
    </row>
    <row r="3" spans="1:1" ht="15" customHeight="1" x14ac:dyDescent="0.25">
      <c r="A3" s="134" t="s">
        <v>52</v>
      </c>
    </row>
    <row r="4" spans="1:1" x14ac:dyDescent="0.25">
      <c r="A4" s="135"/>
    </row>
    <row r="5" spans="1:1" ht="62.5" x14ac:dyDescent="0.25">
      <c r="A5" s="135" t="s">
        <v>130</v>
      </c>
    </row>
    <row r="6" spans="1:1" x14ac:dyDescent="0.25">
      <c r="A6" s="135"/>
    </row>
    <row r="7" spans="1:1" x14ac:dyDescent="0.25">
      <c r="A7" s="135" t="s">
        <v>400</v>
      </c>
    </row>
    <row r="8" spans="1:1" ht="38" x14ac:dyDescent="0.25">
      <c r="A8" s="135" t="s">
        <v>490</v>
      </c>
    </row>
    <row r="9" spans="1:1" ht="50.5" x14ac:dyDescent="0.25">
      <c r="A9" s="135" t="s">
        <v>491</v>
      </c>
    </row>
    <row r="10" spans="1:1" ht="38" x14ac:dyDescent="0.25">
      <c r="A10" s="135" t="s">
        <v>492</v>
      </c>
    </row>
    <row r="11" spans="1:1" ht="38" x14ac:dyDescent="0.25">
      <c r="A11" s="135" t="s">
        <v>441</v>
      </c>
    </row>
    <row r="12" spans="1:1" ht="38" x14ac:dyDescent="0.25">
      <c r="A12" s="135" t="s">
        <v>493</v>
      </c>
    </row>
    <row r="13" spans="1:1" ht="38" x14ac:dyDescent="0.25">
      <c r="A13" s="135" t="s">
        <v>494</v>
      </c>
    </row>
    <row r="14" spans="1:1" ht="38" x14ac:dyDescent="0.25">
      <c r="A14" s="135" t="s">
        <v>495</v>
      </c>
    </row>
    <row r="15" spans="1:1" ht="50.5" x14ac:dyDescent="0.25">
      <c r="A15" s="135" t="s">
        <v>437</v>
      </c>
    </row>
    <row r="16" spans="1:1" x14ac:dyDescent="0.25">
      <c r="A16" s="135"/>
    </row>
    <row r="17" spans="1:1" x14ac:dyDescent="0.25">
      <c r="A17" s="135" t="s">
        <v>401</v>
      </c>
    </row>
    <row r="18" spans="1:1" x14ac:dyDescent="0.25">
      <c r="A18" s="135" t="s">
        <v>402</v>
      </c>
    </row>
    <row r="19" spans="1:1" ht="37.5" x14ac:dyDescent="0.25">
      <c r="A19" s="135" t="s">
        <v>404</v>
      </c>
    </row>
    <row r="20" spans="1:1" ht="50" x14ac:dyDescent="0.25">
      <c r="A20" s="135" t="s">
        <v>405</v>
      </c>
    </row>
    <row r="21" spans="1:1" ht="25" x14ac:dyDescent="0.25">
      <c r="A21" s="135" t="s">
        <v>438</v>
      </c>
    </row>
    <row r="22" spans="1:1" x14ac:dyDescent="0.25">
      <c r="A22" s="135"/>
    </row>
    <row r="23" spans="1:1" ht="26" x14ac:dyDescent="0.3">
      <c r="A23" s="133" t="s">
        <v>403</v>
      </c>
    </row>
    <row r="24" spans="1:1" x14ac:dyDescent="0.25">
      <c r="A24" s="135"/>
    </row>
    <row r="25" spans="1:1" ht="13" x14ac:dyDescent="0.3">
      <c r="A25" s="132" t="s">
        <v>370</v>
      </c>
    </row>
    <row r="26" spans="1:1" x14ac:dyDescent="0.25">
      <c r="A26" s="135"/>
    </row>
    <row r="27" spans="1:1" ht="37.5" x14ac:dyDescent="0.25">
      <c r="A27" s="135" t="s">
        <v>398</v>
      </c>
    </row>
    <row r="28" spans="1:1" x14ac:dyDescent="0.25">
      <c r="A28" s="135"/>
    </row>
    <row r="29" spans="1:1" ht="25" x14ac:dyDescent="0.25">
      <c r="A29" s="135" t="s">
        <v>406</v>
      </c>
    </row>
    <row r="30" spans="1:1" x14ac:dyDescent="0.25">
      <c r="A30" s="135"/>
    </row>
    <row r="31" spans="1:1" ht="37.5" x14ac:dyDescent="0.25">
      <c r="A31" s="135" t="s">
        <v>496</v>
      </c>
    </row>
    <row r="32" spans="1:1" x14ac:dyDescent="0.25">
      <c r="A32" s="135"/>
    </row>
    <row r="33" spans="1:1" ht="25" x14ac:dyDescent="0.25">
      <c r="A33" s="135" t="s">
        <v>407</v>
      </c>
    </row>
    <row r="34" spans="1:1" x14ac:dyDescent="0.25">
      <c r="A34" s="135"/>
    </row>
    <row r="35" spans="1:1" ht="39" x14ac:dyDescent="0.3">
      <c r="A35" s="133" t="s">
        <v>497</v>
      </c>
    </row>
    <row r="36" spans="1:1" ht="13" x14ac:dyDescent="0.3">
      <c r="A36" s="133"/>
    </row>
    <row r="37" spans="1:1" ht="13" x14ac:dyDescent="0.3">
      <c r="A37" s="132" t="s">
        <v>95</v>
      </c>
    </row>
    <row r="38" spans="1:1" x14ac:dyDescent="0.25">
      <c r="A38" s="135"/>
    </row>
    <row r="39" spans="1:1" ht="37.5" x14ac:dyDescent="0.25">
      <c r="A39" s="135" t="s">
        <v>408</v>
      </c>
    </row>
    <row r="40" spans="1:1" x14ac:dyDescent="0.25">
      <c r="A40" s="135"/>
    </row>
    <row r="41" spans="1:1" ht="37.5" x14ac:dyDescent="0.25">
      <c r="A41" s="135" t="s">
        <v>498</v>
      </c>
    </row>
    <row r="42" spans="1:1" x14ac:dyDescent="0.25">
      <c r="A42" s="135"/>
    </row>
    <row r="43" spans="1:1" ht="37.5" x14ac:dyDescent="0.25">
      <c r="A43" s="135" t="s">
        <v>409</v>
      </c>
    </row>
    <row r="44" spans="1:1" x14ac:dyDescent="0.25">
      <c r="A44" s="135"/>
    </row>
    <row r="45" spans="1:1" ht="39" x14ac:dyDescent="0.3">
      <c r="A45" s="133" t="s">
        <v>431</v>
      </c>
    </row>
    <row r="46" spans="1:1" ht="13" x14ac:dyDescent="0.3">
      <c r="A46" s="133"/>
    </row>
    <row r="47" spans="1:1" ht="13" x14ac:dyDescent="0.3">
      <c r="A47" s="133" t="s">
        <v>410</v>
      </c>
    </row>
    <row r="48" spans="1:1" ht="13" x14ac:dyDescent="0.3">
      <c r="A48" s="133"/>
    </row>
    <row r="49" spans="1:1" ht="25" x14ac:dyDescent="0.25">
      <c r="A49" s="135" t="s">
        <v>411</v>
      </c>
    </row>
    <row r="50" spans="1:1" ht="13" x14ac:dyDescent="0.3">
      <c r="A50" s="133"/>
    </row>
    <row r="51" spans="1:1" ht="50" x14ac:dyDescent="0.25">
      <c r="A51" s="135" t="s">
        <v>412</v>
      </c>
    </row>
    <row r="52" spans="1:1" x14ac:dyDescent="0.25">
      <c r="A52" s="135"/>
    </row>
    <row r="53" spans="1:1" ht="25" x14ac:dyDescent="0.25">
      <c r="A53" s="135" t="s">
        <v>413</v>
      </c>
    </row>
    <row r="54" spans="1:1" ht="13" x14ac:dyDescent="0.3">
      <c r="A54" s="133"/>
    </row>
    <row r="55" spans="1:1" ht="13" x14ac:dyDescent="0.3">
      <c r="A55" s="132" t="s">
        <v>128</v>
      </c>
    </row>
    <row r="56" spans="1:1" x14ac:dyDescent="0.25">
      <c r="A56" s="135"/>
    </row>
    <row r="57" spans="1:1" ht="37.5" x14ac:dyDescent="0.25">
      <c r="A57" s="135" t="s">
        <v>439</v>
      </c>
    </row>
    <row r="58" spans="1:1" x14ac:dyDescent="0.25">
      <c r="A58" s="135"/>
    </row>
    <row r="59" spans="1:1" ht="50" x14ac:dyDescent="0.25">
      <c r="A59" s="135" t="s">
        <v>499</v>
      </c>
    </row>
    <row r="60" spans="1:1" x14ac:dyDescent="0.25">
      <c r="A60" s="135"/>
    </row>
    <row r="61" spans="1:1" ht="50" x14ac:dyDescent="0.25">
      <c r="A61" s="135" t="s">
        <v>414</v>
      </c>
    </row>
    <row r="62" spans="1:1" x14ac:dyDescent="0.25">
      <c r="A62" s="135"/>
    </row>
    <row r="63" spans="1:1" ht="52" x14ac:dyDescent="0.3">
      <c r="A63" s="133" t="s">
        <v>429</v>
      </c>
    </row>
    <row r="64" spans="1:1" x14ac:dyDescent="0.25">
      <c r="A64" s="135"/>
    </row>
    <row r="65" spans="1:1" ht="39" x14ac:dyDescent="0.3">
      <c r="A65" s="133" t="s">
        <v>131</v>
      </c>
    </row>
    <row r="66" spans="1:1" x14ac:dyDescent="0.25">
      <c r="A66" s="135"/>
    </row>
    <row r="67" spans="1:1" ht="50" x14ac:dyDescent="0.25">
      <c r="A67" s="135" t="s">
        <v>132</v>
      </c>
    </row>
    <row r="68" spans="1:1" x14ac:dyDescent="0.25">
      <c r="A68" s="135"/>
    </row>
    <row r="69" spans="1:1" ht="37.5" x14ac:dyDescent="0.25">
      <c r="A69" s="135" t="s">
        <v>432</v>
      </c>
    </row>
    <row r="70" spans="1:1" x14ac:dyDescent="0.25">
      <c r="A70" s="135"/>
    </row>
    <row r="71" spans="1:1" ht="52" x14ac:dyDescent="0.3">
      <c r="A71" s="133" t="s">
        <v>415</v>
      </c>
    </row>
    <row r="72" spans="1:1" x14ac:dyDescent="0.25">
      <c r="A72" s="135"/>
    </row>
    <row r="73" spans="1:1" ht="50" x14ac:dyDescent="0.25">
      <c r="A73" s="135" t="s">
        <v>141</v>
      </c>
    </row>
    <row r="74" spans="1:1" x14ac:dyDescent="0.25">
      <c r="A74" s="135"/>
    </row>
    <row r="75" spans="1:1" ht="13" x14ac:dyDescent="0.3">
      <c r="A75" s="133" t="s">
        <v>157</v>
      </c>
    </row>
    <row r="76" spans="1:1" ht="13" x14ac:dyDescent="0.3">
      <c r="A76" s="133"/>
    </row>
    <row r="77" spans="1:1" ht="37.5" x14ac:dyDescent="0.25">
      <c r="A77" s="135" t="s">
        <v>96</v>
      </c>
    </row>
    <row r="78" spans="1:1" x14ac:dyDescent="0.25">
      <c r="A78" s="135"/>
    </row>
    <row r="79" spans="1:1" ht="50" x14ac:dyDescent="0.25">
      <c r="A79" s="135" t="s">
        <v>416</v>
      </c>
    </row>
    <row r="80" spans="1:1" x14ac:dyDescent="0.25">
      <c r="A80" s="135"/>
    </row>
    <row r="81" spans="1:1" ht="50" x14ac:dyDescent="0.25">
      <c r="A81" s="135" t="s">
        <v>417</v>
      </c>
    </row>
    <row r="82" spans="1:1" x14ac:dyDescent="0.25">
      <c r="A82" s="135"/>
    </row>
    <row r="83" spans="1:1" ht="62.5" x14ac:dyDescent="0.25">
      <c r="A83" s="135" t="s">
        <v>418</v>
      </c>
    </row>
    <row r="84" spans="1:1" x14ac:dyDescent="0.25">
      <c r="A84" s="135"/>
    </row>
    <row r="85" spans="1:1" ht="13" x14ac:dyDescent="0.3">
      <c r="A85" s="133" t="s">
        <v>133</v>
      </c>
    </row>
    <row r="86" spans="1:1" x14ac:dyDescent="0.25">
      <c r="A86" s="135"/>
    </row>
    <row r="87" spans="1:1" ht="50" x14ac:dyDescent="0.25">
      <c r="A87" s="135" t="s">
        <v>142</v>
      </c>
    </row>
    <row r="88" spans="1:1" x14ac:dyDescent="0.25">
      <c r="A88" s="135"/>
    </row>
    <row r="89" spans="1:1" ht="26" x14ac:dyDescent="0.3">
      <c r="A89" s="133" t="s">
        <v>433</v>
      </c>
    </row>
    <row r="90" spans="1:1" x14ac:dyDescent="0.25">
      <c r="A90" s="135"/>
    </row>
    <row r="91" spans="1:1" ht="13" x14ac:dyDescent="0.3">
      <c r="A91" s="133" t="s">
        <v>134</v>
      </c>
    </row>
    <row r="92" spans="1:1" x14ac:dyDescent="0.25">
      <c r="A92" s="135"/>
    </row>
    <row r="93" spans="1:1" ht="50" x14ac:dyDescent="0.25">
      <c r="A93" s="135" t="s">
        <v>143</v>
      </c>
    </row>
    <row r="94" spans="1:1" x14ac:dyDescent="0.25">
      <c r="A94" s="135"/>
    </row>
    <row r="95" spans="1:1" ht="50" x14ac:dyDescent="0.25">
      <c r="A95" s="135" t="s">
        <v>144</v>
      </c>
    </row>
    <row r="96" spans="1:1" x14ac:dyDescent="0.25">
      <c r="A96" s="135"/>
    </row>
    <row r="97" spans="1:1" ht="25" x14ac:dyDescent="0.25">
      <c r="A97" s="135" t="s">
        <v>135</v>
      </c>
    </row>
    <row r="98" spans="1:1" x14ac:dyDescent="0.25">
      <c r="A98" s="135" t="s">
        <v>136</v>
      </c>
    </row>
    <row r="99" spans="1:1" x14ac:dyDescent="0.25">
      <c r="A99" s="135" t="s">
        <v>137</v>
      </c>
    </row>
    <row r="100" spans="1:1" ht="25" x14ac:dyDescent="0.25">
      <c r="A100" s="135" t="s">
        <v>146</v>
      </c>
    </row>
    <row r="101" spans="1:1" ht="37.5" x14ac:dyDescent="0.25">
      <c r="A101" s="135" t="s">
        <v>138</v>
      </c>
    </row>
    <row r="102" spans="1:1" ht="25" x14ac:dyDescent="0.25">
      <c r="A102" s="135" t="s">
        <v>147</v>
      </c>
    </row>
    <row r="103" spans="1:1" ht="25" x14ac:dyDescent="0.25">
      <c r="A103" s="135" t="s">
        <v>145</v>
      </c>
    </row>
    <row r="104" spans="1:1" ht="37.5" x14ac:dyDescent="0.25">
      <c r="A104" s="135" t="s">
        <v>148</v>
      </c>
    </row>
    <row r="105" spans="1:1" ht="37.5" x14ac:dyDescent="0.25">
      <c r="A105" s="135" t="s">
        <v>149</v>
      </c>
    </row>
    <row r="106" spans="1:1" x14ac:dyDescent="0.25">
      <c r="A106" s="135" t="s">
        <v>150</v>
      </c>
    </row>
    <row r="107" spans="1:1" ht="37.5" x14ac:dyDescent="0.25">
      <c r="A107" s="135" t="s">
        <v>434</v>
      </c>
    </row>
    <row r="108" spans="1:1" ht="37.5" x14ac:dyDescent="0.25">
      <c r="A108" s="135" t="s">
        <v>151</v>
      </c>
    </row>
    <row r="109" spans="1:1" ht="37.5" x14ac:dyDescent="0.25">
      <c r="A109" s="135" t="s">
        <v>139</v>
      </c>
    </row>
    <row r="110" spans="1:1" ht="25" x14ac:dyDescent="0.25">
      <c r="A110" s="135" t="s">
        <v>152</v>
      </c>
    </row>
    <row r="111" spans="1:1" x14ac:dyDescent="0.25">
      <c r="A111" s="135"/>
    </row>
    <row r="112" spans="1:1" ht="13" x14ac:dyDescent="0.3">
      <c r="A112" s="133" t="s">
        <v>140</v>
      </c>
    </row>
    <row r="113" spans="1:1" x14ac:dyDescent="0.25">
      <c r="A113" s="135"/>
    </row>
    <row r="114" spans="1:1" ht="37.5" x14ac:dyDescent="0.25">
      <c r="A114" s="135" t="s">
        <v>153</v>
      </c>
    </row>
    <row r="115" spans="1:1" x14ac:dyDescent="0.25">
      <c r="A115" s="135"/>
    </row>
    <row r="116" spans="1:1" ht="37.5" x14ac:dyDescent="0.25">
      <c r="A116" s="135" t="s">
        <v>154</v>
      </c>
    </row>
    <row r="117" spans="1:1" x14ac:dyDescent="0.25">
      <c r="A117" s="135"/>
    </row>
    <row r="118" spans="1:1" ht="50" x14ac:dyDescent="0.25">
      <c r="A118" s="135" t="s">
        <v>156</v>
      </c>
    </row>
    <row r="119" spans="1:1" x14ac:dyDescent="0.25">
      <c r="A119" s="135"/>
    </row>
    <row r="120" spans="1:1" ht="62.5" x14ac:dyDescent="0.25">
      <c r="A120" s="135" t="s">
        <v>155</v>
      </c>
    </row>
    <row r="121" spans="1:1" ht="13" x14ac:dyDescent="0.3">
      <c r="A121" s="132"/>
    </row>
    <row r="122" spans="1:1" ht="13" x14ac:dyDescent="0.3">
      <c r="A122" s="132" t="s">
        <v>47</v>
      </c>
    </row>
    <row r="123" spans="1:1" x14ac:dyDescent="0.25">
      <c r="A123" s="135"/>
    </row>
    <row r="124" spans="1:1" ht="37.5" x14ac:dyDescent="0.25">
      <c r="A124" s="135" t="s">
        <v>500</v>
      </c>
    </row>
    <row r="125" spans="1:1" x14ac:dyDescent="0.25">
      <c r="A125" s="135"/>
    </row>
    <row r="126" spans="1:1" ht="37.5" x14ac:dyDescent="0.25">
      <c r="A126" s="135" t="s">
        <v>501</v>
      </c>
    </row>
    <row r="127" spans="1:1" ht="13" x14ac:dyDescent="0.3">
      <c r="A127" s="133"/>
    </row>
    <row r="128" spans="1:1" ht="13" x14ac:dyDescent="0.3">
      <c r="A128" s="136" t="s">
        <v>100</v>
      </c>
    </row>
    <row r="129" spans="1:1" ht="13" x14ac:dyDescent="0.3">
      <c r="A129" s="133"/>
    </row>
    <row r="130" spans="1:1" ht="37.5" x14ac:dyDescent="0.25">
      <c r="A130" s="135" t="s">
        <v>440</v>
      </c>
    </row>
    <row r="131" spans="1:1" x14ac:dyDescent="0.25">
      <c r="A131" s="135"/>
    </row>
    <row r="132" spans="1:1" ht="25" x14ac:dyDescent="0.25">
      <c r="A132" s="135" t="s">
        <v>419</v>
      </c>
    </row>
    <row r="133" spans="1:1" x14ac:dyDescent="0.25">
      <c r="A133" s="135"/>
    </row>
    <row r="134" spans="1:1" ht="50" x14ac:dyDescent="0.25">
      <c r="A134" s="135" t="s">
        <v>420</v>
      </c>
    </row>
    <row r="135" spans="1:1" x14ac:dyDescent="0.25">
      <c r="A135" s="135"/>
    </row>
    <row r="136" spans="1:1" ht="26" x14ac:dyDescent="0.3">
      <c r="A136" s="133" t="s">
        <v>421</v>
      </c>
    </row>
    <row r="137" spans="1:1" x14ac:dyDescent="0.25">
      <c r="A137" s="135"/>
    </row>
    <row r="138" spans="1:1" ht="13" x14ac:dyDescent="0.3">
      <c r="A138" s="132" t="s">
        <v>101</v>
      </c>
    </row>
    <row r="139" spans="1:1" x14ac:dyDescent="0.25">
      <c r="A139" s="135"/>
    </row>
    <row r="140" spans="1:1" ht="50" x14ac:dyDescent="0.25">
      <c r="A140" s="135" t="s">
        <v>502</v>
      </c>
    </row>
    <row r="141" spans="1:1" x14ac:dyDescent="0.25">
      <c r="A141" s="135"/>
    </row>
    <row r="142" spans="1:1" ht="37.5" x14ac:dyDescent="0.25">
      <c r="A142" s="135" t="s">
        <v>102</v>
      </c>
    </row>
    <row r="143" spans="1:1" x14ac:dyDescent="0.25">
      <c r="A143" s="135"/>
    </row>
    <row r="144" spans="1:1" ht="25" x14ac:dyDescent="0.25">
      <c r="A144" s="135" t="s">
        <v>435</v>
      </c>
    </row>
    <row r="145" spans="1:1" x14ac:dyDescent="0.25">
      <c r="A145" s="135"/>
    </row>
    <row r="146" spans="1:1" ht="52" x14ac:dyDescent="0.3">
      <c r="A146" s="133" t="s">
        <v>422</v>
      </c>
    </row>
    <row r="147" spans="1:1" x14ac:dyDescent="0.25">
      <c r="A147" s="135"/>
    </row>
    <row r="148" spans="1:1" ht="37.5" x14ac:dyDescent="0.25">
      <c r="A148" s="135" t="s">
        <v>423</v>
      </c>
    </row>
    <row r="149" spans="1:1" x14ac:dyDescent="0.25">
      <c r="A149" s="135"/>
    </row>
    <row r="150" spans="1:1" ht="37.5" x14ac:dyDescent="0.25">
      <c r="A150" s="135" t="s">
        <v>424</v>
      </c>
    </row>
    <row r="151" spans="1:1" x14ac:dyDescent="0.25">
      <c r="A151" s="135"/>
    </row>
    <row r="152" spans="1:1" ht="13" x14ac:dyDescent="0.3">
      <c r="A152" s="132" t="s">
        <v>103</v>
      </c>
    </row>
    <row r="153" spans="1:1" ht="13" x14ac:dyDescent="0.3">
      <c r="A153" s="133"/>
    </row>
    <row r="154" spans="1:1" ht="50" x14ac:dyDescent="0.25">
      <c r="A154" s="135" t="s">
        <v>503</v>
      </c>
    </row>
    <row r="155" spans="1:1" x14ac:dyDescent="0.25">
      <c r="A155" s="135"/>
    </row>
    <row r="156" spans="1:1" ht="37.5" x14ac:dyDescent="0.25">
      <c r="A156" s="135" t="s">
        <v>104</v>
      </c>
    </row>
    <row r="157" spans="1:1" ht="13" x14ac:dyDescent="0.3">
      <c r="A157" s="133"/>
    </row>
    <row r="158" spans="1:1" ht="25" x14ac:dyDescent="0.25">
      <c r="A158" s="135" t="s">
        <v>436</v>
      </c>
    </row>
    <row r="159" spans="1:1" x14ac:dyDescent="0.25">
      <c r="A159" s="135"/>
    </row>
    <row r="160" spans="1:1" ht="26" x14ac:dyDescent="0.3">
      <c r="A160" s="133" t="s">
        <v>425</v>
      </c>
    </row>
    <row r="161" spans="1:1" x14ac:dyDescent="0.25">
      <c r="A161" s="135"/>
    </row>
    <row r="162" spans="1:1" ht="37.5" x14ac:dyDescent="0.25">
      <c r="A162" s="135" t="s">
        <v>504</v>
      </c>
    </row>
    <row r="163" spans="1:1" ht="13" x14ac:dyDescent="0.3">
      <c r="A163" s="133"/>
    </row>
    <row r="164" spans="1:1" ht="13" x14ac:dyDescent="0.3">
      <c r="A164" s="132" t="s">
        <v>505</v>
      </c>
    </row>
    <row r="165" spans="1:1" ht="13" x14ac:dyDescent="0.3">
      <c r="A165" s="133"/>
    </row>
    <row r="166" spans="1:1" ht="37.5" x14ac:dyDescent="0.25">
      <c r="A166" s="135" t="s">
        <v>506</v>
      </c>
    </row>
    <row r="167" spans="1:1" x14ac:dyDescent="0.25">
      <c r="A167" s="135"/>
    </row>
    <row r="168" spans="1:1" ht="37.5" x14ac:dyDescent="0.25">
      <c r="A168" s="135" t="s">
        <v>511</v>
      </c>
    </row>
    <row r="169" spans="1:1" x14ac:dyDescent="0.25">
      <c r="A169" s="135"/>
    </row>
    <row r="170" spans="1:1" ht="37.5" x14ac:dyDescent="0.25">
      <c r="A170" s="135" t="s">
        <v>507</v>
      </c>
    </row>
    <row r="171" spans="1:1" x14ac:dyDescent="0.25">
      <c r="A171" s="135"/>
    </row>
    <row r="172" spans="1:1" ht="37.5" x14ac:dyDescent="0.25">
      <c r="A172" s="135" t="s">
        <v>508</v>
      </c>
    </row>
    <row r="173" spans="1:1" x14ac:dyDescent="0.25">
      <c r="A173" s="135"/>
    </row>
    <row r="174" spans="1:1" ht="37.5" x14ac:dyDescent="0.25">
      <c r="A174" s="135" t="s">
        <v>512</v>
      </c>
    </row>
    <row r="175" spans="1:1" x14ac:dyDescent="0.25">
      <c r="A175" s="135"/>
    </row>
    <row r="176" spans="1:1" ht="26" x14ac:dyDescent="0.3">
      <c r="A176" s="133" t="s">
        <v>509</v>
      </c>
    </row>
    <row r="177" spans="1:1" x14ac:dyDescent="0.25">
      <c r="A177" s="135"/>
    </row>
    <row r="178" spans="1:1" ht="37.5" x14ac:dyDescent="0.25">
      <c r="A178" s="135" t="s">
        <v>513</v>
      </c>
    </row>
    <row r="179" spans="1:1" x14ac:dyDescent="0.25">
      <c r="A179" s="135"/>
    </row>
    <row r="180" spans="1:1" ht="13" x14ac:dyDescent="0.3">
      <c r="A180" s="132" t="s">
        <v>105</v>
      </c>
    </row>
    <row r="181" spans="1:1" x14ac:dyDescent="0.25">
      <c r="A181" s="135"/>
    </row>
    <row r="182" spans="1:1" ht="50" x14ac:dyDescent="0.25">
      <c r="A182" s="135" t="s">
        <v>399</v>
      </c>
    </row>
    <row r="183" spans="1:1" x14ac:dyDescent="0.25">
      <c r="A183" s="135"/>
    </row>
    <row r="184" spans="1:1" ht="13" x14ac:dyDescent="0.3">
      <c r="A184" s="132" t="s">
        <v>158</v>
      </c>
    </row>
    <row r="185" spans="1:1" x14ac:dyDescent="0.25">
      <c r="A185" s="135"/>
    </row>
    <row r="186" spans="1:1" ht="25" x14ac:dyDescent="0.25">
      <c r="A186" s="135" t="s">
        <v>159</v>
      </c>
    </row>
    <row r="187" spans="1:1" x14ac:dyDescent="0.25">
      <c r="A187" s="135"/>
    </row>
    <row r="188" spans="1:1" ht="37.5" x14ac:dyDescent="0.25">
      <c r="A188" s="135" t="s">
        <v>162</v>
      </c>
    </row>
    <row r="189" spans="1:1" x14ac:dyDescent="0.25">
      <c r="A189" s="135"/>
    </row>
    <row r="190" spans="1:1" ht="26" x14ac:dyDescent="0.3">
      <c r="A190" s="133" t="s">
        <v>160</v>
      </c>
    </row>
    <row r="191" spans="1:1" x14ac:dyDescent="0.25">
      <c r="A191" s="135"/>
    </row>
    <row r="192" spans="1:1" ht="26" x14ac:dyDescent="0.3">
      <c r="A192" s="133" t="s">
        <v>161</v>
      </c>
    </row>
    <row r="193" spans="1:1" ht="13" x14ac:dyDescent="0.3">
      <c r="A193" s="133"/>
    </row>
    <row r="194" spans="1:1" ht="13" x14ac:dyDescent="0.3">
      <c r="A194" s="132" t="s">
        <v>53</v>
      </c>
    </row>
    <row r="195" spans="1:1" x14ac:dyDescent="0.25">
      <c r="A195" s="135"/>
    </row>
    <row r="196" spans="1:1" ht="25" x14ac:dyDescent="0.25">
      <c r="A196" s="135" t="s">
        <v>510</v>
      </c>
    </row>
    <row r="197" spans="1:1" ht="25" x14ac:dyDescent="0.25">
      <c r="A197" s="135" t="s">
        <v>163</v>
      </c>
    </row>
    <row r="198" spans="1:1" ht="25" x14ac:dyDescent="0.25">
      <c r="A198" s="135" t="s">
        <v>430</v>
      </c>
    </row>
    <row r="199" spans="1:1" ht="50" x14ac:dyDescent="0.25">
      <c r="A199" s="135" t="s">
        <v>442</v>
      </c>
    </row>
    <row r="200" spans="1:1" ht="50" x14ac:dyDescent="0.25">
      <c r="A200" s="135" t="s">
        <v>443</v>
      </c>
    </row>
    <row r="201" spans="1:1" ht="50" x14ac:dyDescent="0.25">
      <c r="A201" s="135" t="s">
        <v>164</v>
      </c>
    </row>
    <row r="202" spans="1:1" ht="37.5" x14ac:dyDescent="0.25">
      <c r="A202" s="135" t="s">
        <v>426</v>
      </c>
    </row>
    <row r="203" spans="1:1" ht="37.5" x14ac:dyDescent="0.25">
      <c r="A203" s="135" t="s">
        <v>427</v>
      </c>
    </row>
    <row r="204" spans="1:1" ht="25" x14ac:dyDescent="0.25">
      <c r="A204" s="135" t="s">
        <v>428</v>
      </c>
    </row>
    <row r="205" spans="1:1" x14ac:dyDescent="0.25">
      <c r="A205" s="135"/>
    </row>
    <row r="206" spans="1:1" ht="13" x14ac:dyDescent="0.3">
      <c r="A206" s="132" t="s">
        <v>54</v>
      </c>
    </row>
    <row r="207" spans="1:1" x14ac:dyDescent="0.25">
      <c r="A207" s="135"/>
    </row>
    <row r="208" spans="1:1" ht="50" x14ac:dyDescent="0.25">
      <c r="A208" s="135" t="s">
        <v>55</v>
      </c>
    </row>
    <row r="210" spans="1:1" ht="13" x14ac:dyDescent="0.3">
      <c r="A210" s="132" t="s">
        <v>106</v>
      </c>
    </row>
    <row r="211" spans="1:1" ht="13" x14ac:dyDescent="0.3">
      <c r="A211" s="132"/>
    </row>
    <row r="212" spans="1:1" ht="75" x14ac:dyDescent="0.25">
      <c r="A212" s="135" t="s">
        <v>107</v>
      </c>
    </row>
  </sheetData>
  <sheetProtection selectLockedCells="1"/>
  <hyperlinks>
    <hyperlink ref="A3" r:id="rId1" xr:uid="{00000000-0004-0000-0300-000000000000}"/>
  </hyperlinks>
  <pageMargins left="0.59055118110236227" right="0.59055118110236227" top="0.59055118110236227" bottom="0.59055118110236227" header="0.39370078740157483" footer="0.39370078740157483"/>
  <pageSetup paperSize="9" scale="84" fitToHeight="0" orientation="portrait" r:id="rId2"/>
  <headerFooter>
    <oddFooter>&amp;C&amp;"-,Regular"&amp;9Page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D24"/>
  <sheetViews>
    <sheetView zoomScale="95" zoomScaleNormal="95" workbookViewId="0">
      <selection activeCell="B4" sqref="B4:D4"/>
    </sheetView>
  </sheetViews>
  <sheetFormatPr defaultColWidth="9.08984375" defaultRowHeight="16" customHeight="1" x14ac:dyDescent="0.25"/>
  <cols>
    <col min="1" max="1" width="25.6328125" style="11" customWidth="1"/>
    <col min="2" max="2" width="15.6328125" style="11" customWidth="1"/>
    <col min="3" max="3" width="5.6328125" style="11" customWidth="1"/>
    <col min="4" max="14" width="15.6328125" style="11" customWidth="1"/>
    <col min="15" max="16384" width="9.08984375" style="11"/>
  </cols>
  <sheetData>
    <row r="1" spans="1:4" ht="16" customHeight="1" x14ac:dyDescent="0.3">
      <c r="A1" s="7" t="str">
        <f>IF(ISBLANK($B$4),"Example (Pty) Limited",$B$4)</f>
        <v>Example (Pty) Limited</v>
      </c>
    </row>
    <row r="2" spans="1:4" ht="16" customHeight="1" x14ac:dyDescent="0.25">
      <c r="A2" s="12" t="s">
        <v>370</v>
      </c>
    </row>
    <row r="3" spans="1:4" ht="16" customHeight="1" x14ac:dyDescent="0.25">
      <c r="A3" s="13" t="s">
        <v>56</v>
      </c>
    </row>
    <row r="4" spans="1:4" ht="16" customHeight="1" x14ac:dyDescent="0.25">
      <c r="A4" s="11" t="s">
        <v>0</v>
      </c>
      <c r="B4" s="253" t="s">
        <v>371</v>
      </c>
      <c r="C4" s="253"/>
      <c r="D4" s="253"/>
    </row>
    <row r="6" spans="1:4" ht="16" customHeight="1" x14ac:dyDescent="0.25">
      <c r="A6" s="11" t="s">
        <v>397</v>
      </c>
      <c r="B6" s="14">
        <v>42401</v>
      </c>
    </row>
    <row r="8" spans="1:4" ht="16" customHeight="1" x14ac:dyDescent="0.25">
      <c r="A8" s="11" t="s">
        <v>1</v>
      </c>
      <c r="B8" s="15">
        <v>2023</v>
      </c>
      <c r="D8" s="16">
        <f ca="1">IF(ISBLANK($B$8),YEAR(TODAY()),$B$8)</f>
        <v>2023</v>
      </c>
    </row>
    <row r="10" spans="1:4" ht="16" customHeight="1" x14ac:dyDescent="0.25">
      <c r="A10" s="11" t="s">
        <v>57</v>
      </c>
      <c r="B10" s="251">
        <f ca="1">IF(ISBLANK($B$8)=TRUE,IF(ISBLANK($B$6)=TRUE,DATE(YEAR(TODAY()),MONTH(TODAY())+1,0),DATE(YEAR(TODAY()),MONTH($B$6)+1,0)),IF(ISBLANK($B$6)=TRUE,DATE($B$8,MONTH(TODAY())+1,0),DATE($B$8,MONTH($B$6)+1,0)))</f>
        <v>44985</v>
      </c>
      <c r="C10" s="252"/>
    </row>
    <row r="13" spans="1:4" ht="16" customHeight="1" x14ac:dyDescent="0.25">
      <c r="B13" s="17">
        <f ca="1">DATE(YEAR(TODAY()),1,1)</f>
        <v>45292</v>
      </c>
    </row>
    <row r="14" spans="1:4" ht="16" customHeight="1" x14ac:dyDescent="0.25">
      <c r="B14" s="17">
        <f ca="1">DATE(YEAR(TODAY()),2,1)</f>
        <v>45323</v>
      </c>
    </row>
    <row r="15" spans="1:4" ht="16" customHeight="1" x14ac:dyDescent="0.25">
      <c r="B15" s="17">
        <f ca="1">DATE(YEAR(TODAY()),3,1)</f>
        <v>45352</v>
      </c>
    </row>
    <row r="16" spans="1:4" ht="16" customHeight="1" x14ac:dyDescent="0.25">
      <c r="B16" s="17">
        <f ca="1">DATE(YEAR(TODAY()),4,1)</f>
        <v>45383</v>
      </c>
    </row>
    <row r="17" spans="2:2" ht="16" customHeight="1" x14ac:dyDescent="0.25">
      <c r="B17" s="17">
        <f ca="1">DATE(YEAR(TODAY()),5,1)</f>
        <v>45413</v>
      </c>
    </row>
    <row r="18" spans="2:2" ht="16" customHeight="1" x14ac:dyDescent="0.25">
      <c r="B18" s="17">
        <f ca="1">DATE(YEAR(TODAY()),6,1)</f>
        <v>45444</v>
      </c>
    </row>
    <row r="19" spans="2:2" ht="16" customHeight="1" x14ac:dyDescent="0.25">
      <c r="B19" s="17">
        <f ca="1">DATE(YEAR(TODAY()),7,1)</f>
        <v>45474</v>
      </c>
    </row>
    <row r="20" spans="2:2" ht="16" customHeight="1" x14ac:dyDescent="0.25">
      <c r="B20" s="17">
        <f ca="1">DATE(YEAR(TODAY()),8,1)</f>
        <v>45505</v>
      </c>
    </row>
    <row r="21" spans="2:2" ht="16" customHeight="1" x14ac:dyDescent="0.25">
      <c r="B21" s="17">
        <f ca="1">DATE(YEAR(TODAY()),9,1)</f>
        <v>45536</v>
      </c>
    </row>
    <row r="22" spans="2:2" ht="16" customHeight="1" x14ac:dyDescent="0.25">
      <c r="B22" s="17">
        <f ca="1">DATE(YEAR(TODAY()),10,1)</f>
        <v>45566</v>
      </c>
    </row>
    <row r="23" spans="2:2" ht="16" customHeight="1" x14ac:dyDescent="0.25">
      <c r="B23" s="17">
        <f ca="1">DATE(YEAR(TODAY()),11,1)</f>
        <v>45597</v>
      </c>
    </row>
    <row r="24" spans="2:2" ht="16" customHeight="1" x14ac:dyDescent="0.25">
      <c r="B24" s="17">
        <f ca="1">DATE(YEAR(TODAY()),12,1)</f>
        <v>45627</v>
      </c>
    </row>
  </sheetData>
  <mergeCells count="2">
    <mergeCell ref="B10:C10"/>
    <mergeCell ref="B4:D4"/>
  </mergeCells>
  <conditionalFormatting sqref="B4:D4 B6 B8">
    <cfRule type="containsBlanks" dxfId="18" priority="1" stopIfTrue="1">
      <formula>LEN(TRIM(B4))=0</formula>
    </cfRule>
  </conditionalFormatting>
  <dataValidations count="2">
    <dataValidation type="list" allowBlank="1" showInputMessage="1" showErrorMessage="1" errorTitle="Invalid Selection" error="Select a valid month from the list box." sqref="B6" xr:uid="{00000000-0002-0000-0400-000000000000}">
      <formula1>MonthNames</formula1>
    </dataValidation>
    <dataValidation type="whole" allowBlank="1" showInputMessage="1" showErrorMessage="1" errorTitle="Invalid Data" error="Enter a valid year between 2000 and 2100." sqref="B8" xr:uid="{00000000-0002-0000-0400-000001000000}">
      <formula1>2000</formula1>
      <formula2>2100</formula2>
    </dataValidation>
  </dataValidations>
  <pageMargins left="0.55118110236220474" right="0.55118110236220474" top="0.55118110236220474" bottom="0.55118110236220474" header="0.39370078740157483" footer="0.39370078740157483"/>
  <pageSetup paperSize="9" orientation="portrait" r:id="rId1"/>
  <headerFooter>
    <oddFooter>&amp;C&amp;"-,Regular"&amp;9Page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C66"/>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1" customWidth="1"/>
    <col min="2" max="2" width="40.6328125" style="11" customWidth="1"/>
    <col min="3" max="3" width="15.6328125" style="18" customWidth="1"/>
    <col min="4" max="11" width="15.6328125" style="11" customWidth="1"/>
    <col min="12" max="16384" width="9.08984375" style="11"/>
  </cols>
  <sheetData>
    <row r="1" spans="1:3" ht="16" customHeight="1" x14ac:dyDescent="0.3">
      <c r="A1" s="7" t="str">
        <f>IF(ISBLANK(Setup!$B$4),"Example (Pty) Limited",Setup!$B$4)</f>
        <v>Example (Pty) Limited</v>
      </c>
    </row>
    <row r="2" spans="1:3" ht="16" customHeight="1" x14ac:dyDescent="0.25">
      <c r="A2" s="12" t="s">
        <v>95</v>
      </c>
    </row>
    <row r="3" spans="1:3" ht="16" customHeight="1" x14ac:dyDescent="0.25">
      <c r="A3" s="13" t="s">
        <v>56</v>
      </c>
    </row>
    <row r="4" spans="1:3" ht="18" customHeight="1" x14ac:dyDescent="0.25">
      <c r="A4" s="19" t="s">
        <v>5</v>
      </c>
      <c r="B4" s="19" t="s">
        <v>37</v>
      </c>
      <c r="C4" s="20" t="s">
        <v>372</v>
      </c>
    </row>
    <row r="5" spans="1:3" ht="16" customHeight="1" x14ac:dyDescent="0.25">
      <c r="A5" s="12" t="s">
        <v>47</v>
      </c>
    </row>
    <row r="6" spans="1:3" ht="16" customHeight="1" x14ac:dyDescent="0.25">
      <c r="A6" s="21" t="s">
        <v>165</v>
      </c>
      <c r="B6" s="11" t="s">
        <v>166</v>
      </c>
      <c r="C6" s="18" t="str">
        <f t="shared" ref="C6:C37" ca="1" si="0">IF(ISNA(MATCH($A6,TBClass,0)),"-",IF(LEFT($A6,1)="I",IF(ISNA(MATCH($A6,ISCode,0)),"add!","ok"),IF(ISNA(MATCH($A6,BSCode,0)),"add!","ok")))</f>
        <v>ok</v>
      </c>
    </row>
    <row r="7" spans="1:3" ht="16" customHeight="1" x14ac:dyDescent="0.25">
      <c r="A7" s="21" t="s">
        <v>167</v>
      </c>
      <c r="B7" s="11" t="s">
        <v>44</v>
      </c>
      <c r="C7" s="18" t="str">
        <f t="shared" ca="1" si="0"/>
        <v>ok</v>
      </c>
    </row>
    <row r="8" spans="1:3" ht="16" customHeight="1" x14ac:dyDescent="0.25">
      <c r="A8" s="21" t="s">
        <v>168</v>
      </c>
      <c r="B8" s="11" t="s">
        <v>169</v>
      </c>
      <c r="C8" s="18" t="str">
        <f t="shared" ca="1" si="0"/>
        <v>-</v>
      </c>
    </row>
    <row r="9" spans="1:3" ht="16" customHeight="1" x14ac:dyDescent="0.25">
      <c r="A9" s="21" t="s">
        <v>170</v>
      </c>
      <c r="B9" s="11" t="s">
        <v>171</v>
      </c>
      <c r="C9" s="18" t="str">
        <f t="shared" ca="1" si="0"/>
        <v>ok</v>
      </c>
    </row>
    <row r="10" spans="1:3" ht="16" customHeight="1" x14ac:dyDescent="0.25">
      <c r="A10" s="21" t="s">
        <v>172</v>
      </c>
      <c r="B10" s="11" t="s">
        <v>173</v>
      </c>
      <c r="C10" s="18" t="str">
        <f t="shared" ca="1" si="0"/>
        <v>ok</v>
      </c>
    </row>
    <row r="11" spans="1:3" ht="16" customHeight="1" x14ac:dyDescent="0.25">
      <c r="A11" s="21" t="s">
        <v>174</v>
      </c>
      <c r="B11" s="11" t="s">
        <v>175</v>
      </c>
      <c r="C11" s="18" t="str">
        <f t="shared" ca="1" si="0"/>
        <v>ok</v>
      </c>
    </row>
    <row r="12" spans="1:3" ht="16" customHeight="1" x14ac:dyDescent="0.25">
      <c r="A12" s="21" t="s">
        <v>176</v>
      </c>
      <c r="B12" s="11" t="s">
        <v>66</v>
      </c>
      <c r="C12" s="18" t="str">
        <f t="shared" ca="1" si="0"/>
        <v>ok</v>
      </c>
    </row>
    <row r="13" spans="1:3" ht="16" customHeight="1" x14ac:dyDescent="0.25">
      <c r="A13" s="21" t="s">
        <v>177</v>
      </c>
      <c r="B13" s="11" t="s">
        <v>178</v>
      </c>
      <c r="C13" s="18" t="str">
        <f t="shared" ca="1" si="0"/>
        <v>ok</v>
      </c>
    </row>
    <row r="14" spans="1:3" ht="16" customHeight="1" x14ac:dyDescent="0.25">
      <c r="A14" s="21" t="s">
        <v>179</v>
      </c>
      <c r="B14" s="11" t="s">
        <v>180</v>
      </c>
      <c r="C14" s="18" t="str">
        <f t="shared" ca="1" si="0"/>
        <v>ok</v>
      </c>
    </row>
    <row r="15" spans="1:3" ht="16" customHeight="1" x14ac:dyDescent="0.25">
      <c r="A15" s="21" t="s">
        <v>181</v>
      </c>
      <c r="B15" s="11" t="s">
        <v>69</v>
      </c>
      <c r="C15" s="18" t="str">
        <f t="shared" ca="1" si="0"/>
        <v>ok</v>
      </c>
    </row>
    <row r="16" spans="1:3" ht="16" customHeight="1" x14ac:dyDescent="0.25">
      <c r="A16" s="21" t="s">
        <v>182</v>
      </c>
      <c r="B16" s="11" t="s">
        <v>70</v>
      </c>
      <c r="C16" s="18" t="str">
        <f t="shared" ca="1" si="0"/>
        <v>ok</v>
      </c>
    </row>
    <row r="17" spans="1:3" ht="16" customHeight="1" x14ac:dyDescent="0.25">
      <c r="A17" s="21" t="s">
        <v>183</v>
      </c>
      <c r="B17" s="11" t="s">
        <v>184</v>
      </c>
      <c r="C17" s="18" t="str">
        <f t="shared" ca="1" si="0"/>
        <v>ok</v>
      </c>
    </row>
    <row r="18" spans="1:3" ht="16" customHeight="1" x14ac:dyDescent="0.25">
      <c r="A18" s="21" t="s">
        <v>185</v>
      </c>
      <c r="B18" s="11" t="s">
        <v>186</v>
      </c>
      <c r="C18" s="18" t="str">
        <f t="shared" ca="1" si="0"/>
        <v>ok</v>
      </c>
    </row>
    <row r="19" spans="1:3" ht="16" customHeight="1" x14ac:dyDescent="0.25">
      <c r="A19" s="21" t="s">
        <v>187</v>
      </c>
      <c r="B19" s="11" t="s">
        <v>73</v>
      </c>
      <c r="C19" s="18" t="str">
        <f t="shared" ca="1" si="0"/>
        <v>ok</v>
      </c>
    </row>
    <row r="20" spans="1:3" ht="16" customHeight="1" x14ac:dyDescent="0.25">
      <c r="A20" s="21" t="s">
        <v>188</v>
      </c>
      <c r="B20" s="11" t="s">
        <v>189</v>
      </c>
      <c r="C20" s="18" t="str">
        <f t="shared" ca="1" si="0"/>
        <v>ok</v>
      </c>
    </row>
    <row r="21" spans="1:3" ht="16" customHeight="1" x14ac:dyDescent="0.25">
      <c r="A21" s="21" t="s">
        <v>190</v>
      </c>
      <c r="B21" s="11" t="s">
        <v>75</v>
      </c>
      <c r="C21" s="18" t="str">
        <f t="shared" ca="1" si="0"/>
        <v>ok</v>
      </c>
    </row>
    <row r="22" spans="1:3" ht="16" customHeight="1" x14ac:dyDescent="0.25">
      <c r="A22" s="21" t="s">
        <v>191</v>
      </c>
      <c r="B22" s="11" t="s">
        <v>192</v>
      </c>
      <c r="C22" s="18" t="str">
        <f t="shared" ca="1" si="0"/>
        <v>ok</v>
      </c>
    </row>
    <row r="23" spans="1:3" ht="16" customHeight="1" x14ac:dyDescent="0.25">
      <c r="A23" s="21" t="s">
        <v>193</v>
      </c>
      <c r="B23" s="11" t="s">
        <v>194</v>
      </c>
      <c r="C23" s="18" t="str">
        <f t="shared" ca="1" si="0"/>
        <v>ok</v>
      </c>
    </row>
    <row r="24" spans="1:3" ht="16" customHeight="1" x14ac:dyDescent="0.25">
      <c r="A24" s="21" t="s">
        <v>195</v>
      </c>
      <c r="B24" s="11" t="s">
        <v>78</v>
      </c>
      <c r="C24" s="18" t="str">
        <f t="shared" ca="1" si="0"/>
        <v>ok</v>
      </c>
    </row>
    <row r="25" spans="1:3" ht="16" customHeight="1" x14ac:dyDescent="0.25">
      <c r="A25" s="21" t="s">
        <v>196</v>
      </c>
      <c r="B25" s="11" t="s">
        <v>197</v>
      </c>
      <c r="C25" s="18" t="str">
        <f t="shared" ca="1" si="0"/>
        <v>ok</v>
      </c>
    </row>
    <row r="26" spans="1:3" ht="16" customHeight="1" x14ac:dyDescent="0.25">
      <c r="A26" s="21" t="s">
        <v>198</v>
      </c>
      <c r="B26" s="11" t="s">
        <v>80</v>
      </c>
      <c r="C26" s="18" t="str">
        <f t="shared" ca="1" si="0"/>
        <v>ok</v>
      </c>
    </row>
    <row r="27" spans="1:3" ht="16" customHeight="1" x14ac:dyDescent="0.25">
      <c r="A27" s="21" t="s">
        <v>199</v>
      </c>
      <c r="B27" s="11" t="s">
        <v>200</v>
      </c>
      <c r="C27" s="18" t="str">
        <f t="shared" ca="1" si="0"/>
        <v>-</v>
      </c>
    </row>
    <row r="28" spans="1:3" ht="16" customHeight="1" x14ac:dyDescent="0.25">
      <c r="A28" s="21" t="s">
        <v>201</v>
      </c>
      <c r="B28" s="11" t="s">
        <v>380</v>
      </c>
      <c r="C28" s="18" t="str">
        <f t="shared" ca="1" si="0"/>
        <v>ok</v>
      </c>
    </row>
    <row r="29" spans="1:3" ht="16" customHeight="1" x14ac:dyDescent="0.25">
      <c r="A29" s="21" t="s">
        <v>376</v>
      </c>
      <c r="B29" s="11" t="s">
        <v>381</v>
      </c>
      <c r="C29" s="18" t="str">
        <f t="shared" ca="1" si="0"/>
        <v>ok</v>
      </c>
    </row>
    <row r="30" spans="1:3" ht="16" customHeight="1" x14ac:dyDescent="0.25">
      <c r="A30" s="21" t="s">
        <v>202</v>
      </c>
      <c r="B30" s="11" t="s">
        <v>203</v>
      </c>
      <c r="C30" s="18" t="str">
        <f t="shared" ca="1" si="0"/>
        <v>-</v>
      </c>
    </row>
    <row r="31" spans="1:3" ht="16" customHeight="1" x14ac:dyDescent="0.25">
      <c r="A31" s="21" t="s">
        <v>204</v>
      </c>
      <c r="B31" s="11" t="s">
        <v>81</v>
      </c>
      <c r="C31" s="18" t="str">
        <f t="shared" ca="1" si="0"/>
        <v>ok</v>
      </c>
    </row>
    <row r="32" spans="1:3" ht="16" customHeight="1" x14ac:dyDescent="0.25">
      <c r="A32" s="21" t="s">
        <v>205</v>
      </c>
      <c r="B32" s="11" t="s">
        <v>341</v>
      </c>
      <c r="C32" s="18" t="str">
        <f t="shared" ca="1" si="0"/>
        <v>ok</v>
      </c>
    </row>
    <row r="33" spans="1:3" ht="16" customHeight="1" x14ac:dyDescent="0.25">
      <c r="A33" s="21" t="s">
        <v>206</v>
      </c>
      <c r="B33" s="11" t="s">
        <v>25</v>
      </c>
      <c r="C33" s="18" t="str">
        <f t="shared" ca="1" si="0"/>
        <v>ok</v>
      </c>
    </row>
    <row r="34" spans="1:3" ht="16" customHeight="1" x14ac:dyDescent="0.25">
      <c r="A34" s="21" t="s">
        <v>207</v>
      </c>
      <c r="B34" s="11" t="s">
        <v>208</v>
      </c>
      <c r="C34" s="18" t="str">
        <f t="shared" ca="1" si="0"/>
        <v>ok</v>
      </c>
    </row>
    <row r="35" spans="1:3" ht="16" customHeight="1" x14ac:dyDescent="0.25">
      <c r="A35" s="21" t="s">
        <v>209</v>
      </c>
      <c r="B35" s="11" t="s">
        <v>3</v>
      </c>
      <c r="C35" s="18" t="str">
        <f t="shared" ca="1" si="0"/>
        <v>ok</v>
      </c>
    </row>
    <row r="36" spans="1:3" ht="16" customHeight="1" x14ac:dyDescent="0.25">
      <c r="A36" s="21" t="s">
        <v>210</v>
      </c>
      <c r="B36" s="11" t="s">
        <v>211</v>
      </c>
      <c r="C36" s="18" t="str">
        <f t="shared" ca="1" si="0"/>
        <v>ok</v>
      </c>
    </row>
    <row r="37" spans="1:3" ht="16" customHeight="1" x14ac:dyDescent="0.25">
      <c r="A37" s="21" t="s">
        <v>212</v>
      </c>
      <c r="B37" s="11" t="s">
        <v>29</v>
      </c>
      <c r="C37" s="18" t="str">
        <f t="shared" ca="1" si="0"/>
        <v>ok</v>
      </c>
    </row>
    <row r="38" spans="1:3" ht="16" customHeight="1" x14ac:dyDescent="0.25">
      <c r="A38" s="12" t="s">
        <v>48</v>
      </c>
    </row>
    <row r="39" spans="1:3" ht="16" customHeight="1" x14ac:dyDescent="0.25">
      <c r="A39" s="21" t="s">
        <v>213</v>
      </c>
      <c r="B39" s="11" t="s">
        <v>214</v>
      </c>
      <c r="C39" s="18" t="str">
        <f t="shared" ref="C39:C49" ca="1" si="1">IF(ISNA(MATCH($A39,TBClass,0)),"-",IF(LEFT($A39,1)="I",IF(ISNA(MATCH($A39,ISCode,0)),"add!","ok"),IF(ISNA(MATCH($A39,BSCode,0)),"add!","ok")))</f>
        <v>ok</v>
      </c>
    </row>
    <row r="40" spans="1:3" ht="16" customHeight="1" x14ac:dyDescent="0.25">
      <c r="A40" s="21" t="s">
        <v>215</v>
      </c>
      <c r="B40" s="11" t="s">
        <v>216</v>
      </c>
      <c r="C40" s="18" t="str">
        <f t="shared" ca="1" si="1"/>
        <v>ok</v>
      </c>
    </row>
    <row r="41" spans="1:3" ht="16" customHeight="1" x14ac:dyDescent="0.25">
      <c r="A41" s="21" t="s">
        <v>217</v>
      </c>
      <c r="B41" s="11" t="s">
        <v>218</v>
      </c>
      <c r="C41" s="18" t="str">
        <f t="shared" ca="1" si="1"/>
        <v>ok</v>
      </c>
    </row>
    <row r="42" spans="1:3" ht="16" customHeight="1" x14ac:dyDescent="0.25">
      <c r="A42" s="21" t="s">
        <v>219</v>
      </c>
      <c r="B42" s="11" t="s">
        <v>220</v>
      </c>
      <c r="C42" s="18" t="str">
        <f t="shared" ca="1" si="1"/>
        <v>ok</v>
      </c>
    </row>
    <row r="43" spans="1:3" ht="16" customHeight="1" x14ac:dyDescent="0.25">
      <c r="A43" s="21" t="s">
        <v>373</v>
      </c>
      <c r="B43" s="11" t="s">
        <v>8</v>
      </c>
      <c r="C43" s="18" t="str">
        <f t="shared" ca="1" si="1"/>
        <v>ok</v>
      </c>
    </row>
    <row r="44" spans="1:3" ht="16" customHeight="1" x14ac:dyDescent="0.25">
      <c r="A44" s="21" t="s">
        <v>221</v>
      </c>
      <c r="B44" s="11" t="s">
        <v>222</v>
      </c>
      <c r="C44" s="18" t="str">
        <f t="shared" ca="1" si="1"/>
        <v>ok</v>
      </c>
    </row>
    <row r="45" spans="1:3" ht="16" customHeight="1" x14ac:dyDescent="0.25">
      <c r="A45" s="21" t="s">
        <v>223</v>
      </c>
      <c r="B45" s="11" t="s">
        <v>377</v>
      </c>
      <c r="C45" s="18" t="str">
        <f t="shared" ca="1" si="1"/>
        <v>ok</v>
      </c>
    </row>
    <row r="46" spans="1:3" ht="16" customHeight="1" x14ac:dyDescent="0.25">
      <c r="A46" s="21" t="s">
        <v>224</v>
      </c>
      <c r="B46" s="11" t="s">
        <v>32</v>
      </c>
      <c r="C46" s="18" t="str">
        <f t="shared" ca="1" si="1"/>
        <v>ok</v>
      </c>
    </row>
    <row r="47" spans="1:3" ht="16" customHeight="1" x14ac:dyDescent="0.25">
      <c r="A47" s="21" t="s">
        <v>225</v>
      </c>
      <c r="B47" s="11" t="s">
        <v>31</v>
      </c>
      <c r="C47" s="18" t="str">
        <f t="shared" ca="1" si="1"/>
        <v>ok</v>
      </c>
    </row>
    <row r="48" spans="1:3" ht="16" customHeight="1" x14ac:dyDescent="0.25">
      <c r="A48" s="21" t="s">
        <v>226</v>
      </c>
      <c r="B48" s="11" t="s">
        <v>227</v>
      </c>
      <c r="C48" s="18" t="str">
        <f t="shared" ca="1" si="1"/>
        <v>ok</v>
      </c>
    </row>
    <row r="49" spans="1:3" ht="16" customHeight="1" x14ac:dyDescent="0.25">
      <c r="A49" s="21" t="s">
        <v>228</v>
      </c>
      <c r="B49" s="11" t="s">
        <v>83</v>
      </c>
      <c r="C49" s="18" t="str">
        <f t="shared" ca="1" si="1"/>
        <v>ok</v>
      </c>
    </row>
    <row r="50" spans="1:3" ht="16" customHeight="1" x14ac:dyDescent="0.25">
      <c r="A50" s="12" t="s">
        <v>49</v>
      </c>
    </row>
    <row r="51" spans="1:3" ht="16" customHeight="1" x14ac:dyDescent="0.25">
      <c r="A51" s="21" t="s">
        <v>243</v>
      </c>
      <c r="B51" s="11" t="s">
        <v>303</v>
      </c>
      <c r="C51" s="18" t="str">
        <f ca="1">IF(ISNA(MATCH($A51,TBClass,0)),"-",IF(LEFT($A51,1)="I",IF(ISNA(MATCH($A51,ISCode,0)),"add!","ok"),IF(ISNA(MATCH($A51,BSCode,0)),"add!","ok")))</f>
        <v>ok</v>
      </c>
    </row>
    <row r="52" spans="1:3" ht="16" customHeight="1" x14ac:dyDescent="0.25">
      <c r="A52" s="21" t="s">
        <v>244</v>
      </c>
      <c r="B52" s="11" t="s">
        <v>378</v>
      </c>
      <c r="C52" s="18" t="str">
        <f ca="1">IF(ISNA(MATCH($A52,TBClass,0)),"-",IF(LEFT($A52,1)="I",IF(ISNA(MATCH($A52,ISCode,0)),"add!","ok"),IF(ISNA(MATCH($A52,BSCode,0)),"add!","ok")))</f>
        <v>ok</v>
      </c>
    </row>
    <row r="53" spans="1:3" ht="16" customHeight="1" x14ac:dyDescent="0.25">
      <c r="A53" s="21" t="s">
        <v>245</v>
      </c>
      <c r="B53" s="11" t="s">
        <v>12</v>
      </c>
      <c r="C53" s="18" t="str">
        <f ca="1">IF(ISNA(MATCH($A53,TBClass,0)),"-",IF(LEFT($A53,1)="I",IF(ISNA(MATCH($A53,ISCode,0)),"add!","ok"),IF(ISNA(MATCH($A53,BSCode,0)),"add!","ok")))</f>
        <v>ok</v>
      </c>
    </row>
    <row r="54" spans="1:3" ht="16" customHeight="1" x14ac:dyDescent="0.25">
      <c r="A54" s="12" t="s">
        <v>50</v>
      </c>
    </row>
    <row r="55" spans="1:3" ht="16" customHeight="1" x14ac:dyDescent="0.25">
      <c r="A55" s="21" t="s">
        <v>229</v>
      </c>
      <c r="B55" s="11" t="s">
        <v>17</v>
      </c>
      <c r="C55" s="18" t="str">
        <f t="shared" ref="C55:C65" ca="1" si="2">IF(ISNA(MATCH($A55,TBClass,0)),"-",IF(LEFT($A55,1)="I",IF(ISNA(MATCH($A55,ISCode,0)),"add!","ok"),IF(ISNA(MATCH($A55,BSCode,0)),"add!","ok")))</f>
        <v>ok</v>
      </c>
    </row>
    <row r="56" spans="1:3" ht="16" customHeight="1" x14ac:dyDescent="0.25">
      <c r="A56" s="21" t="s">
        <v>230</v>
      </c>
      <c r="B56" s="11" t="s">
        <v>231</v>
      </c>
      <c r="C56" s="18" t="str">
        <f t="shared" ca="1" si="2"/>
        <v>ok</v>
      </c>
    </row>
    <row r="57" spans="1:3" ht="16" customHeight="1" x14ac:dyDescent="0.25">
      <c r="A57" s="21" t="s">
        <v>232</v>
      </c>
      <c r="B57" s="11" t="s">
        <v>125</v>
      </c>
      <c r="C57" s="18" t="str">
        <f t="shared" ca="1" si="2"/>
        <v>ok</v>
      </c>
    </row>
    <row r="58" spans="1:3" ht="16" customHeight="1" x14ac:dyDescent="0.25">
      <c r="A58" s="21" t="s">
        <v>375</v>
      </c>
      <c r="B58" s="11" t="s">
        <v>18</v>
      </c>
      <c r="C58" s="18" t="str">
        <f t="shared" ca="1" si="2"/>
        <v>ok</v>
      </c>
    </row>
    <row r="59" spans="1:3" ht="16" customHeight="1" x14ac:dyDescent="0.25">
      <c r="A59" s="21" t="s">
        <v>233</v>
      </c>
      <c r="B59" s="11" t="s">
        <v>42</v>
      </c>
      <c r="C59" s="18" t="str">
        <f t="shared" ca="1" si="2"/>
        <v>ok</v>
      </c>
    </row>
    <row r="60" spans="1:3" ht="16" customHeight="1" x14ac:dyDescent="0.25">
      <c r="A60" s="21" t="s">
        <v>234</v>
      </c>
      <c r="B60" s="11" t="s">
        <v>235</v>
      </c>
      <c r="C60" s="18" t="str">
        <f t="shared" ca="1" si="2"/>
        <v>ok</v>
      </c>
    </row>
    <row r="61" spans="1:3" ht="16" customHeight="1" x14ac:dyDescent="0.25">
      <c r="A61" s="21" t="s">
        <v>236</v>
      </c>
      <c r="B61" s="11" t="s">
        <v>237</v>
      </c>
      <c r="C61" s="18" t="str">
        <f t="shared" ca="1" si="2"/>
        <v>ok</v>
      </c>
    </row>
    <row r="62" spans="1:3" ht="16" customHeight="1" x14ac:dyDescent="0.25">
      <c r="A62" s="21" t="s">
        <v>238</v>
      </c>
      <c r="B62" s="11" t="s">
        <v>239</v>
      </c>
      <c r="C62" s="18" t="str">
        <f t="shared" ca="1" si="2"/>
        <v>ok</v>
      </c>
    </row>
    <row r="63" spans="1:3" ht="16" customHeight="1" x14ac:dyDescent="0.25">
      <c r="A63" s="21" t="s">
        <v>240</v>
      </c>
      <c r="B63" s="11" t="s">
        <v>39</v>
      </c>
      <c r="C63" s="18" t="str">
        <f t="shared" ca="1" si="2"/>
        <v>ok</v>
      </c>
    </row>
    <row r="64" spans="1:3" ht="16" customHeight="1" x14ac:dyDescent="0.25">
      <c r="A64" s="21" t="s">
        <v>241</v>
      </c>
      <c r="B64" s="11" t="s">
        <v>45</v>
      </c>
      <c r="C64" s="18" t="str">
        <f t="shared" ca="1" si="2"/>
        <v>ok</v>
      </c>
    </row>
    <row r="65" spans="1:3" ht="16" customHeight="1" x14ac:dyDescent="0.25">
      <c r="A65" s="21" t="s">
        <v>242</v>
      </c>
      <c r="B65" s="11" t="s">
        <v>40</v>
      </c>
      <c r="C65" s="18" t="str">
        <f t="shared" ca="1" si="2"/>
        <v>ok</v>
      </c>
    </row>
    <row r="66" spans="1:3" ht="16" customHeight="1" x14ac:dyDescent="0.25">
      <c r="A66" s="12" t="s">
        <v>374</v>
      </c>
    </row>
  </sheetData>
  <conditionalFormatting sqref="C4">
    <cfRule type="expression" dxfId="17" priority="1" stopIfTrue="1">
      <formula>COUNTIF(ClassError,"add!")&gt;0</formula>
    </cfRule>
  </conditionalFormatting>
  <pageMargins left="0.55118110236220474" right="0.55118110236220474" top="0.55118110236220474" bottom="0.55118110236220474" header="0.39370078740157483" footer="0.39370078740157483"/>
  <pageSetup paperSize="9" scale="76" orientation="portrait" r:id="rId1"/>
  <headerFooter>
    <oddFooter>&amp;C&amp;"-,Regular"&amp;9Page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9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08984375" style="18"/>
    <col min="2" max="2" width="12.6328125" style="22" customWidth="1"/>
    <col min="3" max="3" width="10.6328125" style="22" customWidth="1"/>
    <col min="4" max="4" width="36.08984375" style="22" customWidth="1"/>
    <col min="5" max="13" width="14.6328125" style="23" customWidth="1"/>
    <col min="14" max="16384" width="9.08984375" style="11"/>
  </cols>
  <sheetData>
    <row r="1" spans="1:13" ht="16" customHeight="1" x14ac:dyDescent="0.3">
      <c r="A1" s="8" t="str">
        <f>IF(ISBLANK(Setup!$B$4),"Example (Pty) Limited",Setup!$B$4)</f>
        <v>Example (Pty) Limited</v>
      </c>
    </row>
    <row r="2" spans="1:13" ht="16" customHeight="1" x14ac:dyDescent="0.25">
      <c r="A2" s="24" t="s">
        <v>128</v>
      </c>
    </row>
    <row r="3" spans="1:13" ht="16" customHeight="1" x14ac:dyDescent="0.25">
      <c r="A3" s="25" t="s">
        <v>56</v>
      </c>
      <c r="E3" s="23" cm="1">
        <f t="array" aca="1" ref="E3" ca="1">IF(TBRowCount=0,0,ROUND(SUBTOTAL(9,OFFSET(E$4,1,0,TBRowCount,1)),2))</f>
        <v>0</v>
      </c>
      <c r="F3" s="23" cm="1">
        <f t="array" aca="1" ref="F3" ca="1">IF(TBRowCount=0,0,ROUND(SUBTOTAL(9,OFFSET(F$4,1,0,TBRowCount,1)),2))</f>
        <v>0</v>
      </c>
      <c r="G3" s="23" cm="1">
        <f t="array" aca="1" ref="G3" ca="1">IF(TBRowCount=0,0,ROUND(SUBTOTAL(9,OFFSET(G$4,1,0,TBRowCount,1)),2))</f>
        <v>0</v>
      </c>
      <c r="H3" s="23" cm="1">
        <f t="array" aca="1" ref="H3" ca="1">IF(TBRowCount=0,0,ROUND(SUBTOTAL(9,OFFSET(H$4,1,0,TBRowCount,1)),2))</f>
        <v>0</v>
      </c>
      <c r="I3" s="23" cm="1">
        <f t="array" aca="1" ref="I3" ca="1">IF(TBRowCount=0,0,ROUND(SUBTOTAL(9,OFFSET(I$4,1,0,TBRowCount,1)),2))</f>
        <v>0</v>
      </c>
      <c r="J3" s="23" cm="1">
        <f t="array" aca="1" ref="J3" ca="1">IF(TBRowCount=0,0,ROUND(SUBTOTAL(9,OFFSET(J$4,1,0,TBRowCount,1)),2))</f>
        <v>0</v>
      </c>
      <c r="K3" s="23" cm="1">
        <f t="array" aca="1" ref="K3" ca="1">IF(TBRowCount=0,0,ROUND(SUBTOTAL(9,OFFSET(K$4,1,0,TBRowCount,1)),2))</f>
        <v>0</v>
      </c>
      <c r="L3" s="23" cm="1">
        <f t="array" aca="1" ref="L3" ca="1">IF(TBRowCount=0,0,ROUND(SUBTOTAL(9,OFFSET(L$4,1,0,TBRowCount,1)),2))</f>
        <v>0</v>
      </c>
      <c r="M3" s="23" cm="1">
        <f t="array" aca="1" ref="M3" ca="1">IF(TBRowCount=0,0,ROUND(SUBTOTAL(9,OFFSET(M$4,1,0,TBRowCount,1)),2))</f>
        <v>0</v>
      </c>
    </row>
    <row r="4" spans="1:13" s="27" customFormat="1" ht="18" customHeight="1" x14ac:dyDescent="0.25">
      <c r="A4" s="20" t="s">
        <v>372</v>
      </c>
      <c r="B4" s="19" t="s">
        <v>5</v>
      </c>
      <c r="C4" s="19" t="s">
        <v>33</v>
      </c>
      <c r="D4" s="19" t="s">
        <v>6</v>
      </c>
      <c r="E4" s="26">
        <v>2020</v>
      </c>
      <c r="F4" s="26">
        <v>2021</v>
      </c>
      <c r="G4" s="26">
        <v>2022</v>
      </c>
      <c r="H4" s="26">
        <v>2023</v>
      </c>
      <c r="I4" s="26">
        <v>2024</v>
      </c>
      <c r="J4" s="26">
        <v>2025</v>
      </c>
      <c r="K4" s="26">
        <v>2026</v>
      </c>
      <c r="L4" s="26">
        <v>2027</v>
      </c>
      <c r="M4" s="26">
        <v>2028</v>
      </c>
    </row>
    <row r="5" spans="1:13" ht="16" customHeight="1" x14ac:dyDescent="0.25">
      <c r="A5" s="18" t="str">
        <f t="shared" ref="A5:A36" ca="1" si="0">IF(ISNA(VLOOKUP($B5,ClassCode,1,0)),"class!",IF(LEFT($B5,1)="B",IF(ISNA(VLOOKUP($B5,BSCode,1,0)),"add!","ok"),IF(ISNA(VLOOKUP($B5,ISCode,1,0)),"add!","ok")))</f>
        <v>ok</v>
      </c>
      <c r="B5" s="28" t="s">
        <v>213</v>
      </c>
      <c r="C5" s="22" t="s">
        <v>246</v>
      </c>
      <c r="D5" s="22" t="s">
        <v>108</v>
      </c>
      <c r="E5" s="23">
        <v>2500000</v>
      </c>
      <c r="F5" s="29">
        <v>2500000</v>
      </c>
      <c r="G5" s="23">
        <v>2500000</v>
      </c>
      <c r="H5" s="23">
        <v>2500000</v>
      </c>
      <c r="I5" s="23">
        <v>0</v>
      </c>
      <c r="J5" s="23">
        <v>0</v>
      </c>
      <c r="K5" s="23">
        <v>0</v>
      </c>
      <c r="L5" s="23">
        <v>0</v>
      </c>
      <c r="M5" s="23">
        <v>0</v>
      </c>
    </row>
    <row r="6" spans="1:13" ht="16" customHeight="1" x14ac:dyDescent="0.25">
      <c r="A6" s="18" t="str">
        <f t="shared" ca="1" si="0"/>
        <v>ok</v>
      </c>
      <c r="B6" s="30" t="s">
        <v>213</v>
      </c>
      <c r="C6" s="22" t="s">
        <v>247</v>
      </c>
      <c r="D6" s="22" t="s">
        <v>109</v>
      </c>
      <c r="E6" s="23">
        <v>950300</v>
      </c>
      <c r="F6" s="29">
        <v>1246045</v>
      </c>
      <c r="G6" s="23">
        <v>1316045</v>
      </c>
      <c r="H6" s="23">
        <v>1546045</v>
      </c>
      <c r="I6" s="23">
        <v>0</v>
      </c>
      <c r="J6" s="23">
        <v>0</v>
      </c>
      <c r="K6" s="23">
        <v>0</v>
      </c>
      <c r="L6" s="23">
        <v>0</v>
      </c>
      <c r="M6" s="23">
        <v>0</v>
      </c>
    </row>
    <row r="7" spans="1:13" ht="16" customHeight="1" x14ac:dyDescent="0.25">
      <c r="A7" s="18" t="str">
        <f t="shared" ca="1" si="0"/>
        <v>ok</v>
      </c>
      <c r="B7" s="30" t="s">
        <v>213</v>
      </c>
      <c r="C7" s="22" t="s">
        <v>248</v>
      </c>
      <c r="D7" s="22" t="s">
        <v>110</v>
      </c>
      <c r="E7" s="23">
        <v>285600</v>
      </c>
      <c r="F7" s="29">
        <v>300000</v>
      </c>
      <c r="G7" s="23">
        <v>350000</v>
      </c>
      <c r="H7" s="23">
        <v>410000</v>
      </c>
      <c r="I7" s="23">
        <v>0</v>
      </c>
      <c r="J7" s="23">
        <v>0</v>
      </c>
      <c r="K7" s="23">
        <v>0</v>
      </c>
      <c r="L7" s="23">
        <v>0</v>
      </c>
      <c r="M7" s="23">
        <v>0</v>
      </c>
    </row>
    <row r="8" spans="1:13" ht="16" customHeight="1" x14ac:dyDescent="0.25">
      <c r="A8" s="18" t="str">
        <f t="shared" ca="1" si="0"/>
        <v>ok</v>
      </c>
      <c r="B8" s="30" t="s">
        <v>213</v>
      </c>
      <c r="C8" s="22" t="s">
        <v>249</v>
      </c>
      <c r="D8" s="22" t="s">
        <v>250</v>
      </c>
      <c r="E8" s="23">
        <v>182630</v>
      </c>
      <c r="F8" s="29">
        <v>225000</v>
      </c>
      <c r="G8" s="23">
        <v>240000</v>
      </c>
      <c r="H8" s="23">
        <v>240000</v>
      </c>
      <c r="I8" s="23">
        <v>0</v>
      </c>
      <c r="J8" s="23">
        <v>0</v>
      </c>
      <c r="K8" s="23">
        <v>0</v>
      </c>
      <c r="L8" s="23">
        <v>0</v>
      </c>
      <c r="M8" s="23">
        <v>0</v>
      </c>
    </row>
    <row r="9" spans="1:13" ht="16" customHeight="1" x14ac:dyDescent="0.25">
      <c r="A9" s="18" t="str">
        <f t="shared" ca="1" si="0"/>
        <v>ok</v>
      </c>
      <c r="B9" s="30" t="s">
        <v>213</v>
      </c>
      <c r="C9" s="22" t="s">
        <v>251</v>
      </c>
      <c r="D9" s="22" t="s">
        <v>252</v>
      </c>
      <c r="E9" s="23">
        <v>65880</v>
      </c>
      <c r="F9" s="29">
        <v>120750</v>
      </c>
      <c r="G9" s="23">
        <v>150500</v>
      </c>
      <c r="H9" s="23">
        <v>165500</v>
      </c>
      <c r="I9" s="23">
        <v>0</v>
      </c>
      <c r="J9" s="23">
        <v>0</v>
      </c>
      <c r="K9" s="23">
        <v>0</v>
      </c>
      <c r="L9" s="23">
        <v>0</v>
      </c>
      <c r="M9" s="23">
        <v>0</v>
      </c>
    </row>
    <row r="10" spans="1:13" ht="16" customHeight="1" x14ac:dyDescent="0.25">
      <c r="A10" s="18" t="str">
        <f t="shared" ca="1" si="0"/>
        <v>ok</v>
      </c>
      <c r="B10" s="30" t="s">
        <v>213</v>
      </c>
      <c r="C10" s="22" t="s">
        <v>253</v>
      </c>
      <c r="D10" s="22" t="s">
        <v>254</v>
      </c>
      <c r="E10" s="23">
        <v>318000</v>
      </c>
      <c r="F10" s="29">
        <v>318000</v>
      </c>
      <c r="G10" s="23">
        <v>318000</v>
      </c>
      <c r="H10" s="23">
        <v>318000</v>
      </c>
      <c r="I10" s="23">
        <v>0</v>
      </c>
      <c r="J10" s="23">
        <v>0</v>
      </c>
      <c r="K10" s="23">
        <v>0</v>
      </c>
      <c r="L10" s="23">
        <v>0</v>
      </c>
      <c r="M10" s="23">
        <v>0</v>
      </c>
    </row>
    <row r="11" spans="1:13" ht="16" customHeight="1" x14ac:dyDescent="0.25">
      <c r="A11" s="18" t="str">
        <f t="shared" ca="1" si="0"/>
        <v>ok</v>
      </c>
      <c r="B11" s="30" t="s">
        <v>215</v>
      </c>
      <c r="C11" s="22" t="s">
        <v>255</v>
      </c>
      <c r="D11" s="22" t="s">
        <v>111</v>
      </c>
      <c r="E11" s="23">
        <v>0</v>
      </c>
      <c r="F11" s="29">
        <v>0</v>
      </c>
      <c r="G11" s="23">
        <v>0</v>
      </c>
      <c r="H11" s="23">
        <v>0</v>
      </c>
      <c r="I11" s="23">
        <v>0</v>
      </c>
      <c r="J11" s="23">
        <v>0</v>
      </c>
      <c r="K11" s="23">
        <v>0</v>
      </c>
      <c r="L11" s="23">
        <v>0</v>
      </c>
      <c r="M11" s="23">
        <v>0</v>
      </c>
    </row>
    <row r="12" spans="1:13" ht="16" customHeight="1" x14ac:dyDescent="0.25">
      <c r="A12" s="18" t="str">
        <f t="shared" ca="1" si="0"/>
        <v>ok</v>
      </c>
      <c r="B12" s="30" t="s">
        <v>215</v>
      </c>
      <c r="C12" s="22" t="s">
        <v>256</v>
      </c>
      <c r="D12" s="22" t="s">
        <v>112</v>
      </c>
      <c r="E12" s="23">
        <v>-300120</v>
      </c>
      <c r="F12" s="29">
        <v>-498418</v>
      </c>
      <c r="G12" s="23">
        <v>-712418</v>
      </c>
      <c r="H12" s="23">
        <v>-1051018</v>
      </c>
      <c r="I12" s="23">
        <v>0</v>
      </c>
      <c r="J12" s="23">
        <v>0</v>
      </c>
      <c r="K12" s="23">
        <v>0</v>
      </c>
      <c r="L12" s="23">
        <v>0</v>
      </c>
      <c r="M12" s="23">
        <v>0</v>
      </c>
    </row>
    <row r="13" spans="1:13" ht="16" customHeight="1" x14ac:dyDescent="0.25">
      <c r="A13" s="18" t="str">
        <f t="shared" ca="1" si="0"/>
        <v>ok</v>
      </c>
      <c r="B13" s="30" t="s">
        <v>215</v>
      </c>
      <c r="C13" s="22" t="s">
        <v>257</v>
      </c>
      <c r="D13" s="22" t="s">
        <v>113</v>
      </c>
      <c r="E13" s="23">
        <v>-75200</v>
      </c>
      <c r="F13" s="29">
        <v>-100000</v>
      </c>
      <c r="G13" s="23">
        <v>-158300</v>
      </c>
      <c r="H13" s="23">
        <v>-224700</v>
      </c>
      <c r="I13" s="23">
        <v>0</v>
      </c>
      <c r="J13" s="23">
        <v>0</v>
      </c>
      <c r="K13" s="23">
        <v>0</v>
      </c>
      <c r="L13" s="23">
        <v>0</v>
      </c>
      <c r="M13" s="23">
        <v>0</v>
      </c>
    </row>
    <row r="14" spans="1:13" ht="16" customHeight="1" x14ac:dyDescent="0.25">
      <c r="A14" s="18" t="str">
        <f t="shared" ca="1" si="0"/>
        <v>ok</v>
      </c>
      <c r="B14" s="30" t="s">
        <v>215</v>
      </c>
      <c r="C14" s="22" t="s">
        <v>258</v>
      </c>
      <c r="D14" s="22" t="s">
        <v>259</v>
      </c>
      <c r="E14" s="23">
        <v>-53052</v>
      </c>
      <c r="F14" s="29">
        <v>-91500</v>
      </c>
      <c r="G14" s="23">
        <v>-139850</v>
      </c>
      <c r="H14" s="23">
        <v>-186980</v>
      </c>
      <c r="I14" s="23">
        <v>0</v>
      </c>
      <c r="J14" s="23">
        <v>0</v>
      </c>
      <c r="K14" s="23">
        <v>0</v>
      </c>
      <c r="L14" s="23">
        <v>0</v>
      </c>
      <c r="M14" s="23">
        <v>0</v>
      </c>
    </row>
    <row r="15" spans="1:13" ht="16" customHeight="1" x14ac:dyDescent="0.25">
      <c r="A15" s="18" t="str">
        <f t="shared" ca="1" si="0"/>
        <v>ok</v>
      </c>
      <c r="B15" s="30" t="s">
        <v>215</v>
      </c>
      <c r="C15" s="22" t="s">
        <v>260</v>
      </c>
      <c r="D15" s="22" t="s">
        <v>261</v>
      </c>
      <c r="E15" s="23">
        <v>-43920</v>
      </c>
      <c r="F15" s="29">
        <v>-80500</v>
      </c>
      <c r="G15" s="23">
        <v>-130650</v>
      </c>
      <c r="H15" s="23">
        <v>-145550</v>
      </c>
      <c r="I15" s="23">
        <v>0</v>
      </c>
      <c r="J15" s="23">
        <v>0</v>
      </c>
      <c r="K15" s="23">
        <v>0</v>
      </c>
      <c r="L15" s="23">
        <v>0</v>
      </c>
      <c r="M15" s="23">
        <v>0</v>
      </c>
    </row>
    <row r="16" spans="1:13" ht="16" customHeight="1" x14ac:dyDescent="0.25">
      <c r="A16" s="18" t="str">
        <f t="shared" ca="1" si="0"/>
        <v>ok</v>
      </c>
      <c r="B16" s="30" t="s">
        <v>215</v>
      </c>
      <c r="C16" s="22" t="s">
        <v>262</v>
      </c>
      <c r="D16" s="22" t="s">
        <v>263</v>
      </c>
      <c r="E16" s="23">
        <v>-79500</v>
      </c>
      <c r="F16" s="29">
        <v>-159000</v>
      </c>
      <c r="G16" s="23">
        <v>-238500</v>
      </c>
      <c r="H16" s="23">
        <v>-318000</v>
      </c>
      <c r="I16" s="23">
        <v>0</v>
      </c>
      <c r="J16" s="23">
        <v>0</v>
      </c>
      <c r="K16" s="23">
        <v>0</v>
      </c>
      <c r="L16" s="23">
        <v>0</v>
      </c>
      <c r="M16" s="23">
        <v>0</v>
      </c>
    </row>
    <row r="17" spans="1:13" ht="16" customHeight="1" x14ac:dyDescent="0.25">
      <c r="A17" s="18" t="str">
        <f t="shared" ca="1" si="0"/>
        <v>ok</v>
      </c>
      <c r="B17" s="30" t="s">
        <v>217</v>
      </c>
      <c r="C17" s="22" t="s">
        <v>264</v>
      </c>
      <c r="D17" s="22" t="s">
        <v>114</v>
      </c>
      <c r="E17" s="23">
        <v>500000</v>
      </c>
      <c r="F17" s="29">
        <v>500000</v>
      </c>
      <c r="G17" s="23">
        <v>500000</v>
      </c>
      <c r="H17" s="23">
        <v>500000</v>
      </c>
      <c r="I17" s="23">
        <v>0</v>
      </c>
      <c r="J17" s="23">
        <v>0</v>
      </c>
      <c r="K17" s="23">
        <v>0</v>
      </c>
      <c r="L17" s="23">
        <v>0</v>
      </c>
      <c r="M17" s="23">
        <v>0</v>
      </c>
    </row>
    <row r="18" spans="1:13" ht="16" customHeight="1" x14ac:dyDescent="0.25">
      <c r="A18" s="18" t="str">
        <f t="shared" ca="1" si="0"/>
        <v>ok</v>
      </c>
      <c r="B18" s="30" t="s">
        <v>217</v>
      </c>
      <c r="C18" s="22" t="s">
        <v>265</v>
      </c>
      <c r="D18" s="22" t="s">
        <v>115</v>
      </c>
      <c r="E18" s="23">
        <v>390500</v>
      </c>
      <c r="F18" s="29">
        <v>390500</v>
      </c>
      <c r="G18" s="23">
        <v>390500</v>
      </c>
      <c r="H18" s="23">
        <v>390500</v>
      </c>
      <c r="I18" s="23">
        <v>0</v>
      </c>
      <c r="J18" s="23">
        <v>0</v>
      </c>
      <c r="K18" s="23">
        <v>0</v>
      </c>
      <c r="L18" s="23">
        <v>0</v>
      </c>
      <c r="M18" s="23">
        <v>0</v>
      </c>
    </row>
    <row r="19" spans="1:13" ht="16" customHeight="1" x14ac:dyDescent="0.25">
      <c r="A19" s="18" t="str">
        <f t="shared" ca="1" si="0"/>
        <v>ok</v>
      </c>
      <c r="B19" s="30" t="s">
        <v>217</v>
      </c>
      <c r="C19" s="22" t="s">
        <v>266</v>
      </c>
      <c r="D19" s="22" t="s">
        <v>116</v>
      </c>
      <c r="E19" s="23">
        <v>150000</v>
      </c>
      <c r="F19" s="29">
        <v>150000</v>
      </c>
      <c r="G19" s="23">
        <v>150000</v>
      </c>
      <c r="H19" s="23">
        <v>150000</v>
      </c>
      <c r="I19" s="23">
        <v>0</v>
      </c>
      <c r="J19" s="23">
        <v>0</v>
      </c>
      <c r="K19" s="23">
        <v>0</v>
      </c>
      <c r="L19" s="23">
        <v>0</v>
      </c>
      <c r="M19" s="23">
        <v>0</v>
      </c>
    </row>
    <row r="20" spans="1:13" ht="16" customHeight="1" x14ac:dyDescent="0.25">
      <c r="A20" s="18" t="str">
        <f t="shared" ca="1" si="0"/>
        <v>ok</v>
      </c>
      <c r="B20" s="30" t="s">
        <v>219</v>
      </c>
      <c r="C20" s="22" t="s">
        <v>267</v>
      </c>
      <c r="D20" s="22" t="s">
        <v>117</v>
      </c>
      <c r="E20" s="23">
        <v>-50000</v>
      </c>
      <c r="F20" s="29">
        <v>-100000</v>
      </c>
      <c r="G20" s="23">
        <v>-150000</v>
      </c>
      <c r="H20" s="23">
        <v>-200000</v>
      </c>
      <c r="I20" s="23">
        <v>0</v>
      </c>
      <c r="J20" s="23">
        <v>0</v>
      </c>
      <c r="K20" s="23">
        <v>0</v>
      </c>
      <c r="L20" s="23">
        <v>0</v>
      </c>
      <c r="M20" s="23">
        <v>0</v>
      </c>
    </row>
    <row r="21" spans="1:13" ht="16" customHeight="1" x14ac:dyDescent="0.25">
      <c r="A21" s="18" t="str">
        <f t="shared" ca="1" si="0"/>
        <v>ok</v>
      </c>
      <c r="B21" s="30" t="s">
        <v>219</v>
      </c>
      <c r="C21" s="22" t="s">
        <v>268</v>
      </c>
      <c r="D21" s="22" t="s">
        <v>118</v>
      </c>
      <c r="E21" s="23">
        <v>-39050</v>
      </c>
      <c r="F21" s="29">
        <v>-78100</v>
      </c>
      <c r="G21" s="23">
        <v>-117150</v>
      </c>
      <c r="H21" s="23">
        <v>-156200</v>
      </c>
      <c r="I21" s="23">
        <v>0</v>
      </c>
      <c r="J21" s="23">
        <v>0</v>
      </c>
      <c r="K21" s="23">
        <v>0</v>
      </c>
      <c r="L21" s="23">
        <v>0</v>
      </c>
      <c r="M21" s="23">
        <v>0</v>
      </c>
    </row>
    <row r="22" spans="1:13" ht="16" customHeight="1" x14ac:dyDescent="0.25">
      <c r="A22" s="18" t="str">
        <f t="shared" ca="1" si="0"/>
        <v>ok</v>
      </c>
      <c r="B22" s="30" t="s">
        <v>219</v>
      </c>
      <c r="C22" s="22" t="s">
        <v>269</v>
      </c>
      <c r="D22" s="22" t="s">
        <v>119</v>
      </c>
      <c r="E22" s="23">
        <v>-15000</v>
      </c>
      <c r="F22" s="29">
        <v>-30000</v>
      </c>
      <c r="G22" s="23">
        <v>-45000</v>
      </c>
      <c r="H22" s="23">
        <v>-60000</v>
      </c>
      <c r="I22" s="23">
        <v>0</v>
      </c>
      <c r="J22" s="23">
        <v>0</v>
      </c>
      <c r="K22" s="23">
        <v>0</v>
      </c>
      <c r="L22" s="23">
        <v>0</v>
      </c>
      <c r="M22" s="23">
        <v>0</v>
      </c>
    </row>
    <row r="23" spans="1:13" ht="16" customHeight="1" x14ac:dyDescent="0.25">
      <c r="A23" s="18" t="str">
        <f t="shared" ca="1" si="0"/>
        <v>ok</v>
      </c>
      <c r="B23" s="30" t="s">
        <v>373</v>
      </c>
      <c r="C23" s="22" t="s">
        <v>270</v>
      </c>
      <c r="D23" s="22" t="s">
        <v>271</v>
      </c>
      <c r="E23" s="23">
        <v>0</v>
      </c>
      <c r="F23" s="29">
        <v>0</v>
      </c>
      <c r="G23" s="23">
        <v>802500</v>
      </c>
      <c r="H23" s="23">
        <v>802500</v>
      </c>
      <c r="I23" s="23">
        <v>0</v>
      </c>
      <c r="J23" s="23">
        <v>0</v>
      </c>
      <c r="K23" s="23">
        <v>0</v>
      </c>
      <c r="L23" s="23">
        <v>0</v>
      </c>
      <c r="M23" s="23">
        <v>0</v>
      </c>
    </row>
    <row r="24" spans="1:13" ht="16" customHeight="1" x14ac:dyDescent="0.25">
      <c r="A24" s="18" t="str">
        <f t="shared" ca="1" si="0"/>
        <v>ok</v>
      </c>
      <c r="B24" s="30" t="s">
        <v>373</v>
      </c>
      <c r="C24" s="22" t="s">
        <v>272</v>
      </c>
      <c r="D24" s="22" t="s">
        <v>273</v>
      </c>
      <c r="E24" s="23">
        <v>200000</v>
      </c>
      <c r="F24" s="29">
        <v>300000</v>
      </c>
      <c r="G24" s="23">
        <v>980000</v>
      </c>
      <c r="H24" s="23">
        <v>1500000</v>
      </c>
      <c r="I24" s="23">
        <v>0</v>
      </c>
      <c r="J24" s="23">
        <v>0</v>
      </c>
      <c r="K24" s="23">
        <v>0</v>
      </c>
      <c r="L24" s="23">
        <v>0</v>
      </c>
      <c r="M24" s="23">
        <v>0</v>
      </c>
    </row>
    <row r="25" spans="1:13" ht="16" customHeight="1" x14ac:dyDescent="0.25">
      <c r="A25" s="18" t="str">
        <f t="shared" ca="1" si="0"/>
        <v>ok</v>
      </c>
      <c r="B25" s="30" t="s">
        <v>221</v>
      </c>
      <c r="C25" s="22" t="s">
        <v>274</v>
      </c>
      <c r="D25" s="22" t="s">
        <v>275</v>
      </c>
      <c r="E25" s="23">
        <v>22530</v>
      </c>
      <c r="F25" s="29">
        <v>30220</v>
      </c>
      <c r="G25" s="23">
        <v>48200</v>
      </c>
      <c r="H25" s="23">
        <v>60000</v>
      </c>
      <c r="I25" s="23">
        <v>0</v>
      </c>
      <c r="J25" s="23">
        <v>0</v>
      </c>
      <c r="K25" s="23">
        <v>0</v>
      </c>
      <c r="L25" s="23">
        <v>0</v>
      </c>
      <c r="M25" s="23">
        <v>0</v>
      </c>
    </row>
    <row r="26" spans="1:13" ht="16" customHeight="1" x14ac:dyDescent="0.25">
      <c r="A26" s="18" t="str">
        <f t="shared" ca="1" si="0"/>
        <v>ok</v>
      </c>
      <c r="B26" s="30" t="s">
        <v>224</v>
      </c>
      <c r="C26" s="22" t="s">
        <v>276</v>
      </c>
      <c r="D26" s="22" t="s">
        <v>277</v>
      </c>
      <c r="E26" s="23">
        <v>0</v>
      </c>
      <c r="F26" s="23">
        <v>0</v>
      </c>
      <c r="G26" s="23">
        <v>0</v>
      </c>
      <c r="H26" s="23">
        <v>0</v>
      </c>
      <c r="I26" s="23">
        <v>0</v>
      </c>
      <c r="J26" s="23">
        <v>0</v>
      </c>
      <c r="K26" s="23">
        <v>0</v>
      </c>
      <c r="L26" s="23">
        <v>0</v>
      </c>
      <c r="M26" s="23">
        <v>0</v>
      </c>
    </row>
    <row r="27" spans="1:13" ht="16" customHeight="1" x14ac:dyDescent="0.25">
      <c r="A27" s="18" t="str">
        <f t="shared" ca="1" si="0"/>
        <v>ok</v>
      </c>
      <c r="B27" s="30" t="s">
        <v>224</v>
      </c>
      <c r="C27" s="22" t="s">
        <v>278</v>
      </c>
      <c r="D27" s="22" t="s">
        <v>279</v>
      </c>
      <c r="E27" s="23">
        <v>0</v>
      </c>
      <c r="F27" s="23">
        <v>0</v>
      </c>
      <c r="G27" s="23">
        <v>0</v>
      </c>
      <c r="H27" s="23">
        <v>0</v>
      </c>
      <c r="I27" s="23">
        <v>0</v>
      </c>
      <c r="J27" s="23">
        <v>0</v>
      </c>
      <c r="K27" s="23">
        <v>0</v>
      </c>
      <c r="L27" s="23">
        <v>0</v>
      </c>
      <c r="M27" s="23">
        <v>0</v>
      </c>
    </row>
    <row r="28" spans="1:13" ht="16" customHeight="1" x14ac:dyDescent="0.25">
      <c r="A28" s="18" t="str">
        <f t="shared" ca="1" si="0"/>
        <v>ok</v>
      </c>
      <c r="B28" s="30" t="s">
        <v>226</v>
      </c>
      <c r="C28" s="22" t="s">
        <v>280</v>
      </c>
      <c r="D28" s="22" t="s">
        <v>281</v>
      </c>
      <c r="E28" s="23">
        <v>0</v>
      </c>
      <c r="F28" s="23">
        <v>0</v>
      </c>
      <c r="G28" s="23">
        <v>0</v>
      </c>
      <c r="H28" s="23">
        <v>0</v>
      </c>
      <c r="I28" s="23">
        <v>0</v>
      </c>
      <c r="J28" s="23">
        <v>0</v>
      </c>
      <c r="K28" s="23">
        <v>0</v>
      </c>
      <c r="L28" s="23">
        <v>0</v>
      </c>
      <c r="M28" s="23">
        <v>0</v>
      </c>
    </row>
    <row r="29" spans="1:13" ht="16" customHeight="1" x14ac:dyDescent="0.25">
      <c r="A29" s="18" t="str">
        <f t="shared" ca="1" si="0"/>
        <v>ok</v>
      </c>
      <c r="B29" s="30" t="s">
        <v>226</v>
      </c>
      <c r="C29" s="22" t="s">
        <v>282</v>
      </c>
      <c r="D29" s="22" t="s">
        <v>121</v>
      </c>
      <c r="E29" s="23">
        <v>12000</v>
      </c>
      <c r="F29" s="23">
        <v>22600</v>
      </c>
      <c r="G29" s="23">
        <v>44500</v>
      </c>
      <c r="H29" s="23">
        <v>24000</v>
      </c>
      <c r="I29" s="23">
        <v>0</v>
      </c>
      <c r="J29" s="23">
        <v>0</v>
      </c>
      <c r="K29" s="23">
        <v>0</v>
      </c>
      <c r="L29" s="23">
        <v>0</v>
      </c>
      <c r="M29" s="23">
        <v>0</v>
      </c>
    </row>
    <row r="30" spans="1:13" ht="16" customHeight="1" x14ac:dyDescent="0.25">
      <c r="A30" s="18" t="str">
        <f t="shared" ca="1" si="0"/>
        <v>ok</v>
      </c>
      <c r="B30" s="30" t="s">
        <v>228</v>
      </c>
      <c r="C30" s="22" t="s">
        <v>283</v>
      </c>
      <c r="D30" s="22" t="s">
        <v>122</v>
      </c>
      <c r="E30" s="23">
        <v>35620</v>
      </c>
      <c r="F30" s="23">
        <v>53699</v>
      </c>
      <c r="G30" s="23">
        <v>64120</v>
      </c>
      <c r="H30" s="23">
        <v>85200</v>
      </c>
      <c r="I30" s="23">
        <v>0</v>
      </c>
      <c r="J30" s="23">
        <v>0</v>
      </c>
      <c r="K30" s="23">
        <v>0</v>
      </c>
      <c r="L30" s="23">
        <v>0</v>
      </c>
      <c r="M30" s="23">
        <v>0</v>
      </c>
    </row>
    <row r="31" spans="1:13" ht="16" customHeight="1" x14ac:dyDescent="0.25">
      <c r="A31" s="18" t="str">
        <f t="shared" ca="1" si="0"/>
        <v>ok</v>
      </c>
      <c r="B31" s="30" t="s">
        <v>228</v>
      </c>
      <c r="C31" s="22" t="s">
        <v>284</v>
      </c>
      <c r="D31" s="22" t="s">
        <v>123</v>
      </c>
      <c r="E31" s="23">
        <v>15425</v>
      </c>
      <c r="F31" s="23">
        <v>25100</v>
      </c>
      <c r="G31" s="23">
        <v>15380</v>
      </c>
      <c r="H31" s="23">
        <v>22653</v>
      </c>
      <c r="I31" s="23">
        <v>0</v>
      </c>
      <c r="J31" s="23">
        <v>0</v>
      </c>
      <c r="K31" s="23">
        <v>0</v>
      </c>
      <c r="L31" s="23">
        <v>0</v>
      </c>
      <c r="M31" s="23">
        <v>0</v>
      </c>
    </row>
    <row r="32" spans="1:13" ht="16" customHeight="1" x14ac:dyDescent="0.25">
      <c r="A32" s="18" t="str">
        <f t="shared" ca="1" si="0"/>
        <v>ok</v>
      </c>
      <c r="B32" s="30" t="s">
        <v>228</v>
      </c>
      <c r="C32" s="22" t="s">
        <v>285</v>
      </c>
      <c r="D32" s="22" t="s">
        <v>124</v>
      </c>
      <c r="E32" s="23">
        <v>0</v>
      </c>
      <c r="F32" s="23">
        <v>0</v>
      </c>
      <c r="G32" s="23">
        <v>0</v>
      </c>
      <c r="H32" s="23">
        <v>0</v>
      </c>
      <c r="I32" s="23">
        <v>0</v>
      </c>
      <c r="J32" s="23">
        <v>0</v>
      </c>
      <c r="K32" s="23">
        <v>0</v>
      </c>
      <c r="L32" s="23">
        <v>0</v>
      </c>
      <c r="M32" s="23">
        <v>0</v>
      </c>
    </row>
    <row r="33" spans="1:13" ht="16" customHeight="1" x14ac:dyDescent="0.25">
      <c r="A33" s="18" t="str">
        <f t="shared" ca="1" si="0"/>
        <v>ok</v>
      </c>
      <c r="B33" s="30" t="s">
        <v>229</v>
      </c>
      <c r="C33" s="22" t="s">
        <v>286</v>
      </c>
      <c r="D33" s="22" t="s">
        <v>120</v>
      </c>
      <c r="E33" s="23">
        <v>0</v>
      </c>
      <c r="F33" s="23">
        <v>0</v>
      </c>
      <c r="G33" s="23">
        <v>0</v>
      </c>
      <c r="H33" s="23">
        <v>0</v>
      </c>
      <c r="I33" s="23">
        <v>0</v>
      </c>
      <c r="J33" s="23">
        <v>0</v>
      </c>
      <c r="K33" s="23">
        <v>0</v>
      </c>
      <c r="L33" s="23">
        <v>0</v>
      </c>
      <c r="M33" s="23">
        <v>0</v>
      </c>
    </row>
    <row r="34" spans="1:13" ht="16" customHeight="1" x14ac:dyDescent="0.25">
      <c r="A34" s="18" t="str">
        <f t="shared" ca="1" si="0"/>
        <v>ok</v>
      </c>
      <c r="B34" s="30" t="s">
        <v>232</v>
      </c>
      <c r="C34" s="22" t="s">
        <v>287</v>
      </c>
      <c r="D34" s="22" t="s">
        <v>125</v>
      </c>
      <c r="E34" s="23">
        <v>-49619</v>
      </c>
      <c r="F34" s="23">
        <v>-58600</v>
      </c>
      <c r="G34" s="23">
        <v>-72020</v>
      </c>
      <c r="H34" s="23">
        <v>-90365</v>
      </c>
      <c r="I34" s="23">
        <v>0</v>
      </c>
      <c r="J34" s="23">
        <v>0</v>
      </c>
      <c r="K34" s="23">
        <v>0</v>
      </c>
      <c r="L34" s="23">
        <v>0</v>
      </c>
      <c r="M34" s="23">
        <v>0</v>
      </c>
    </row>
    <row r="35" spans="1:13" ht="16" customHeight="1" x14ac:dyDescent="0.25">
      <c r="A35" s="18" t="str">
        <f t="shared" ca="1" si="0"/>
        <v>ok</v>
      </c>
      <c r="B35" s="30" t="s">
        <v>232</v>
      </c>
      <c r="C35" s="22" t="s">
        <v>288</v>
      </c>
      <c r="D35" s="22" t="s">
        <v>289</v>
      </c>
      <c r="E35" s="23">
        <v>-10200</v>
      </c>
      <c r="F35" s="23">
        <v>-13108</v>
      </c>
      <c r="G35" s="23">
        <v>-14500</v>
      </c>
      <c r="H35" s="23">
        <v>-20572</v>
      </c>
      <c r="I35" s="23">
        <v>0</v>
      </c>
      <c r="J35" s="23">
        <v>0</v>
      </c>
      <c r="K35" s="23">
        <v>0</v>
      </c>
      <c r="L35" s="23">
        <v>0</v>
      </c>
      <c r="M35" s="23">
        <v>0</v>
      </c>
    </row>
    <row r="36" spans="1:13" ht="16" customHeight="1" x14ac:dyDescent="0.25">
      <c r="A36" s="18" t="str">
        <f t="shared" ca="1" si="0"/>
        <v>ok</v>
      </c>
      <c r="B36" s="30" t="s">
        <v>375</v>
      </c>
      <c r="C36" s="22" t="s">
        <v>290</v>
      </c>
      <c r="D36" s="22" t="s">
        <v>93</v>
      </c>
      <c r="E36" s="23">
        <v>-12500</v>
      </c>
      <c r="F36" s="23">
        <v>-15061</v>
      </c>
      <c r="G36" s="23">
        <v>-17696</v>
      </c>
      <c r="H36" s="23">
        <v>-16185</v>
      </c>
      <c r="I36" s="23">
        <v>0</v>
      </c>
      <c r="J36" s="23">
        <v>0</v>
      </c>
      <c r="K36" s="23">
        <v>0</v>
      </c>
      <c r="L36" s="23">
        <v>0</v>
      </c>
      <c r="M36" s="23">
        <v>0</v>
      </c>
    </row>
    <row r="37" spans="1:13" ht="16" customHeight="1" x14ac:dyDescent="0.25">
      <c r="A37" s="18" t="str">
        <f t="shared" ref="A37:A68" ca="1" si="1">IF(ISNA(VLOOKUP($B37,ClassCode,1,0)),"class!",IF(LEFT($B37,1)="B",IF(ISNA(VLOOKUP($B37,BSCode,1,0)),"add!","ok"),IF(ISNA(VLOOKUP($B37,ISCode,1,0)),"add!","ok")))</f>
        <v>ok</v>
      </c>
      <c r="B37" s="30" t="s">
        <v>233</v>
      </c>
      <c r="C37" s="22" t="s">
        <v>291</v>
      </c>
      <c r="D37" s="22" t="s">
        <v>94</v>
      </c>
      <c r="E37" s="23">
        <v>0</v>
      </c>
      <c r="F37" s="23">
        <v>-75000</v>
      </c>
      <c r="G37" s="23">
        <v>-100000</v>
      </c>
      <c r="H37" s="23">
        <v>-150000</v>
      </c>
      <c r="I37" s="23">
        <v>0</v>
      </c>
      <c r="J37" s="23">
        <v>0</v>
      </c>
      <c r="K37" s="23">
        <v>0</v>
      </c>
      <c r="L37" s="23">
        <v>0</v>
      </c>
      <c r="M37" s="23">
        <v>0</v>
      </c>
    </row>
    <row r="38" spans="1:13" ht="16" customHeight="1" x14ac:dyDescent="0.25">
      <c r="A38" s="18" t="str">
        <f t="shared" ca="1" si="1"/>
        <v>ok</v>
      </c>
      <c r="B38" s="30" t="s">
        <v>234</v>
      </c>
      <c r="C38" s="22" t="s">
        <v>292</v>
      </c>
      <c r="D38" s="22" t="s">
        <v>293</v>
      </c>
      <c r="E38" s="23">
        <v>-99630</v>
      </c>
      <c r="F38" s="23">
        <v>-118400</v>
      </c>
      <c r="G38" s="23">
        <v>-131926</v>
      </c>
      <c r="H38" s="23">
        <v>-215724</v>
      </c>
      <c r="I38" s="23">
        <v>0</v>
      </c>
      <c r="J38" s="23">
        <v>0</v>
      </c>
      <c r="K38" s="23">
        <v>0</v>
      </c>
      <c r="L38" s="23">
        <v>0</v>
      </c>
      <c r="M38" s="23">
        <v>0</v>
      </c>
    </row>
    <row r="39" spans="1:13" ht="16" customHeight="1" x14ac:dyDescent="0.25">
      <c r="A39" s="18" t="str">
        <f t="shared" ca="1" si="1"/>
        <v>ok</v>
      </c>
      <c r="B39" s="30" t="s">
        <v>236</v>
      </c>
      <c r="C39" s="22" t="s">
        <v>294</v>
      </c>
      <c r="D39" s="22" t="s">
        <v>237</v>
      </c>
      <c r="E39" s="23">
        <v>-180400</v>
      </c>
      <c r="F39" s="23">
        <v>-211637</v>
      </c>
      <c r="G39" s="23">
        <v>-214870</v>
      </c>
      <c r="H39" s="23">
        <v>-214823</v>
      </c>
      <c r="I39" s="23">
        <v>0</v>
      </c>
      <c r="J39" s="23">
        <v>0</v>
      </c>
      <c r="K39" s="23">
        <v>0</v>
      </c>
      <c r="L39" s="23">
        <v>0</v>
      </c>
      <c r="M39" s="23">
        <v>0</v>
      </c>
    </row>
    <row r="40" spans="1:13" ht="16" customHeight="1" x14ac:dyDescent="0.25">
      <c r="A40" s="18" t="str">
        <f t="shared" ca="1" si="1"/>
        <v>ok</v>
      </c>
      <c r="B40" s="30" t="s">
        <v>238</v>
      </c>
      <c r="C40" s="22" t="s">
        <v>295</v>
      </c>
      <c r="D40" s="22" t="s">
        <v>296</v>
      </c>
      <c r="E40" s="23">
        <v>-45620</v>
      </c>
      <c r="F40" s="23">
        <v>-55891</v>
      </c>
      <c r="G40" s="23">
        <v>-59835</v>
      </c>
      <c r="H40" s="23">
        <v>-75891</v>
      </c>
      <c r="I40" s="23">
        <v>0</v>
      </c>
      <c r="J40" s="23">
        <v>0</v>
      </c>
      <c r="K40" s="23">
        <v>0</v>
      </c>
      <c r="L40" s="23">
        <v>0</v>
      </c>
      <c r="M40" s="23">
        <v>0</v>
      </c>
    </row>
    <row r="41" spans="1:13" ht="16" customHeight="1" x14ac:dyDescent="0.25">
      <c r="A41" s="18" t="str">
        <f t="shared" ca="1" si="1"/>
        <v>ok</v>
      </c>
      <c r="B41" s="30" t="s">
        <v>240</v>
      </c>
      <c r="C41" s="22" t="s">
        <v>297</v>
      </c>
      <c r="D41" s="22" t="s">
        <v>298</v>
      </c>
      <c r="E41" s="23">
        <v>-2120000</v>
      </c>
      <c r="F41" s="23">
        <v>-1646180</v>
      </c>
      <c r="G41" s="23">
        <v>-1151104</v>
      </c>
      <c r="H41" s="23">
        <v>-604187</v>
      </c>
      <c r="I41" s="23">
        <v>0</v>
      </c>
      <c r="J41" s="23">
        <v>0</v>
      </c>
      <c r="K41" s="23">
        <v>0</v>
      </c>
      <c r="L41" s="23">
        <v>0</v>
      </c>
      <c r="M41" s="23">
        <v>0</v>
      </c>
    </row>
    <row r="42" spans="1:13" ht="16" customHeight="1" x14ac:dyDescent="0.25">
      <c r="A42" s="18" t="str">
        <f t="shared" ca="1" si="1"/>
        <v>ok</v>
      </c>
      <c r="B42" s="30" t="s">
        <v>240</v>
      </c>
      <c r="C42" s="22" t="s">
        <v>299</v>
      </c>
      <c r="D42" s="22" t="s">
        <v>300</v>
      </c>
      <c r="E42" s="23">
        <v>0</v>
      </c>
      <c r="F42" s="23">
        <v>0</v>
      </c>
      <c r="G42" s="23">
        <v>-816581</v>
      </c>
      <c r="H42" s="23">
        <v>-661805</v>
      </c>
      <c r="I42" s="23">
        <v>0</v>
      </c>
      <c r="J42" s="23">
        <v>0</v>
      </c>
      <c r="K42" s="23">
        <v>0</v>
      </c>
      <c r="L42" s="23">
        <v>0</v>
      </c>
      <c r="M42" s="23">
        <v>0</v>
      </c>
    </row>
    <row r="43" spans="1:13" ht="16" customHeight="1" x14ac:dyDescent="0.25">
      <c r="A43" s="18" t="str">
        <f t="shared" ca="1" si="1"/>
        <v>ok</v>
      </c>
      <c r="B43" s="30" t="s">
        <v>242</v>
      </c>
      <c r="C43" s="22" t="s">
        <v>301</v>
      </c>
      <c r="D43" s="22" t="s">
        <v>126</v>
      </c>
      <c r="E43" s="23">
        <v>-239500</v>
      </c>
      <c r="F43" s="23">
        <v>-209394</v>
      </c>
      <c r="G43" s="23">
        <v>-146420</v>
      </c>
      <c r="H43" s="23">
        <v>-85325</v>
      </c>
      <c r="I43" s="23">
        <v>0</v>
      </c>
      <c r="J43" s="23">
        <v>0</v>
      </c>
      <c r="K43" s="23">
        <v>0</v>
      </c>
      <c r="L43" s="23">
        <v>0</v>
      </c>
      <c r="M43" s="23">
        <v>0</v>
      </c>
    </row>
    <row r="44" spans="1:13" ht="16" customHeight="1" x14ac:dyDescent="0.25">
      <c r="A44" s="18" t="str">
        <f t="shared" ca="1" si="1"/>
        <v>ok</v>
      </c>
      <c r="B44" s="30" t="s">
        <v>243</v>
      </c>
      <c r="C44" s="22" t="s">
        <v>302</v>
      </c>
      <c r="D44" s="22" t="s">
        <v>303</v>
      </c>
      <c r="E44" s="23">
        <v>0</v>
      </c>
      <c r="F44" s="23">
        <v>0</v>
      </c>
      <c r="G44" s="23">
        <v>0</v>
      </c>
      <c r="H44" s="23">
        <v>0</v>
      </c>
      <c r="I44" s="23">
        <v>0</v>
      </c>
      <c r="J44" s="23">
        <v>0</v>
      </c>
      <c r="K44" s="23">
        <v>0</v>
      </c>
      <c r="L44" s="23">
        <v>0</v>
      </c>
      <c r="M44" s="23">
        <v>0</v>
      </c>
    </row>
    <row r="45" spans="1:13" ht="16" customHeight="1" x14ac:dyDescent="0.25">
      <c r="A45" s="18" t="str">
        <f t="shared" ca="1" si="1"/>
        <v>ok</v>
      </c>
      <c r="B45" s="30" t="s">
        <v>244</v>
      </c>
      <c r="C45" s="22" t="s">
        <v>304</v>
      </c>
      <c r="D45" s="22" t="s">
        <v>305</v>
      </c>
      <c r="E45" s="23">
        <v>-1000</v>
      </c>
      <c r="F45" s="23">
        <v>-1000</v>
      </c>
      <c r="G45" s="23">
        <v>-1000</v>
      </c>
      <c r="H45" s="23">
        <v>-1000</v>
      </c>
      <c r="I45" s="23">
        <v>0</v>
      </c>
      <c r="J45" s="23">
        <v>0</v>
      </c>
      <c r="K45" s="23">
        <v>0</v>
      </c>
      <c r="L45" s="23">
        <v>0</v>
      </c>
      <c r="M45" s="23">
        <v>0</v>
      </c>
    </row>
    <row r="46" spans="1:13" ht="16" customHeight="1" x14ac:dyDescent="0.25">
      <c r="A46" s="18" t="str">
        <f t="shared" ca="1" si="1"/>
        <v>ok</v>
      </c>
      <c r="B46" s="30" t="s">
        <v>241</v>
      </c>
      <c r="C46" s="22" t="s">
        <v>306</v>
      </c>
      <c r="D46" s="22" t="s">
        <v>127</v>
      </c>
      <c r="E46" s="23">
        <v>42350</v>
      </c>
      <c r="F46" s="23">
        <v>47278</v>
      </c>
      <c r="G46" s="23">
        <v>-17377</v>
      </c>
      <c r="H46" s="23">
        <v>33790</v>
      </c>
      <c r="I46" s="23">
        <v>0</v>
      </c>
      <c r="J46" s="23">
        <v>0</v>
      </c>
      <c r="K46" s="23">
        <v>0</v>
      </c>
      <c r="L46" s="23">
        <v>0</v>
      </c>
      <c r="M46" s="23">
        <v>0</v>
      </c>
    </row>
    <row r="47" spans="1:13" ht="16" customHeight="1" x14ac:dyDescent="0.25">
      <c r="A47" s="18" t="str">
        <f t="shared" ca="1" si="1"/>
        <v>ok</v>
      </c>
      <c r="B47" s="30" t="s">
        <v>165</v>
      </c>
      <c r="C47" s="22" t="s">
        <v>307</v>
      </c>
      <c r="D47" s="22" t="s">
        <v>308</v>
      </c>
      <c r="E47" s="23">
        <v>0</v>
      </c>
      <c r="F47" s="23">
        <v>-3310790</v>
      </c>
      <c r="G47" s="23">
        <v>-3972950</v>
      </c>
      <c r="H47" s="23">
        <v>-4370245</v>
      </c>
      <c r="I47" s="23">
        <v>0</v>
      </c>
      <c r="J47" s="23">
        <v>0</v>
      </c>
      <c r="K47" s="23">
        <v>0</v>
      </c>
      <c r="L47" s="23">
        <v>0</v>
      </c>
      <c r="M47" s="23">
        <v>0</v>
      </c>
    </row>
    <row r="48" spans="1:13" ht="16" customHeight="1" x14ac:dyDescent="0.25">
      <c r="A48" s="18" t="str">
        <f t="shared" ca="1" si="1"/>
        <v>ok</v>
      </c>
      <c r="B48" s="30" t="s">
        <v>165</v>
      </c>
      <c r="C48" s="22" t="s">
        <v>309</v>
      </c>
      <c r="D48" s="22" t="s">
        <v>310</v>
      </c>
      <c r="E48" s="23">
        <v>0</v>
      </c>
      <c r="F48" s="23">
        <v>-1890906</v>
      </c>
      <c r="G48" s="23">
        <v>-2269087</v>
      </c>
      <c r="H48" s="23">
        <v>-2541378</v>
      </c>
      <c r="I48" s="23">
        <v>0</v>
      </c>
      <c r="J48" s="23">
        <v>0</v>
      </c>
      <c r="K48" s="23">
        <v>0</v>
      </c>
      <c r="L48" s="23">
        <v>0</v>
      </c>
      <c r="M48" s="23">
        <v>0</v>
      </c>
    </row>
    <row r="49" spans="1:13" ht="16" customHeight="1" x14ac:dyDescent="0.25">
      <c r="A49" s="18" t="str">
        <f t="shared" ca="1" si="1"/>
        <v>ok</v>
      </c>
      <c r="B49" s="30" t="s">
        <v>167</v>
      </c>
      <c r="C49" s="22" t="s">
        <v>311</v>
      </c>
      <c r="D49" s="22" t="s">
        <v>312</v>
      </c>
      <c r="E49" s="23">
        <v>0</v>
      </c>
      <c r="F49" s="23">
        <v>1644961</v>
      </c>
      <c r="G49" s="23">
        <v>1827557</v>
      </c>
      <c r="H49" s="23">
        <v>1966610</v>
      </c>
      <c r="I49" s="23">
        <v>0</v>
      </c>
      <c r="J49" s="23">
        <v>0</v>
      </c>
      <c r="K49" s="23">
        <v>0</v>
      </c>
      <c r="L49" s="23">
        <v>0</v>
      </c>
      <c r="M49" s="23">
        <v>0</v>
      </c>
    </row>
    <row r="50" spans="1:13" ht="16" customHeight="1" x14ac:dyDescent="0.25">
      <c r="A50" s="18" t="str">
        <f t="shared" ca="1" si="1"/>
        <v>ok</v>
      </c>
      <c r="B50" s="30" t="s">
        <v>167</v>
      </c>
      <c r="C50" s="22" t="s">
        <v>313</v>
      </c>
      <c r="D50" s="22" t="s">
        <v>314</v>
      </c>
      <c r="E50" s="23">
        <v>0</v>
      </c>
      <c r="F50" s="23">
        <v>950908</v>
      </c>
      <c r="G50" s="23">
        <v>975707</v>
      </c>
      <c r="H50" s="23">
        <v>914965</v>
      </c>
      <c r="I50" s="23">
        <v>0</v>
      </c>
      <c r="J50" s="23">
        <v>0</v>
      </c>
      <c r="K50" s="23">
        <v>0</v>
      </c>
      <c r="L50" s="23">
        <v>0</v>
      </c>
      <c r="M50" s="23">
        <v>0</v>
      </c>
    </row>
    <row r="51" spans="1:13" ht="16" customHeight="1" x14ac:dyDescent="0.25">
      <c r="A51" s="18" t="str">
        <f t="shared" ca="1" si="1"/>
        <v>ok</v>
      </c>
      <c r="B51" s="30" t="s">
        <v>167</v>
      </c>
      <c r="C51" s="22" t="s">
        <v>315</v>
      </c>
      <c r="D51" s="22" t="s">
        <v>316</v>
      </c>
      <c r="E51" s="23">
        <v>0</v>
      </c>
      <c r="F51" s="23">
        <v>0</v>
      </c>
      <c r="G51" s="23">
        <v>0</v>
      </c>
      <c r="H51" s="23">
        <v>0</v>
      </c>
      <c r="I51" s="23">
        <v>0</v>
      </c>
      <c r="J51" s="23">
        <v>0</v>
      </c>
      <c r="K51" s="23">
        <v>0</v>
      </c>
      <c r="L51" s="23">
        <v>0</v>
      </c>
      <c r="M51" s="23">
        <v>0</v>
      </c>
    </row>
    <row r="52" spans="1:13" ht="16" customHeight="1" x14ac:dyDescent="0.25">
      <c r="A52" s="18" t="str">
        <f t="shared" ca="1" si="1"/>
        <v>ok</v>
      </c>
      <c r="B52" s="30" t="s">
        <v>170</v>
      </c>
      <c r="C52" s="22" t="s">
        <v>317</v>
      </c>
      <c r="D52" s="22" t="s">
        <v>64</v>
      </c>
      <c r="E52" s="23">
        <v>0</v>
      </c>
      <c r="F52" s="23">
        <v>15500</v>
      </c>
      <c r="G52" s="23">
        <v>18000</v>
      </c>
      <c r="H52" s="23">
        <v>24000</v>
      </c>
      <c r="I52" s="23">
        <v>0</v>
      </c>
      <c r="J52" s="23">
        <v>0</v>
      </c>
      <c r="K52" s="23">
        <v>0</v>
      </c>
      <c r="L52" s="23">
        <v>0</v>
      </c>
      <c r="M52" s="23">
        <v>0</v>
      </c>
    </row>
    <row r="53" spans="1:13" ht="16" customHeight="1" x14ac:dyDescent="0.25">
      <c r="A53" s="18" t="str">
        <f t="shared" ca="1" si="1"/>
        <v>ok</v>
      </c>
      <c r="B53" s="30" t="s">
        <v>172</v>
      </c>
      <c r="C53" s="22" t="s">
        <v>318</v>
      </c>
      <c r="D53" s="22" t="s">
        <v>34</v>
      </c>
      <c r="E53" s="23">
        <v>0</v>
      </c>
      <c r="F53" s="23">
        <v>110520</v>
      </c>
      <c r="G53" s="23">
        <v>170000</v>
      </c>
      <c r="H53" s="23">
        <v>143644</v>
      </c>
      <c r="I53" s="23">
        <v>0</v>
      </c>
      <c r="J53" s="23">
        <v>0</v>
      </c>
      <c r="K53" s="23">
        <v>0</v>
      </c>
      <c r="L53" s="23">
        <v>0</v>
      </c>
      <c r="M53" s="23">
        <v>0</v>
      </c>
    </row>
    <row r="54" spans="1:13" ht="16" customHeight="1" x14ac:dyDescent="0.25">
      <c r="A54" s="18" t="str">
        <f t="shared" ca="1" si="1"/>
        <v>ok</v>
      </c>
      <c r="B54" s="30" t="s">
        <v>174</v>
      </c>
      <c r="C54" s="22" t="s">
        <v>319</v>
      </c>
      <c r="D54" s="22" t="s">
        <v>65</v>
      </c>
      <c r="E54" s="23">
        <v>0</v>
      </c>
      <c r="F54" s="23">
        <v>780</v>
      </c>
      <c r="G54" s="23">
        <v>935</v>
      </c>
      <c r="H54" s="23">
        <v>1180</v>
      </c>
      <c r="I54" s="23">
        <v>0</v>
      </c>
      <c r="J54" s="23">
        <v>0</v>
      </c>
      <c r="K54" s="23">
        <v>0</v>
      </c>
      <c r="L54" s="23">
        <v>0</v>
      </c>
      <c r="M54" s="23">
        <v>0</v>
      </c>
    </row>
    <row r="55" spans="1:13" ht="16" customHeight="1" x14ac:dyDescent="0.25">
      <c r="A55" s="18" t="str">
        <f t="shared" ca="1" si="1"/>
        <v>ok</v>
      </c>
      <c r="B55" s="30" t="s">
        <v>176</v>
      </c>
      <c r="C55" s="22" t="s">
        <v>320</v>
      </c>
      <c r="D55" s="22" t="s">
        <v>66</v>
      </c>
      <c r="E55" s="23">
        <v>0</v>
      </c>
      <c r="F55" s="23">
        <v>18450</v>
      </c>
      <c r="G55" s="23">
        <v>22120</v>
      </c>
      <c r="H55" s="23">
        <v>27850</v>
      </c>
      <c r="I55" s="23">
        <v>0</v>
      </c>
      <c r="J55" s="23">
        <v>0</v>
      </c>
      <c r="K55" s="23">
        <v>0</v>
      </c>
      <c r="L55" s="23">
        <v>0</v>
      </c>
      <c r="M55" s="23">
        <v>0</v>
      </c>
    </row>
    <row r="56" spans="1:13" ht="16" customHeight="1" x14ac:dyDescent="0.25">
      <c r="A56" s="18" t="str">
        <f t="shared" ca="1" si="1"/>
        <v>ok</v>
      </c>
      <c r="B56" s="30" t="s">
        <v>177</v>
      </c>
      <c r="C56" s="22" t="s">
        <v>321</v>
      </c>
      <c r="D56" s="22" t="s">
        <v>67</v>
      </c>
      <c r="E56" s="23">
        <v>0</v>
      </c>
      <c r="F56" s="23">
        <v>5625</v>
      </c>
      <c r="G56" s="23">
        <v>7210</v>
      </c>
      <c r="H56" s="23">
        <v>3477</v>
      </c>
      <c r="I56" s="23">
        <v>0</v>
      </c>
      <c r="J56" s="23">
        <v>0</v>
      </c>
      <c r="K56" s="23">
        <v>0</v>
      </c>
      <c r="L56" s="23">
        <v>0</v>
      </c>
      <c r="M56" s="23">
        <v>0</v>
      </c>
    </row>
    <row r="57" spans="1:13" ht="16" customHeight="1" x14ac:dyDescent="0.25">
      <c r="A57" s="18" t="str">
        <f t="shared" ca="1" si="1"/>
        <v>ok</v>
      </c>
      <c r="B57" s="30" t="s">
        <v>179</v>
      </c>
      <c r="C57" s="22" t="s">
        <v>322</v>
      </c>
      <c r="D57" s="22" t="s">
        <v>68</v>
      </c>
      <c r="E57" s="23">
        <v>0</v>
      </c>
      <c r="F57" s="23">
        <v>2500</v>
      </c>
      <c r="G57" s="23">
        <v>2000</v>
      </c>
      <c r="H57" s="23">
        <v>2500</v>
      </c>
      <c r="I57" s="23">
        <v>0</v>
      </c>
      <c r="J57" s="23">
        <v>0</v>
      </c>
      <c r="K57" s="23">
        <v>0</v>
      </c>
      <c r="L57" s="23">
        <v>0</v>
      </c>
      <c r="M57" s="23">
        <v>0</v>
      </c>
    </row>
    <row r="58" spans="1:13" ht="16" customHeight="1" x14ac:dyDescent="0.25">
      <c r="A58" s="18" t="str">
        <f t="shared" ca="1" si="1"/>
        <v>ok</v>
      </c>
      <c r="B58" s="30" t="s">
        <v>181</v>
      </c>
      <c r="C58" s="22" t="s">
        <v>323</v>
      </c>
      <c r="D58" s="22" t="s">
        <v>69</v>
      </c>
      <c r="E58" s="23">
        <v>0</v>
      </c>
      <c r="F58" s="23">
        <v>11020</v>
      </c>
      <c r="G58" s="23">
        <v>10875</v>
      </c>
      <c r="H58" s="23">
        <v>12420</v>
      </c>
      <c r="I58" s="23">
        <v>0</v>
      </c>
      <c r="J58" s="23">
        <v>0</v>
      </c>
      <c r="K58" s="23">
        <v>0</v>
      </c>
      <c r="L58" s="23">
        <v>0</v>
      </c>
      <c r="M58" s="23">
        <v>0</v>
      </c>
    </row>
    <row r="59" spans="1:13" ht="16" customHeight="1" x14ac:dyDescent="0.25">
      <c r="A59" s="18" t="str">
        <f t="shared" ca="1" si="1"/>
        <v>ok</v>
      </c>
      <c r="B59" s="30" t="s">
        <v>182</v>
      </c>
      <c r="C59" s="22" t="s">
        <v>324</v>
      </c>
      <c r="D59" s="22" t="s">
        <v>70</v>
      </c>
      <c r="E59" s="23">
        <v>0</v>
      </c>
      <c r="F59" s="23">
        <v>3100</v>
      </c>
      <c r="G59" s="23">
        <v>3420</v>
      </c>
      <c r="H59" s="23">
        <v>3840</v>
      </c>
      <c r="I59" s="23">
        <v>0</v>
      </c>
      <c r="J59" s="23">
        <v>0</v>
      </c>
      <c r="K59" s="23">
        <v>0</v>
      </c>
      <c r="L59" s="23">
        <v>0</v>
      </c>
      <c r="M59" s="23">
        <v>0</v>
      </c>
    </row>
    <row r="60" spans="1:13" ht="16" customHeight="1" x14ac:dyDescent="0.25">
      <c r="A60" s="18" t="str">
        <f t="shared" ca="1" si="1"/>
        <v>ok</v>
      </c>
      <c r="B60" s="30" t="s">
        <v>183</v>
      </c>
      <c r="C60" s="22" t="s">
        <v>325</v>
      </c>
      <c r="D60" s="22" t="s">
        <v>71</v>
      </c>
      <c r="E60" s="23">
        <v>0</v>
      </c>
      <c r="F60" s="23">
        <v>350</v>
      </c>
      <c r="G60" s="23">
        <v>660</v>
      </c>
      <c r="H60" s="23">
        <v>996</v>
      </c>
      <c r="I60" s="23">
        <v>0</v>
      </c>
      <c r="J60" s="23">
        <v>0</v>
      </c>
      <c r="K60" s="23">
        <v>0</v>
      </c>
      <c r="L60" s="23">
        <v>0</v>
      </c>
      <c r="M60" s="23">
        <v>0</v>
      </c>
    </row>
    <row r="61" spans="1:13" ht="16" customHeight="1" x14ac:dyDescent="0.25">
      <c r="A61" s="18" t="str">
        <f t="shared" ca="1" si="1"/>
        <v>ok</v>
      </c>
      <c r="B61" s="30" t="s">
        <v>185</v>
      </c>
      <c r="C61" s="22" t="s">
        <v>326</v>
      </c>
      <c r="D61" s="22" t="s">
        <v>72</v>
      </c>
      <c r="E61" s="23">
        <v>0</v>
      </c>
      <c r="F61" s="23">
        <v>114000</v>
      </c>
      <c r="G61" s="23">
        <v>120000</v>
      </c>
      <c r="H61" s="23">
        <v>144000</v>
      </c>
      <c r="I61" s="23">
        <v>0</v>
      </c>
      <c r="J61" s="23">
        <v>0</v>
      </c>
      <c r="K61" s="23">
        <v>0</v>
      </c>
      <c r="L61" s="23">
        <v>0</v>
      </c>
      <c r="M61" s="23">
        <v>0</v>
      </c>
    </row>
    <row r="62" spans="1:13" ht="16" customHeight="1" x14ac:dyDescent="0.25">
      <c r="A62" s="18" t="str">
        <f t="shared" ca="1" si="1"/>
        <v>ok</v>
      </c>
      <c r="B62" s="30" t="s">
        <v>187</v>
      </c>
      <c r="C62" s="22" t="s">
        <v>327</v>
      </c>
      <c r="D62" s="22" t="s">
        <v>73</v>
      </c>
      <c r="E62" s="23">
        <v>0</v>
      </c>
      <c r="F62" s="23">
        <v>685</v>
      </c>
      <c r="G62" s="23">
        <v>452</v>
      </c>
      <c r="H62" s="23">
        <v>524</v>
      </c>
      <c r="I62" s="23">
        <v>0</v>
      </c>
      <c r="J62" s="23">
        <v>0</v>
      </c>
      <c r="K62" s="23">
        <v>0</v>
      </c>
      <c r="L62" s="23">
        <v>0</v>
      </c>
      <c r="M62" s="23">
        <v>0</v>
      </c>
    </row>
    <row r="63" spans="1:13" ht="16" customHeight="1" x14ac:dyDescent="0.25">
      <c r="A63" s="18" t="str">
        <f t="shared" ca="1" si="1"/>
        <v>ok</v>
      </c>
      <c r="B63" s="30" t="s">
        <v>188</v>
      </c>
      <c r="C63" s="22" t="s">
        <v>328</v>
      </c>
      <c r="D63" s="22" t="s">
        <v>74</v>
      </c>
      <c r="E63" s="23">
        <v>0</v>
      </c>
      <c r="F63" s="23">
        <v>0</v>
      </c>
      <c r="G63" s="23">
        <v>36250</v>
      </c>
      <c r="H63" s="23">
        <v>5652</v>
      </c>
      <c r="I63" s="23">
        <v>0</v>
      </c>
      <c r="J63" s="23">
        <v>0</v>
      </c>
      <c r="K63" s="23">
        <v>0</v>
      </c>
      <c r="L63" s="23">
        <v>0</v>
      </c>
      <c r="M63" s="23">
        <v>0</v>
      </c>
    </row>
    <row r="64" spans="1:13" ht="16" customHeight="1" x14ac:dyDescent="0.25">
      <c r="A64" s="18" t="str">
        <f t="shared" ca="1" si="1"/>
        <v>ok</v>
      </c>
      <c r="B64" s="30" t="s">
        <v>190</v>
      </c>
      <c r="C64" s="22" t="s">
        <v>329</v>
      </c>
      <c r="D64" s="22" t="s">
        <v>75</v>
      </c>
      <c r="E64" s="23">
        <v>0</v>
      </c>
      <c r="F64" s="23">
        <v>1150</v>
      </c>
      <c r="G64" s="23">
        <v>1257</v>
      </c>
      <c r="H64" s="23">
        <v>2491</v>
      </c>
      <c r="I64" s="23">
        <v>0</v>
      </c>
      <c r="J64" s="23">
        <v>0</v>
      </c>
      <c r="K64" s="23">
        <v>0</v>
      </c>
      <c r="L64" s="23">
        <v>0</v>
      </c>
      <c r="M64" s="23">
        <v>0</v>
      </c>
    </row>
    <row r="65" spans="1:13" ht="16" customHeight="1" x14ac:dyDescent="0.25">
      <c r="A65" s="18" t="str">
        <f t="shared" ca="1" si="1"/>
        <v>ok</v>
      </c>
      <c r="B65" s="30" t="s">
        <v>191</v>
      </c>
      <c r="C65" s="22" t="s">
        <v>330</v>
      </c>
      <c r="D65" s="22" t="s">
        <v>76</v>
      </c>
      <c r="E65" s="23">
        <v>0</v>
      </c>
      <c r="F65" s="23">
        <v>4400</v>
      </c>
      <c r="G65" s="23">
        <v>4800</v>
      </c>
      <c r="H65" s="23">
        <v>5200</v>
      </c>
      <c r="I65" s="23">
        <v>0</v>
      </c>
      <c r="J65" s="23">
        <v>0</v>
      </c>
      <c r="K65" s="23">
        <v>0</v>
      </c>
      <c r="L65" s="23">
        <v>0</v>
      </c>
      <c r="M65" s="23">
        <v>0</v>
      </c>
    </row>
    <row r="66" spans="1:13" ht="16" customHeight="1" x14ac:dyDescent="0.25">
      <c r="A66" s="18" t="str">
        <f t="shared" ca="1" si="1"/>
        <v>ok</v>
      </c>
      <c r="B66" s="30" t="s">
        <v>193</v>
      </c>
      <c r="C66" s="22" t="s">
        <v>331</v>
      </c>
      <c r="D66" s="22" t="s">
        <v>77</v>
      </c>
      <c r="E66" s="23">
        <v>0</v>
      </c>
      <c r="F66" s="23">
        <v>7220</v>
      </c>
      <c r="G66" s="23">
        <v>7504</v>
      </c>
      <c r="H66" s="23">
        <v>8867</v>
      </c>
      <c r="I66" s="23">
        <v>0</v>
      </c>
      <c r="J66" s="23">
        <v>0</v>
      </c>
      <c r="K66" s="23">
        <v>0</v>
      </c>
      <c r="L66" s="23">
        <v>0</v>
      </c>
      <c r="M66" s="23">
        <v>0</v>
      </c>
    </row>
    <row r="67" spans="1:13" ht="16" customHeight="1" x14ac:dyDescent="0.25">
      <c r="A67" s="18" t="str">
        <f t="shared" ca="1" si="1"/>
        <v>ok</v>
      </c>
      <c r="B67" s="30" t="s">
        <v>195</v>
      </c>
      <c r="C67" s="22" t="s">
        <v>332</v>
      </c>
      <c r="D67" s="22" t="s">
        <v>78</v>
      </c>
      <c r="E67" s="23">
        <v>0</v>
      </c>
      <c r="F67" s="23">
        <v>875</v>
      </c>
      <c r="G67" s="23">
        <v>1521</v>
      </c>
      <c r="H67" s="23">
        <v>4043</v>
      </c>
      <c r="I67" s="23">
        <v>0</v>
      </c>
      <c r="J67" s="23">
        <v>0</v>
      </c>
      <c r="K67" s="23">
        <v>0</v>
      </c>
      <c r="L67" s="23">
        <v>0</v>
      </c>
      <c r="M67" s="23">
        <v>0</v>
      </c>
    </row>
    <row r="68" spans="1:13" ht="16" customHeight="1" x14ac:dyDescent="0.25">
      <c r="A68" s="18" t="str">
        <f t="shared" ca="1" si="1"/>
        <v>ok</v>
      </c>
      <c r="B68" s="30" t="s">
        <v>196</v>
      </c>
      <c r="C68" s="22" t="s">
        <v>333</v>
      </c>
      <c r="D68" s="22" t="s">
        <v>79</v>
      </c>
      <c r="E68" s="23">
        <v>0</v>
      </c>
      <c r="F68" s="23">
        <v>10420</v>
      </c>
      <c r="G68" s="23">
        <v>4589</v>
      </c>
      <c r="H68" s="23">
        <v>13705</v>
      </c>
    </row>
    <row r="69" spans="1:13" ht="16" customHeight="1" x14ac:dyDescent="0.25">
      <c r="A69" s="18" t="str">
        <f t="shared" ref="A69:A92" ca="1" si="2">IF(ISNA(VLOOKUP($B69,ClassCode,1,0)),"class!",IF(LEFT($B69,1)="B",IF(ISNA(VLOOKUP($B69,BSCode,1,0)),"add!","ok"),IF(ISNA(VLOOKUP($B69,ISCode,1,0)),"add!","ok")))</f>
        <v>ok</v>
      </c>
      <c r="B69" s="30" t="s">
        <v>198</v>
      </c>
      <c r="C69" s="22" t="s">
        <v>334</v>
      </c>
      <c r="D69" s="22" t="s">
        <v>80</v>
      </c>
      <c r="E69" s="23">
        <v>0</v>
      </c>
      <c r="F69" s="23">
        <v>5872</v>
      </c>
      <c r="G69" s="23">
        <v>6090</v>
      </c>
      <c r="H69" s="23">
        <v>6540</v>
      </c>
    </row>
    <row r="70" spans="1:13" ht="16" customHeight="1" x14ac:dyDescent="0.25">
      <c r="A70" s="18" t="str">
        <f t="shared" ca="1" si="2"/>
        <v>ok</v>
      </c>
      <c r="B70" s="30" t="s">
        <v>201</v>
      </c>
      <c r="C70" s="22" t="s">
        <v>335</v>
      </c>
      <c r="D70" s="22" t="s">
        <v>336</v>
      </c>
      <c r="E70" s="23">
        <v>0</v>
      </c>
      <c r="F70" s="23">
        <v>385260</v>
      </c>
      <c r="G70" s="23">
        <v>435500</v>
      </c>
      <c r="H70" s="23">
        <v>548600</v>
      </c>
    </row>
    <row r="71" spans="1:13" ht="16" customHeight="1" x14ac:dyDescent="0.25">
      <c r="A71" s="18" t="str">
        <f t="shared" ca="1" si="2"/>
        <v>ok</v>
      </c>
      <c r="B71" s="30" t="s">
        <v>376</v>
      </c>
      <c r="C71" s="22" t="s">
        <v>337</v>
      </c>
      <c r="D71" s="22" t="s">
        <v>338</v>
      </c>
      <c r="E71" s="23">
        <v>0</v>
      </c>
      <c r="F71" s="23">
        <v>401250</v>
      </c>
      <c r="G71" s="23">
        <v>434640</v>
      </c>
      <c r="H71" s="23">
        <v>785720</v>
      </c>
    </row>
    <row r="72" spans="1:13" ht="16" customHeight="1" x14ac:dyDescent="0.25">
      <c r="A72" s="18" t="str">
        <f t="shared" ca="1" si="2"/>
        <v>ok</v>
      </c>
      <c r="B72" s="30" t="s">
        <v>204</v>
      </c>
      <c r="C72" s="22" t="s">
        <v>339</v>
      </c>
      <c r="D72" s="22" t="s">
        <v>81</v>
      </c>
      <c r="E72" s="23">
        <v>0</v>
      </c>
      <c r="F72" s="23">
        <v>377626</v>
      </c>
      <c r="G72" s="23">
        <v>450300</v>
      </c>
      <c r="H72" s="23">
        <v>546530</v>
      </c>
    </row>
    <row r="73" spans="1:13" ht="16" customHeight="1" x14ac:dyDescent="0.25">
      <c r="A73" s="18" t="str">
        <f t="shared" ca="1" si="2"/>
        <v>ok</v>
      </c>
      <c r="B73" s="30" t="s">
        <v>205</v>
      </c>
      <c r="C73" s="22" t="s">
        <v>340</v>
      </c>
      <c r="D73" s="22" t="s">
        <v>341</v>
      </c>
      <c r="E73" s="23">
        <v>0</v>
      </c>
      <c r="F73" s="23">
        <v>104050</v>
      </c>
      <c r="G73" s="23">
        <v>104050</v>
      </c>
      <c r="H73" s="23">
        <v>104050</v>
      </c>
    </row>
    <row r="74" spans="1:13" ht="16" customHeight="1" x14ac:dyDescent="0.25">
      <c r="A74" s="18" t="str">
        <f t="shared" ca="1" si="2"/>
        <v>ok</v>
      </c>
      <c r="B74" s="30" t="s">
        <v>206</v>
      </c>
      <c r="C74" s="22" t="s">
        <v>342</v>
      </c>
      <c r="D74" s="22" t="s">
        <v>36</v>
      </c>
      <c r="E74" s="23">
        <v>0</v>
      </c>
      <c r="F74" s="23">
        <v>180742</v>
      </c>
      <c r="G74" s="23">
        <v>212354</v>
      </c>
      <c r="H74" s="23">
        <v>194222</v>
      </c>
    </row>
    <row r="75" spans="1:13" ht="16" customHeight="1" x14ac:dyDescent="0.25">
      <c r="A75" s="18" t="str">
        <f t="shared" ca="1" si="2"/>
        <v>ok</v>
      </c>
      <c r="B75" s="30" t="s">
        <v>207</v>
      </c>
      <c r="C75" s="22" t="s">
        <v>343</v>
      </c>
      <c r="D75" s="22" t="s">
        <v>82</v>
      </c>
      <c r="E75" s="23">
        <v>0</v>
      </c>
      <c r="F75" s="23">
        <v>236801</v>
      </c>
      <c r="G75" s="23">
        <v>263853</v>
      </c>
      <c r="H75" s="23">
        <v>442236</v>
      </c>
    </row>
    <row r="76" spans="1:13" ht="16" customHeight="1" x14ac:dyDescent="0.25">
      <c r="A76" s="18" t="str">
        <f t="shared" ca="1" si="2"/>
        <v>ok</v>
      </c>
      <c r="B76" s="30" t="s">
        <v>209</v>
      </c>
      <c r="C76" s="22" t="s">
        <v>344</v>
      </c>
      <c r="D76" s="22" t="s">
        <v>35</v>
      </c>
      <c r="E76" s="23">
        <v>0</v>
      </c>
      <c r="F76" s="23">
        <v>12589</v>
      </c>
      <c r="G76" s="23">
        <v>20998</v>
      </c>
      <c r="H76" s="23">
        <v>25362</v>
      </c>
    </row>
    <row r="77" spans="1:13" ht="16" customHeight="1" x14ac:dyDescent="0.25">
      <c r="A77" s="18" t="str">
        <f t="shared" ca="1" si="2"/>
        <v>ok</v>
      </c>
      <c r="B77" s="30" t="s">
        <v>209</v>
      </c>
      <c r="C77" s="22" t="s">
        <v>345</v>
      </c>
      <c r="D77" s="22" t="s">
        <v>346</v>
      </c>
      <c r="E77" s="23">
        <v>0</v>
      </c>
      <c r="F77" s="23">
        <v>10250</v>
      </c>
      <c r="G77" s="23">
        <v>15240</v>
      </c>
      <c r="H77" s="23">
        <v>6260</v>
      </c>
    </row>
    <row r="78" spans="1:13" ht="16" customHeight="1" x14ac:dyDescent="0.25">
      <c r="A78" s="18" t="str">
        <f t="shared" ca="1" si="2"/>
        <v>ok</v>
      </c>
      <c r="B78" s="30" t="s">
        <v>209</v>
      </c>
      <c r="C78" s="22" t="s">
        <v>347</v>
      </c>
      <c r="D78" s="22" t="s">
        <v>348</v>
      </c>
      <c r="E78" s="23">
        <v>0</v>
      </c>
      <c r="F78" s="23">
        <v>0</v>
      </c>
      <c r="G78" s="23">
        <v>18000</v>
      </c>
      <c r="H78" s="23">
        <v>0</v>
      </c>
    </row>
    <row r="79" spans="1:13" ht="16" customHeight="1" x14ac:dyDescent="0.25">
      <c r="A79" s="18" t="str">
        <f t="shared" ca="1" si="2"/>
        <v>ok</v>
      </c>
      <c r="B79" s="30" t="s">
        <v>210</v>
      </c>
      <c r="C79" s="22" t="s">
        <v>349</v>
      </c>
      <c r="D79" s="22" t="s">
        <v>2</v>
      </c>
      <c r="E79" s="23">
        <v>0</v>
      </c>
      <c r="F79" s="23">
        <v>-23564</v>
      </c>
      <c r="G79" s="23">
        <v>-30900</v>
      </c>
      <c r="H79" s="23">
        <v>-41850</v>
      </c>
    </row>
    <row r="80" spans="1:13" ht="16" customHeight="1" x14ac:dyDescent="0.25">
      <c r="A80" s="18" t="str">
        <f t="shared" ca="1" si="2"/>
        <v>ok</v>
      </c>
      <c r="B80" s="30" t="s">
        <v>210</v>
      </c>
      <c r="C80" s="22" t="s">
        <v>350</v>
      </c>
      <c r="D80" s="22" t="s">
        <v>91</v>
      </c>
      <c r="E80" s="23">
        <v>0</v>
      </c>
      <c r="F80" s="23">
        <v>0</v>
      </c>
      <c r="G80" s="23">
        <v>-3050</v>
      </c>
      <c r="H80" s="23">
        <v>-4065</v>
      </c>
    </row>
    <row r="81" spans="1:8" ht="16" customHeight="1" x14ac:dyDescent="0.25">
      <c r="A81" s="18" t="str">
        <f t="shared" ca="1" si="2"/>
        <v>ok</v>
      </c>
      <c r="B81" s="30" t="s">
        <v>210</v>
      </c>
      <c r="C81" s="22" t="s">
        <v>351</v>
      </c>
      <c r="D81" s="22" t="s">
        <v>352</v>
      </c>
      <c r="E81" s="23">
        <v>0</v>
      </c>
      <c r="F81" s="23">
        <v>0</v>
      </c>
      <c r="G81" s="23">
        <v>0</v>
      </c>
      <c r="H81" s="23">
        <v>-16915</v>
      </c>
    </row>
    <row r="82" spans="1:8" ht="16" customHeight="1" x14ac:dyDescent="0.25">
      <c r="A82" s="18" t="str">
        <f t="shared" ca="1" si="2"/>
        <v>ok</v>
      </c>
      <c r="B82" s="30" t="s">
        <v>210</v>
      </c>
      <c r="C82" s="22" t="s">
        <v>353</v>
      </c>
      <c r="D82" s="22" t="s">
        <v>92</v>
      </c>
      <c r="E82" s="23">
        <v>0</v>
      </c>
      <c r="F82" s="23">
        <v>-562</v>
      </c>
      <c r="G82" s="23">
        <v>-4562</v>
      </c>
      <c r="H82" s="23">
        <v>-5100</v>
      </c>
    </row>
    <row r="83" spans="1:8" ht="16" customHeight="1" x14ac:dyDescent="0.25">
      <c r="A83" s="18" t="str">
        <f t="shared" ca="1" si="2"/>
        <v>ok</v>
      </c>
      <c r="B83" s="30" t="s">
        <v>212</v>
      </c>
      <c r="C83" s="22" t="s">
        <v>354</v>
      </c>
      <c r="D83" s="22" t="s">
        <v>4</v>
      </c>
      <c r="E83" s="23">
        <v>0</v>
      </c>
      <c r="F83" s="23">
        <v>75000</v>
      </c>
      <c r="G83" s="23">
        <v>100000</v>
      </c>
      <c r="H83" s="23">
        <v>150000</v>
      </c>
    </row>
    <row r="84" spans="1:8" ht="16" customHeight="1" x14ac:dyDescent="0.25">
      <c r="A84" s="18" t="str">
        <f t="shared" ca="1" si="2"/>
        <v>ok</v>
      </c>
      <c r="B84" s="30" t="s">
        <v>223</v>
      </c>
      <c r="C84" s="22" t="s">
        <v>355</v>
      </c>
      <c r="D84" s="22" t="s">
        <v>356</v>
      </c>
      <c r="E84" s="23">
        <v>92580</v>
      </c>
      <c r="F84" s="23">
        <v>187624</v>
      </c>
      <c r="G84" s="23">
        <v>360300</v>
      </c>
      <c r="H84" s="23">
        <v>276526</v>
      </c>
    </row>
    <row r="85" spans="1:8" ht="16" customHeight="1" x14ac:dyDescent="0.25">
      <c r="A85" s="18" t="str">
        <f t="shared" ca="1" si="2"/>
        <v>ok</v>
      </c>
      <c r="B85" s="30" t="s">
        <v>223</v>
      </c>
      <c r="C85" s="22" t="s">
        <v>357</v>
      </c>
      <c r="D85" s="22" t="s">
        <v>358</v>
      </c>
      <c r="E85" s="23">
        <v>0</v>
      </c>
      <c r="F85" s="23">
        <v>0</v>
      </c>
      <c r="G85" s="23">
        <v>33680</v>
      </c>
      <c r="H85" s="23">
        <v>40691</v>
      </c>
    </row>
    <row r="86" spans="1:8" ht="16" customHeight="1" x14ac:dyDescent="0.25">
      <c r="A86" s="18" t="str">
        <f t="shared" ca="1" si="2"/>
        <v>ok</v>
      </c>
      <c r="B86" s="30" t="s">
        <v>223</v>
      </c>
      <c r="C86" s="22" t="s">
        <v>359</v>
      </c>
      <c r="D86" s="22" t="s">
        <v>360</v>
      </c>
      <c r="E86" s="23">
        <v>0</v>
      </c>
      <c r="F86" s="23">
        <v>0</v>
      </c>
      <c r="G86" s="23">
        <v>0</v>
      </c>
      <c r="H86" s="23">
        <v>9457</v>
      </c>
    </row>
    <row r="87" spans="1:8" ht="16" customHeight="1" x14ac:dyDescent="0.25">
      <c r="A87" s="18" t="str">
        <f t="shared" ca="1" si="2"/>
        <v>ok</v>
      </c>
      <c r="B87" s="30" t="s">
        <v>224</v>
      </c>
      <c r="C87" s="22" t="s">
        <v>361</v>
      </c>
      <c r="D87" s="22" t="s">
        <v>362</v>
      </c>
      <c r="E87" s="23">
        <v>1000</v>
      </c>
      <c r="F87" s="23">
        <v>1000</v>
      </c>
      <c r="G87" s="23">
        <v>990</v>
      </c>
      <c r="H87" s="23">
        <v>1000</v>
      </c>
    </row>
    <row r="88" spans="1:8" ht="16" customHeight="1" x14ac:dyDescent="0.25">
      <c r="A88" s="18" t="str">
        <f t="shared" ca="1" si="2"/>
        <v>ok</v>
      </c>
      <c r="B88" s="30" t="s">
        <v>223</v>
      </c>
      <c r="C88" s="22" t="s">
        <v>363</v>
      </c>
      <c r="D88" s="22" t="s">
        <v>364</v>
      </c>
      <c r="E88" s="23">
        <v>0</v>
      </c>
      <c r="F88" s="23">
        <v>0</v>
      </c>
      <c r="G88" s="23">
        <v>0</v>
      </c>
      <c r="H88" s="23">
        <v>0</v>
      </c>
    </row>
    <row r="89" spans="1:8" ht="16" customHeight="1" x14ac:dyDescent="0.25">
      <c r="A89" s="18" t="str">
        <f t="shared" ca="1" si="2"/>
        <v>ok</v>
      </c>
      <c r="B89" s="30" t="s">
        <v>228</v>
      </c>
      <c r="C89" s="22" t="s">
        <v>365</v>
      </c>
      <c r="D89" s="22" t="s">
        <v>83</v>
      </c>
      <c r="E89" s="23">
        <v>150236</v>
      </c>
      <c r="F89" s="23">
        <v>169397</v>
      </c>
      <c r="G89" s="23">
        <v>234245</v>
      </c>
      <c r="H89" s="23">
        <v>245060</v>
      </c>
    </row>
    <row r="90" spans="1:8" ht="16" customHeight="1" x14ac:dyDescent="0.25">
      <c r="A90" s="18" t="str">
        <f t="shared" ca="1" si="2"/>
        <v>ok</v>
      </c>
      <c r="B90" s="30" t="s">
        <v>225</v>
      </c>
      <c r="C90" s="22" t="s">
        <v>366</v>
      </c>
      <c r="D90" s="22" t="s">
        <v>38</v>
      </c>
      <c r="E90" s="23">
        <v>426510</v>
      </c>
      <c r="F90" s="23">
        <v>456039</v>
      </c>
      <c r="G90" s="23">
        <v>495942</v>
      </c>
      <c r="H90" s="23">
        <v>568079</v>
      </c>
    </row>
    <row r="91" spans="1:8" ht="16" customHeight="1" x14ac:dyDescent="0.25">
      <c r="A91" s="18" t="str">
        <f t="shared" ca="1" si="2"/>
        <v>ok</v>
      </c>
      <c r="B91" s="30" t="s">
        <v>230</v>
      </c>
      <c r="C91" s="22" t="s">
        <v>367</v>
      </c>
      <c r="D91" s="22" t="s">
        <v>41</v>
      </c>
      <c r="E91" s="23">
        <v>-125630</v>
      </c>
      <c r="F91" s="23">
        <v>-166325</v>
      </c>
      <c r="G91" s="23">
        <v>-219900</v>
      </c>
      <c r="H91" s="23">
        <v>-186802</v>
      </c>
    </row>
    <row r="92" spans="1:8" ht="16" customHeight="1" x14ac:dyDescent="0.25">
      <c r="A92" s="18" t="str">
        <f t="shared" ca="1" si="2"/>
        <v>ok</v>
      </c>
      <c r="B92" s="30" t="s">
        <v>245</v>
      </c>
      <c r="C92" s="22" t="s">
        <v>368</v>
      </c>
      <c r="D92" s="22" t="s">
        <v>369</v>
      </c>
      <c r="E92" s="23">
        <v>-2801220</v>
      </c>
      <c r="F92" s="23">
        <v>-2801220</v>
      </c>
      <c r="G92" s="23">
        <v>-3335138</v>
      </c>
      <c r="H92" s="23">
        <v>-4339805</v>
      </c>
    </row>
  </sheetData>
  <conditionalFormatting sqref="E3:M3">
    <cfRule type="expression" dxfId="16" priority="8" stopIfTrue="1">
      <formula>ROUND(E3,2)&lt;&gt;0</formula>
    </cfRule>
  </conditionalFormatting>
  <conditionalFormatting sqref="A4">
    <cfRule type="expression" dxfId="15" priority="3" stopIfTrue="1">
      <formula>OR(COUNTIF(TBStatus,"add!")&gt;0,COUNTIF(TBStatus,"class!")&gt;0)</formula>
    </cfRule>
  </conditionalFormatting>
  <conditionalFormatting sqref="J3:L3">
    <cfRule type="expression" dxfId="14" priority="2" stopIfTrue="1">
      <formula>ROUND(J3,2)&lt;&gt;0</formula>
    </cfRule>
  </conditionalFormatting>
  <conditionalFormatting sqref="M3">
    <cfRule type="expression" dxfId="13" priority="1" stopIfTrue="1">
      <formula>ROUND(M3,2)&lt;&gt;0</formula>
    </cfRule>
  </conditionalFormatting>
  <pageMargins left="0.51181102362204722" right="0.51181102362204722" top="0.55118110236220474" bottom="0.55118110236220474" header="0.39370078740157483" footer="0.39370078740157483"/>
  <pageSetup paperSize="9" scale="67" fitToHeight="0" orientation="landscape" r:id="rId1"/>
  <headerFooter>
    <oddFooter>&amp;C&amp;"-,Regular"&amp;9Page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K45"/>
  <sheetViews>
    <sheetView zoomScale="95" zoomScaleNormal="95" workbookViewId="0">
      <pane ySplit="4" topLeftCell="A5" activePane="bottomLeft" state="frozen"/>
      <selection pane="bottomLeft" activeCell="B4" sqref="B4"/>
    </sheetView>
  </sheetViews>
  <sheetFormatPr defaultColWidth="9.08984375" defaultRowHeight="16" customHeight="1" x14ac:dyDescent="0.25"/>
  <cols>
    <col min="1" max="1" width="10.81640625" style="85" customWidth="1"/>
    <col min="2" max="2" width="45.81640625" style="128" customWidth="1"/>
    <col min="3" max="5" width="14.6328125" style="86" customWidth="1"/>
    <col min="6" max="6" width="12.6328125" style="87" customWidth="1"/>
    <col min="7" max="7" width="2.6328125" style="9" customWidth="1"/>
    <col min="8" max="9" width="14.6328125" style="86" customWidth="1"/>
    <col min="10" max="10" width="12.6328125" style="87" customWidth="1"/>
    <col min="11" max="11" width="2.6328125" style="88" customWidth="1"/>
    <col min="12" max="14" width="14.6328125" style="9" customWidth="1"/>
    <col min="15" max="15" width="2.6328125" style="9" customWidth="1"/>
    <col min="16" max="18" width="14.6328125" style="9" customWidth="1"/>
    <col min="19" max="19" width="2.6328125" style="9" customWidth="1"/>
    <col min="20" max="22" width="14.6328125" style="9" customWidth="1"/>
    <col min="23" max="23" width="2.6328125" style="9" customWidth="1"/>
    <col min="24" max="16384" width="9.08984375" style="9"/>
  </cols>
  <sheetData>
    <row r="1" spans="1:11" ht="16" customHeight="1" x14ac:dyDescent="0.3">
      <c r="B1" s="130" t="str">
        <f>IF(ISBLANK(Setup!$B$4),"Example (Pty) Limited",Setup!$B$4)</f>
        <v>Example (Pty) Limited</v>
      </c>
    </row>
    <row r="2" spans="1:11" ht="16" customHeight="1" x14ac:dyDescent="0.25">
      <c r="B2" s="89" t="str">
        <f ca="1">"Income statement for the period ended "&amp;TEXT(Setup!$B$10,"dd mmmm yyyy")</f>
        <v>Income statement for the period ended 28 February 2023</v>
      </c>
    </row>
    <row r="3" spans="1:11" s="93" customFormat="1" ht="16" customHeight="1" x14ac:dyDescent="0.25">
      <c r="A3" s="90"/>
      <c r="B3" s="91" t="s">
        <v>56</v>
      </c>
      <c r="C3" s="9"/>
      <c r="D3" s="9"/>
      <c r="E3" s="9"/>
      <c r="F3" s="9"/>
      <c r="G3" s="9"/>
      <c r="H3" s="9"/>
      <c r="I3" s="9"/>
      <c r="J3" s="9"/>
      <c r="K3" s="92"/>
    </row>
    <row r="4" spans="1:11" s="98" customFormat="1" ht="18" customHeight="1" x14ac:dyDescent="0.25">
      <c r="A4" s="94"/>
      <c r="B4" s="95"/>
      <c r="C4" s="96">
        <f ca="1">IF(ISBLANK(Setup!$B$8),YEAR(TODAY()),Setup!$B$8)</f>
        <v>2023</v>
      </c>
      <c r="D4" s="96">
        <f ca="1">C4-1</f>
        <v>2022</v>
      </c>
      <c r="E4" s="96" t="s">
        <v>58</v>
      </c>
      <c r="F4" s="96" t="s">
        <v>59</v>
      </c>
      <c r="G4" s="9"/>
      <c r="H4" s="96">
        <f ca="1">D4-1</f>
        <v>2021</v>
      </c>
      <c r="I4" s="96" t="s">
        <v>58</v>
      </c>
      <c r="J4" s="96" t="s">
        <v>59</v>
      </c>
      <c r="K4" s="97"/>
    </row>
    <row r="5" spans="1:11" ht="16" customHeight="1" x14ac:dyDescent="0.25">
      <c r="A5" s="85" t="s">
        <v>165</v>
      </c>
      <c r="B5" s="99" t="str">
        <f ca="1">IF(ISNA(VLOOKUP($A5,ClassAll,COLUMN(Classes!$B$4),0)),"No class!",VLOOKUP($A5,ClassAll,COLUMN(Classes!$B$4),0))</f>
        <v>Turnover</v>
      </c>
      <c r="C5" s="100" cm="1">
        <f t="array" aca="1" ref="C5" ca="1">-IF(ISNA(MATCH(C$4,TBMonths,0))=TRUE,0,SUMIF(TBAll,$A5&amp;"*",OFFSET(TB!$D$4,1,MATCH(C$4,TBMonths,0),TBRowCount,1)))</f>
        <v>6911623</v>
      </c>
      <c r="D5" s="101" cm="1">
        <f t="array" aca="1" ref="D5" ca="1">-IF(ISNA(MATCH(D$4,TBMonths,0))=TRUE,0,SUMIF(TBAll,$A5&amp;"*",OFFSET(TB!$D$4,1,MATCH(D$4,TBMonths,0),TBRowCount,1)))</f>
        <v>6242037</v>
      </c>
      <c r="E5" s="101">
        <f ca="1">C5-D5</f>
        <v>669586</v>
      </c>
      <c r="F5" s="102">
        <f ca="1">IF(D5=0,IF(E5=0,0,-1),E5/ABS(D5))</f>
        <v>0.10727043111086974</v>
      </c>
      <c r="H5" s="103" cm="1">
        <f t="array" aca="1" ref="H5" ca="1">-IF(ISNA(MATCH(H$4,TBMonths,0))=TRUE,0,SUMIF(TBAll,$A5&amp;"*",OFFSET(TB!$D$4,1,MATCH(H$4,TBMonths,0),TBRowCount,1)))</f>
        <v>5201696</v>
      </c>
      <c r="I5" s="101">
        <f ca="1">D5-H5</f>
        <v>1040341</v>
      </c>
      <c r="J5" s="102">
        <f ca="1">IF(H5=0,IF(I5=0,0,-1),I5/ABS(H5))</f>
        <v>0.20000034604098355</v>
      </c>
    </row>
    <row r="6" spans="1:11" ht="16" customHeight="1" x14ac:dyDescent="0.25">
      <c r="A6" s="85" t="s">
        <v>167</v>
      </c>
      <c r="B6" s="99" t="str">
        <f ca="1">IF(ISNA(VLOOKUP($A6,ClassAll,COLUMN(Classes!$B$4),0)),"No class!",VLOOKUP($A6,ClassAll,COLUMN(Classes!$B$4),0))</f>
        <v>Cost of sales</v>
      </c>
      <c r="C6" s="103" cm="1">
        <f t="array" aca="1" ref="C6" ca="1">IF(ISNA(MATCH(C$4,TBMonths,0))=TRUE,0,SUMIF(TBAll,$A6&amp;"*",OFFSET(TB!$D$4,1,MATCH(C$4,TBMonths,0),TBRowCount,1)))</f>
        <v>2881575</v>
      </c>
      <c r="D6" s="101" cm="1">
        <f t="array" aca="1" ref="D6" ca="1">IF(ISNA(MATCH(D$4,TBMonths,0))=TRUE,0,SUMIF(TBAll,$A6&amp;"*",OFFSET(TB!$D$4,1,MATCH(D$4,TBMonths,0),TBRowCount,1)))</f>
        <v>2803264</v>
      </c>
      <c r="E6" s="101">
        <f ca="1">D6-C6</f>
        <v>-78311</v>
      </c>
      <c r="F6" s="102">
        <f t="shared" ref="F6:F7" ca="1" si="0">IF(D6=0,IF(E6=0,0,-1),E6/ABS(D6))</f>
        <v>-2.7935649300244288E-2</v>
      </c>
      <c r="H6" s="103" cm="1">
        <f t="array" aca="1" ref="H6" ca="1">IF(ISNA(MATCH(H$4,TBMonths,0))=TRUE,0,SUMIF(TBAll,$A6&amp;"*",OFFSET(TB!$D$4,1,MATCH(H$4,TBMonths,0),TBRowCount,1)))</f>
        <v>2595869</v>
      </c>
      <c r="I6" s="101">
        <f ca="1">H6-D6</f>
        <v>-207395</v>
      </c>
      <c r="J6" s="102">
        <f t="shared" ref="J6:J7" ca="1" si="1">IF(H6=0,IF(I6=0,0,-1),I6/ABS(H6))</f>
        <v>-7.9894247359939968E-2</v>
      </c>
    </row>
    <row r="7" spans="1:11" ht="16" customHeight="1" x14ac:dyDescent="0.25">
      <c r="B7" s="99" t="s">
        <v>43</v>
      </c>
      <c r="C7" s="100">
        <f ca="1">SUM(C5,-C6)</f>
        <v>4030048</v>
      </c>
      <c r="D7" s="104">
        <f ca="1">SUM(D5,-D6)</f>
        <v>3438773</v>
      </c>
      <c r="E7" s="104">
        <f ca="1">SUM(E5:E6)</f>
        <v>591275</v>
      </c>
      <c r="F7" s="105">
        <f t="shared" ca="1" si="0"/>
        <v>0.1719435973238129</v>
      </c>
      <c r="H7" s="100">
        <f ca="1">SUM(H5,-H6)</f>
        <v>2605827</v>
      </c>
      <c r="I7" s="104">
        <f ca="1">SUM(I5:I6)</f>
        <v>832946</v>
      </c>
      <c r="J7" s="105">
        <f t="shared" ca="1" si="1"/>
        <v>0.31964746700375735</v>
      </c>
    </row>
    <row r="8" spans="1:11" s="111" customFormat="1" ht="16" customHeight="1" x14ac:dyDescent="0.25">
      <c r="A8" s="106"/>
      <c r="B8" s="107" t="s">
        <v>60</v>
      </c>
      <c r="C8" s="108">
        <f ca="1">IF(C5=0,0,C7/C5)</f>
        <v>0.5830827289046292</v>
      </c>
      <c r="D8" s="109">
        <f ca="1">IF(D5=0,0,D7/D5)</f>
        <v>0.5509055777785361</v>
      </c>
      <c r="E8" s="109">
        <f ca="1">D8-C8</f>
        <v>-3.2177151126093095E-2</v>
      </c>
      <c r="F8" s="110"/>
      <c r="G8" s="9"/>
      <c r="H8" s="108">
        <f ca="1">IF(H5=0,0,H7/H5)</f>
        <v>0.50095718780951448</v>
      </c>
      <c r="I8" s="109">
        <f ca="1">D8-H8</f>
        <v>4.9948389969021623E-2</v>
      </c>
      <c r="J8" s="110"/>
    </row>
    <row r="9" spans="1:11" ht="16" customHeight="1" x14ac:dyDescent="0.25">
      <c r="A9" s="85" t="s">
        <v>210</v>
      </c>
      <c r="B9" s="99" t="str">
        <f ca="1">IF(ISNA(VLOOKUP($A9,ClassAll,COLUMN(Classes!$B$4),0)),"No class!",VLOOKUP($A9,ClassAll,COLUMN(Classes!$B$4),0))</f>
        <v>Other income</v>
      </c>
      <c r="C9" s="103" cm="1">
        <f t="array" aca="1" ref="C9" ca="1">-IF(ISNA(MATCH(C$4,TBMonths,0))=TRUE,0,SUMIF(TBAll,$A9&amp;"*",OFFSET(TB!$D$4,1,MATCH(C$4,TBMonths,0),TBRowCount,1)))</f>
        <v>67930</v>
      </c>
      <c r="D9" s="101" cm="1">
        <f t="array" aca="1" ref="D9" ca="1">-IF(ISNA(MATCH(D$4,TBMonths,0))=TRUE,0,SUMIF(TBAll,$A9&amp;"*",OFFSET(TB!$D$4,1,MATCH(D$4,TBMonths,0),TBRowCount,1)))</f>
        <v>38512</v>
      </c>
      <c r="E9" s="101">
        <f ca="1">C9-D9</f>
        <v>29418</v>
      </c>
      <c r="F9" s="102">
        <f t="shared" ref="F9:F41" ca="1" si="2">IF(D9=0,IF(E9=0,0,-1),E9/ABS(D9))</f>
        <v>0.76386580805982551</v>
      </c>
      <c r="H9" s="103" cm="1">
        <f t="array" aca="1" ref="H9" ca="1">-IF(ISNA(MATCH(H$4,TBMonths,0))=TRUE,0,SUMIF(TBAll,$A9&amp;"*",OFFSET(TB!$D$4,1,MATCH(H$4,TBMonths,0),TBRowCount,1)))</f>
        <v>24126</v>
      </c>
      <c r="I9" s="101">
        <f ca="1">D9-H9</f>
        <v>14386</v>
      </c>
      <c r="J9" s="102">
        <f t="shared" ref="J9:J41" ca="1" si="3">IF(H9=0,IF(I9=0,0,-1),I9/ABS(H9))</f>
        <v>0.59628616430407033</v>
      </c>
    </row>
    <row r="10" spans="1:11" ht="16" customHeight="1" x14ac:dyDescent="0.25">
      <c r="B10" s="99" t="s">
        <v>169</v>
      </c>
      <c r="C10" s="103">
        <f ca="1">SUM(OFFSET($B$10,1,COLUMN(C4)-COLUMN($B4),ROW($B$34)-ROW($B$10)-1,1))</f>
        <v>2427451</v>
      </c>
      <c r="D10" s="101">
        <f ca="1">SUM(OFFSET($B$10,1,COLUMN(D4)-COLUMN($B4),ROW($B$34)-ROW($B$10)-1,1))</f>
        <v>1896411</v>
      </c>
      <c r="E10" s="101">
        <f ca="1">SUM(OFFSET($B$10,1,COLUMN(E4)-COLUMN($B4),ROW($B$34)-ROW($B$10)-1,1))</f>
        <v>-531040</v>
      </c>
      <c r="F10" s="102">
        <f t="shared" ca="1" si="2"/>
        <v>-0.28002368684847323</v>
      </c>
      <c r="H10" s="103">
        <f ca="1">SUM(OFFSET($B$10,1,COLUMN(H4)-COLUMN($B4),ROW($B$34)-ROW($B$10)-1,1))</f>
        <v>1603492</v>
      </c>
      <c r="I10" s="101">
        <f ca="1">SUM(OFFSET($B$10,1,COLUMN(I4)-COLUMN($B4),ROW($B$34)-ROW($B$10)-1,1))</f>
        <v>-292919</v>
      </c>
      <c r="J10" s="102">
        <f t="shared" ca="1" si="3"/>
        <v>-0.18267568531679609</v>
      </c>
    </row>
    <row r="11" spans="1:11" ht="16" customHeight="1" x14ac:dyDescent="0.25">
      <c r="A11" s="85" t="s">
        <v>170</v>
      </c>
      <c r="B11" s="99" t="str">
        <f ca="1">IF(ISNA(VLOOKUP($A11,ClassAll,COLUMN(Classes!$B$4),0)),"No class!",VLOOKUP($A11,ClassAll,COLUMN(Classes!$B$4),0))</f>
        <v>Accounting fees</v>
      </c>
      <c r="C11" s="112" cm="1">
        <f t="array" aca="1" ref="C11" ca="1">IF(ISNA(MATCH(C$4,TBMonths,0))=TRUE,0,SUMIF(TBAll,$A11&amp;"*",OFFSET(TB!$D$4,1,MATCH(C$4,TBMonths,0),TBRowCount,1)))</f>
        <v>24000</v>
      </c>
      <c r="D11" s="113" cm="1">
        <f t="array" aca="1" ref="D11" ca="1">IF(ISNA(MATCH(D$4,TBMonths,0))=TRUE,0,SUMIF(TBAll,$A11&amp;"*",OFFSET(TB!$D$4,1,MATCH(D$4,TBMonths,0),TBRowCount,1)))</f>
        <v>18000</v>
      </c>
      <c r="E11" s="113">
        <f t="shared" ref="E11:E33" ca="1" si="4">D11-C11</f>
        <v>-6000</v>
      </c>
      <c r="F11" s="114">
        <f t="shared" ca="1" si="2"/>
        <v>-0.33333333333333331</v>
      </c>
      <c r="H11" s="112" cm="1">
        <f t="array" aca="1" ref="H11" ca="1">IF(ISNA(MATCH(H$4,TBMonths,0))=TRUE,0,SUMIF(TBAll,$A11&amp;"*",OFFSET(TB!$D$4,1,MATCH(H$4,TBMonths,0),TBRowCount,1)))</f>
        <v>15500</v>
      </c>
      <c r="I11" s="113">
        <f t="shared" ref="I11:I33" ca="1" si="5">H11-D11</f>
        <v>-2500</v>
      </c>
      <c r="J11" s="114">
        <f t="shared" ca="1" si="3"/>
        <v>-0.16129032258064516</v>
      </c>
    </row>
    <row r="12" spans="1:11" ht="16" customHeight="1" x14ac:dyDescent="0.25">
      <c r="A12" s="85" t="s">
        <v>172</v>
      </c>
      <c r="B12" s="99" t="str">
        <f ca="1">IF(ISNA(VLOOKUP($A12,ClassAll,COLUMN(Classes!$B$4),0)),"No class!",VLOOKUP($A12,ClassAll,COLUMN(Classes!$B$4),0))</f>
        <v>Advertising &amp; marketing</v>
      </c>
      <c r="C12" s="115" cm="1">
        <f t="array" aca="1" ref="C12" ca="1">IF(ISNA(MATCH(C$4,TBMonths,0))=TRUE,0,SUMIF(TBAll,$A12&amp;"*",OFFSET(TB!$D$4,1,MATCH(C$4,TBMonths,0),TBRowCount,1)))</f>
        <v>143644</v>
      </c>
      <c r="D12" s="116" cm="1">
        <f t="array" aca="1" ref="D12" ca="1">IF(ISNA(MATCH(D$4,TBMonths,0))=TRUE,0,SUMIF(TBAll,$A12&amp;"*",OFFSET(TB!$D$4,1,MATCH(D$4,TBMonths,0),TBRowCount,1)))</f>
        <v>170000</v>
      </c>
      <c r="E12" s="116">
        <f t="shared" ca="1" si="4"/>
        <v>26356</v>
      </c>
      <c r="F12" s="117">
        <f t="shared" ca="1" si="2"/>
        <v>0.15503529411764705</v>
      </c>
      <c r="H12" s="115" cm="1">
        <f t="array" aca="1" ref="H12" ca="1">IF(ISNA(MATCH(H$4,TBMonths,0))=TRUE,0,SUMIF(TBAll,$A12&amp;"*",OFFSET(TB!$D$4,1,MATCH(H$4,TBMonths,0),TBRowCount,1)))</f>
        <v>110520</v>
      </c>
      <c r="I12" s="116">
        <f t="shared" ca="1" si="5"/>
        <v>-59480</v>
      </c>
      <c r="J12" s="117">
        <f t="shared" ca="1" si="3"/>
        <v>-0.5381831342743395</v>
      </c>
    </row>
    <row r="13" spans="1:11" ht="16" customHeight="1" x14ac:dyDescent="0.25">
      <c r="A13" s="85" t="s">
        <v>205</v>
      </c>
      <c r="B13" s="99" t="str">
        <f ca="1">IF(ISNA(VLOOKUP($A13,ClassAll,COLUMN(Classes!$B$4),0)),"No class!",VLOOKUP($A13,ClassAll,COLUMN(Classes!$B$4),0))</f>
        <v>Amortisation</v>
      </c>
      <c r="C13" s="115" cm="1">
        <f t="array" aca="1" ref="C13" ca="1">IF(ISNA(MATCH(C$4,TBMonths,0))=TRUE,0,SUMIF(TBAll,$A13&amp;"*",OFFSET(TB!$D$4,1,MATCH(C$4,TBMonths,0),TBRowCount,1)))</f>
        <v>104050</v>
      </c>
      <c r="D13" s="116" cm="1">
        <f t="array" aca="1" ref="D13" ca="1">IF(ISNA(MATCH(D$4,TBMonths,0))=TRUE,0,SUMIF(TBAll,$A13&amp;"*",OFFSET(TB!$D$4,1,MATCH(D$4,TBMonths,0),TBRowCount,1)))</f>
        <v>104050</v>
      </c>
      <c r="E13" s="116">
        <f t="shared" ref="E13" ca="1" si="6">D13-C13</f>
        <v>0</v>
      </c>
      <c r="F13" s="117">
        <f t="shared" ref="F13" ca="1" si="7">IF(D13=0,IF(E13=0,0,-1),E13/ABS(D13))</f>
        <v>0</v>
      </c>
      <c r="H13" s="115" cm="1">
        <f t="array" aca="1" ref="H13" ca="1">IF(ISNA(MATCH(H$4,TBMonths,0))=TRUE,0,SUMIF(TBAll,$A13&amp;"*",OFFSET(TB!$D$4,1,MATCH(H$4,TBMonths,0),TBRowCount,1)))</f>
        <v>104050</v>
      </c>
      <c r="I13" s="116">
        <f t="shared" ref="I13" ca="1" si="8">H13-D13</f>
        <v>0</v>
      </c>
      <c r="J13" s="117">
        <f t="shared" ref="J13" ca="1" si="9">IF(H13=0,IF(I13=0,0,-1),I13/ABS(H13))</f>
        <v>0</v>
      </c>
    </row>
    <row r="14" spans="1:11" ht="16" customHeight="1" x14ac:dyDescent="0.25">
      <c r="A14" s="85" t="s">
        <v>174</v>
      </c>
      <c r="B14" s="99" t="str">
        <f ca="1">IF(ISNA(VLOOKUP($A14,ClassAll,COLUMN(Classes!$B$4),0)),"No class!",VLOOKUP($A14,ClassAll,COLUMN(Classes!$B$4),0))</f>
        <v>Bank charges</v>
      </c>
      <c r="C14" s="115" cm="1">
        <f t="array" aca="1" ref="C14" ca="1">IF(ISNA(MATCH(C$4,TBMonths,0))=TRUE,0,SUMIF(TBAll,$A14&amp;"*",OFFSET(TB!$D$4,1,MATCH(C$4,TBMonths,0),TBRowCount,1)))</f>
        <v>1180</v>
      </c>
      <c r="D14" s="116" cm="1">
        <f t="array" aca="1" ref="D14" ca="1">IF(ISNA(MATCH(D$4,TBMonths,0))=TRUE,0,SUMIF(TBAll,$A14&amp;"*",OFFSET(TB!$D$4,1,MATCH(D$4,TBMonths,0),TBRowCount,1)))</f>
        <v>935</v>
      </c>
      <c r="E14" s="116">
        <f t="shared" ca="1" si="4"/>
        <v>-245</v>
      </c>
      <c r="F14" s="117">
        <f t="shared" ca="1" si="2"/>
        <v>-0.26203208556149732</v>
      </c>
      <c r="H14" s="115" cm="1">
        <f t="array" aca="1" ref="H14" ca="1">IF(ISNA(MATCH(H$4,TBMonths,0))=TRUE,0,SUMIF(TBAll,$A14&amp;"*",OFFSET(TB!$D$4,1,MATCH(H$4,TBMonths,0),TBRowCount,1)))</f>
        <v>780</v>
      </c>
      <c r="I14" s="116">
        <f t="shared" ca="1" si="5"/>
        <v>-155</v>
      </c>
      <c r="J14" s="117">
        <f t="shared" ca="1" si="3"/>
        <v>-0.19871794871794871</v>
      </c>
    </row>
    <row r="15" spans="1:11" ht="16" customHeight="1" x14ac:dyDescent="0.25">
      <c r="A15" s="85" t="s">
        <v>176</v>
      </c>
      <c r="B15" s="99" t="str">
        <f ca="1">IF(ISNA(VLOOKUP($A15,ClassAll,COLUMN(Classes!$B$4),0)),"No class!",VLOOKUP($A15,ClassAll,COLUMN(Classes!$B$4),0))</f>
        <v>Commission</v>
      </c>
      <c r="C15" s="115" cm="1">
        <f t="array" aca="1" ref="C15" ca="1">IF(ISNA(MATCH(C$4,TBMonths,0))=TRUE,0,SUMIF(TBAll,$A15&amp;"*",OFFSET(TB!$D$4,1,MATCH(C$4,TBMonths,0),TBRowCount,1)))</f>
        <v>27850</v>
      </c>
      <c r="D15" s="116" cm="1">
        <f t="array" aca="1" ref="D15" ca="1">IF(ISNA(MATCH(D$4,TBMonths,0))=TRUE,0,SUMIF(TBAll,$A15&amp;"*",OFFSET(TB!$D$4,1,MATCH(D$4,TBMonths,0),TBRowCount,1)))</f>
        <v>22120</v>
      </c>
      <c r="E15" s="116">
        <f t="shared" ca="1" si="4"/>
        <v>-5730</v>
      </c>
      <c r="F15" s="117">
        <f t="shared" ca="1" si="2"/>
        <v>-0.25904159132007232</v>
      </c>
      <c r="H15" s="115" cm="1">
        <f t="array" aca="1" ref="H15" ca="1">IF(ISNA(MATCH(H$4,TBMonths,0))=TRUE,0,SUMIF(TBAll,$A15&amp;"*",OFFSET(TB!$D$4,1,MATCH(H$4,TBMonths,0),TBRowCount,1)))</f>
        <v>18450</v>
      </c>
      <c r="I15" s="116">
        <f t="shared" ca="1" si="5"/>
        <v>-3670</v>
      </c>
      <c r="J15" s="117">
        <f t="shared" ca="1" si="3"/>
        <v>-0.19891598915989159</v>
      </c>
    </row>
    <row r="16" spans="1:11" ht="16" customHeight="1" x14ac:dyDescent="0.25">
      <c r="A16" s="85" t="s">
        <v>177</v>
      </c>
      <c r="B16" s="99" t="str">
        <f ca="1">IF(ISNA(VLOOKUP($A16,ClassAll,COLUMN(Classes!$B$4),0)),"No class!",VLOOKUP($A16,ClassAll,COLUMN(Classes!$B$4),0))</f>
        <v>Computer expenses</v>
      </c>
      <c r="C16" s="115" cm="1">
        <f t="array" aca="1" ref="C16" ca="1">IF(ISNA(MATCH(C$4,TBMonths,0))=TRUE,0,SUMIF(TBAll,$A16&amp;"*",OFFSET(TB!$D$4,1,MATCH(C$4,TBMonths,0),TBRowCount,1)))</f>
        <v>3477</v>
      </c>
      <c r="D16" s="116" cm="1">
        <f t="array" aca="1" ref="D16" ca="1">IF(ISNA(MATCH(D$4,TBMonths,0))=TRUE,0,SUMIF(TBAll,$A16&amp;"*",OFFSET(TB!$D$4,1,MATCH(D$4,TBMonths,0),TBRowCount,1)))</f>
        <v>7210</v>
      </c>
      <c r="E16" s="116">
        <f t="shared" ca="1" si="4"/>
        <v>3733</v>
      </c>
      <c r="F16" s="117">
        <f t="shared" ca="1" si="2"/>
        <v>0.51775312066574197</v>
      </c>
      <c r="H16" s="115" cm="1">
        <f t="array" aca="1" ref="H16" ca="1">IF(ISNA(MATCH(H$4,TBMonths,0))=TRUE,0,SUMIF(TBAll,$A16&amp;"*",OFFSET(TB!$D$4,1,MATCH(H$4,TBMonths,0),TBRowCount,1)))</f>
        <v>5625</v>
      </c>
      <c r="I16" s="116">
        <f t="shared" ca="1" si="5"/>
        <v>-1585</v>
      </c>
      <c r="J16" s="117">
        <f t="shared" ca="1" si="3"/>
        <v>-0.28177777777777779</v>
      </c>
    </row>
    <row r="17" spans="1:10" ht="16" customHeight="1" x14ac:dyDescent="0.25">
      <c r="A17" s="85" t="s">
        <v>179</v>
      </c>
      <c r="B17" s="99" t="str">
        <f ca="1">IF(ISNA(VLOOKUP($A17,ClassAll,COLUMN(Classes!$B$4),0)),"No class!",VLOOKUP($A17,ClassAll,COLUMN(Classes!$B$4),0))</f>
        <v>Consumables &amp; cleaning</v>
      </c>
      <c r="C17" s="115" cm="1">
        <f t="array" aca="1" ref="C17" ca="1">IF(ISNA(MATCH(C$4,TBMonths,0))=TRUE,0,SUMIF(TBAll,$A17&amp;"*",OFFSET(TB!$D$4,1,MATCH(C$4,TBMonths,0),TBRowCount,1)))</f>
        <v>2500</v>
      </c>
      <c r="D17" s="116" cm="1">
        <f t="array" aca="1" ref="D17" ca="1">IF(ISNA(MATCH(D$4,TBMonths,0))=TRUE,0,SUMIF(TBAll,$A17&amp;"*",OFFSET(TB!$D$4,1,MATCH(D$4,TBMonths,0),TBRowCount,1)))</f>
        <v>2000</v>
      </c>
      <c r="E17" s="116">
        <f t="shared" ca="1" si="4"/>
        <v>-500</v>
      </c>
      <c r="F17" s="117">
        <f t="shared" ca="1" si="2"/>
        <v>-0.25</v>
      </c>
      <c r="H17" s="115" cm="1">
        <f t="array" aca="1" ref="H17" ca="1">IF(ISNA(MATCH(H$4,TBMonths,0))=TRUE,0,SUMIF(TBAll,$A17&amp;"*",OFFSET(TB!$D$4,1,MATCH(H$4,TBMonths,0),TBRowCount,1)))</f>
        <v>2500</v>
      </c>
      <c r="I17" s="116">
        <f t="shared" ca="1" si="5"/>
        <v>500</v>
      </c>
      <c r="J17" s="117">
        <f t="shared" ca="1" si="3"/>
        <v>0.2</v>
      </c>
    </row>
    <row r="18" spans="1:10" ht="16" customHeight="1" x14ac:dyDescent="0.25">
      <c r="A18" s="85" t="s">
        <v>204</v>
      </c>
      <c r="B18" s="99" t="str">
        <f ca="1">IF(ISNA(VLOOKUP($A18,ClassAll,COLUMN(Classes!$B$4),0)),"No class!",VLOOKUP($A18,ClassAll,COLUMN(Classes!$B$4),0))</f>
        <v>Depreciation</v>
      </c>
      <c r="C18" s="115" cm="1">
        <f t="array" aca="1" ref="C18" ca="1">IF(ISNA(MATCH(C$4,TBMonths,0))=TRUE,0,SUMIF(TBAll,$A18&amp;"*",OFFSET(TB!$D$4,1,MATCH(C$4,TBMonths,0),TBRowCount,1)))</f>
        <v>546530</v>
      </c>
      <c r="D18" s="116" cm="1">
        <f t="array" aca="1" ref="D18" ca="1">IF(ISNA(MATCH(D$4,TBMonths,0))=TRUE,0,SUMIF(TBAll,$A18&amp;"*",OFFSET(TB!$D$4,1,MATCH(D$4,TBMonths,0),TBRowCount,1)))</f>
        <v>450300</v>
      </c>
      <c r="E18" s="116">
        <f t="shared" ca="1" si="4"/>
        <v>-96230</v>
      </c>
      <c r="F18" s="117">
        <f t="shared" ca="1" si="2"/>
        <v>-0.21370197646013769</v>
      </c>
      <c r="H18" s="115" cm="1">
        <f t="array" aca="1" ref="H18" ca="1">IF(ISNA(MATCH(H$4,TBMonths,0))=TRUE,0,SUMIF(TBAll,$A18&amp;"*",OFFSET(TB!$D$4,1,MATCH(H$4,TBMonths,0),TBRowCount,1)))</f>
        <v>377626</v>
      </c>
      <c r="I18" s="116">
        <f t="shared" ca="1" si="5"/>
        <v>-72674</v>
      </c>
      <c r="J18" s="117">
        <f t="shared" ca="1" si="3"/>
        <v>-0.19244967242721633</v>
      </c>
    </row>
    <row r="19" spans="1:10" ht="16" customHeight="1" x14ac:dyDescent="0.25">
      <c r="A19" s="85" t="s">
        <v>181</v>
      </c>
      <c r="B19" s="99" t="str">
        <f ca="1">IF(ISNA(VLOOKUP($A19,ClassAll,COLUMN(Classes!$B$4),0)),"No class!",VLOOKUP($A19,ClassAll,COLUMN(Classes!$B$4),0))</f>
        <v>Entertainment</v>
      </c>
      <c r="C19" s="115" cm="1">
        <f t="array" aca="1" ref="C19" ca="1">IF(ISNA(MATCH(C$4,TBMonths,0))=TRUE,0,SUMIF(TBAll,$A19&amp;"*",OFFSET(TB!$D$4,1,MATCH(C$4,TBMonths,0),TBRowCount,1)))</f>
        <v>12420</v>
      </c>
      <c r="D19" s="116" cm="1">
        <f t="array" aca="1" ref="D19" ca="1">IF(ISNA(MATCH(D$4,TBMonths,0))=TRUE,0,SUMIF(TBAll,$A19&amp;"*",OFFSET(TB!$D$4,1,MATCH(D$4,TBMonths,0),TBRowCount,1)))</f>
        <v>10875</v>
      </c>
      <c r="E19" s="116">
        <f t="shared" ca="1" si="4"/>
        <v>-1545</v>
      </c>
      <c r="F19" s="117">
        <f t="shared" ca="1" si="2"/>
        <v>-0.14206896551724138</v>
      </c>
      <c r="H19" s="115" cm="1">
        <f t="array" aca="1" ref="H19" ca="1">IF(ISNA(MATCH(H$4,TBMonths,0))=TRUE,0,SUMIF(TBAll,$A19&amp;"*",OFFSET(TB!$D$4,1,MATCH(H$4,TBMonths,0),TBRowCount,1)))</f>
        <v>11020</v>
      </c>
      <c r="I19" s="116">
        <f t="shared" ca="1" si="5"/>
        <v>145</v>
      </c>
      <c r="J19" s="117">
        <f t="shared" ca="1" si="3"/>
        <v>1.3157894736842105E-2</v>
      </c>
    </row>
    <row r="20" spans="1:10" ht="16" customHeight="1" x14ac:dyDescent="0.25">
      <c r="A20" s="85" t="s">
        <v>182</v>
      </c>
      <c r="B20" s="99" t="str">
        <f ca="1">IF(ISNA(VLOOKUP($A20,ClassAll,COLUMN(Classes!$B$4),0)),"No class!",VLOOKUP($A20,ClassAll,COLUMN(Classes!$B$4),0))</f>
        <v>Insurance</v>
      </c>
      <c r="C20" s="115" cm="1">
        <f t="array" aca="1" ref="C20" ca="1">IF(ISNA(MATCH(C$4,TBMonths,0))=TRUE,0,SUMIF(TBAll,$A20&amp;"*",OFFSET(TB!$D$4,1,MATCH(C$4,TBMonths,0),TBRowCount,1)))</f>
        <v>3840</v>
      </c>
      <c r="D20" s="116" cm="1">
        <f t="array" aca="1" ref="D20" ca="1">IF(ISNA(MATCH(D$4,TBMonths,0))=TRUE,0,SUMIF(TBAll,$A20&amp;"*",OFFSET(TB!$D$4,1,MATCH(D$4,TBMonths,0),TBRowCount,1)))</f>
        <v>3420</v>
      </c>
      <c r="E20" s="116">
        <f t="shared" ca="1" si="4"/>
        <v>-420</v>
      </c>
      <c r="F20" s="117">
        <f t="shared" ca="1" si="2"/>
        <v>-0.12280701754385964</v>
      </c>
      <c r="H20" s="115" cm="1">
        <f t="array" aca="1" ref="H20" ca="1">IF(ISNA(MATCH(H$4,TBMonths,0))=TRUE,0,SUMIF(TBAll,$A20&amp;"*",OFFSET(TB!$D$4,1,MATCH(H$4,TBMonths,0),TBRowCount,1)))</f>
        <v>3100</v>
      </c>
      <c r="I20" s="116">
        <f t="shared" ca="1" si="5"/>
        <v>-320</v>
      </c>
      <c r="J20" s="117">
        <f t="shared" ca="1" si="3"/>
        <v>-0.1032258064516129</v>
      </c>
    </row>
    <row r="21" spans="1:10" ht="16" customHeight="1" x14ac:dyDescent="0.25">
      <c r="A21" s="85" t="s">
        <v>183</v>
      </c>
      <c r="B21" s="99" t="str">
        <f ca="1">IF(ISNA(VLOOKUP($A21,ClassAll,COLUMN(Classes!$B$4),0)),"No class!",VLOOKUP($A21,ClassAll,COLUMN(Classes!$B$4),0))</f>
        <v>Office expenses</v>
      </c>
      <c r="C21" s="115" cm="1">
        <f t="array" aca="1" ref="C21" ca="1">IF(ISNA(MATCH(C$4,TBMonths,0))=TRUE,0,SUMIF(TBAll,$A21&amp;"*",OFFSET(TB!$D$4,1,MATCH(C$4,TBMonths,0),TBRowCount,1)))</f>
        <v>996</v>
      </c>
      <c r="D21" s="116" cm="1">
        <f t="array" aca="1" ref="D21" ca="1">IF(ISNA(MATCH(D$4,TBMonths,0))=TRUE,0,SUMIF(TBAll,$A21&amp;"*",OFFSET(TB!$D$4,1,MATCH(D$4,TBMonths,0),TBRowCount,1)))</f>
        <v>660</v>
      </c>
      <c r="E21" s="116">
        <f t="shared" ca="1" si="4"/>
        <v>-336</v>
      </c>
      <c r="F21" s="117">
        <f t="shared" ca="1" si="2"/>
        <v>-0.50909090909090904</v>
      </c>
      <c r="H21" s="115" cm="1">
        <f t="array" aca="1" ref="H21" ca="1">IF(ISNA(MATCH(H$4,TBMonths,0))=TRUE,0,SUMIF(TBAll,$A21&amp;"*",OFFSET(TB!$D$4,1,MATCH(H$4,TBMonths,0),TBRowCount,1)))</f>
        <v>350</v>
      </c>
      <c r="I21" s="116">
        <f t="shared" ca="1" si="5"/>
        <v>-310</v>
      </c>
      <c r="J21" s="117">
        <f t="shared" ca="1" si="3"/>
        <v>-0.88571428571428568</v>
      </c>
    </row>
    <row r="22" spans="1:10" ht="16" customHeight="1" x14ac:dyDescent="0.25">
      <c r="A22" s="85" t="s">
        <v>185</v>
      </c>
      <c r="B22" s="99" t="str">
        <f ca="1">IF(ISNA(VLOOKUP($A22,ClassAll,COLUMN(Classes!$B$4),0)),"No class!",VLOOKUP($A22,ClassAll,COLUMN(Classes!$B$4),0))</f>
        <v>Office rent</v>
      </c>
      <c r="C22" s="115" cm="1">
        <f t="array" aca="1" ref="C22" ca="1">IF(ISNA(MATCH(C$4,TBMonths,0))=TRUE,0,SUMIF(TBAll,$A22&amp;"*",OFFSET(TB!$D$4,1,MATCH(C$4,TBMonths,0),TBRowCount,1)))</f>
        <v>144000</v>
      </c>
      <c r="D22" s="116" cm="1">
        <f t="array" aca="1" ref="D22" ca="1">IF(ISNA(MATCH(D$4,TBMonths,0))=TRUE,0,SUMIF(TBAll,$A22&amp;"*",OFFSET(TB!$D$4,1,MATCH(D$4,TBMonths,0),TBRowCount,1)))</f>
        <v>120000</v>
      </c>
      <c r="E22" s="116">
        <f t="shared" ca="1" si="4"/>
        <v>-24000</v>
      </c>
      <c r="F22" s="117">
        <f t="shared" ca="1" si="2"/>
        <v>-0.2</v>
      </c>
      <c r="H22" s="115" cm="1">
        <f t="array" aca="1" ref="H22" ca="1">IF(ISNA(MATCH(H$4,TBMonths,0))=TRUE,0,SUMIF(TBAll,$A22&amp;"*",OFFSET(TB!$D$4,1,MATCH(H$4,TBMonths,0),TBRowCount,1)))</f>
        <v>114000</v>
      </c>
      <c r="I22" s="116">
        <f t="shared" ca="1" si="5"/>
        <v>-6000</v>
      </c>
      <c r="J22" s="117">
        <f t="shared" ca="1" si="3"/>
        <v>-5.2631578947368418E-2</v>
      </c>
    </row>
    <row r="23" spans="1:10" ht="16" customHeight="1" x14ac:dyDescent="0.25">
      <c r="A23" s="85" t="s">
        <v>187</v>
      </c>
      <c r="B23" s="99" t="str">
        <f ca="1">IF(ISNA(VLOOKUP($A23,ClassAll,COLUMN(Classes!$B$4),0)),"No class!",VLOOKUP($A23,ClassAll,COLUMN(Classes!$B$4),0))</f>
        <v>Postage</v>
      </c>
      <c r="C23" s="115" cm="1">
        <f t="array" aca="1" ref="C23" ca="1">IF(ISNA(MATCH(C$4,TBMonths,0))=TRUE,0,SUMIF(TBAll,$A23&amp;"*",OFFSET(TB!$D$4,1,MATCH(C$4,TBMonths,0),TBRowCount,1)))</f>
        <v>524</v>
      </c>
      <c r="D23" s="116" cm="1">
        <f t="array" aca="1" ref="D23" ca="1">IF(ISNA(MATCH(D$4,TBMonths,0))=TRUE,0,SUMIF(TBAll,$A23&amp;"*",OFFSET(TB!$D$4,1,MATCH(D$4,TBMonths,0),TBRowCount,1)))</f>
        <v>452</v>
      </c>
      <c r="E23" s="116">
        <f t="shared" ca="1" si="4"/>
        <v>-72</v>
      </c>
      <c r="F23" s="117">
        <f t="shared" ca="1" si="2"/>
        <v>-0.15929203539823009</v>
      </c>
      <c r="H23" s="115" cm="1">
        <f t="array" aca="1" ref="H23" ca="1">IF(ISNA(MATCH(H$4,TBMonths,0))=TRUE,0,SUMIF(TBAll,$A23&amp;"*",OFFSET(TB!$D$4,1,MATCH(H$4,TBMonths,0),TBRowCount,1)))</f>
        <v>685</v>
      </c>
      <c r="I23" s="116">
        <f t="shared" ca="1" si="5"/>
        <v>233</v>
      </c>
      <c r="J23" s="117">
        <f t="shared" ca="1" si="3"/>
        <v>0.34014598540145985</v>
      </c>
    </row>
    <row r="24" spans="1:10" ht="16" customHeight="1" x14ac:dyDescent="0.25">
      <c r="A24" s="85" t="s">
        <v>188</v>
      </c>
      <c r="B24" s="99" t="str">
        <f ca="1">IF(ISNA(VLOOKUP($A24,ClassAll,COLUMN(Classes!$B$4),0)),"No class!",VLOOKUP($A24,ClassAll,COLUMN(Classes!$B$4),0))</f>
        <v>Professional &amp; legal fees</v>
      </c>
      <c r="C24" s="115" cm="1">
        <f t="array" aca="1" ref="C24" ca="1">IF(ISNA(MATCH(C$4,TBMonths,0))=TRUE,0,SUMIF(TBAll,$A24&amp;"*",OFFSET(TB!$D$4,1,MATCH(C$4,TBMonths,0),TBRowCount,1)))</f>
        <v>5652</v>
      </c>
      <c r="D24" s="116" cm="1">
        <f t="array" aca="1" ref="D24" ca="1">IF(ISNA(MATCH(D$4,TBMonths,0))=TRUE,0,SUMIF(TBAll,$A24&amp;"*",OFFSET(TB!$D$4,1,MATCH(D$4,TBMonths,0),TBRowCount,1)))</f>
        <v>36250</v>
      </c>
      <c r="E24" s="116">
        <f t="shared" ca="1" si="4"/>
        <v>30598</v>
      </c>
      <c r="F24" s="117">
        <f t="shared" ca="1" si="2"/>
        <v>0.84408275862068971</v>
      </c>
      <c r="H24" s="115" cm="1">
        <f t="array" aca="1" ref="H24" ca="1">IF(ISNA(MATCH(H$4,TBMonths,0))=TRUE,0,SUMIF(TBAll,$A24&amp;"*",OFFSET(TB!$D$4,1,MATCH(H$4,TBMonths,0),TBRowCount,1)))</f>
        <v>0</v>
      </c>
      <c r="I24" s="116">
        <f t="shared" ca="1" si="5"/>
        <v>-36250</v>
      </c>
      <c r="J24" s="117">
        <f t="shared" ca="1" si="3"/>
        <v>-1</v>
      </c>
    </row>
    <row r="25" spans="1:10" ht="16" customHeight="1" x14ac:dyDescent="0.25">
      <c r="A25" s="85" t="s">
        <v>201</v>
      </c>
      <c r="B25" s="99" t="str">
        <f ca="1">IF(ISNA(VLOOKUP($A25,ClassAll,COLUMN(Classes!$B$4),0)),"No class!",VLOOKUP($A25,ClassAll,COLUMN(Classes!$B$4),0))</f>
        <v>Salaries &amp; wages - staff</v>
      </c>
      <c r="C25" s="115" cm="1">
        <f t="array" aca="1" ref="C25" ca="1">IF(ISNA(MATCH(C$4,TBMonths,0))=TRUE,0,SUMIF(TBAll,$A25&amp;"*",OFFSET(TB!$D$4,1,MATCH(C$4,TBMonths,0),TBRowCount,1)))</f>
        <v>548600</v>
      </c>
      <c r="D25" s="116" cm="1">
        <f t="array" aca="1" ref="D25" ca="1">IF(ISNA(MATCH(D$4,TBMonths,0))=TRUE,0,SUMIF(TBAll,$A25&amp;"*",OFFSET(TB!$D$4,1,MATCH(D$4,TBMonths,0),TBRowCount,1)))</f>
        <v>435500</v>
      </c>
      <c r="E25" s="116">
        <f t="shared" ca="1" si="4"/>
        <v>-113100</v>
      </c>
      <c r="F25" s="117">
        <f t="shared" ca="1" si="2"/>
        <v>-0.25970149253731345</v>
      </c>
      <c r="H25" s="115" cm="1">
        <f t="array" aca="1" ref="H25" ca="1">IF(ISNA(MATCH(H$4,TBMonths,0))=TRUE,0,SUMIF(TBAll,$A25&amp;"*",OFFSET(TB!$D$4,1,MATCH(H$4,TBMonths,0),TBRowCount,1)))</f>
        <v>385260</v>
      </c>
      <c r="I25" s="116">
        <f t="shared" ca="1" si="5"/>
        <v>-50240</v>
      </c>
      <c r="J25" s="117">
        <f t="shared" ca="1" si="3"/>
        <v>-0.13040544048175259</v>
      </c>
    </row>
    <row r="26" spans="1:10" ht="16" customHeight="1" x14ac:dyDescent="0.25">
      <c r="A26" s="85" t="s">
        <v>376</v>
      </c>
      <c r="B26" s="99" t="str">
        <f ca="1">IF(ISNA(VLOOKUP($A26,ClassAll,COLUMN(Classes!$B$4),0)),"No class!",VLOOKUP($A26,ClassAll,COLUMN(Classes!$B$4),0))</f>
        <v>Salaries &amp; wages - management</v>
      </c>
      <c r="C26" s="115" cm="1">
        <f t="array" aca="1" ref="C26" ca="1">IF(ISNA(MATCH(C$4,TBMonths,0))=TRUE,0,SUMIF(TBAll,$A26&amp;"*",OFFSET(TB!$D$4,1,MATCH(C$4,TBMonths,0),TBRowCount,1)))</f>
        <v>785720</v>
      </c>
      <c r="D26" s="116" cm="1">
        <f t="array" aca="1" ref="D26" ca="1">IF(ISNA(MATCH(D$4,TBMonths,0))=TRUE,0,SUMIF(TBAll,$A26&amp;"*",OFFSET(TB!$D$4,1,MATCH(D$4,TBMonths,0),TBRowCount,1)))</f>
        <v>434640</v>
      </c>
      <c r="E26" s="116">
        <f t="shared" ca="1" si="4"/>
        <v>-351080</v>
      </c>
      <c r="F26" s="117">
        <f t="shared" ca="1" si="2"/>
        <v>-0.80774894165286215</v>
      </c>
      <c r="H26" s="115" cm="1">
        <f t="array" aca="1" ref="H26" ca="1">IF(ISNA(MATCH(H$4,TBMonths,0))=TRUE,0,SUMIF(TBAll,$A26&amp;"*",OFFSET(TB!$D$4,1,MATCH(H$4,TBMonths,0),TBRowCount,1)))</f>
        <v>401250</v>
      </c>
      <c r="I26" s="116">
        <f t="shared" ca="1" si="5"/>
        <v>-33390</v>
      </c>
      <c r="J26" s="117">
        <f t="shared" ca="1" si="3"/>
        <v>-8.3214953271028042E-2</v>
      </c>
    </row>
    <row r="27" spans="1:10" ht="16" customHeight="1" x14ac:dyDescent="0.25">
      <c r="A27" s="85" t="s">
        <v>190</v>
      </c>
      <c r="B27" s="99" t="str">
        <f ca="1">IF(ISNA(VLOOKUP($A27,ClassAll,COLUMN(Classes!$B$4),0)),"No class!",VLOOKUP($A27,ClassAll,COLUMN(Classes!$B$4),0))</f>
        <v>Stationery</v>
      </c>
      <c r="C27" s="115" cm="1">
        <f t="array" aca="1" ref="C27" ca="1">IF(ISNA(MATCH(C$4,TBMonths,0))=TRUE,0,SUMIF(TBAll,$A27&amp;"*",OFFSET(TB!$D$4,1,MATCH(C$4,TBMonths,0),TBRowCount,1)))</f>
        <v>2491</v>
      </c>
      <c r="D27" s="116" cm="1">
        <f t="array" aca="1" ref="D27" ca="1">IF(ISNA(MATCH(D$4,TBMonths,0))=TRUE,0,SUMIF(TBAll,$A27&amp;"*",OFFSET(TB!$D$4,1,MATCH(D$4,TBMonths,0),TBRowCount,1)))</f>
        <v>1257</v>
      </c>
      <c r="E27" s="116">
        <f t="shared" ca="1" si="4"/>
        <v>-1234</v>
      </c>
      <c r="F27" s="117">
        <f t="shared" ca="1" si="2"/>
        <v>-0.98170246618933965</v>
      </c>
      <c r="H27" s="115" cm="1">
        <f t="array" aca="1" ref="H27" ca="1">IF(ISNA(MATCH(H$4,TBMonths,0))=TRUE,0,SUMIF(TBAll,$A27&amp;"*",OFFSET(TB!$D$4,1,MATCH(H$4,TBMonths,0),TBRowCount,1)))</f>
        <v>1150</v>
      </c>
      <c r="I27" s="116">
        <f t="shared" ca="1" si="5"/>
        <v>-107</v>
      </c>
      <c r="J27" s="117">
        <f t="shared" ca="1" si="3"/>
        <v>-9.3043478260869561E-2</v>
      </c>
    </row>
    <row r="28" spans="1:10" ht="16" customHeight="1" x14ac:dyDescent="0.25">
      <c r="A28" s="85" t="s">
        <v>191</v>
      </c>
      <c r="B28" s="99" t="str">
        <f ca="1">IF(ISNA(VLOOKUP($A28,ClassAll,COLUMN(Classes!$B$4),0)),"No class!",VLOOKUP($A28,ClassAll,COLUMN(Classes!$B$4),0))</f>
        <v>Subscriptions &amp; memberships</v>
      </c>
      <c r="C28" s="115" cm="1">
        <f t="array" aca="1" ref="C28" ca="1">IF(ISNA(MATCH(C$4,TBMonths,0))=TRUE,0,SUMIF(TBAll,$A28&amp;"*",OFFSET(TB!$D$4,1,MATCH(C$4,TBMonths,0),TBRowCount,1)))</f>
        <v>5200</v>
      </c>
      <c r="D28" s="116" cm="1">
        <f t="array" aca="1" ref="D28" ca="1">IF(ISNA(MATCH(D$4,TBMonths,0))=TRUE,0,SUMIF(TBAll,$A28&amp;"*",OFFSET(TB!$D$4,1,MATCH(D$4,TBMonths,0),TBRowCount,1)))</f>
        <v>4800</v>
      </c>
      <c r="E28" s="116">
        <f t="shared" ca="1" si="4"/>
        <v>-400</v>
      </c>
      <c r="F28" s="117">
        <f t="shared" ca="1" si="2"/>
        <v>-8.3333333333333329E-2</v>
      </c>
      <c r="H28" s="115" cm="1">
        <f t="array" aca="1" ref="H28" ca="1">IF(ISNA(MATCH(H$4,TBMonths,0))=TRUE,0,SUMIF(TBAll,$A28&amp;"*",OFFSET(TB!$D$4,1,MATCH(H$4,TBMonths,0),TBRowCount,1)))</f>
        <v>4400</v>
      </c>
      <c r="I28" s="116">
        <f t="shared" ca="1" si="5"/>
        <v>-400</v>
      </c>
      <c r="J28" s="117">
        <f t="shared" ca="1" si="3"/>
        <v>-9.0909090909090912E-2</v>
      </c>
    </row>
    <row r="29" spans="1:10" ht="16" customHeight="1" x14ac:dyDescent="0.25">
      <c r="A29" s="85" t="s">
        <v>193</v>
      </c>
      <c r="B29" s="99" t="str">
        <f ca="1">IF(ISNA(VLOOKUP($A29,ClassAll,COLUMN(Classes!$B$4),0)),"No class!",VLOOKUP($A29,ClassAll,COLUMN(Classes!$B$4),0))</f>
        <v>Telephone &amp; internet</v>
      </c>
      <c r="C29" s="115" cm="1">
        <f t="array" aca="1" ref="C29" ca="1">IF(ISNA(MATCH(C$4,TBMonths,0))=TRUE,0,SUMIF(TBAll,$A29&amp;"*",OFFSET(TB!$D$4,1,MATCH(C$4,TBMonths,0),TBRowCount,1)))</f>
        <v>8867</v>
      </c>
      <c r="D29" s="116" cm="1">
        <f t="array" aca="1" ref="D29" ca="1">IF(ISNA(MATCH(D$4,TBMonths,0))=TRUE,0,SUMIF(TBAll,$A29&amp;"*",OFFSET(TB!$D$4,1,MATCH(D$4,TBMonths,0),TBRowCount,1)))</f>
        <v>7504</v>
      </c>
      <c r="E29" s="116">
        <f t="shared" ca="1" si="4"/>
        <v>-1363</v>
      </c>
      <c r="F29" s="117">
        <f t="shared" ca="1" si="2"/>
        <v>-0.18163646055437099</v>
      </c>
      <c r="H29" s="115" cm="1">
        <f t="array" aca="1" ref="H29" ca="1">IF(ISNA(MATCH(H$4,TBMonths,0))=TRUE,0,SUMIF(TBAll,$A29&amp;"*",OFFSET(TB!$D$4,1,MATCH(H$4,TBMonths,0),TBRowCount,1)))</f>
        <v>7220</v>
      </c>
      <c r="I29" s="116">
        <f t="shared" ca="1" si="5"/>
        <v>-284</v>
      </c>
      <c r="J29" s="117">
        <f t="shared" ca="1" si="3"/>
        <v>-3.933518005540166E-2</v>
      </c>
    </row>
    <row r="30" spans="1:10" ht="16" customHeight="1" x14ac:dyDescent="0.25">
      <c r="A30" s="85" t="s">
        <v>195</v>
      </c>
      <c r="B30" s="99" t="str">
        <f ca="1">IF(ISNA(VLOOKUP($A30,ClassAll,COLUMN(Classes!$B$4),0)),"No class!",VLOOKUP($A30,ClassAll,COLUMN(Classes!$B$4),0))</f>
        <v>Training</v>
      </c>
      <c r="C30" s="115" cm="1">
        <f t="array" aca="1" ref="C30" ca="1">IF(ISNA(MATCH(C$4,TBMonths,0))=TRUE,0,SUMIF(TBAll,$A30&amp;"*",OFFSET(TB!$D$4,1,MATCH(C$4,TBMonths,0),TBRowCount,1)))</f>
        <v>4043</v>
      </c>
      <c r="D30" s="116" cm="1">
        <f t="array" aca="1" ref="D30" ca="1">IF(ISNA(MATCH(D$4,TBMonths,0))=TRUE,0,SUMIF(TBAll,$A30&amp;"*",OFFSET(TB!$D$4,1,MATCH(D$4,TBMonths,0),TBRowCount,1)))</f>
        <v>1521</v>
      </c>
      <c r="E30" s="116">
        <f t="shared" ca="1" si="4"/>
        <v>-2522</v>
      </c>
      <c r="F30" s="117">
        <f t="shared" ca="1" si="2"/>
        <v>-1.6581196581196582</v>
      </c>
      <c r="H30" s="115" cm="1">
        <f t="array" aca="1" ref="H30" ca="1">IF(ISNA(MATCH(H$4,TBMonths,0))=TRUE,0,SUMIF(TBAll,$A30&amp;"*",OFFSET(TB!$D$4,1,MATCH(H$4,TBMonths,0),TBRowCount,1)))</f>
        <v>875</v>
      </c>
      <c r="I30" s="116">
        <f t="shared" ca="1" si="5"/>
        <v>-646</v>
      </c>
      <c r="J30" s="117">
        <f t="shared" ca="1" si="3"/>
        <v>-0.73828571428571432</v>
      </c>
    </row>
    <row r="31" spans="1:10" ht="16" customHeight="1" x14ac:dyDescent="0.25">
      <c r="A31" s="85" t="s">
        <v>196</v>
      </c>
      <c r="B31" s="99" t="str">
        <f ca="1">IF(ISNA(VLOOKUP($A31,ClassAll,COLUMN(Classes!$B$4),0)),"No class!",VLOOKUP($A31,ClassAll,COLUMN(Classes!$B$4),0))</f>
        <v>Travelling &amp; accommodation</v>
      </c>
      <c r="C31" s="115" cm="1">
        <f t="array" aca="1" ref="C31" ca="1">IF(ISNA(MATCH(C$4,TBMonths,0))=TRUE,0,SUMIF(TBAll,$A31&amp;"*",OFFSET(TB!$D$4,1,MATCH(C$4,TBMonths,0),TBRowCount,1)))</f>
        <v>13705</v>
      </c>
      <c r="D31" s="116" cm="1">
        <f t="array" aca="1" ref="D31" ca="1">IF(ISNA(MATCH(D$4,TBMonths,0))=TRUE,0,SUMIF(TBAll,$A31&amp;"*",OFFSET(TB!$D$4,1,MATCH(D$4,TBMonths,0),TBRowCount,1)))</f>
        <v>4589</v>
      </c>
      <c r="E31" s="116">
        <f t="shared" ref="E31" ca="1" si="10">D31-C31</f>
        <v>-9116</v>
      </c>
      <c r="F31" s="117">
        <f t="shared" ref="F31" ca="1" si="11">IF(D31=0,IF(E31=0,0,-1),E31/ABS(D31))</f>
        <v>-1.9864894312486381</v>
      </c>
      <c r="H31" s="115" cm="1">
        <f t="array" aca="1" ref="H31" ca="1">IF(ISNA(MATCH(H$4,TBMonths,0))=TRUE,0,SUMIF(TBAll,$A31&amp;"*",OFFSET(TB!$D$4,1,MATCH(H$4,TBMonths,0),TBRowCount,1)))</f>
        <v>10420</v>
      </c>
      <c r="I31" s="116">
        <f t="shared" ref="I31" ca="1" si="12">H31-D31</f>
        <v>5831</v>
      </c>
      <c r="J31" s="117">
        <f t="shared" ref="J31" ca="1" si="13">IF(H31=0,IF(I31=0,0,-1),I31/ABS(H31))</f>
        <v>0.55959692898272551</v>
      </c>
    </row>
    <row r="32" spans="1:10" ht="16" customHeight="1" x14ac:dyDescent="0.25">
      <c r="A32" s="85" t="s">
        <v>198</v>
      </c>
      <c r="B32" s="99" t="str">
        <f ca="1">IF(ISNA(VLOOKUP($A32,ClassAll,COLUMN(Classes!$B$4),0)),"No class!",VLOOKUP($A32,ClassAll,COLUMN(Classes!$B$4),0))</f>
        <v>Utilities</v>
      </c>
      <c r="C32" s="115" cm="1">
        <f t="array" aca="1" ref="C32" ca="1">IF(ISNA(MATCH(C$4,TBMonths,0))=TRUE,0,SUMIF(TBAll,$A32&amp;"*",OFFSET(TB!$D$4,1,MATCH(C$4,TBMonths,0),TBRowCount,1)))</f>
        <v>6540</v>
      </c>
      <c r="D32" s="116" cm="1">
        <f t="array" aca="1" ref="D32" ca="1">IF(ISNA(MATCH(D$4,TBMonths,0))=TRUE,0,SUMIF(TBAll,$A32&amp;"*",OFFSET(TB!$D$4,1,MATCH(D$4,TBMonths,0),TBRowCount,1)))</f>
        <v>6090</v>
      </c>
      <c r="E32" s="116">
        <f t="shared" ca="1" si="4"/>
        <v>-450</v>
      </c>
      <c r="F32" s="117">
        <f t="shared" ca="1" si="2"/>
        <v>-7.3891625615763554E-2</v>
      </c>
      <c r="H32" s="115" cm="1">
        <f t="array" aca="1" ref="H32" ca="1">IF(ISNA(MATCH(H$4,TBMonths,0))=TRUE,0,SUMIF(TBAll,$A32&amp;"*",OFFSET(TB!$D$4,1,MATCH(H$4,TBMonths,0),TBRowCount,1)))</f>
        <v>5872</v>
      </c>
      <c r="I32" s="116">
        <f t="shared" ca="1" si="5"/>
        <v>-218</v>
      </c>
      <c r="J32" s="117">
        <f t="shared" ca="1" si="3"/>
        <v>-3.7125340599455041E-2</v>
      </c>
    </row>
    <row r="33" spans="1:11" ht="16" customHeight="1" x14ac:dyDescent="0.25">
      <c r="A33" s="85" t="s">
        <v>209</v>
      </c>
      <c r="B33" s="99" t="str">
        <f ca="1">IF(ISNA(VLOOKUP($A33,ClassAll,COLUMN(Classes!$B$4),0)),"No class!",VLOOKUP($A33,ClassAll,COLUMN(Classes!$B$4),0))</f>
        <v>Other expenses</v>
      </c>
      <c r="C33" s="118" cm="1">
        <f t="array" aca="1" ref="C33" ca="1">IF(ISNA(MATCH(C$4,TBMonths,0))=TRUE,0,SUMIF(TBAll,$A33&amp;"*",OFFSET(TB!$D$4,1,MATCH(C$4,TBMonths,0),TBRowCount,1)))</f>
        <v>31622</v>
      </c>
      <c r="D33" s="119" cm="1">
        <f t="array" aca="1" ref="D33" ca="1">IF(ISNA(MATCH(D$4,TBMonths,0))=TRUE,0,SUMIF(TBAll,$A33&amp;"*",OFFSET(TB!$D$4,1,MATCH(D$4,TBMonths,0),TBRowCount,1)))</f>
        <v>54238</v>
      </c>
      <c r="E33" s="119">
        <f t="shared" ca="1" si="4"/>
        <v>22616</v>
      </c>
      <c r="F33" s="120">
        <f t="shared" ca="1" si="2"/>
        <v>0.4169770271765183</v>
      </c>
      <c r="H33" s="118" cm="1">
        <f t="array" aca="1" ref="H33" ca="1">IF(ISNA(MATCH(H$4,TBMonths,0))=TRUE,0,SUMIF(TBAll,$A33&amp;"*",OFFSET(TB!$D$4,1,MATCH(H$4,TBMonths,0),TBRowCount,1)))</f>
        <v>22839</v>
      </c>
      <c r="I33" s="119">
        <f t="shared" ca="1" si="5"/>
        <v>-31399</v>
      </c>
      <c r="J33" s="120">
        <f t="shared" ca="1" si="3"/>
        <v>-1.3747974955120628</v>
      </c>
    </row>
    <row r="34" spans="1:11" ht="16" customHeight="1" x14ac:dyDescent="0.25">
      <c r="B34" s="99" t="s">
        <v>379</v>
      </c>
      <c r="C34" s="103">
        <f ca="1">SUM(C7,C9,-C10)</f>
        <v>1670527</v>
      </c>
      <c r="D34" s="101">
        <f ca="1">SUM(D7,D9,-D10)</f>
        <v>1580874</v>
      </c>
      <c r="E34" s="101">
        <f ca="1">C34-D34</f>
        <v>89653</v>
      </c>
      <c r="F34" s="102">
        <f t="shared" ca="1" si="2"/>
        <v>5.6711034529001045E-2</v>
      </c>
      <c r="H34" s="103">
        <f ca="1">SUM(H7,H9,-H10)</f>
        <v>1026461</v>
      </c>
      <c r="I34" s="101">
        <f ca="1">D34-H34</f>
        <v>554413</v>
      </c>
      <c r="J34" s="102">
        <f t="shared" ca="1" si="3"/>
        <v>0.54012086187395336</v>
      </c>
    </row>
    <row r="35" spans="1:11" ht="16" customHeight="1" x14ac:dyDescent="0.25">
      <c r="A35" s="85" t="s">
        <v>206</v>
      </c>
      <c r="B35" s="99" t="str">
        <f ca="1">IF(ISNA(VLOOKUP($A35,ClassAll,COLUMN(Classes!$B$4),0)),"No class!",VLOOKUP($A35,ClassAll,COLUMN(Classes!$B$4),0))</f>
        <v>Interest paid</v>
      </c>
      <c r="C35" s="103" cm="1">
        <f t="array" aca="1" ref="C35" ca="1">IF(ISNA(MATCH(C$4,TBMonths,0))=TRUE,0,SUMIF(TBAll,$A35&amp;"*",OFFSET(TB!$D$4,1,MATCH(C$4,TBMonths,0),TBRowCount,1)))</f>
        <v>194222</v>
      </c>
      <c r="D35" s="101" cm="1">
        <f t="array" aca="1" ref="D35" ca="1">IF(ISNA(MATCH(D$4,TBMonths,0))=TRUE,0,SUMIF(TBAll,$A35&amp;"*",OFFSET(TB!$D$4,1,MATCH(D$4,TBMonths,0),TBRowCount,1)))</f>
        <v>212354</v>
      </c>
      <c r="E35" s="101">
        <f ca="1">D35-C35</f>
        <v>18132</v>
      </c>
      <c r="F35" s="102">
        <f t="shared" ca="1" si="2"/>
        <v>8.5385723838496103E-2</v>
      </c>
      <c r="H35" s="103" cm="1">
        <f t="array" aca="1" ref="H35" ca="1">IF(ISNA(MATCH(H$4,TBMonths,0))=TRUE,0,SUMIF(TBAll,$A35&amp;"*",OFFSET(TB!$D$4,1,MATCH(H$4,TBMonths,0),TBRowCount,1)))</f>
        <v>180742</v>
      </c>
      <c r="I35" s="101">
        <f ca="1">H35-D35</f>
        <v>-31612</v>
      </c>
      <c r="J35" s="102">
        <f t="shared" ca="1" si="3"/>
        <v>-0.17490124044217725</v>
      </c>
    </row>
    <row r="36" spans="1:11" ht="16" customHeight="1" x14ac:dyDescent="0.25">
      <c r="B36" s="99" t="s">
        <v>46</v>
      </c>
      <c r="C36" s="100">
        <f ca="1">SUM(C34,-C35)</f>
        <v>1476305</v>
      </c>
      <c r="D36" s="104">
        <f ca="1">SUM(D34,-D35)</f>
        <v>1368520</v>
      </c>
      <c r="E36" s="104">
        <f ca="1">C36-D36</f>
        <v>107785</v>
      </c>
      <c r="F36" s="105">
        <f t="shared" ca="1" si="2"/>
        <v>7.8760266565340659E-2</v>
      </c>
      <c r="H36" s="100">
        <f ca="1">SUM(H34,-H35)</f>
        <v>845719</v>
      </c>
      <c r="I36" s="104">
        <f ca="1">D36-H36</f>
        <v>522801</v>
      </c>
      <c r="J36" s="105">
        <f t="shared" ca="1" si="3"/>
        <v>0.61817341220901978</v>
      </c>
    </row>
    <row r="37" spans="1:11" ht="16" customHeight="1" x14ac:dyDescent="0.25">
      <c r="A37" s="85" t="s">
        <v>207</v>
      </c>
      <c r="B37" s="99" t="str">
        <f ca="1">IF(ISNA(VLOOKUP($A37,ClassAll,COLUMN(Classes!$B$4),0)),"No class!",VLOOKUP($A37,ClassAll,COLUMN(Classes!$B$4),0))</f>
        <v>Taxation paid</v>
      </c>
      <c r="C37" s="103" cm="1">
        <f t="array" aca="1" ref="C37" ca="1">IF(ISNA(MATCH(C$4,TBMonths,0))=TRUE,0,SUMIF(TBAll,$A37&amp;"*",OFFSET(TB!$D$4,1,MATCH(C$4,TBMonths,0),TBRowCount,1)))</f>
        <v>442236</v>
      </c>
      <c r="D37" s="101" cm="1">
        <f t="array" aca="1" ref="D37" ca="1">IF(ISNA(MATCH(D$4,TBMonths,0))=TRUE,0,SUMIF(TBAll,$A37&amp;"*",OFFSET(TB!$D$4,1,MATCH(D$4,TBMonths,0),TBRowCount,1)))</f>
        <v>263853</v>
      </c>
      <c r="E37" s="101">
        <f ca="1">D37-C37</f>
        <v>-178383</v>
      </c>
      <c r="F37" s="102">
        <f t="shared" ca="1" si="2"/>
        <v>-0.67606962968016282</v>
      </c>
      <c r="H37" s="103" cm="1">
        <f t="array" aca="1" ref="H37" ca="1">IF(ISNA(MATCH(H$4,TBMonths,0))=TRUE,0,SUMIF(TBAll,$A37&amp;"*",OFFSET(TB!$D$4,1,MATCH(H$4,TBMonths,0),TBRowCount,1)))</f>
        <v>236801</v>
      </c>
      <c r="I37" s="101">
        <f ca="1">H37-D37</f>
        <v>-27052</v>
      </c>
      <c r="J37" s="102">
        <f t="shared" ca="1" si="3"/>
        <v>-0.11423938243504039</v>
      </c>
    </row>
    <row r="38" spans="1:11" ht="16" customHeight="1" x14ac:dyDescent="0.25">
      <c r="B38" s="99" t="s">
        <v>86</v>
      </c>
      <c r="C38" s="100">
        <f ca="1">SUM(C36,-C37)</f>
        <v>1034069</v>
      </c>
      <c r="D38" s="104">
        <f ca="1">SUM(D36,-D37)</f>
        <v>1104667</v>
      </c>
      <c r="E38" s="104">
        <f ca="1">C38-D38</f>
        <v>-70598</v>
      </c>
      <c r="F38" s="105">
        <f t="shared" ca="1" si="2"/>
        <v>-6.3908852169929947E-2</v>
      </c>
      <c r="H38" s="100">
        <f ca="1">SUM(H36,-H37)</f>
        <v>608918</v>
      </c>
      <c r="I38" s="104">
        <f ca="1">D38-H38</f>
        <v>495749</v>
      </c>
      <c r="J38" s="105">
        <f t="shared" ca="1" si="3"/>
        <v>0.81414738930365005</v>
      </c>
    </row>
    <row r="39" spans="1:11" ht="16" customHeight="1" x14ac:dyDescent="0.25">
      <c r="A39" s="85" t="s">
        <v>245</v>
      </c>
      <c r="B39" s="99" t="s">
        <v>84</v>
      </c>
      <c r="C39" s="103" cm="1">
        <f t="array" aca="1" ref="C39" ca="1">-IF(ISNA(MATCH(C$4,TBMonths,0))=TRUE,0,SUMIF(TBAll,$A39&amp;"*",OFFSET(TB!$D$4,1,MATCH(C$4,TBMonths,0),TBRowCount,1)))</f>
        <v>4339805</v>
      </c>
      <c r="D39" s="101" cm="1">
        <f t="array" aca="1" ref="D39" ca="1">-IF(ISNA(MATCH(D$4,TBMonths,0))=TRUE,0,SUMIF(TBAll,$A39&amp;"*",OFFSET(TB!$D$4,1,MATCH(D$4,TBMonths,0),TBRowCount,1)))</f>
        <v>3335138</v>
      </c>
      <c r="E39" s="101">
        <f ca="1">C39-D39</f>
        <v>1004667</v>
      </c>
      <c r="F39" s="102">
        <f t="shared" ca="1" si="2"/>
        <v>0.301237010282633</v>
      </c>
      <c r="H39" s="103" cm="1">
        <f t="array" aca="1" ref="H39" ca="1">-IF(ISNA(MATCH(H$4,TBMonths,0))=TRUE,0,SUMIF(TBAll,$A39&amp;"*",OFFSET(TB!$D$4,1,MATCH(H$4,TBMonths,0),TBRowCount,1)))</f>
        <v>2801220</v>
      </c>
      <c r="I39" s="101">
        <f ca="1">D39-H39</f>
        <v>533918</v>
      </c>
      <c r="J39" s="102">
        <f t="shared" ca="1" si="3"/>
        <v>0.19060195200662569</v>
      </c>
    </row>
    <row r="40" spans="1:11" ht="16" customHeight="1" x14ac:dyDescent="0.25">
      <c r="A40" s="85" t="s">
        <v>212</v>
      </c>
      <c r="B40" s="99" t="str">
        <f ca="1">IF(ISNA(VLOOKUP($A40,ClassAll,COLUMN(Classes!$B$4),0)),"No class!",VLOOKUP($A40,ClassAll,COLUMN(Classes!$B$4),0))</f>
        <v>Dividends paid</v>
      </c>
      <c r="C40" s="103" cm="1">
        <f t="array" aca="1" ref="C40" ca="1">IF(ISNA(MATCH(C$4,TBMonths,0))=TRUE,0,SUMIF(TBAll,$A40&amp;"*",OFFSET(TB!$D$4,1,MATCH(C$4,TBMonths,0),TBRowCount,1)))</f>
        <v>150000</v>
      </c>
      <c r="D40" s="101" cm="1">
        <f t="array" aca="1" ref="D40" ca="1">IF(ISNA(MATCH(D$4,TBMonths,0))=TRUE,0,SUMIF(TBAll,$A40&amp;"*",OFFSET(TB!$D$4,1,MATCH(D$4,TBMonths,0),TBRowCount,1)))</f>
        <v>100000</v>
      </c>
      <c r="E40" s="101">
        <f ca="1">D40-C40</f>
        <v>-50000</v>
      </c>
      <c r="F40" s="102">
        <f t="shared" ca="1" si="2"/>
        <v>-0.5</v>
      </c>
      <c r="H40" s="103" cm="1">
        <f t="array" aca="1" ref="H40" ca="1">IF(ISNA(MATCH(H$4,TBMonths,0))=TRUE,0,SUMIF(TBAll,$A40&amp;"*",OFFSET(TB!$D$4,1,MATCH(H$4,TBMonths,0),TBRowCount,1)))</f>
        <v>75000</v>
      </c>
      <c r="I40" s="101">
        <f ca="1">H40-D40</f>
        <v>-25000</v>
      </c>
      <c r="J40" s="102">
        <f t="shared" ca="1" si="3"/>
        <v>-0.33333333333333331</v>
      </c>
    </row>
    <row r="41" spans="1:11" s="127" customFormat="1" ht="16" customHeight="1" thickBot="1" x14ac:dyDescent="0.3">
      <c r="A41" s="121"/>
      <c r="B41" s="122" t="s">
        <v>85</v>
      </c>
      <c r="C41" s="123">
        <f ca="1">SUM(C38,C39,-C40)</f>
        <v>5223874</v>
      </c>
      <c r="D41" s="124">
        <f ca="1">SUM(D38,D39,-D40)</f>
        <v>4339805</v>
      </c>
      <c r="E41" s="124">
        <f ca="1">SUM(E38:E40)</f>
        <v>884069</v>
      </c>
      <c r="F41" s="125">
        <f t="shared" ca="1" si="2"/>
        <v>0.20371168750669674</v>
      </c>
      <c r="G41" s="9"/>
      <c r="H41" s="123">
        <f ca="1">SUM(H38,H39,-H40)</f>
        <v>3335138</v>
      </c>
      <c r="I41" s="124">
        <f ca="1">SUM(I38:I40)</f>
        <v>1004667</v>
      </c>
      <c r="J41" s="125">
        <f t="shared" ca="1" si="3"/>
        <v>0.301237010282633</v>
      </c>
      <c r="K41" s="126"/>
    </row>
    <row r="42" spans="1:11" ht="16" customHeight="1" thickTop="1" x14ac:dyDescent="0.25">
      <c r="C42" s="101"/>
      <c r="D42" s="101"/>
      <c r="E42" s="101"/>
      <c r="F42" s="129"/>
      <c r="H42" s="101"/>
      <c r="I42" s="101"/>
      <c r="J42" s="129"/>
    </row>
    <row r="43" spans="1:11" ht="16" customHeight="1" x14ac:dyDescent="0.25">
      <c r="B43" s="128" t="s">
        <v>453</v>
      </c>
      <c r="C43" s="183">
        <f ca="1">IF(C35=0,0,C34/C35)</f>
        <v>8.6011213971640696</v>
      </c>
      <c r="D43" s="183">
        <f t="shared" ref="D43" ca="1" si="14">IF(D35=0,0,D34/D35)</f>
        <v>7.4445218832703883</v>
      </c>
      <c r="E43" s="183">
        <f ca="1">C43-D43</f>
        <v>1.1565995138936813</v>
      </c>
      <c r="F43" s="87">
        <f t="shared" ref="F43" ca="1" si="15">IF(D43=0,IF(E43=0,0,-1),E43/ABS(D43))</f>
        <v>0.15536249769012508</v>
      </c>
      <c r="H43" s="183">
        <f ca="1">IF(H35=0,0,H34/H35)</f>
        <v>5.6791503911653072</v>
      </c>
      <c r="I43" s="183">
        <f ca="1">D43-H43</f>
        <v>1.7653714921050812</v>
      </c>
      <c r="J43" s="87">
        <f t="shared" ref="J43" ca="1" si="16">IF(H43=0,IF(I43=0,0,-1),I43/ABS(H43))</f>
        <v>0.31085133699775891</v>
      </c>
    </row>
    <row r="44" spans="1:11" s="184" customFormat="1" ht="16" customHeight="1" x14ac:dyDescent="0.25">
      <c r="A44" s="185"/>
      <c r="B44" s="186" t="s">
        <v>454</v>
      </c>
      <c r="C44" s="184">
        <f ca="1">IF(BS!C27=0,0,C38/BS!C27)</f>
        <v>0.19791271521571621</v>
      </c>
      <c r="D44" s="184">
        <f ca="1">IF(BS!D27=0,0,D38/BS!D27)</f>
        <v>0.25448436407532704</v>
      </c>
      <c r="E44" s="184">
        <f ca="1">D44-C44</f>
        <v>5.6571648859610829E-2</v>
      </c>
      <c r="H44" s="184">
        <f ca="1">IF(BS!H27=0,0,H38/BS!H27)</f>
        <v>0.18252182613548959</v>
      </c>
      <c r="I44" s="184">
        <f ca="1">D44-H44</f>
        <v>7.1962537939837451E-2</v>
      </c>
    </row>
    <row r="45" spans="1:11" ht="16" customHeight="1" x14ac:dyDescent="0.25">
      <c r="B45" s="128" t="s">
        <v>474</v>
      </c>
      <c r="C45" s="184">
        <f ca="1">IF(BS!C21-BS!C42=0,0,C38/(BS!C21-BS!C42))</f>
        <v>0.15805649944110733</v>
      </c>
      <c r="D45" s="184">
        <f ca="1">IF(BS!D21-BS!D42=0,0,D38/(BS!D21-BS!D42))</f>
        <v>0.1706764548605462</v>
      </c>
      <c r="E45" s="184">
        <f ca="1">D45-C45</f>
        <v>1.2619955419438861E-2</v>
      </c>
      <c r="H45" s="184">
        <f ca="1">IF(BS!H21-BS!H42=0,0,H38/(BS!H21-BS!H42))</f>
        <v>0.11836443037270961</v>
      </c>
      <c r="I45" s="184">
        <f ca="1">D45-H45</f>
        <v>5.2312024487836589E-2</v>
      </c>
    </row>
  </sheetData>
  <pageMargins left="0.55118110236220474" right="0.55118110236220474" top="0.55118110236220474" bottom="0.55118110236220474" header="0.39370078740157483" footer="0.39370078740157483"/>
  <pageSetup paperSize="9" scale="66" fitToWidth="0" orientation="landscape" r:id="rId1"/>
  <headerFooter>
    <oddFooter>&amp;C&amp;"-,Regular"&amp;9Page &amp;P of &amp;N</oddFooter>
  </headerFooter>
  <ignoredErrors>
    <ignoredError sqref="C34:E34 E37 E7 E10:F10 I7 C36:E36 E35 H34:I34 H36:I36 I35 I37"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K46"/>
  <sheetViews>
    <sheetView zoomScale="95" zoomScaleNormal="95" workbookViewId="0">
      <pane xSplit="1" ySplit="4" topLeftCell="B5" activePane="bottomRight" state="frozen"/>
      <selection pane="topRight" activeCell="B1" sqref="B1"/>
      <selection pane="bottomLeft" activeCell="A5" sqref="A5"/>
      <selection pane="bottomRight" activeCell="B4" sqref="B4"/>
    </sheetView>
  </sheetViews>
  <sheetFormatPr defaultColWidth="9.08984375" defaultRowHeight="16" customHeight="1" x14ac:dyDescent="0.25"/>
  <cols>
    <col min="1" max="1" width="10.81640625" style="1" customWidth="1"/>
    <col min="2" max="2" width="45.81640625" style="78" customWidth="1"/>
    <col min="3" max="5" width="14.6328125" style="31" customWidth="1"/>
    <col min="6" max="6" width="12.6328125" style="32" customWidth="1"/>
    <col min="7" max="7" width="2.6328125" style="11" customWidth="1"/>
    <col min="8" max="9" width="14.6328125" style="31" customWidth="1"/>
    <col min="10" max="10" width="12.6328125" style="32" customWidth="1"/>
    <col min="11" max="11" width="2.6328125" style="23" customWidth="1"/>
    <col min="12" max="14" width="14.6328125" style="11" customWidth="1"/>
    <col min="15" max="15" width="2.6328125" style="11" customWidth="1"/>
    <col min="16" max="18" width="14.6328125" style="11" customWidth="1"/>
    <col min="19" max="19" width="2.6328125" style="11" customWidth="1"/>
    <col min="20" max="22" width="14.6328125" style="11" customWidth="1"/>
    <col min="23" max="23" width="2.6328125" style="11" customWidth="1"/>
    <col min="24" max="16384" width="9.08984375" style="11"/>
  </cols>
  <sheetData>
    <row r="1" spans="1:11" ht="16" customHeight="1" x14ac:dyDescent="0.3">
      <c r="B1" s="7" t="str">
        <f>IF(ISBLANK(Setup!$B$4),"Example (Pty) Limited",Setup!$B$4)</f>
        <v>Example (Pty) Limited</v>
      </c>
    </row>
    <row r="2" spans="1:11" s="36" customFormat="1" ht="16" customHeight="1" x14ac:dyDescent="0.25">
      <c r="A2" s="3"/>
      <c r="B2" s="33" t="str">
        <f ca="1">"Statement of cash flows for the period ended "&amp;TEXT(Setup!$B$10,"dd mmmm yyyy")</f>
        <v>Statement of cash flows for the period ended 28 February 2023</v>
      </c>
      <c r="C2" s="53"/>
      <c r="D2" s="53"/>
      <c r="E2" s="53"/>
      <c r="F2" s="54"/>
      <c r="G2" s="11"/>
      <c r="H2" s="53"/>
      <c r="I2" s="53"/>
      <c r="J2" s="54"/>
      <c r="K2" s="35"/>
    </row>
    <row r="3" spans="1:11" s="36" customFormat="1" ht="16" customHeight="1" x14ac:dyDescent="0.25">
      <c r="A3" s="3"/>
      <c r="B3" s="55" t="s">
        <v>56</v>
      </c>
      <c r="C3" s="11"/>
      <c r="D3" s="11"/>
      <c r="E3" s="11"/>
      <c r="F3" s="11"/>
      <c r="G3" s="11"/>
      <c r="H3" s="11"/>
      <c r="I3" s="11"/>
      <c r="J3" s="11"/>
      <c r="K3" s="35"/>
    </row>
    <row r="4" spans="1:11" s="27" customFormat="1" ht="18" customHeight="1" x14ac:dyDescent="0.25">
      <c r="A4" s="4"/>
      <c r="B4" s="37"/>
      <c r="C4" s="38">
        <f ca="1">IF(ISBLANK(Setup!$B$8),YEAR(TODAY()),Setup!$B$8)</f>
        <v>2023</v>
      </c>
      <c r="D4" s="38">
        <f ca="1">C4-1</f>
        <v>2022</v>
      </c>
      <c r="E4" s="38" t="s">
        <v>58</v>
      </c>
      <c r="F4" s="38" t="s">
        <v>59</v>
      </c>
      <c r="G4" s="11"/>
      <c r="H4" s="38">
        <f ca="1">D4-1</f>
        <v>2021</v>
      </c>
      <c r="I4" s="38" t="s">
        <v>58</v>
      </c>
      <c r="J4" s="38" t="s">
        <v>59</v>
      </c>
      <c r="K4" s="39"/>
    </row>
    <row r="5" spans="1:11" s="52" customFormat="1" ht="16" customHeight="1" x14ac:dyDescent="0.25">
      <c r="A5" s="2"/>
      <c r="B5" s="56" t="s">
        <v>21</v>
      </c>
      <c r="C5" s="57"/>
      <c r="D5" s="58"/>
      <c r="E5" s="58"/>
      <c r="F5" s="59"/>
      <c r="G5" s="11"/>
      <c r="H5" s="60"/>
      <c r="I5" s="58"/>
      <c r="J5" s="59"/>
      <c r="K5" s="51"/>
    </row>
    <row r="6" spans="1:11" ht="16" customHeight="1" x14ac:dyDescent="0.25">
      <c r="B6" s="61" t="s">
        <v>86</v>
      </c>
      <c r="C6" s="44">
        <f ca="1">IS!C38</f>
        <v>1034069</v>
      </c>
      <c r="D6" s="42">
        <f ca="1">IS!D38</f>
        <v>1104667</v>
      </c>
      <c r="E6" s="42">
        <f ca="1">C6-D6</f>
        <v>-70598</v>
      </c>
      <c r="F6" s="43">
        <f ca="1">IF(D6=0,IF(E6=0,0,-1),E6/ABS(D6))</f>
        <v>-6.3908852169929947E-2</v>
      </c>
      <c r="H6" s="44">
        <f ca="1">IS!H38</f>
        <v>608918</v>
      </c>
      <c r="I6" s="42">
        <f ca="1">D6-H6</f>
        <v>495749</v>
      </c>
      <c r="J6" s="43">
        <f ca="1">IF(H6=0,IF(I6=0,0,-1),I6/ABS(H6))</f>
        <v>0.81414738930365005</v>
      </c>
    </row>
    <row r="7" spans="1:11" ht="16" customHeight="1" x14ac:dyDescent="0.25">
      <c r="B7" s="61" t="s">
        <v>382</v>
      </c>
      <c r="C7" s="44">
        <f ca="1">IS!C35</f>
        <v>194222</v>
      </c>
      <c r="D7" s="42">
        <f ca="1">IS!D35</f>
        <v>212354</v>
      </c>
      <c r="E7" s="42">
        <f t="shared" ref="E7:E8" ca="1" si="0">C7-D7</f>
        <v>-18132</v>
      </c>
      <c r="F7" s="43">
        <f t="shared" ref="F7:F8" ca="1" si="1">IF(D7=0,IF(E7=0,0,-1),E7/ABS(D7))</f>
        <v>-8.5385723838496103E-2</v>
      </c>
      <c r="H7" s="44">
        <f ca="1">IS!H35</f>
        <v>180742</v>
      </c>
      <c r="I7" s="42">
        <f t="shared" ref="I7:I8" ca="1" si="2">D7-H7</f>
        <v>31612</v>
      </c>
      <c r="J7" s="43">
        <f t="shared" ref="J7:J8" ca="1" si="3">IF(H7=0,IF(I7=0,0,-1),I7/ABS(H7))</f>
        <v>0.17490124044217725</v>
      </c>
    </row>
    <row r="8" spans="1:11" ht="16" customHeight="1" x14ac:dyDescent="0.25">
      <c r="B8" s="61" t="s">
        <v>61</v>
      </c>
      <c r="C8" s="44">
        <f ca="1">IS!C37</f>
        <v>442236</v>
      </c>
      <c r="D8" s="42">
        <f ca="1">IS!D37</f>
        <v>263853</v>
      </c>
      <c r="E8" s="42">
        <f t="shared" ca="1" si="0"/>
        <v>178383</v>
      </c>
      <c r="F8" s="43">
        <f t="shared" ca="1" si="1"/>
        <v>0.67606962968016282</v>
      </c>
      <c r="H8" s="44">
        <f ca="1">IS!H37</f>
        <v>236801</v>
      </c>
      <c r="I8" s="42">
        <f t="shared" ca="1" si="2"/>
        <v>27052</v>
      </c>
      <c r="J8" s="43">
        <f t="shared" ca="1" si="3"/>
        <v>0.11423938243504039</v>
      </c>
    </row>
    <row r="9" spans="1:11" ht="16" customHeight="1" x14ac:dyDescent="0.25">
      <c r="B9" s="61" t="s">
        <v>87</v>
      </c>
      <c r="C9" s="44"/>
      <c r="D9" s="42"/>
      <c r="E9" s="42"/>
      <c r="F9" s="43"/>
      <c r="H9" s="44"/>
      <c r="I9" s="42"/>
      <c r="J9" s="43"/>
    </row>
    <row r="10" spans="1:11" ht="16" customHeight="1" x14ac:dyDescent="0.25">
      <c r="A10" s="1" t="s">
        <v>215</v>
      </c>
      <c r="B10" s="61" t="s">
        <v>62</v>
      </c>
      <c r="C10" s="44" cm="1">
        <f t="array" aca="1" ref="C10" ca="1">IF(ISNA(MATCH(C$4-1,TBMonths,0))=TRUE,0,SUMIF(TBAll,$A10&amp;"*",OFFSET(TB!$D$4,1,MATCH(C$4-1,TBMonths,0),TBRowCount,1)))-IF(ISNA(MATCH(C$4,TBMonths,0))=TRUE,0,SUMIF(TBAll,$A10&amp;"*",OFFSET(TB!$D$4,1,MATCH(C$4,TBMonths,0),TBRowCount,1)))</f>
        <v>546530</v>
      </c>
      <c r="D10" s="42" cm="1">
        <f t="array" aca="1" ref="D10" ca="1">IF(ISNA(MATCH(D$4-1,TBMonths,0))=TRUE,0,SUMIF(TBAll,$A10&amp;"*",OFFSET(TB!$D$4,1,MATCH(D$4-1,TBMonths,0),TBRowCount,1)))-IF(ISNA(MATCH(D$4,TBMonths,0))=TRUE,0,SUMIF(TBAll,$A10&amp;"*",OFFSET(TB!$D$4,1,MATCH(D$4,TBMonths,0),TBRowCount,1)))</f>
        <v>450300</v>
      </c>
      <c r="E10" s="42">
        <f t="shared" ref="E10:E11" ca="1" si="4">C10-D10</f>
        <v>96230</v>
      </c>
      <c r="F10" s="43">
        <f t="shared" ref="F10:F11" ca="1" si="5">IF(D10=0,IF(E10=0,0,-1),E10/ABS(D10))</f>
        <v>0.21370197646013769</v>
      </c>
      <c r="H10" s="44" cm="1">
        <f t="array" aca="1" ref="H10" ca="1">IF(ISNA(MATCH(H$4-1,TBMonths,0))=TRUE,0,SUMIF(TBAll,$A10&amp;"*",OFFSET(TB!$D$4,1,MATCH(H$4-1,TBMonths,0),TBRowCount,1)))-IF(ISNA(MATCH(H$4,TBMonths,0))=TRUE,0,SUMIF(TBAll,$A10&amp;"*",OFFSET(TB!$D$4,1,MATCH(H$4,TBMonths,0),TBRowCount,1)))</f>
        <v>377626</v>
      </c>
      <c r="I10" s="42">
        <f t="shared" ref="I10:I11" ca="1" si="6">D10-H10</f>
        <v>72674</v>
      </c>
      <c r="J10" s="43">
        <f t="shared" ref="J10:J11" ca="1" si="7">IF(H10=0,IF(I10=0,0,-1),I10/ABS(H10))</f>
        <v>0.19244967242721633</v>
      </c>
    </row>
    <row r="11" spans="1:11" ht="16" customHeight="1" x14ac:dyDescent="0.25">
      <c r="A11" s="1" t="s">
        <v>219</v>
      </c>
      <c r="B11" s="61" t="s">
        <v>63</v>
      </c>
      <c r="C11" s="44" cm="1">
        <f t="array" aca="1" ref="C11" ca="1">IF(ISNA(MATCH(C$4-1,TBMonths,0))=TRUE,0,SUMIF(TBAll,$A11&amp;"*",OFFSET(TB!$D$4,1,MATCH(C$4-1,TBMonths,0),TBRowCount,1)))-IF(ISNA(MATCH(C$4,TBMonths,0))=TRUE,0,SUMIF(TBAll,$A11&amp;"*",OFFSET(TB!$D$4,1,MATCH(C$4,TBMonths,0),TBRowCount,1)))</f>
        <v>104050</v>
      </c>
      <c r="D11" s="42" cm="1">
        <f t="array" aca="1" ref="D11" ca="1">IF(ISNA(MATCH(D$4-1,TBMonths,0))=TRUE,0,SUMIF(TBAll,$A11&amp;"*",OFFSET(TB!$D$4,1,MATCH(D$4-1,TBMonths,0),TBRowCount,1)))-IF(ISNA(MATCH(D$4,TBMonths,0))=TRUE,0,SUMIF(TBAll,$A11&amp;"*",OFFSET(TB!$D$4,1,MATCH(D$4,TBMonths,0),TBRowCount,1)))</f>
        <v>104050</v>
      </c>
      <c r="E11" s="42">
        <f t="shared" ca="1" si="4"/>
        <v>0</v>
      </c>
      <c r="F11" s="43">
        <f t="shared" ca="1" si="5"/>
        <v>0</v>
      </c>
      <c r="H11" s="44" cm="1">
        <f t="array" aca="1" ref="H11" ca="1">IF(ISNA(MATCH(H$4-1,TBMonths,0))=TRUE,0,SUMIF(TBAll,$A11&amp;"*",OFFSET(TB!$D$4,1,MATCH(H$4-1,TBMonths,0),TBRowCount,1)))-IF(ISNA(MATCH(H$4,TBMonths,0))=TRUE,0,SUMIF(TBAll,$A11&amp;"*",OFFSET(TB!$D$4,1,MATCH(H$4,TBMonths,0),TBRowCount,1)))</f>
        <v>104050</v>
      </c>
      <c r="I11" s="42">
        <f t="shared" ca="1" si="6"/>
        <v>0</v>
      </c>
      <c r="J11" s="43">
        <f t="shared" ca="1" si="7"/>
        <v>0</v>
      </c>
    </row>
    <row r="12" spans="1:11" ht="16" customHeight="1" x14ac:dyDescent="0.25">
      <c r="A12" s="1" t="s">
        <v>245</v>
      </c>
      <c r="B12" s="61" t="s">
        <v>391</v>
      </c>
      <c r="C12" s="44" cm="1">
        <f t="array" aca="1" ref="C12" ca="1">IF(ISNA(MATCH(C$4-1,TBMonths,0))=TRUE,0,SUMIF(TBAll,$A12&amp;"*",OFFSET(TB!$D$4,1,MATCH(C$4-1,TBMonths,0),TBRowCount,1)))+IF(ISNA(MATCH(C$4-1,TBMonths,0))=TRUE,0,SUMIF(TBAll,"I-*",OFFSET(TB!$D$4,1,MATCH(C$4-1,TBMonths,0),TBRowCount,1)))-IF(ISNA(MATCH(C$4,TBMonths,0))=TRUE,0,SUMIF(TBAll,$A12&amp;"*",OFFSET(TB!$D$4,1,MATCH(C$4,TBMonths,0),TBRowCount,1)))</f>
        <v>0</v>
      </c>
      <c r="D12" s="42" cm="1">
        <f t="array" aca="1" ref="D12" ca="1">IF(ISNA(MATCH(D$4-1,TBMonths,0))=TRUE,0,SUMIF(TBAll,$A12&amp;"*",OFFSET(TB!$D$4,1,MATCH(D$4-1,TBMonths,0),TBRowCount,1)))+IF(ISNA(MATCH(D$4-1,TBMonths,0))=TRUE,0,SUMIF(TBAll,"I-*",OFFSET(TB!$D$4,1,MATCH(D$4-1,TBMonths,0),TBRowCount,1)))-IF(ISNA(MATCH(D$4,TBMonths,0))=TRUE,0,SUMIF(TBAll,$A12&amp;"*",OFFSET(TB!$D$4,1,MATCH(D$4,TBMonths,0),TBRowCount,1)))</f>
        <v>0</v>
      </c>
      <c r="E12" s="42">
        <f t="shared" ref="E12:E13" ca="1" si="8">C12-D12</f>
        <v>0</v>
      </c>
      <c r="F12" s="43">
        <f t="shared" ref="F12:F13" ca="1" si="9">IF(D12=0,IF(E12=0,0,-1),E12/ABS(D12))</f>
        <v>0</v>
      </c>
      <c r="H12" s="44" cm="1">
        <f t="array" aca="1" ref="H12" ca="1">IF(ISNA(MATCH(H$4-1,TBMonths,0))=TRUE,0,SUMIF(TBAll,$A12&amp;"*",OFFSET(TB!$D$4,1,MATCH(H$4-1,TBMonths,0),TBRowCount,1)))+IF(ISNA(MATCH(H$4-1,TBMonths,0))=TRUE,0,SUMIF(TBAll,"I-*",OFFSET(TB!$D$4,1,MATCH(H$4-1,TBMonths,0),TBRowCount,1)))-IF(ISNA(MATCH(H$4,TBMonths,0))=TRUE,0,SUMIF(TBAll,$A12&amp;"*",OFFSET(TB!$D$4,1,MATCH(H$4,TBMonths,0),TBRowCount,1)))</f>
        <v>0</v>
      </c>
      <c r="I12" s="42">
        <f t="shared" ref="I12:I13" ca="1" si="10">D12-H12</f>
        <v>0</v>
      </c>
      <c r="J12" s="43">
        <f t="shared" ref="J12:J13" ca="1" si="11">IF(H12=0,IF(I12=0,0,-1),I12/ABS(H12))</f>
        <v>0</v>
      </c>
    </row>
    <row r="13" spans="1:11" ht="16" customHeight="1" x14ac:dyDescent="0.25">
      <c r="A13" s="1" t="s">
        <v>243</v>
      </c>
      <c r="B13" s="61" t="s">
        <v>393</v>
      </c>
      <c r="C13" s="44" cm="1">
        <f t="array" aca="1" ref="C13" ca="1">IF(ISNA(MATCH(C$4-1,TBMonths,0))=TRUE,0,SUMIF(TBAll,$A13&amp;"*",OFFSET(TB!$D$4,1,MATCH(C$4-1,TBMonths,0),TBRowCount,1)))-IF(ISNA(MATCH(C$4,TBMonths,0))=TRUE,0,SUMIF(TBAll,$A13&amp;"*",OFFSET(TB!$D$4,1,MATCH(C$4,TBMonths,0),TBRowCount,1)))</f>
        <v>0</v>
      </c>
      <c r="D13" s="42" cm="1">
        <f t="array" aca="1" ref="D13" ca="1">IF(ISNA(MATCH(D$4-1,TBMonths,0))=TRUE,0,SUMIF(TBAll,$A13&amp;"*",OFFSET(TB!$D$4,1,MATCH(D$4-1,TBMonths,0),TBRowCount,1)))-IF(ISNA(MATCH(D$4,TBMonths,0))=TRUE,0,SUMIF(TBAll,$A13&amp;"*",OFFSET(TB!$D$4,1,MATCH(D$4,TBMonths,0),TBRowCount,1)))</f>
        <v>0</v>
      </c>
      <c r="E13" s="42">
        <f t="shared" ca="1" si="8"/>
        <v>0</v>
      </c>
      <c r="F13" s="43">
        <f t="shared" ca="1" si="9"/>
        <v>0</v>
      </c>
      <c r="H13" s="44" cm="1">
        <f t="array" aca="1" ref="H13" ca="1">IF(ISNA(MATCH(H$4-1,TBMonths,0))=TRUE,0,SUMIF(TBAll,$A13&amp;"*",OFFSET(TB!$D$4,1,MATCH(H$4-1,TBMonths,0),TBRowCount,1)))-IF(ISNA(MATCH(H$4,TBMonths,0))=TRUE,0,SUMIF(TBAll,$A13&amp;"*",OFFSET(TB!$D$4,1,MATCH(H$4,TBMonths,0),TBRowCount,1)))</f>
        <v>0</v>
      </c>
      <c r="I13" s="42">
        <f t="shared" ca="1" si="10"/>
        <v>0</v>
      </c>
      <c r="J13" s="43">
        <f t="shared" ca="1" si="11"/>
        <v>0</v>
      </c>
    </row>
    <row r="14" spans="1:11" ht="16" customHeight="1" x14ac:dyDescent="0.25">
      <c r="A14" s="1" t="s">
        <v>236</v>
      </c>
      <c r="B14" s="61" t="s">
        <v>392</v>
      </c>
      <c r="C14" s="44" cm="1">
        <f t="array" aca="1" ref="C14" ca="1">IF(ISNA(MATCH(C$4-1,TBMonths,0))=TRUE,0,SUMIF(TBAll,$A14&amp;"*",OFFSET(TB!$D$4,1,MATCH(C$4-1,TBMonths,0),TBRowCount,1)))-IF(ISNA(MATCH(C$4,TBMonths,0))=TRUE,0,SUMIF(TBAll,$A14&amp;"*",OFFSET(TB!$D$4,1,MATCH(C$4,TBMonths,0),TBRowCount,1)))</f>
        <v>-47</v>
      </c>
      <c r="D14" s="42" cm="1">
        <f t="array" aca="1" ref="D14" ca="1">IF(ISNA(MATCH(D$4-1,TBMonths,0))=TRUE,0,SUMIF(TBAll,$A14&amp;"*",OFFSET(TB!$D$4,1,MATCH(D$4-1,TBMonths,0),TBRowCount,1)))-IF(ISNA(MATCH(D$4,TBMonths,0))=TRUE,0,SUMIF(TBAll,$A14&amp;"*",OFFSET(TB!$D$4,1,MATCH(D$4,TBMonths,0),TBRowCount,1)))</f>
        <v>3233</v>
      </c>
      <c r="E14" s="42">
        <f t="shared" ref="E14" ca="1" si="12">C14-D14</f>
        <v>-3280</v>
      </c>
      <c r="F14" s="43">
        <f t="shared" ref="F14" ca="1" si="13">IF(D14=0,IF(E14=0,0,-1),E14/ABS(D14))</f>
        <v>-1.0145375811939374</v>
      </c>
      <c r="H14" s="44" cm="1">
        <f t="array" aca="1" ref="H14" ca="1">IF(ISNA(MATCH(H$4-1,TBMonths,0))=TRUE,0,SUMIF(TBAll,$A14&amp;"*",OFFSET(TB!$D$4,1,MATCH(H$4-1,TBMonths,0),TBRowCount,1)))-IF(ISNA(MATCH(H$4,TBMonths,0))=TRUE,0,SUMIF(TBAll,$A14&amp;"*",OFFSET(TB!$D$4,1,MATCH(H$4,TBMonths,0),TBRowCount,1)))</f>
        <v>31237</v>
      </c>
      <c r="I14" s="42">
        <f t="shared" ref="I14" ca="1" si="14">D14-H14</f>
        <v>-28004</v>
      </c>
      <c r="J14" s="43">
        <f t="shared" ref="J14" ca="1" si="15">IF(H14=0,IF(I14=0,0,-1),I14/ABS(H14))</f>
        <v>-0.89650094439286743</v>
      </c>
    </row>
    <row r="15" spans="1:11" ht="16" customHeight="1" x14ac:dyDescent="0.25">
      <c r="B15" s="61" t="s">
        <v>383</v>
      </c>
      <c r="C15" s="44"/>
      <c r="D15" s="42"/>
      <c r="E15" s="42"/>
      <c r="F15" s="43"/>
      <c r="H15" s="44"/>
      <c r="I15" s="42"/>
      <c r="J15" s="43"/>
    </row>
    <row r="16" spans="1:11" ht="16" customHeight="1" x14ac:dyDescent="0.25">
      <c r="A16" s="1" t="s">
        <v>225</v>
      </c>
      <c r="B16" s="61" t="s">
        <v>386</v>
      </c>
      <c r="C16" s="44" cm="1">
        <f t="array" aca="1" ref="C16" ca="1">IF(ISNA(MATCH(C$4-1,TBMonths,0))=TRUE,0,SUMIF(TBAll,$A16&amp;"*",OFFSET(TB!$D$4,1,MATCH(C$4-1,TBMonths,0),TBRowCount,1)))-IF(ISNA(MATCH(C$4,TBMonths,0))=TRUE,0,SUMIF(TBAll,$A16&amp;"*",OFFSET(TB!$D$4,1,MATCH(C$4,TBMonths,0),TBRowCount,1)))</f>
        <v>-72137</v>
      </c>
      <c r="D16" s="42" cm="1">
        <f t="array" aca="1" ref="D16" ca="1">IF(ISNA(MATCH(D$4-1,TBMonths,0))=TRUE,0,SUMIF(TBAll,$A16&amp;"*",OFFSET(TB!$D$4,1,MATCH(D$4-1,TBMonths,0),TBRowCount,1)))-IF(ISNA(MATCH(D$4,TBMonths,0))=TRUE,0,SUMIF(TBAll,$A16&amp;"*",OFFSET(TB!$D$4,1,MATCH(D$4,TBMonths,0),TBRowCount,1)))</f>
        <v>-39903</v>
      </c>
      <c r="E16" s="42">
        <f t="shared" ref="E16:E23" ca="1" si="16">C16-D16</f>
        <v>-32234</v>
      </c>
      <c r="F16" s="43">
        <f t="shared" ref="F16:F27" ca="1" si="17">IF(D16=0,IF(E16=0,0,-1),E16/ABS(D16))</f>
        <v>-0.80780893667142817</v>
      </c>
      <c r="H16" s="44" cm="1">
        <f t="array" aca="1" ref="H16" ca="1">IF(ISNA(MATCH(H$4-1,TBMonths,0))=TRUE,0,SUMIF(TBAll,$A16&amp;"*",OFFSET(TB!$D$4,1,MATCH(H$4-1,TBMonths,0),TBRowCount,1)))-IF(ISNA(MATCH(H$4,TBMonths,0))=TRUE,0,SUMIF(TBAll,$A16&amp;"*",OFFSET(TB!$D$4,1,MATCH(H$4,TBMonths,0),TBRowCount,1)))</f>
        <v>-29529</v>
      </c>
      <c r="I16" s="42">
        <f t="shared" ref="I16:I23" ca="1" si="18">D16-H16</f>
        <v>-10374</v>
      </c>
      <c r="J16" s="43">
        <f t="shared" ref="J16:J27" ca="1" si="19">IF(H16=0,IF(I16=0,0,-1),I16/ABS(H16))</f>
        <v>-0.35131565579599716</v>
      </c>
    </row>
    <row r="17" spans="1:11" ht="16" customHeight="1" x14ac:dyDescent="0.25">
      <c r="A17" s="1" t="s">
        <v>221</v>
      </c>
      <c r="B17" s="61" t="s">
        <v>384</v>
      </c>
      <c r="C17" s="44" cm="1">
        <f t="array" aca="1" ref="C17" ca="1">IF(ISNA(MATCH(C$4-1,TBMonths,0))=TRUE,0,SUMIF(TBAll,$A17&amp;"*",OFFSET(TB!$D$4,1,MATCH(C$4-1,TBMonths,0),TBRowCount,1)))-IF(ISNA(MATCH(C$4,TBMonths,0))=TRUE,0,SUMIF(TBAll,$A17&amp;"*",OFFSET(TB!$D$4,1,MATCH(C$4,TBMonths,0),TBRowCount,1)))</f>
        <v>-11800</v>
      </c>
      <c r="D17" s="42" cm="1">
        <f t="array" aca="1" ref="D17" ca="1">IF(ISNA(MATCH(D$4-1,TBMonths,0))=TRUE,0,SUMIF(TBAll,$A17&amp;"*",OFFSET(TB!$D$4,1,MATCH(D$4-1,TBMonths,0),TBRowCount,1)))-IF(ISNA(MATCH(D$4,TBMonths,0))=TRUE,0,SUMIF(TBAll,$A17&amp;"*",OFFSET(TB!$D$4,1,MATCH(D$4,TBMonths,0),TBRowCount,1)))</f>
        <v>-17980</v>
      </c>
      <c r="E17" s="42">
        <f t="shared" ref="E17" ca="1" si="20">C17-D17</f>
        <v>6180</v>
      </c>
      <c r="F17" s="43">
        <f t="shared" ref="F17" ca="1" si="21">IF(D17=0,IF(E17=0,0,-1),E17/ABS(D17))</f>
        <v>0.34371523915461621</v>
      </c>
      <c r="H17" s="44" cm="1">
        <f t="array" aca="1" ref="H17" ca="1">IF(ISNA(MATCH(H$4-1,TBMonths,0))=TRUE,0,SUMIF(TBAll,$A17&amp;"*",OFFSET(TB!$D$4,1,MATCH(H$4-1,TBMonths,0),TBRowCount,1)))-IF(ISNA(MATCH(H$4,TBMonths,0))=TRUE,0,SUMIF(TBAll,$A17&amp;"*",OFFSET(TB!$D$4,1,MATCH(H$4,TBMonths,0),TBRowCount,1)))</f>
        <v>-7690</v>
      </c>
      <c r="I17" s="42">
        <f t="shared" ref="I17" ca="1" si="22">D17-H17</f>
        <v>-10290</v>
      </c>
      <c r="J17" s="43">
        <f t="shared" ref="J17" ca="1" si="23">IF(H17=0,IF(I17=0,0,-1),I17/ABS(H17))</f>
        <v>-1.3381014304291288</v>
      </c>
    </row>
    <row r="18" spans="1:11" ht="16" customHeight="1" x14ac:dyDescent="0.25">
      <c r="A18" s="1" t="s">
        <v>226</v>
      </c>
      <c r="B18" s="61" t="s">
        <v>385</v>
      </c>
      <c r="C18" s="44" cm="1">
        <f t="array" aca="1" ref="C18" ca="1">IF(ISNA(MATCH(C$4-1,TBMonths,0))=TRUE,0,SUMIF(TBAll,$A18&amp;"*",OFFSET(TB!$D$4,1,MATCH(C$4-1,TBMonths,0),TBRowCount,1)))-IF(ISNA(MATCH(C$4,TBMonths,0))=TRUE,0,SUMIF(TBAll,$A18&amp;"*",OFFSET(TB!$D$4,1,MATCH(C$4,TBMonths,0),TBRowCount,1)))</f>
        <v>20500</v>
      </c>
      <c r="D18" s="42" cm="1">
        <f t="array" aca="1" ref="D18" ca="1">IF(ISNA(MATCH(D$4-1,TBMonths,0))=TRUE,0,SUMIF(TBAll,$A18&amp;"*",OFFSET(TB!$D$4,1,MATCH(D$4-1,TBMonths,0),TBRowCount,1)))-IF(ISNA(MATCH(D$4,TBMonths,0))=TRUE,0,SUMIF(TBAll,$A18&amp;"*",OFFSET(TB!$D$4,1,MATCH(D$4,TBMonths,0),TBRowCount,1)))</f>
        <v>-21900</v>
      </c>
      <c r="E18" s="42">
        <f t="shared" ref="E18" ca="1" si="24">C18-D18</f>
        <v>42400</v>
      </c>
      <c r="F18" s="43">
        <f t="shared" ref="F18" ca="1" si="25">IF(D18=0,IF(E18=0,0,-1),E18/ABS(D18))</f>
        <v>1.9360730593607305</v>
      </c>
      <c r="H18" s="44" cm="1">
        <f t="array" aca="1" ref="H18" ca="1">IF(ISNA(MATCH(H$4-1,TBMonths,0))=TRUE,0,SUMIF(TBAll,$A18&amp;"*",OFFSET(TB!$D$4,1,MATCH(H$4-1,TBMonths,0),TBRowCount,1)))-IF(ISNA(MATCH(H$4,TBMonths,0))=TRUE,0,SUMIF(TBAll,$A18&amp;"*",OFFSET(TB!$D$4,1,MATCH(H$4,TBMonths,0),TBRowCount,1)))</f>
        <v>-10600</v>
      </c>
      <c r="I18" s="42">
        <f t="shared" ref="I18" ca="1" si="26">D18-H18</f>
        <v>-11300</v>
      </c>
      <c r="J18" s="43">
        <f t="shared" ref="J18" ca="1" si="27">IF(H18=0,IF(I18=0,0,-1),I18/ABS(H18))</f>
        <v>-1.0660377358490567</v>
      </c>
    </row>
    <row r="19" spans="1:11" ht="16" customHeight="1" x14ac:dyDescent="0.25">
      <c r="A19" s="1" t="s">
        <v>224</v>
      </c>
      <c r="B19" s="61" t="s">
        <v>390</v>
      </c>
      <c r="C19" s="44" cm="1">
        <f t="array" aca="1" ref="C19" ca="1">IF(ISNA(MATCH(C$4-1,TBMonths,0))=TRUE,0,SUMIF(TBAll,$A19&amp;"*",OFFSET(TB!$D$4,1,MATCH(C$4-1,TBMonths,0),TBRowCount,1)))-IF(ISNA(MATCH(C$4,TBMonths,0))=TRUE,0,SUMIF(TBAll,$A19&amp;"*",OFFSET(TB!$D$4,1,MATCH(C$4,TBMonths,0),TBRowCount,1)))</f>
        <v>-10</v>
      </c>
      <c r="D19" s="42" cm="1">
        <f t="array" aca="1" ref="D19" ca="1">IF(ISNA(MATCH(D$4-1,TBMonths,0))=TRUE,0,SUMIF(TBAll,$A19&amp;"*",OFFSET(TB!$D$4,1,MATCH(D$4-1,TBMonths,0),TBRowCount,1)))-IF(ISNA(MATCH(D$4,TBMonths,0))=TRUE,0,SUMIF(TBAll,$A19&amp;"*",OFFSET(TB!$D$4,1,MATCH(D$4,TBMonths,0),TBRowCount,1)))</f>
        <v>10</v>
      </c>
      <c r="E19" s="42">
        <f t="shared" ref="E19" ca="1" si="28">C19-D19</f>
        <v>-20</v>
      </c>
      <c r="F19" s="43">
        <f t="shared" ref="F19" ca="1" si="29">IF(D19=0,IF(E19=0,0,-1),E19/ABS(D19))</f>
        <v>-2</v>
      </c>
      <c r="H19" s="44" cm="1">
        <f t="array" aca="1" ref="H19" ca="1">IF(ISNA(MATCH(H$4-1,TBMonths,0))=TRUE,0,SUMIF(TBAll,$A19&amp;"*",OFFSET(TB!$D$4,1,MATCH(H$4-1,TBMonths,0),TBRowCount,1)))-IF(ISNA(MATCH(H$4,TBMonths,0))=TRUE,0,SUMIF(TBAll,$A19&amp;"*",OFFSET(TB!$D$4,1,MATCH(H$4,TBMonths,0),TBRowCount,1)))</f>
        <v>0</v>
      </c>
      <c r="I19" s="42">
        <f t="shared" ref="I19" ca="1" si="30">D19-H19</f>
        <v>10</v>
      </c>
      <c r="J19" s="43">
        <f t="shared" ref="J19" ca="1" si="31">IF(H19=0,IF(I19=0,0,-1),I19/ABS(H19))</f>
        <v>-1</v>
      </c>
    </row>
    <row r="20" spans="1:11" ht="16" customHeight="1" x14ac:dyDescent="0.25">
      <c r="A20" s="1" t="s">
        <v>228</v>
      </c>
      <c r="B20" s="61" t="s">
        <v>394</v>
      </c>
      <c r="C20" s="44" cm="1">
        <f t="array" aca="1" ref="C20" ca="1">IF(ISNA(MATCH(C$4-1,TBMonths,0))=TRUE,0,SUMIF(TBAll,$A20&amp;"*",OFFSET(TB!$D$4,1,MATCH(C$4-1,TBMonths,0),TBRowCount,1)))-IF(ISNA(MATCH(C$4,TBMonths,0))=TRUE,0,SUMIF(TBAll,$A20&amp;"*",OFFSET(TB!$D$4,1,MATCH(C$4,TBMonths,0),TBRowCount,1)))</f>
        <v>-39168</v>
      </c>
      <c r="D20" s="42" cm="1">
        <f t="array" aca="1" ref="D20" ca="1">IF(ISNA(MATCH(D$4-1,TBMonths,0))=TRUE,0,SUMIF(TBAll,$A20&amp;"*",OFFSET(TB!$D$4,1,MATCH(D$4-1,TBMonths,0),TBRowCount,1)))-IF(ISNA(MATCH(D$4,TBMonths,0))=TRUE,0,SUMIF(TBAll,$A20&amp;"*",OFFSET(TB!$D$4,1,MATCH(D$4,TBMonths,0),TBRowCount,1)))</f>
        <v>-65549</v>
      </c>
      <c r="E20" s="42">
        <f t="shared" ca="1" si="16"/>
        <v>26381</v>
      </c>
      <c r="F20" s="43">
        <f t="shared" ca="1" si="17"/>
        <v>0.40246228012631774</v>
      </c>
      <c r="H20" s="44" cm="1">
        <f t="array" aca="1" ref="H20" ca="1">IF(ISNA(MATCH(H$4-1,TBMonths,0))=TRUE,0,SUMIF(TBAll,$A20&amp;"*",OFFSET(TB!$D$4,1,MATCH(H$4-1,TBMonths,0),TBRowCount,1)))-IF(ISNA(MATCH(H$4,TBMonths,0))=TRUE,0,SUMIF(TBAll,$A20&amp;"*",OFFSET(TB!$D$4,1,MATCH(H$4,TBMonths,0),TBRowCount,1)))</f>
        <v>-46915</v>
      </c>
      <c r="I20" s="42">
        <f t="shared" ca="1" si="18"/>
        <v>-18634</v>
      </c>
      <c r="J20" s="43">
        <f t="shared" ca="1" si="19"/>
        <v>-0.39718640093786634</v>
      </c>
    </row>
    <row r="21" spans="1:11" ht="16" customHeight="1" x14ac:dyDescent="0.25">
      <c r="A21" s="1" t="s">
        <v>230</v>
      </c>
      <c r="B21" s="61" t="s">
        <v>387</v>
      </c>
      <c r="C21" s="44" cm="1">
        <f t="array" aca="1" ref="C21" ca="1">IF(ISNA(MATCH(C$4-1,TBMonths,0))=TRUE,0,SUMIF(TBAll,$A21&amp;"*",OFFSET(TB!$D$4,1,MATCH(C$4-1,TBMonths,0),TBRowCount,1)))-IF(ISNA(MATCH(C$4,TBMonths,0))=TRUE,0,SUMIF(TBAll,$A21&amp;"*",OFFSET(TB!$D$4,1,MATCH(C$4,TBMonths,0),TBRowCount,1)))</f>
        <v>-33098</v>
      </c>
      <c r="D21" s="42" cm="1">
        <f t="array" aca="1" ref="D21" ca="1">IF(ISNA(MATCH(D$4-1,TBMonths,0))=TRUE,0,SUMIF(TBAll,$A21&amp;"*",OFFSET(TB!$D$4,1,MATCH(D$4-1,TBMonths,0),TBRowCount,1)))-IF(ISNA(MATCH(D$4,TBMonths,0))=TRUE,0,SUMIF(TBAll,$A21&amp;"*",OFFSET(TB!$D$4,1,MATCH(D$4,TBMonths,0),TBRowCount,1)))</f>
        <v>53575</v>
      </c>
      <c r="E21" s="42">
        <f t="shared" ref="E21:E22" ca="1" si="32">C21-D21</f>
        <v>-86673</v>
      </c>
      <c r="F21" s="43">
        <f t="shared" ref="F21:F22" ca="1" si="33">IF(D21=0,IF(E21=0,0,-1),E21/ABS(D21))</f>
        <v>-1.6177881474568363</v>
      </c>
      <c r="H21" s="44" cm="1">
        <f t="array" aca="1" ref="H21" ca="1">IF(ISNA(MATCH(H$4-1,TBMonths,0))=TRUE,0,SUMIF(TBAll,$A21&amp;"*",OFFSET(TB!$D$4,1,MATCH(H$4-1,TBMonths,0),TBRowCount,1)))-IF(ISNA(MATCH(H$4,TBMonths,0))=TRUE,0,SUMIF(TBAll,$A21&amp;"*",OFFSET(TB!$D$4,1,MATCH(H$4,TBMonths,0),TBRowCount,1)))</f>
        <v>40695</v>
      </c>
      <c r="I21" s="42">
        <f t="shared" ref="I21:I22" ca="1" si="34">D21-H21</f>
        <v>12880</v>
      </c>
      <c r="J21" s="43">
        <f t="shared" ref="J21:J22" ca="1" si="35">IF(H21=0,IF(I21=0,0,-1),I21/ABS(H21))</f>
        <v>0.31650079862390956</v>
      </c>
    </row>
    <row r="22" spans="1:11" ht="16" customHeight="1" x14ac:dyDescent="0.25">
      <c r="A22" s="1" t="s">
        <v>232</v>
      </c>
      <c r="B22" s="61" t="s">
        <v>388</v>
      </c>
      <c r="C22" s="44" cm="1">
        <f t="array" aca="1" ref="C22" ca="1">IF(ISNA(MATCH(C$4-1,TBMonths,0))=TRUE,0,SUMIF(TBAll,$A22&amp;"*",OFFSET(TB!$D$4,1,MATCH(C$4-1,TBMonths,0),TBRowCount,1)))-IF(ISNA(MATCH(C$4,TBMonths,0))=TRUE,0,SUMIF(TBAll,$A22&amp;"*",OFFSET(TB!$D$4,1,MATCH(C$4,TBMonths,0),TBRowCount,1)))</f>
        <v>24417</v>
      </c>
      <c r="D22" s="42" cm="1">
        <f t="array" aca="1" ref="D22" ca="1">IF(ISNA(MATCH(D$4-1,TBMonths,0))=TRUE,0,SUMIF(TBAll,$A22&amp;"*",OFFSET(TB!$D$4,1,MATCH(D$4-1,TBMonths,0),TBRowCount,1)))-IF(ISNA(MATCH(D$4,TBMonths,0))=TRUE,0,SUMIF(TBAll,$A22&amp;"*",OFFSET(TB!$D$4,1,MATCH(D$4,TBMonths,0),TBRowCount,1)))</f>
        <v>14812</v>
      </c>
      <c r="E22" s="42">
        <f t="shared" ca="1" si="32"/>
        <v>9605</v>
      </c>
      <c r="F22" s="43">
        <f t="shared" ca="1" si="33"/>
        <v>0.64846070753443152</v>
      </c>
      <c r="H22" s="44" cm="1">
        <f t="array" aca="1" ref="H22" ca="1">IF(ISNA(MATCH(H$4-1,TBMonths,0))=TRUE,0,SUMIF(TBAll,$A22&amp;"*",OFFSET(TB!$D$4,1,MATCH(H$4-1,TBMonths,0),TBRowCount,1)))-IF(ISNA(MATCH(H$4,TBMonths,0))=TRUE,0,SUMIF(TBAll,$A22&amp;"*",OFFSET(TB!$D$4,1,MATCH(H$4,TBMonths,0),TBRowCount,1)))</f>
        <v>11889</v>
      </c>
      <c r="I22" s="42">
        <f t="shared" ca="1" si="34"/>
        <v>2923</v>
      </c>
      <c r="J22" s="43">
        <f t="shared" ca="1" si="35"/>
        <v>0.24585751535032382</v>
      </c>
    </row>
    <row r="23" spans="1:11" ht="16" customHeight="1" x14ac:dyDescent="0.25">
      <c r="A23" s="1" t="s">
        <v>238</v>
      </c>
      <c r="B23" s="61" t="s">
        <v>389</v>
      </c>
      <c r="C23" s="44" cm="1">
        <f t="array" aca="1" ref="C23" ca="1">IF(ISNA(MATCH(C$4-1,TBMonths,0))=TRUE,0,SUMIF(TBAll,$A23&amp;"*",OFFSET(TB!$D$4,1,MATCH(C$4-1,TBMonths,0),TBRowCount,1)))-IF(ISNA(MATCH(C$4,TBMonths,0))=TRUE,0,SUMIF(TBAll,$A23&amp;"*",OFFSET(TB!$D$4,1,MATCH(C$4,TBMonths,0),TBRowCount,1)))</f>
        <v>16056</v>
      </c>
      <c r="D23" s="42" cm="1">
        <f t="array" aca="1" ref="D23" ca="1">IF(ISNA(MATCH(D$4-1,TBMonths,0))=TRUE,0,SUMIF(TBAll,$A23&amp;"*",OFFSET(TB!$D$4,1,MATCH(D$4-1,TBMonths,0),TBRowCount,1)))-IF(ISNA(MATCH(D$4,TBMonths,0))=TRUE,0,SUMIF(TBAll,$A23&amp;"*",OFFSET(TB!$D$4,1,MATCH(D$4,TBMonths,0),TBRowCount,1)))</f>
        <v>3944</v>
      </c>
      <c r="E23" s="42">
        <f t="shared" ca="1" si="16"/>
        <v>12112</v>
      </c>
      <c r="F23" s="43">
        <f t="shared" ca="1" si="17"/>
        <v>3.0709939148073024</v>
      </c>
      <c r="H23" s="44" cm="1">
        <f t="array" aca="1" ref="H23" ca="1">IF(ISNA(MATCH(H$4-1,TBMonths,0))=TRUE,0,SUMIF(TBAll,$A23&amp;"*",OFFSET(TB!$D$4,1,MATCH(H$4-1,TBMonths,0),TBRowCount,1)))-IF(ISNA(MATCH(H$4,TBMonths,0))=TRUE,0,SUMIF(TBAll,$A23&amp;"*",OFFSET(TB!$D$4,1,MATCH(H$4,TBMonths,0),TBRowCount,1)))</f>
        <v>10271</v>
      </c>
      <c r="I23" s="42">
        <f t="shared" ca="1" si="18"/>
        <v>-6327</v>
      </c>
      <c r="J23" s="43">
        <f t="shared" ca="1" si="19"/>
        <v>-0.61600623113620878</v>
      </c>
    </row>
    <row r="24" spans="1:11" ht="16" customHeight="1" x14ac:dyDescent="0.25">
      <c r="B24" s="61" t="s">
        <v>24</v>
      </c>
      <c r="C24" s="41">
        <f ca="1">SUM(C6:C23)</f>
        <v>2225820</v>
      </c>
      <c r="D24" s="45">
        <f ca="1">SUM(D6:D23)</f>
        <v>2065466</v>
      </c>
      <c r="E24" s="45">
        <f ca="1">SUM(E6:E23)</f>
        <v>160354</v>
      </c>
      <c r="F24" s="46">
        <f t="shared" ca="1" si="17"/>
        <v>7.7635749027096065E-2</v>
      </c>
      <c r="H24" s="41">
        <f ca="1">SUM(H6:H23)</f>
        <v>1507495</v>
      </c>
      <c r="I24" s="45">
        <f ca="1">SUM(I6:I23)</f>
        <v>557971</v>
      </c>
      <c r="J24" s="46">
        <f t="shared" ca="1" si="19"/>
        <v>0.3701312442163987</v>
      </c>
    </row>
    <row r="25" spans="1:11" ht="16" customHeight="1" x14ac:dyDescent="0.25">
      <c r="A25" s="1" t="s">
        <v>375</v>
      </c>
      <c r="B25" s="61" t="s">
        <v>25</v>
      </c>
      <c r="C25" s="44" cm="1">
        <f t="array" aca="1" ref="C25" ca="1">IF(ISNA(MATCH(C$4-1,TBMonths,0))=TRUE,0,SUMIF(TBAll,$A25&amp;"*",OFFSET(TB!$D$4,1,MATCH(C$4-1,TBMonths,0),TBRowCount,1)))-IF(ISNA(MATCH(C$4,TBMonths,0))=TRUE,0,SUMIF(TBAll,$A25&amp;"*",OFFSET(TB!$D$4,1,MATCH(C$4,TBMonths,0),TBRowCount,1)))-C7</f>
        <v>-195733</v>
      </c>
      <c r="D25" s="42" cm="1">
        <f t="array" aca="1" ref="D25" ca="1">IF(ISNA(MATCH(D$4-1,TBMonths,0))=TRUE,0,SUMIF(TBAll,$A25&amp;"*",OFFSET(TB!$D$4,1,MATCH(D$4-1,TBMonths,0),TBRowCount,1)))-IF(ISNA(MATCH(D$4,TBMonths,0))=TRUE,0,SUMIF(TBAll,$A25&amp;"*",OFFSET(TB!$D$4,1,MATCH(D$4,TBMonths,0),TBRowCount,1)))-D7</f>
        <v>-209719</v>
      </c>
      <c r="E25" s="42">
        <f t="shared" ref="E25:E26" ca="1" si="36">C25-D25</f>
        <v>13986</v>
      </c>
      <c r="F25" s="43">
        <f t="shared" ca="1" si="17"/>
        <v>6.6689236549859573E-2</v>
      </c>
      <c r="H25" s="44" cm="1">
        <f t="array" aca="1" ref="H25" ca="1">IF(ISNA(MATCH(H$4-1,TBMonths,0))=TRUE,0,SUMIF(TBAll,$A25&amp;"*",OFFSET(TB!$D$4,1,MATCH(H$4-1,TBMonths,0),TBRowCount,1)))-IF(ISNA(MATCH(H$4,TBMonths,0))=TRUE,0,SUMIF(TBAll,$A25&amp;"*",OFFSET(TB!$D$4,1,MATCH(H$4,TBMonths,0),TBRowCount,1)))-H7</f>
        <v>-178181</v>
      </c>
      <c r="I25" s="42">
        <f t="shared" ref="I25:I26" ca="1" si="37">D25-H25</f>
        <v>-31538</v>
      </c>
      <c r="J25" s="43">
        <f t="shared" ca="1" si="19"/>
        <v>-0.17699979234598526</v>
      </c>
    </row>
    <row r="26" spans="1:11" ht="16" customHeight="1" x14ac:dyDescent="0.25">
      <c r="A26" s="1" t="s">
        <v>234</v>
      </c>
      <c r="B26" s="61" t="s">
        <v>26</v>
      </c>
      <c r="C26" s="44" cm="1">
        <f t="array" aca="1" ref="C26" ca="1">IF(ISNA(MATCH(C$4-1,TBMonths,0))=TRUE,0,SUMIF(TBAll,$A26&amp;"*",OFFSET(TB!$D$4,1,MATCH(C$4-1,TBMonths,0),TBRowCount,1)))-IF(ISNA(MATCH(C$4,TBMonths,0))=TRUE,0,SUMIF(TBAll,$A26&amp;"*",OFFSET(TB!$D$4,1,MATCH(C$4,TBMonths,0),TBRowCount,1)))+IF(ISNA(MATCH(C$4-1,TBMonths,0))=TRUE,0,SUMIF(TBAll,"B-22G*",OFFSET(TB!$D$4,1,MATCH(C$4-1,TBMonths,0),TBRowCount,1)))-IF(ISNA(MATCH(C$4,TBMonths,0))=TRUE,0,SUMIF(TBAll,"B-22G*",OFFSET(TB!$D$4,1,MATCH(C$4,TBMonths,0),TBRowCount,1)))-C8</f>
        <v>-409605</v>
      </c>
      <c r="D26" s="42" cm="1">
        <f t="array" aca="1" ref="D26" ca="1">IF(ISNA(MATCH(D$4-1,TBMonths,0))=TRUE,0,SUMIF(TBAll,$A26&amp;"*",OFFSET(TB!$D$4,1,MATCH(D$4-1,TBMonths,0),TBRowCount,1)))-IF(ISNA(MATCH(D$4,TBMonths,0))=TRUE,0,SUMIF(TBAll,$A26&amp;"*",OFFSET(TB!$D$4,1,MATCH(D$4,TBMonths,0),TBRowCount,1)))+IF(ISNA(MATCH(D$4-1,TBMonths,0))=TRUE,0,SUMIF(TBAll,"B-22G*",OFFSET(TB!$D$4,1,MATCH(D$4-1,TBMonths,0),TBRowCount,1)))-IF(ISNA(MATCH(D$4,TBMonths,0))=TRUE,0,SUMIF(TBAll,"B-22G*",OFFSET(TB!$D$4,1,MATCH(D$4,TBMonths,0),TBRowCount,1)))-D8</f>
        <v>-185672</v>
      </c>
      <c r="E26" s="42">
        <f t="shared" ca="1" si="36"/>
        <v>-223933</v>
      </c>
      <c r="F26" s="43">
        <f t="shared" ca="1" si="17"/>
        <v>-1.2060676892584774</v>
      </c>
      <c r="H26" s="44" cm="1">
        <f t="array" aca="1" ref="H26" ca="1">IF(ISNA(MATCH(H$4-1,TBMonths,0))=TRUE,0,SUMIF(TBAll,$A26&amp;"*",OFFSET(TB!$D$4,1,MATCH(H$4-1,TBMonths,0),TBRowCount,1)))-IF(ISNA(MATCH(H$4,TBMonths,0))=TRUE,0,SUMIF(TBAll,$A26&amp;"*",OFFSET(TB!$D$4,1,MATCH(H$4,TBMonths,0),TBRowCount,1)))+IF(ISNA(MATCH(H$4-1,TBMonths,0))=TRUE,0,SUMIF(TBAll,"B-22G*",OFFSET(TB!$D$4,1,MATCH(H$4-1,TBMonths,0),TBRowCount,1)))-IF(ISNA(MATCH(H$4,TBMonths,0))=TRUE,0,SUMIF(TBAll,"B-22G*",OFFSET(TB!$D$4,1,MATCH(H$4,TBMonths,0),TBRowCount,1)))-H8</f>
        <v>-222959</v>
      </c>
      <c r="I26" s="42">
        <f t="shared" ca="1" si="37"/>
        <v>37287</v>
      </c>
      <c r="J26" s="43">
        <f t="shared" ca="1" si="19"/>
        <v>0.16723702564148565</v>
      </c>
    </row>
    <row r="27" spans="1:11" s="52" customFormat="1" ht="16" customHeight="1" thickBot="1" x14ac:dyDescent="0.3">
      <c r="A27" s="2"/>
      <c r="B27" s="56" t="s">
        <v>22</v>
      </c>
      <c r="C27" s="62">
        <f ca="1">SUM(C24:C26)</f>
        <v>1620482</v>
      </c>
      <c r="D27" s="63">
        <f ca="1">SUM(D24:D26)</f>
        <v>1670075</v>
      </c>
      <c r="E27" s="63">
        <f ca="1">SUM(E24:E26)</f>
        <v>-49593</v>
      </c>
      <c r="F27" s="64">
        <f t="shared" ca="1" si="17"/>
        <v>-2.9695073574540067E-2</v>
      </c>
      <c r="G27" s="11"/>
      <c r="H27" s="62">
        <f ca="1">SUM(H24:H26)</f>
        <v>1106355</v>
      </c>
      <c r="I27" s="63">
        <f ca="1">SUM(I24:I26)</f>
        <v>563720</v>
      </c>
      <c r="J27" s="64">
        <f t="shared" ca="1" si="19"/>
        <v>0.50952903905166058</v>
      </c>
      <c r="K27" s="51"/>
    </row>
    <row r="28" spans="1:11" ht="16" customHeight="1" x14ac:dyDescent="0.25">
      <c r="B28" s="61"/>
      <c r="C28" s="44"/>
      <c r="D28" s="42"/>
      <c r="E28" s="42"/>
      <c r="F28" s="43"/>
      <c r="H28" s="44"/>
      <c r="I28" s="42"/>
      <c r="J28" s="43"/>
    </row>
    <row r="29" spans="1:11" s="52" customFormat="1" ht="16" customHeight="1" x14ac:dyDescent="0.25">
      <c r="A29" s="2"/>
      <c r="B29" s="56" t="s">
        <v>23</v>
      </c>
      <c r="C29" s="60"/>
      <c r="D29" s="58"/>
      <c r="E29" s="58"/>
      <c r="F29" s="59"/>
      <c r="G29" s="11"/>
      <c r="H29" s="60"/>
      <c r="I29" s="58"/>
      <c r="J29" s="59"/>
      <c r="K29" s="51"/>
    </row>
    <row r="30" spans="1:11" ht="16" customHeight="1" x14ac:dyDescent="0.25">
      <c r="A30" s="1" t="s">
        <v>213</v>
      </c>
      <c r="B30" s="61" t="s">
        <v>214</v>
      </c>
      <c r="C30" s="44" cm="1">
        <f t="array" aca="1" ref="C30" ca="1">IF(ISNA(MATCH(C$4-1,TBMonths,0))=TRUE,0,SUMIF(TBAll,$A30&amp;"*",OFFSET(TB!$D$4,1,MATCH(C$4-1,TBMonths,0),TBRowCount,1)))-IF(ISNA(MATCH(C$4,TBMonths,0))=TRUE,0,SUMIF(TBAll,$A30&amp;"*",OFFSET(TB!$D$4,1,MATCH(C$4,TBMonths,0),TBRowCount,1)))</f>
        <v>-305000</v>
      </c>
      <c r="D30" s="42" cm="1">
        <f t="array" aca="1" ref="D30" ca="1">IF(ISNA(MATCH(D$4-1,TBMonths,0))=TRUE,0,SUMIF(TBAll,$A30&amp;"*",OFFSET(TB!$D$4,1,MATCH(D$4-1,TBMonths,0),TBRowCount,1)))-IF(ISNA(MATCH(D$4,TBMonths,0))=TRUE,0,SUMIF(TBAll,$A30&amp;"*",OFFSET(TB!$D$4,1,MATCH(D$4,TBMonths,0),TBRowCount,1)))</f>
        <v>-164750</v>
      </c>
      <c r="E30" s="42">
        <f t="shared" ref="E30:E32" ca="1" si="38">C30-D30</f>
        <v>-140250</v>
      </c>
      <c r="F30" s="43">
        <f t="shared" ref="F30:F33" ca="1" si="39">IF(D30=0,IF(E30=0,0,-1),E30/ABS(D30))</f>
        <v>-0.85128983308042494</v>
      </c>
      <c r="H30" s="44" cm="1">
        <f t="array" aca="1" ref="H30" ca="1">IF(ISNA(MATCH(H$4-1,TBMonths,0))=TRUE,0,SUMIF(TBAll,$A30&amp;"*",OFFSET(TB!$D$4,1,MATCH(H$4-1,TBMonths,0),TBRowCount,1)))-IF(ISNA(MATCH(H$4,TBMonths,0))=TRUE,0,SUMIF(TBAll,$A30&amp;"*",OFFSET(TB!$D$4,1,MATCH(H$4,TBMonths,0),TBRowCount,1)))</f>
        <v>-407385</v>
      </c>
      <c r="I30" s="42">
        <f t="shared" ref="I30:I32" ca="1" si="40">D30-H30</f>
        <v>242635</v>
      </c>
      <c r="J30" s="43">
        <f t="shared" ref="J30:J33" ca="1" si="41">IF(H30=0,IF(I30=0,0,-1),I30/ABS(H30))</f>
        <v>0.59559139389030036</v>
      </c>
    </row>
    <row r="31" spans="1:11" ht="16" customHeight="1" x14ac:dyDescent="0.25">
      <c r="A31" s="1" t="s">
        <v>217</v>
      </c>
      <c r="B31" s="61" t="s">
        <v>218</v>
      </c>
      <c r="C31" s="44" cm="1">
        <f t="array" aca="1" ref="C31" ca="1">IF(ISNA(MATCH(C$4-1,TBMonths,0))=TRUE,0,SUMIF(TBAll,$A31&amp;"*",OFFSET(TB!$D$4,1,MATCH(C$4-1,TBMonths,0),TBRowCount,1)))-IF(ISNA(MATCH(C$4,TBMonths,0))=TRUE,0,SUMIF(TBAll,$A31&amp;"*",OFFSET(TB!$D$4,1,MATCH(C$4,TBMonths,0),TBRowCount,1)))</f>
        <v>0</v>
      </c>
      <c r="D31" s="42" cm="1">
        <f t="array" aca="1" ref="D31" ca="1">IF(ISNA(MATCH(D$4-1,TBMonths,0))=TRUE,0,SUMIF(TBAll,$A31&amp;"*",OFFSET(TB!$D$4,1,MATCH(D$4-1,TBMonths,0),TBRowCount,1)))-IF(ISNA(MATCH(D$4,TBMonths,0))=TRUE,0,SUMIF(TBAll,$A31&amp;"*",OFFSET(TB!$D$4,1,MATCH(D$4,TBMonths,0),TBRowCount,1)))</f>
        <v>0</v>
      </c>
      <c r="E31" s="42">
        <f t="shared" ca="1" si="38"/>
        <v>0</v>
      </c>
      <c r="F31" s="43">
        <f t="shared" ca="1" si="39"/>
        <v>0</v>
      </c>
      <c r="H31" s="44" cm="1">
        <f t="array" aca="1" ref="H31" ca="1">IF(ISNA(MATCH(H$4-1,TBMonths,0))=TRUE,0,SUMIF(TBAll,$A31&amp;"*",OFFSET(TB!$D$4,1,MATCH(H$4-1,TBMonths,0),TBRowCount,1)))-IF(ISNA(MATCH(H$4,TBMonths,0))=TRUE,0,SUMIF(TBAll,$A31&amp;"*",OFFSET(TB!$D$4,1,MATCH(H$4,TBMonths,0),TBRowCount,1)))</f>
        <v>0</v>
      </c>
      <c r="I31" s="42">
        <f t="shared" ca="1" si="40"/>
        <v>0</v>
      </c>
      <c r="J31" s="43">
        <f t="shared" ca="1" si="41"/>
        <v>0</v>
      </c>
    </row>
    <row r="32" spans="1:11" ht="16" customHeight="1" x14ac:dyDescent="0.25">
      <c r="A32" s="1" t="s">
        <v>373</v>
      </c>
      <c r="B32" s="61" t="s">
        <v>8</v>
      </c>
      <c r="C32" s="44" cm="1">
        <f t="array" aca="1" ref="C32" ca="1">IF(ISNA(MATCH(C$4-1,TBMonths,0))=TRUE,0,SUMIF(TBAll,$A32&amp;"*",OFFSET(TB!$D$4,1,MATCH(C$4-1,TBMonths,0),TBRowCount,1)))-IF(ISNA(MATCH(C$4,TBMonths,0))=TRUE,0,SUMIF(TBAll,$A32&amp;"*",OFFSET(TB!$D$4,1,MATCH(C$4,TBMonths,0),TBRowCount,1)))</f>
        <v>-520000</v>
      </c>
      <c r="D32" s="42" cm="1">
        <f t="array" aca="1" ref="D32" ca="1">IF(ISNA(MATCH(D$4-1,TBMonths,0))=TRUE,0,SUMIF(TBAll,$A32&amp;"*",OFFSET(TB!$D$4,1,MATCH(D$4-1,TBMonths,0),TBRowCount,1)))-IF(ISNA(MATCH(D$4,TBMonths,0))=TRUE,0,SUMIF(TBAll,$A32&amp;"*",OFFSET(TB!$D$4,1,MATCH(D$4,TBMonths,0),TBRowCount,1)))</f>
        <v>-1482500</v>
      </c>
      <c r="E32" s="42">
        <f t="shared" ca="1" si="38"/>
        <v>962500</v>
      </c>
      <c r="F32" s="43">
        <f t="shared" ca="1" si="39"/>
        <v>0.6492411467116358</v>
      </c>
      <c r="H32" s="44" cm="1">
        <f t="array" aca="1" ref="H32" ca="1">IF(ISNA(MATCH(H$4-1,TBMonths,0))=TRUE,0,SUMIF(TBAll,$A32&amp;"*",OFFSET(TB!$D$4,1,MATCH(H$4-1,TBMonths,0),TBRowCount,1)))-IF(ISNA(MATCH(H$4,TBMonths,0))=TRUE,0,SUMIF(TBAll,$A32&amp;"*",OFFSET(TB!$D$4,1,MATCH(H$4,TBMonths,0),TBRowCount,1)))</f>
        <v>-100000</v>
      </c>
      <c r="I32" s="42">
        <f t="shared" ca="1" si="40"/>
        <v>-1382500</v>
      </c>
      <c r="J32" s="43">
        <f t="shared" ca="1" si="41"/>
        <v>-13.824999999999999</v>
      </c>
    </row>
    <row r="33" spans="1:11" s="52" customFormat="1" ht="16" customHeight="1" thickBot="1" x14ac:dyDescent="0.3">
      <c r="A33" s="2"/>
      <c r="B33" s="56" t="s">
        <v>27</v>
      </c>
      <c r="C33" s="62">
        <f ca="1">SUM(C30:C32)</f>
        <v>-825000</v>
      </c>
      <c r="D33" s="63">
        <f ca="1">SUM(D30:D32)</f>
        <v>-1647250</v>
      </c>
      <c r="E33" s="63">
        <f ca="1">SUM(E30:E32)</f>
        <v>822250</v>
      </c>
      <c r="F33" s="64">
        <f t="shared" ca="1" si="39"/>
        <v>0.4991652754590985</v>
      </c>
      <c r="G33" s="11"/>
      <c r="H33" s="62">
        <f ca="1">SUM(H30:H32)</f>
        <v>-507385</v>
      </c>
      <c r="I33" s="63">
        <f ca="1">SUM(I30:I32)</f>
        <v>-1139865</v>
      </c>
      <c r="J33" s="64">
        <f t="shared" ca="1" si="41"/>
        <v>-2.2465484789656771</v>
      </c>
      <c r="K33" s="51"/>
    </row>
    <row r="34" spans="1:11" ht="16" customHeight="1" x14ac:dyDescent="0.25">
      <c r="B34" s="61"/>
      <c r="C34" s="44"/>
      <c r="D34" s="42"/>
      <c r="E34" s="42"/>
      <c r="F34" s="43"/>
      <c r="H34" s="44"/>
      <c r="I34" s="42"/>
      <c r="J34" s="43"/>
    </row>
    <row r="35" spans="1:11" s="52" customFormat="1" ht="16" customHeight="1" x14ac:dyDescent="0.25">
      <c r="A35" s="2"/>
      <c r="B35" s="56" t="s">
        <v>28</v>
      </c>
      <c r="C35" s="60"/>
      <c r="D35" s="58"/>
      <c r="E35" s="58"/>
      <c r="F35" s="59"/>
      <c r="G35" s="11"/>
      <c r="H35" s="60"/>
      <c r="I35" s="58"/>
      <c r="J35" s="59"/>
      <c r="K35" s="51"/>
    </row>
    <row r="36" spans="1:11" ht="16" customHeight="1" x14ac:dyDescent="0.25">
      <c r="A36" s="1" t="s">
        <v>244</v>
      </c>
      <c r="B36" s="61" t="s">
        <v>378</v>
      </c>
      <c r="C36" s="44" cm="1">
        <f t="array" aca="1" ref="C36" ca="1">IF(ISNA(MATCH(C$4-1,TBMonths,0))=TRUE,0,SUMIF(TBAll,$A36&amp;"*",OFFSET(TB!$D$4,1,MATCH(C$4-1,TBMonths,0),TBRowCount,1)))-IF(ISNA(MATCH(C$4,TBMonths,0))=TRUE,0,SUMIF(TBAll,$A36&amp;"*",OFFSET(TB!$D$4,1,MATCH(C$4,TBMonths,0),TBRowCount,1)))</f>
        <v>0</v>
      </c>
      <c r="D36" s="42" cm="1">
        <f t="array" aca="1" ref="D36" ca="1">IF(ISNA(MATCH(D$4-1,TBMonths,0))=TRUE,0,SUMIF(TBAll,$A36&amp;"*",OFFSET(TB!$D$4,1,MATCH(D$4-1,TBMonths,0),TBRowCount,1)))-IF(ISNA(MATCH(D$4,TBMonths,0))=TRUE,0,SUMIF(TBAll,$A36&amp;"*",OFFSET(TB!$D$4,1,MATCH(D$4,TBMonths,0),TBRowCount,1)))</f>
        <v>0</v>
      </c>
      <c r="E36" s="42">
        <f t="shared" ref="E36:E39" ca="1" si="42">C36-D36</f>
        <v>0</v>
      </c>
      <c r="F36" s="43">
        <f t="shared" ref="F36:F40" ca="1" si="43">IF(D36=0,IF(E36=0,0,-1),E36/ABS(D36))</f>
        <v>0</v>
      </c>
      <c r="H36" s="44" cm="1">
        <f t="array" aca="1" ref="H36" ca="1">IF(ISNA(MATCH(H$4-1,TBMonths,0))=TRUE,0,SUMIF(TBAll,$A36&amp;"*",OFFSET(TB!$D$4,1,MATCH(H$4-1,TBMonths,0),TBRowCount,1)))-IF(ISNA(MATCH(H$4,TBMonths,0))=TRUE,0,SUMIF(TBAll,$A36&amp;"*",OFFSET(TB!$D$4,1,MATCH(H$4,TBMonths,0),TBRowCount,1)))</f>
        <v>0</v>
      </c>
      <c r="I36" s="42">
        <f t="shared" ref="I36:I39" ca="1" si="44">D36-H36</f>
        <v>0</v>
      </c>
      <c r="J36" s="43">
        <f t="shared" ref="J36:J40" ca="1" si="45">IF(H36=0,IF(I36=0,0,-1),I36/ABS(H36))</f>
        <v>0</v>
      </c>
    </row>
    <row r="37" spans="1:11" ht="16" customHeight="1" x14ac:dyDescent="0.25">
      <c r="A37" s="1" t="s">
        <v>240</v>
      </c>
      <c r="B37" s="61" t="s">
        <v>39</v>
      </c>
      <c r="C37" s="44" cm="1">
        <f t="array" aca="1" ref="C37" ca="1">IF(ISNA(MATCH(C$4-1,TBMonths,0))=TRUE,0,SUMIF(TBAll,$A37&amp;"*",OFFSET(TB!$D$4,1,MATCH(C$4-1,TBMonths,0),TBRowCount,1)))-IF(ISNA(MATCH(C$4,TBMonths,0))=TRUE,0,SUMIF(TBAll,$A37&amp;"*",OFFSET(TB!$D$4,1,MATCH(C$4,TBMonths,0),TBRowCount,1)))</f>
        <v>-701693</v>
      </c>
      <c r="D37" s="42" cm="1">
        <f t="array" aca="1" ref="D37" ca="1">IF(ISNA(MATCH(D$4-1,TBMonths,0))=TRUE,0,SUMIF(TBAll,$A37&amp;"*",OFFSET(TB!$D$4,1,MATCH(D$4-1,TBMonths,0),TBRowCount,1)))-IF(ISNA(MATCH(D$4,TBMonths,0))=TRUE,0,SUMIF(TBAll,$A37&amp;"*",OFFSET(TB!$D$4,1,MATCH(D$4,TBMonths,0),TBRowCount,1)))</f>
        <v>321505</v>
      </c>
      <c r="E37" s="42">
        <f t="shared" ca="1" si="42"/>
        <v>-1023198</v>
      </c>
      <c r="F37" s="43">
        <f t="shared" ca="1" si="43"/>
        <v>-3.1825259327226636</v>
      </c>
      <c r="H37" s="44" cm="1">
        <f t="array" aca="1" ref="H37" ca="1">IF(ISNA(MATCH(H$4-1,TBMonths,0))=TRUE,0,SUMIF(TBAll,$A37&amp;"*",OFFSET(TB!$D$4,1,MATCH(H$4-1,TBMonths,0),TBRowCount,1)))-IF(ISNA(MATCH(H$4,TBMonths,0))=TRUE,0,SUMIF(TBAll,$A37&amp;"*",OFFSET(TB!$D$4,1,MATCH(H$4,TBMonths,0),TBRowCount,1)))</f>
        <v>-473820</v>
      </c>
      <c r="I37" s="42">
        <f t="shared" ca="1" si="44"/>
        <v>795325</v>
      </c>
      <c r="J37" s="43">
        <f t="shared" ca="1" si="45"/>
        <v>1.6785382634755814</v>
      </c>
    </row>
    <row r="38" spans="1:11" ht="16" customHeight="1" x14ac:dyDescent="0.25">
      <c r="A38" s="1" t="s">
        <v>242</v>
      </c>
      <c r="B38" s="61" t="s">
        <v>40</v>
      </c>
      <c r="C38" s="44" cm="1">
        <f t="array" aca="1" ref="C38" ca="1">IF(ISNA(MATCH(C$4-1,TBMonths,0))=TRUE,0,SUMIF(TBAll,$A38&amp;"*",OFFSET(TB!$D$4,1,MATCH(C$4-1,TBMonths,0),TBRowCount,1)))-IF(ISNA(MATCH(C$4,TBMonths,0))=TRUE,0,SUMIF(TBAll,$A38&amp;"*",OFFSET(TB!$D$4,1,MATCH(C$4,TBMonths,0),TBRowCount,1)))</f>
        <v>-61095</v>
      </c>
      <c r="D38" s="42" cm="1">
        <f t="array" aca="1" ref="D38" ca="1">IF(ISNA(MATCH(D$4-1,TBMonths,0))=TRUE,0,SUMIF(TBAll,$A38&amp;"*",OFFSET(TB!$D$4,1,MATCH(D$4-1,TBMonths,0),TBRowCount,1)))-IF(ISNA(MATCH(D$4,TBMonths,0))=TRUE,0,SUMIF(TBAll,$A38&amp;"*",OFFSET(TB!$D$4,1,MATCH(D$4,TBMonths,0),TBRowCount,1)))</f>
        <v>-62974</v>
      </c>
      <c r="E38" s="42">
        <f t="shared" ca="1" si="42"/>
        <v>1879</v>
      </c>
      <c r="F38" s="43">
        <f t="shared" ca="1" si="43"/>
        <v>2.9837710801283068E-2</v>
      </c>
      <c r="H38" s="44" cm="1">
        <f t="array" aca="1" ref="H38" ca="1">IF(ISNA(MATCH(H$4-1,TBMonths,0))=TRUE,0,SUMIF(TBAll,$A38&amp;"*",OFFSET(TB!$D$4,1,MATCH(H$4-1,TBMonths,0),TBRowCount,1)))-IF(ISNA(MATCH(H$4,TBMonths,0))=TRUE,0,SUMIF(TBAll,$A38&amp;"*",OFFSET(TB!$D$4,1,MATCH(H$4,TBMonths,0),TBRowCount,1)))</f>
        <v>-30106</v>
      </c>
      <c r="I38" s="42">
        <f t="shared" ca="1" si="44"/>
        <v>-32868</v>
      </c>
      <c r="J38" s="43">
        <f t="shared" ca="1" si="45"/>
        <v>-1.0917425097987112</v>
      </c>
    </row>
    <row r="39" spans="1:11" ht="16" customHeight="1" x14ac:dyDescent="0.25">
      <c r="A39" s="1" t="s">
        <v>233</v>
      </c>
      <c r="B39" s="61" t="s">
        <v>29</v>
      </c>
      <c r="C39" s="44" cm="1">
        <f t="array" aca="1" ref="C39" ca="1">IF(ISNA(MATCH(C$4-1,TBMonths,0))=TRUE,0,SUMIF(TBAll,$A39&amp;"*",OFFSET(TB!$D$4,1,MATCH(C$4-1,TBMonths,0),TBRowCount,1)))-IF(ISNA(MATCH(C$4,TBMonths,0))=TRUE,0,SUMIF(TBAll,$A39&amp;"*",OFFSET(TB!$D$4,1,MATCH(C$4,TBMonths,0),TBRowCount,1)))-IS!C40</f>
        <v>-100000</v>
      </c>
      <c r="D39" s="42" cm="1">
        <f t="array" aca="1" ref="D39" ca="1">IF(ISNA(MATCH(D$4-1,TBMonths,0))=TRUE,0,SUMIF(TBAll,$A39&amp;"*",OFFSET(TB!$D$4,1,MATCH(D$4-1,TBMonths,0),TBRowCount,1)))-IF(ISNA(MATCH(D$4,TBMonths,0))=TRUE,0,SUMIF(TBAll,$A39&amp;"*",OFFSET(TB!$D$4,1,MATCH(D$4,TBMonths,0),TBRowCount,1)))-IS!D40</f>
        <v>-75000</v>
      </c>
      <c r="E39" s="42">
        <f t="shared" ca="1" si="42"/>
        <v>-25000</v>
      </c>
      <c r="F39" s="43">
        <f t="shared" ca="1" si="43"/>
        <v>-0.33333333333333331</v>
      </c>
      <c r="H39" s="44" cm="1">
        <f t="array" aca="1" ref="H39" ca="1">IF(ISNA(MATCH(H$4-1,TBMonths,0))=TRUE,0,SUMIF(TBAll,$A39&amp;"*",OFFSET(TB!$D$4,1,MATCH(H$4-1,TBMonths,0),TBRowCount,1)))-IF(ISNA(MATCH(H$4,TBMonths,0))=TRUE,0,SUMIF(TBAll,$A39&amp;"*",OFFSET(TB!$D$4,1,MATCH(H$4,TBMonths,0),TBRowCount,1)))-IS!H40</f>
        <v>0</v>
      </c>
      <c r="I39" s="42">
        <f t="shared" ca="1" si="44"/>
        <v>-75000</v>
      </c>
      <c r="J39" s="43">
        <f t="shared" ca="1" si="45"/>
        <v>-1</v>
      </c>
    </row>
    <row r="40" spans="1:11" s="52" customFormat="1" ht="16" customHeight="1" thickBot="1" x14ac:dyDescent="0.3">
      <c r="A40" s="2"/>
      <c r="B40" s="56" t="s">
        <v>30</v>
      </c>
      <c r="C40" s="62">
        <f ca="1">SUM(C36:C39)</f>
        <v>-862788</v>
      </c>
      <c r="D40" s="63">
        <f ca="1">SUM(D36:D39)</f>
        <v>183531</v>
      </c>
      <c r="E40" s="63">
        <f ca="1">SUM(E36:E39)</f>
        <v>-1046319</v>
      </c>
      <c r="F40" s="64">
        <f t="shared" ca="1" si="43"/>
        <v>-5.7010477793942167</v>
      </c>
      <c r="G40" s="11"/>
      <c r="H40" s="62">
        <f ca="1">SUM(H36:H39)</f>
        <v>-503926</v>
      </c>
      <c r="I40" s="63">
        <f ca="1">SUM(I36:I39)</f>
        <v>687457</v>
      </c>
      <c r="J40" s="64">
        <f t="shared" ca="1" si="45"/>
        <v>1.3642022836686338</v>
      </c>
      <c r="K40" s="51"/>
    </row>
    <row r="41" spans="1:11" ht="16" customHeight="1" x14ac:dyDescent="0.25">
      <c r="B41" s="61"/>
      <c r="C41" s="44"/>
      <c r="D41" s="42"/>
      <c r="E41" s="42"/>
      <c r="F41" s="43"/>
      <c r="H41" s="44"/>
      <c r="I41" s="42"/>
      <c r="J41" s="43"/>
    </row>
    <row r="42" spans="1:11" ht="16" customHeight="1" x14ac:dyDescent="0.25">
      <c r="B42" s="61" t="s">
        <v>90</v>
      </c>
      <c r="C42" s="44">
        <f ca="1">SUM(C27,C33,C40)</f>
        <v>-67306</v>
      </c>
      <c r="D42" s="42">
        <f ca="1">SUM(D27,D33,D40)</f>
        <v>206356</v>
      </c>
      <c r="E42" s="42">
        <f t="shared" ref="E42:E43" ca="1" si="46">C42-D42</f>
        <v>-273662</v>
      </c>
      <c r="F42" s="43">
        <f t="shared" ref="F42:F44" ca="1" si="47">IF(D42=0,IF(E42=0,0,-1),E42/ABS(D42))</f>
        <v>-1.3261644924305569</v>
      </c>
      <c r="H42" s="44">
        <f ca="1">SUM(H27,H33,H40)</f>
        <v>95044</v>
      </c>
      <c r="I42" s="42">
        <f t="shared" ref="I42:I43" ca="1" si="48">D42-H42</f>
        <v>111312</v>
      </c>
      <c r="J42" s="43">
        <f t="shared" ref="J42:J44" ca="1" si="49">IF(H42=0,IF(I42=0,0,-1),I42/ABS(H42))</f>
        <v>1.1711628298472287</v>
      </c>
    </row>
    <row r="43" spans="1:11" ht="16" customHeight="1" x14ac:dyDescent="0.25">
      <c r="A43" s="1" t="s">
        <v>223</v>
      </c>
      <c r="B43" s="61" t="s">
        <v>88</v>
      </c>
      <c r="C43" s="44" cm="1">
        <f t="array" aca="1" ref="C43" ca="1">IF(ISNA(MATCH(C$4-1,TBMonths,0))=TRUE,0,SUMIF(TBAll,$A43&amp;"*",OFFSET(TB!$D$4,1,MATCH(C$4-1,TBMonths,0),TBRowCount,1))+SUMIF(TBAll,"B-11G*",OFFSET(TB!$D$4,1,MATCH(C$4-1,TBMonths,0),TBRowCount,1)))</f>
        <v>393980</v>
      </c>
      <c r="D43" s="42" cm="1">
        <f t="array" aca="1" ref="D43" ca="1">IF(ISNA(MATCH(D$4-1,TBMonths,0))=TRUE,0,SUMIF(TBAll,$A43&amp;"*",OFFSET(TB!$D$4,1,MATCH(D$4-1,TBMonths,0),TBRowCount,1))+SUMIF(TBAll,"B-11G*",OFFSET(TB!$D$4,1,MATCH(D$4-1,TBMonths,0),TBRowCount,1)))</f>
        <v>187624</v>
      </c>
      <c r="E43" s="42">
        <f t="shared" ca="1" si="46"/>
        <v>206356</v>
      </c>
      <c r="F43" s="43">
        <f t="shared" ca="1" si="47"/>
        <v>1.0998379738199804</v>
      </c>
      <c r="H43" s="44" cm="1">
        <f t="array" aca="1" ref="H43" ca="1">IF(ISNA(MATCH(H$4-1,TBMonths,0))=TRUE,0,SUMIF(TBAll,$A43&amp;"*",OFFSET(TB!$D$4,1,MATCH(H$4-1,TBMonths,0),TBRowCount,1))+SUMIF(TBAll,"B-11G*",OFFSET(TB!$D$4,1,MATCH(H$4-1,TBMonths,0),TBRowCount,1)))</f>
        <v>92580</v>
      </c>
      <c r="I43" s="42">
        <f t="shared" ca="1" si="48"/>
        <v>95044</v>
      </c>
      <c r="J43" s="43">
        <f t="shared" ca="1" si="49"/>
        <v>1.0266148196154676</v>
      </c>
    </row>
    <row r="44" spans="1:11" s="52" customFormat="1" ht="16" customHeight="1" thickBot="1" x14ac:dyDescent="0.3">
      <c r="A44" s="1"/>
      <c r="B44" s="65" t="s">
        <v>89</v>
      </c>
      <c r="C44" s="48">
        <f ca="1">SUM(C42:C43)</f>
        <v>326674</v>
      </c>
      <c r="D44" s="49">
        <f ca="1">SUM(D42:D43)</f>
        <v>393980</v>
      </c>
      <c r="E44" s="49">
        <f ca="1">SUM(E42:E43)</f>
        <v>-67306</v>
      </c>
      <c r="F44" s="50">
        <f t="shared" ca="1" si="47"/>
        <v>-0.170836083049901</v>
      </c>
      <c r="G44" s="11"/>
      <c r="H44" s="48">
        <f ca="1">SUM(H42:H43)</f>
        <v>187624</v>
      </c>
      <c r="I44" s="49">
        <f ca="1">SUM(I42:I43)</f>
        <v>206356</v>
      </c>
      <c r="J44" s="50">
        <f t="shared" ca="1" si="49"/>
        <v>1.0998379738199804</v>
      </c>
      <c r="K44" s="51"/>
    </row>
    <row r="45" spans="1:11" s="69" customFormat="1" ht="16" customHeight="1" thickTop="1" x14ac:dyDescent="0.25">
      <c r="A45" s="5"/>
      <c r="B45" s="66"/>
      <c r="C45" s="67" t="str">
        <f ca="1">IF(ROUND(BS!C18-BS!C34-C44,0)=0,"",ROUND(BS!C18-BS!C34-C44,0))</f>
        <v/>
      </c>
      <c r="D45" s="67" t="str">
        <f ca="1">IF(ROUND(BS!D18-BS!D34-D44,0)=0,"",ROUND(BS!D18-BS!D34-D44,0))</f>
        <v/>
      </c>
      <c r="E45" s="67"/>
      <c r="F45" s="68"/>
      <c r="H45" s="67" t="str">
        <f ca="1">IF(ROUND(BS!H18-BS!H34-H44,0)=0,"",ROUND(BS!H18-BS!H34-H44,0))</f>
        <v/>
      </c>
      <c r="I45" s="67"/>
      <c r="J45" s="68"/>
      <c r="K45" s="70"/>
    </row>
    <row r="46" spans="1:11" s="76" customFormat="1" ht="16" customHeight="1" x14ac:dyDescent="0.25">
      <c r="A46" s="6"/>
      <c r="B46" s="72" t="s">
        <v>395</v>
      </c>
      <c r="C46" s="73" t="str">
        <f ca="1">IF(ROUND(BS!C18-BS!C34-C44,0)=0,"ok","error!")</f>
        <v>ok</v>
      </c>
      <c r="D46" s="73" t="str">
        <f ca="1">IF(ROUND(BS!D18-BS!D34-D44,0)=0,"ok","error!")</f>
        <v>ok</v>
      </c>
      <c r="E46" s="74"/>
      <c r="F46" s="75"/>
      <c r="H46" s="73" t="str">
        <f ca="1">IF(ROUND(BS!H18-BS!H34-H44,0)=0,"ok","error!")</f>
        <v>ok</v>
      </c>
      <c r="I46" s="74"/>
      <c r="J46" s="75"/>
      <c r="K46" s="77"/>
    </row>
  </sheetData>
  <conditionalFormatting sqref="C46:D46 H46">
    <cfRule type="containsText" dxfId="12" priority="1" stopIfTrue="1" operator="containsText" text="error!">
      <formula>NOT(ISERROR(SEARCH("error!",C46)))</formula>
    </cfRule>
  </conditionalFormatting>
  <pageMargins left="0.55118110236220474" right="0.55118110236220474" top="0.55118110236220474" bottom="0.55118110236220474" header="0.39370078740157483" footer="0.39370078740157483"/>
  <pageSetup paperSize="9" scale="71" fitToWidth="0" orientation="landscape" r:id="rId1"/>
  <headerFooter>
    <oddFooter>&amp;C&amp;"-,Regular"&amp;9Page &amp;P of &amp;N</oddFooter>
  </headerFooter>
  <ignoredErrors>
    <ignoredError sqref="E24 I24"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K53"/>
  <sheetViews>
    <sheetView zoomScale="95" zoomScaleNormal="95" workbookViewId="0">
      <pane ySplit="4" topLeftCell="A5" activePane="bottomLeft" state="frozen"/>
      <selection activeCell="B4" sqref="B4"/>
      <selection pane="bottomLeft" activeCell="B4" sqref="B4"/>
    </sheetView>
  </sheetViews>
  <sheetFormatPr defaultColWidth="9.08984375" defaultRowHeight="16" customHeight="1" x14ac:dyDescent="0.25"/>
  <cols>
    <col min="1" max="1" width="10.81640625" style="1" customWidth="1"/>
    <col min="2" max="2" width="45.81640625" style="22" customWidth="1"/>
    <col min="3" max="5" width="14.6328125" style="31" customWidth="1"/>
    <col min="6" max="6" width="12.6328125" style="32" customWidth="1"/>
    <col min="7" max="7" width="2.6328125" style="11" customWidth="1"/>
    <col min="8" max="9" width="14.6328125" style="31" customWidth="1"/>
    <col min="10" max="10" width="12.6328125" style="32" customWidth="1"/>
    <col min="11" max="11" width="2.6328125" style="23" customWidth="1"/>
    <col min="12" max="14" width="14.6328125" style="11" customWidth="1"/>
    <col min="15" max="15" width="2.6328125" style="11" customWidth="1"/>
    <col min="16" max="18" width="14.6328125" style="11" customWidth="1"/>
    <col min="19" max="19" width="2.6328125" style="11" customWidth="1"/>
    <col min="20" max="22" width="14.6328125" style="11" customWidth="1"/>
    <col min="23" max="23" width="2.6328125" style="11" customWidth="1"/>
    <col min="24" max="16384" width="9.08984375" style="11"/>
  </cols>
  <sheetData>
    <row r="1" spans="1:11" ht="16" customHeight="1" x14ac:dyDescent="0.3">
      <c r="B1" s="7" t="str">
        <f>IF(ISBLANK(Setup!$B$4),"Example (Pty) Limited",Setup!$B$4)</f>
        <v>Example (Pty) Limited</v>
      </c>
    </row>
    <row r="2" spans="1:11" s="36" customFormat="1" ht="16" customHeight="1" x14ac:dyDescent="0.25">
      <c r="A2" s="3"/>
      <c r="B2" s="33" t="str">
        <f ca="1">"Balance sheet at "&amp;TEXT(Setup!$B$10,"dd mmmm yyyy")</f>
        <v>Balance sheet at 28 February 2023</v>
      </c>
      <c r="C2" s="53"/>
      <c r="D2" s="53"/>
      <c r="E2" s="53"/>
      <c r="F2" s="54"/>
      <c r="G2" s="11"/>
      <c r="H2" s="53"/>
      <c r="I2" s="53"/>
      <c r="J2" s="54"/>
      <c r="K2" s="35"/>
    </row>
    <row r="3" spans="1:11" s="36" customFormat="1" ht="16" customHeight="1" x14ac:dyDescent="0.25">
      <c r="A3" s="3"/>
      <c r="B3" s="34" t="s">
        <v>56</v>
      </c>
      <c r="C3" s="11"/>
      <c r="D3" s="11"/>
      <c r="E3" s="11"/>
      <c r="F3" s="11"/>
      <c r="G3" s="11"/>
      <c r="H3" s="11"/>
      <c r="I3" s="11"/>
      <c r="J3" s="11"/>
      <c r="K3" s="35"/>
    </row>
    <row r="4" spans="1:11" s="27" customFormat="1" ht="18" customHeight="1" x14ac:dyDescent="0.25">
      <c r="A4" s="4"/>
      <c r="B4" s="37"/>
      <c r="C4" s="38">
        <f ca="1">IF(ISBLANK(Setup!$B$8),YEAR(TODAY()),Setup!$B$8)</f>
        <v>2023</v>
      </c>
      <c r="D4" s="38">
        <f ca="1">C4-1</f>
        <v>2022</v>
      </c>
      <c r="E4" s="38" t="s">
        <v>58</v>
      </c>
      <c r="F4" s="38" t="s">
        <v>59</v>
      </c>
      <c r="G4" s="11"/>
      <c r="H4" s="38">
        <f ca="1">D4-1</f>
        <v>2021</v>
      </c>
      <c r="I4" s="38" t="s">
        <v>58</v>
      </c>
      <c r="J4" s="38" t="s">
        <v>59</v>
      </c>
      <c r="K4" s="39"/>
    </row>
    <row r="5" spans="1:11" s="52" customFormat="1" ht="16" customHeight="1" x14ac:dyDescent="0.25">
      <c r="A5" s="2"/>
      <c r="B5" s="79" t="s">
        <v>7</v>
      </c>
      <c r="C5" s="57"/>
      <c r="D5" s="58"/>
      <c r="E5" s="58"/>
      <c r="F5" s="59"/>
      <c r="G5" s="11"/>
      <c r="H5" s="60"/>
      <c r="I5" s="58"/>
      <c r="J5" s="59"/>
      <c r="K5" s="51"/>
    </row>
    <row r="6" spans="1:11" s="52" customFormat="1" ht="16" customHeight="1" x14ac:dyDescent="0.25">
      <c r="A6" s="2"/>
      <c r="B6" s="79" t="s">
        <v>13</v>
      </c>
      <c r="C6" s="60"/>
      <c r="D6" s="58"/>
      <c r="E6" s="58"/>
      <c r="F6" s="59"/>
      <c r="G6" s="11"/>
      <c r="H6" s="60"/>
      <c r="I6" s="58"/>
      <c r="J6" s="59"/>
      <c r="K6" s="51"/>
    </row>
    <row r="7" spans="1:11" ht="16" customHeight="1" x14ac:dyDescent="0.25">
      <c r="A7" s="1" t="s">
        <v>213</v>
      </c>
      <c r="B7" s="40" t="str">
        <f ca="1">IF(ISNA(VLOOKUP($A7,ClassAll,COLUMN(Classes!$B$4),0)),"No class!",VLOOKUP($A7,ClassAll,COLUMN(Classes!$B$4),0))</f>
        <v>Property, plant &amp; equipment - cost</v>
      </c>
      <c r="C7" s="44" cm="1">
        <f t="array" aca="1" ref="C7" ca="1">IF(ISNA(MATCH(C$4,TBMonths,0))=TRUE,0,SUMIF(TBAll,$A7&amp;"*",OFFSET(TB!$D$4,1,MATCH(C$4,TBMonths,0),TBRowCount,1)))</f>
        <v>5179545</v>
      </c>
      <c r="D7" s="42" cm="1">
        <f t="array" aca="1" ref="D7" ca="1">IF(ISNA(MATCH(D$4,TBMonths,0))=TRUE,0,SUMIF(TBAll,$A7&amp;"*",OFFSET(TB!$D$4,1,MATCH(D$4,TBMonths,0),TBRowCount,1)))</f>
        <v>4874545</v>
      </c>
      <c r="E7" s="42">
        <f ca="1">C7-D7</f>
        <v>305000</v>
      </c>
      <c r="F7" s="43">
        <f ca="1">IF(D7=0,IF(E7=0,0,-1),E7/ABS(D7))</f>
        <v>6.2569942425395597E-2</v>
      </c>
      <c r="H7" s="44" cm="1">
        <f t="array" aca="1" ref="H7" ca="1">IF(ISNA(MATCH(H$4,TBMonths,0))=TRUE,0,SUMIF(TBAll,$A7&amp;"*",OFFSET(TB!$D$4,1,MATCH(H$4,TBMonths,0),TBRowCount,1)))</f>
        <v>4709795</v>
      </c>
      <c r="I7" s="42">
        <f ca="1">D7-H7</f>
        <v>164750</v>
      </c>
      <c r="J7" s="43">
        <f ca="1">IF(H7=0,IF(I7=0,0,-1),I7/ABS(H7))</f>
        <v>3.4980291074239965E-2</v>
      </c>
    </row>
    <row r="8" spans="1:11" ht="16" customHeight="1" x14ac:dyDescent="0.25">
      <c r="A8" s="1" t="s">
        <v>215</v>
      </c>
      <c r="B8" s="40" t="str">
        <f ca="1">IF(ISNA(VLOOKUP($A8,ClassAll,COLUMN(Classes!$B$4),0)),"No class!",VLOOKUP($A8,ClassAll,COLUMN(Classes!$B$4),0))</f>
        <v>Property, plant &amp; equipment - accum dep</v>
      </c>
      <c r="C8" s="44" cm="1">
        <f t="array" aca="1" ref="C8" ca="1">IF(ISNA(MATCH(C$4,TBMonths,0))=TRUE,0,SUMIF(TBAll,$A8&amp;"*",OFFSET(TB!$D$4,1,MATCH(C$4,TBMonths,0),TBRowCount,1)))</f>
        <v>-1926248</v>
      </c>
      <c r="D8" s="42" cm="1">
        <f t="array" aca="1" ref="D8" ca="1">IF(ISNA(MATCH(D$4,TBMonths,0))=TRUE,0,SUMIF(TBAll,$A8&amp;"*",OFFSET(TB!$D$4,1,MATCH(D$4,TBMonths,0),TBRowCount,1)))</f>
        <v>-1379718</v>
      </c>
      <c r="E8" s="42">
        <f ca="1">C8-D8</f>
        <v>-546530</v>
      </c>
      <c r="F8" s="43">
        <f ca="1">IF(D8=0,IF(E8=0,0,-1),E8/ABS(D8))</f>
        <v>-0.39611717756816972</v>
      </c>
      <c r="H8" s="44" cm="1">
        <f t="array" aca="1" ref="H8" ca="1">IF(ISNA(MATCH(H$4,TBMonths,0))=TRUE,0,SUMIF(TBAll,$A8&amp;"*",OFFSET(TB!$D$4,1,MATCH(H$4,TBMonths,0),TBRowCount,1)))</f>
        <v>-929418</v>
      </c>
      <c r="I8" s="42">
        <f ca="1">D8-H8</f>
        <v>-450300</v>
      </c>
      <c r="J8" s="43">
        <f ca="1">IF(H8=0,IF(I8=0,0,-1),I8/ABS(H8))</f>
        <v>-0.48449674957876865</v>
      </c>
    </row>
    <row r="9" spans="1:11" ht="16" customHeight="1" x14ac:dyDescent="0.25">
      <c r="A9" s="1" t="s">
        <v>217</v>
      </c>
      <c r="B9" s="40" t="str">
        <f ca="1">IF(ISNA(VLOOKUP($A9,ClassAll,COLUMN(Classes!$B$4),0)),"No class!",VLOOKUP($A9,ClassAll,COLUMN(Classes!$B$4),0))</f>
        <v>Intangible assets - cost</v>
      </c>
      <c r="C9" s="44" cm="1">
        <f t="array" aca="1" ref="C9" ca="1">IF(ISNA(MATCH(C$4,TBMonths,0))=TRUE,0,SUMIF(TBAll,$A9&amp;"*",OFFSET(TB!$D$4,1,MATCH(C$4,TBMonths,0),TBRowCount,1)))</f>
        <v>1040500</v>
      </c>
      <c r="D9" s="42" cm="1">
        <f t="array" aca="1" ref="D9" ca="1">IF(ISNA(MATCH(D$4,TBMonths,0))=TRUE,0,SUMIF(TBAll,$A9&amp;"*",OFFSET(TB!$D$4,1,MATCH(D$4,TBMonths,0),TBRowCount,1)))</f>
        <v>1040500</v>
      </c>
      <c r="E9" s="42">
        <f t="shared" ref="E9:E11" ca="1" si="0">C9-D9</f>
        <v>0</v>
      </c>
      <c r="F9" s="43">
        <f t="shared" ref="F9:F12" ca="1" si="1">IF(D9=0,IF(E9=0,0,-1),E9/ABS(D9))</f>
        <v>0</v>
      </c>
      <c r="H9" s="44" cm="1">
        <f t="array" aca="1" ref="H9" ca="1">IF(ISNA(MATCH(H$4,TBMonths,0))=TRUE,0,SUMIF(TBAll,$A9&amp;"*",OFFSET(TB!$D$4,1,MATCH(H$4,TBMonths,0),TBRowCount,1)))</f>
        <v>1040500</v>
      </c>
      <c r="I9" s="42">
        <f t="shared" ref="I9:I11" ca="1" si="2">D9-H9</f>
        <v>0</v>
      </c>
      <c r="J9" s="43">
        <f t="shared" ref="J9:J12" ca="1" si="3">IF(H9=0,IF(I9=0,0,-1),I9/ABS(H9))</f>
        <v>0</v>
      </c>
    </row>
    <row r="10" spans="1:11" ht="16" customHeight="1" x14ac:dyDescent="0.25">
      <c r="A10" s="1" t="s">
        <v>219</v>
      </c>
      <c r="B10" s="40" t="str">
        <f ca="1">IF(ISNA(VLOOKUP($A10,ClassAll,COLUMN(Classes!$B$4),0)),"No class!",VLOOKUP($A10,ClassAll,COLUMN(Classes!$B$4),0))</f>
        <v>Intangible assets - amortization</v>
      </c>
      <c r="C10" s="44" cm="1">
        <f t="array" aca="1" ref="C10" ca="1">IF(ISNA(MATCH(C$4,TBMonths,0))=TRUE,0,SUMIF(TBAll,$A10&amp;"*",OFFSET(TB!$D$4,1,MATCH(C$4,TBMonths,0),TBRowCount,1)))</f>
        <v>-416200</v>
      </c>
      <c r="D10" s="42" cm="1">
        <f t="array" aca="1" ref="D10" ca="1">IF(ISNA(MATCH(D$4,TBMonths,0))=TRUE,0,SUMIF(TBAll,$A10&amp;"*",OFFSET(TB!$D$4,1,MATCH(D$4,TBMonths,0),TBRowCount,1)))</f>
        <v>-312150</v>
      </c>
      <c r="E10" s="42">
        <f t="shared" ref="E10" ca="1" si="4">C10-D10</f>
        <v>-104050</v>
      </c>
      <c r="F10" s="43">
        <f t="shared" ref="F10" ca="1" si="5">IF(D10=0,IF(E10=0,0,-1),E10/ABS(D10))</f>
        <v>-0.33333333333333331</v>
      </c>
      <c r="H10" s="44" cm="1">
        <f t="array" aca="1" ref="H10" ca="1">IF(ISNA(MATCH(H$4,TBMonths,0))=TRUE,0,SUMIF(TBAll,$A10&amp;"*",OFFSET(TB!$D$4,1,MATCH(H$4,TBMonths,0),TBRowCount,1)))</f>
        <v>-208100</v>
      </c>
      <c r="I10" s="42">
        <f t="shared" ref="I10" ca="1" si="6">D10-H10</f>
        <v>-104050</v>
      </c>
      <c r="J10" s="43">
        <f t="shared" ref="J10" ca="1" si="7">IF(H10=0,IF(I10=0,0,-1),I10/ABS(H10))</f>
        <v>-0.5</v>
      </c>
    </row>
    <row r="11" spans="1:11" ht="16" customHeight="1" x14ac:dyDescent="0.25">
      <c r="A11" s="1" t="s">
        <v>373</v>
      </c>
      <c r="B11" s="40" t="str">
        <f ca="1">IF(ISNA(VLOOKUP($A11,ClassAll,COLUMN(Classes!$B$4),0)),"No class!",VLOOKUP($A11,ClassAll,COLUMN(Classes!$B$4),0))</f>
        <v>Investments</v>
      </c>
      <c r="C11" s="44" cm="1">
        <f t="array" aca="1" ref="C11" ca="1">IF(ISNA(MATCH(C$4,TBMonths,0))=TRUE,0,SUMIF(TBAll,$A11&amp;"*",OFFSET(TB!$D$4,1,MATCH(C$4,TBMonths,0),TBRowCount,1)))</f>
        <v>2302500</v>
      </c>
      <c r="D11" s="42" cm="1">
        <f t="array" aca="1" ref="D11" ca="1">IF(ISNA(MATCH(D$4,TBMonths,0))=TRUE,0,SUMIF(TBAll,$A11&amp;"*",OFFSET(TB!$D$4,1,MATCH(D$4,TBMonths,0),TBRowCount,1)))</f>
        <v>1782500</v>
      </c>
      <c r="E11" s="42">
        <f t="shared" ca="1" si="0"/>
        <v>520000</v>
      </c>
      <c r="F11" s="43">
        <f t="shared" ca="1" si="1"/>
        <v>0.29172510518934081</v>
      </c>
      <c r="H11" s="44" cm="1">
        <f t="array" aca="1" ref="H11" ca="1">IF(ISNA(MATCH(H$4,TBMonths,0))=TRUE,0,SUMIF(TBAll,$A11&amp;"*",OFFSET(TB!$D$4,1,MATCH(H$4,TBMonths,0),TBRowCount,1)))</f>
        <v>300000</v>
      </c>
      <c r="I11" s="42">
        <f t="shared" ca="1" si="2"/>
        <v>1482500</v>
      </c>
      <c r="J11" s="43">
        <f t="shared" ca="1" si="3"/>
        <v>4.9416666666666664</v>
      </c>
    </row>
    <row r="12" spans="1:11" ht="16" customHeight="1" thickBot="1" x14ac:dyDescent="0.3">
      <c r="B12" s="203" t="s">
        <v>469</v>
      </c>
      <c r="C12" s="80">
        <f ca="1">SUM(C7:C11)</f>
        <v>6180097</v>
      </c>
      <c r="D12" s="81">
        <f ca="1">SUM(D7:D11)</f>
        <v>6005677</v>
      </c>
      <c r="E12" s="81">
        <f ca="1">SUM(E7:E11)</f>
        <v>174420</v>
      </c>
      <c r="F12" s="82">
        <f t="shared" ca="1" si="1"/>
        <v>2.9042520934775547E-2</v>
      </c>
      <c r="H12" s="80">
        <f ca="1">SUM(H7:H11)</f>
        <v>4912777</v>
      </c>
      <c r="I12" s="81">
        <f ca="1">SUM(I7:I11)</f>
        <v>1092900</v>
      </c>
      <c r="J12" s="82">
        <f t="shared" ca="1" si="3"/>
        <v>0.22246073860059187</v>
      </c>
    </row>
    <row r="13" spans="1:11" s="52" customFormat="1" ht="16" customHeight="1" x14ac:dyDescent="0.25">
      <c r="A13" s="2"/>
      <c r="B13" s="79" t="s">
        <v>14</v>
      </c>
      <c r="C13" s="60"/>
      <c r="D13" s="58"/>
      <c r="E13" s="58"/>
      <c r="F13" s="59"/>
      <c r="G13" s="11"/>
      <c r="H13" s="60"/>
      <c r="I13" s="58"/>
      <c r="J13" s="59"/>
      <c r="K13" s="51"/>
    </row>
    <row r="14" spans="1:11" ht="16" customHeight="1" x14ac:dyDescent="0.25">
      <c r="A14" s="1" t="s">
        <v>228</v>
      </c>
      <c r="B14" s="40" t="str">
        <f ca="1">IF(ISNA(VLOOKUP($A14,ClassAll,COLUMN(Classes!$B$4),0)),"No class!",VLOOKUP($A14,ClassAll,COLUMN(Classes!$B$4),0))</f>
        <v>Inventory</v>
      </c>
      <c r="C14" s="44" cm="1">
        <f t="array" aca="1" ref="C14" ca="1">IF(ISNA(MATCH(C$4,TBMonths,0))=TRUE,0,SUMIF(TBAll,$A14&amp;"*",OFFSET(TB!$D$4,1,MATCH(C$4,TBMonths,0),TBRowCount,1)))</f>
        <v>352913</v>
      </c>
      <c r="D14" s="42" cm="1">
        <f t="array" aca="1" ref="D14" ca="1">IF(ISNA(MATCH(D$4,TBMonths,0))=TRUE,0,SUMIF(TBAll,$A14&amp;"*",OFFSET(TB!$D$4,1,MATCH(D$4,TBMonths,0),TBRowCount,1)))</f>
        <v>313745</v>
      </c>
      <c r="E14" s="42">
        <f t="shared" ref="E14:E19" ca="1" si="8">C14-D14</f>
        <v>39168</v>
      </c>
      <c r="F14" s="43">
        <f t="shared" ref="F14:F20" ca="1" si="9">IF(D14=0,IF(E14=0,0,-1),E14/ABS(D14))</f>
        <v>0.1248402364977928</v>
      </c>
      <c r="H14" s="44" cm="1">
        <f t="array" aca="1" ref="H14" ca="1">IF(ISNA(MATCH(H$4,TBMonths,0))=TRUE,0,SUMIF(TBAll,$A14&amp;"*",OFFSET(TB!$D$4,1,MATCH(H$4,TBMonths,0),TBRowCount,1)))</f>
        <v>248196</v>
      </c>
      <c r="I14" s="42">
        <f t="shared" ref="I14:I19" ca="1" si="10">D14-H14</f>
        <v>65549</v>
      </c>
      <c r="J14" s="43">
        <f t="shared" ref="J14:J20" ca="1" si="11">IF(H14=0,IF(I14=0,0,-1),I14/ABS(H14))</f>
        <v>0.2641017582878048</v>
      </c>
    </row>
    <row r="15" spans="1:11" ht="16" customHeight="1" x14ac:dyDescent="0.25">
      <c r="A15" s="1" t="s">
        <v>225</v>
      </c>
      <c r="B15" s="40" t="str">
        <f ca="1">IF(ISNA(VLOOKUP($A15,ClassAll,COLUMN(Classes!$B$4),0)),"No class!",VLOOKUP($A15,ClassAll,COLUMN(Classes!$B$4),0))</f>
        <v>Trade debtors</v>
      </c>
      <c r="C15" s="44" cm="1">
        <f t="array" aca="1" ref="C15" ca="1">IF(ISNA(MATCH(C$4,TBMonths,0))=TRUE,0,SUMIF(TBAll,$A15&amp;"*",OFFSET(TB!$D$4,1,MATCH(C$4,TBMonths,0),TBRowCount,1)))</f>
        <v>568079</v>
      </c>
      <c r="D15" s="42" cm="1">
        <f t="array" aca="1" ref="D15" ca="1">IF(ISNA(MATCH(D$4,TBMonths,0))=TRUE,0,SUMIF(TBAll,$A15&amp;"*",OFFSET(TB!$D$4,1,MATCH(D$4,TBMonths,0),TBRowCount,1)))</f>
        <v>495942</v>
      </c>
      <c r="E15" s="42">
        <f t="shared" ca="1" si="8"/>
        <v>72137</v>
      </c>
      <c r="F15" s="43">
        <f t="shared" ca="1" si="9"/>
        <v>0.14545450879336697</v>
      </c>
      <c r="H15" s="44" cm="1">
        <f t="array" aca="1" ref="H15" ca="1">IF(ISNA(MATCH(H$4,TBMonths,0))=TRUE,0,SUMIF(TBAll,$A15&amp;"*",OFFSET(TB!$D$4,1,MATCH(H$4,TBMonths,0),TBRowCount,1)))</f>
        <v>456039</v>
      </c>
      <c r="I15" s="42">
        <f t="shared" ca="1" si="10"/>
        <v>39903</v>
      </c>
      <c r="J15" s="43">
        <f t="shared" ca="1" si="11"/>
        <v>8.7499095472097776E-2</v>
      </c>
    </row>
    <row r="16" spans="1:11" ht="16" customHeight="1" x14ac:dyDescent="0.25">
      <c r="A16" s="1" t="s">
        <v>221</v>
      </c>
      <c r="B16" s="40" t="str">
        <f ca="1">IF(ISNA(VLOOKUP($A16,ClassAll,COLUMN(Classes!$B$4),0)),"No class!",VLOOKUP($A16,ClassAll,COLUMN(Classes!$B$4),0))</f>
        <v>Loans &amp; advances</v>
      </c>
      <c r="C16" s="44" cm="1">
        <f t="array" aca="1" ref="C16" ca="1">IF(ISNA(MATCH(C$4,TBMonths,0))=TRUE,0,SUMIF(TBAll,$A16&amp;"*",OFFSET(TB!$D$4,1,MATCH(C$4,TBMonths,0),TBRowCount,1)))</f>
        <v>60000</v>
      </c>
      <c r="D16" s="42" cm="1">
        <f t="array" aca="1" ref="D16" ca="1">IF(ISNA(MATCH(D$4,TBMonths,0))=TRUE,0,SUMIF(TBAll,$A16&amp;"*",OFFSET(TB!$D$4,1,MATCH(D$4,TBMonths,0),TBRowCount,1)))</f>
        <v>48200</v>
      </c>
      <c r="E16" s="42">
        <f t="shared" ca="1" si="8"/>
        <v>11800</v>
      </c>
      <c r="F16" s="43">
        <f t="shared" ca="1" si="9"/>
        <v>0.24481327800829875</v>
      </c>
      <c r="H16" s="44" cm="1">
        <f t="array" aca="1" ref="H16" ca="1">IF(ISNA(MATCH(H$4,TBMonths,0))=TRUE,0,SUMIF(TBAll,$A16&amp;"*",OFFSET(TB!$D$4,1,MATCH(H$4,TBMonths,0),TBRowCount,1)))</f>
        <v>30220</v>
      </c>
      <c r="I16" s="42">
        <f t="shared" ca="1" si="10"/>
        <v>17980</v>
      </c>
      <c r="J16" s="43">
        <f t="shared" ca="1" si="11"/>
        <v>0.59497021839841169</v>
      </c>
    </row>
    <row r="17" spans="1:11" ht="16" customHeight="1" x14ac:dyDescent="0.25">
      <c r="A17" s="1" t="s">
        <v>226</v>
      </c>
      <c r="B17" s="40" t="str">
        <f ca="1">IF(ISNA(VLOOKUP($A17,ClassAll,COLUMN(Classes!$B$4),0)),"No class!",VLOOKUP($A17,ClassAll,COLUMN(Classes!$B$4),0))</f>
        <v>Other debtors</v>
      </c>
      <c r="C17" s="44" cm="1">
        <f t="array" aca="1" ref="C17" ca="1">IF(ISNA(MATCH(C$4,TBMonths,0))=TRUE,0,IF(SUMIF(TBAll,$A17&amp;"*",OFFSET(TB!$D$4,1,MATCH(C$4,TBMonths,0),TBRowCount,1))&gt;0,SUMIF(TBAll,$A17&amp;"*",OFFSET(TB!$D$4,1,MATCH(C$4,TBMonths,0),TBRowCount,1)),0))</f>
        <v>24000</v>
      </c>
      <c r="D17" s="42" cm="1">
        <f t="array" aca="1" ref="D17" ca="1">IF(ISNA(MATCH(D$4,TBMonths,0))=TRUE,0,IF(SUMIF(TBAll,$A17&amp;"*",OFFSET(TB!$D$4,1,MATCH(D$4,TBMonths,0),TBRowCount,1))&gt;0,SUMIF(TBAll,$A17&amp;"*",OFFSET(TB!$D$4,1,MATCH(D$4,TBMonths,0),TBRowCount,1)),0))</f>
        <v>44500</v>
      </c>
      <c r="E17" s="42">
        <f t="shared" ca="1" si="8"/>
        <v>-20500</v>
      </c>
      <c r="F17" s="43">
        <f t="shared" ca="1" si="9"/>
        <v>-0.4606741573033708</v>
      </c>
      <c r="H17" s="44" cm="1">
        <f t="array" aca="1" ref="H17" ca="1">IF(ISNA(MATCH(H$4,TBMonths,0))=TRUE,0,IF(SUMIF(TBAll,$A17&amp;"*",OFFSET(TB!$D$4,1,MATCH(H$4,TBMonths,0),TBRowCount,1))&gt;0,SUMIF(TBAll,$A17&amp;"*",OFFSET(TB!$D$4,1,MATCH(H$4,TBMonths,0),TBRowCount,1)),0))</f>
        <v>22600</v>
      </c>
      <c r="I17" s="42">
        <f t="shared" ca="1" si="10"/>
        <v>21900</v>
      </c>
      <c r="J17" s="43">
        <f t="shared" ca="1" si="11"/>
        <v>0.96902654867256632</v>
      </c>
    </row>
    <row r="18" spans="1:11" ht="16" customHeight="1" x14ac:dyDescent="0.25">
      <c r="A18" s="1" t="s">
        <v>223</v>
      </c>
      <c r="B18" s="40" t="str">
        <f ca="1">IF(ISNA(VLOOKUP($A18,ClassAll,COLUMN(Classes!$B$4),0)),"No class!",VLOOKUP($A18,ClassAll,COLUMN(Classes!$B$4),0))</f>
        <v>Bank accounts</v>
      </c>
      <c r="C18" s="44" cm="1">
        <f t="array" aca="1" ref="C18" ca="1">IF(ISNA(MATCH(C$4,TBMonths,0))=TRUE,0,IF(SUMIF(TBAll,$A18&amp;"*",OFFSET(TB!$D$4,1,MATCH(C$4,TBMonths,0),TBRowCount,1))&gt;0,SUMIF(TBAll,$A18&amp;"*",OFFSET(TB!$D$4,1,MATCH(C$4,TBMonths,0),TBRowCount,1)),0))</f>
        <v>326674</v>
      </c>
      <c r="D18" s="42" cm="1">
        <f t="array" aca="1" ref="D18" ca="1">IF(ISNA(MATCH(D$4,TBMonths,0))=TRUE,0,IF(SUMIF(TBAll,$A18&amp;"*",OFFSET(TB!$D$4,1,MATCH(D$4,TBMonths,0),TBRowCount,1))&gt;0,SUMIF(TBAll,$A18&amp;"*",OFFSET(TB!$D$4,1,MATCH(D$4,TBMonths,0),TBRowCount,1)),0))</f>
        <v>393980</v>
      </c>
      <c r="E18" s="42">
        <f t="shared" ref="E18" ca="1" si="12">C18-D18</f>
        <v>-67306</v>
      </c>
      <c r="F18" s="43">
        <f t="shared" ref="F18" ca="1" si="13">IF(D18=0,IF(E18=0,0,-1),E18/ABS(D18))</f>
        <v>-0.170836083049901</v>
      </c>
      <c r="H18" s="44" cm="1">
        <f t="array" aca="1" ref="H18" ca="1">IF(ISNA(MATCH(H$4,TBMonths,0))=TRUE,0,IF(SUMIF(TBAll,$A18&amp;"*",OFFSET(TB!$D$4,1,MATCH(H$4,TBMonths,0),TBRowCount,1))&gt;0,SUMIF(TBAll,$A18&amp;"*",OFFSET(TB!$D$4,1,MATCH(H$4,TBMonths,0),TBRowCount,1)),0))</f>
        <v>187624</v>
      </c>
      <c r="I18" s="42">
        <f t="shared" ref="I18" ca="1" si="14">D18-H18</f>
        <v>206356</v>
      </c>
      <c r="J18" s="43">
        <f t="shared" ref="J18" ca="1" si="15">IF(H18=0,IF(I18=0,0,-1),I18/ABS(H18))</f>
        <v>1.0998379738199804</v>
      </c>
    </row>
    <row r="19" spans="1:11" ht="16" customHeight="1" x14ac:dyDescent="0.25">
      <c r="A19" s="1" t="s">
        <v>224</v>
      </c>
      <c r="B19" s="40" t="str">
        <f ca="1">IF(ISNA(VLOOKUP($A19,ClassAll,COLUMN(Classes!$B$4),0)),"No class!",VLOOKUP($A19,ClassAll,COLUMN(Classes!$B$4),0))</f>
        <v>Cash on hand</v>
      </c>
      <c r="C19" s="44" cm="1">
        <f t="array" aca="1" ref="C19" ca="1">IF(ISNA(MATCH(C$4,TBMonths,0))=TRUE,0,SUMIF(TBAll,$A19&amp;"*",OFFSET(TB!$D$4,1,MATCH(C$4,TBMonths,0),TBRowCount,1)))</f>
        <v>1000</v>
      </c>
      <c r="D19" s="42" cm="1">
        <f t="array" aca="1" ref="D19" ca="1">IF(ISNA(MATCH(D$4,TBMonths,0))=TRUE,0,SUMIF(TBAll,$A19&amp;"*",OFFSET(TB!$D$4,1,MATCH(D$4,TBMonths,0),TBRowCount,1)))</f>
        <v>990</v>
      </c>
      <c r="E19" s="42">
        <f t="shared" ca="1" si="8"/>
        <v>10</v>
      </c>
      <c r="F19" s="43">
        <f t="shared" ca="1" si="9"/>
        <v>1.0101010101010102E-2</v>
      </c>
      <c r="H19" s="44" cm="1">
        <f t="array" aca="1" ref="H19" ca="1">IF(ISNA(MATCH(H$4,TBMonths,0))=TRUE,0,SUMIF(TBAll,$A19&amp;"*",OFFSET(TB!$D$4,1,MATCH(H$4,TBMonths,0),TBRowCount,1)))</f>
        <v>1000</v>
      </c>
      <c r="I19" s="42">
        <f t="shared" ca="1" si="10"/>
        <v>-10</v>
      </c>
      <c r="J19" s="43">
        <f t="shared" ca="1" si="11"/>
        <v>-0.01</v>
      </c>
    </row>
    <row r="20" spans="1:11" ht="16" customHeight="1" thickBot="1" x14ac:dyDescent="0.3">
      <c r="B20" s="203" t="s">
        <v>470</v>
      </c>
      <c r="C20" s="80">
        <f ca="1">SUM(C14:C19)</f>
        <v>1332666</v>
      </c>
      <c r="D20" s="81">
        <f ca="1">SUM(D14:D19)</f>
        <v>1297357</v>
      </c>
      <c r="E20" s="81">
        <f ca="1">SUM(E14:E19)</f>
        <v>35309</v>
      </c>
      <c r="F20" s="82">
        <f t="shared" ca="1" si="9"/>
        <v>2.7216101658988235E-2</v>
      </c>
      <c r="H20" s="80">
        <f ca="1">SUM(H14:H19)</f>
        <v>945679</v>
      </c>
      <c r="I20" s="81">
        <f ca="1">SUM(I14:I19)</f>
        <v>351678</v>
      </c>
      <c r="J20" s="82">
        <f t="shared" ca="1" si="11"/>
        <v>0.37187882992008914</v>
      </c>
    </row>
    <row r="21" spans="1:11" s="52" customFormat="1" ht="16" customHeight="1" thickBot="1" x14ac:dyDescent="0.3">
      <c r="A21" s="2"/>
      <c r="B21" s="79" t="s">
        <v>15</v>
      </c>
      <c r="C21" s="48">
        <f ca="1">SUM(C12,C20)</f>
        <v>7512763</v>
      </c>
      <c r="D21" s="49">
        <f ca="1">SUM(D12,D20)</f>
        <v>7303034</v>
      </c>
      <c r="E21" s="49">
        <f ca="1">SUM(E12,E20)</f>
        <v>209729</v>
      </c>
      <c r="F21" s="50">
        <f ca="1">IF(D21=0,IF(E21=0,0,-1),E21/ABS(D21))</f>
        <v>2.8718064300398985E-2</v>
      </c>
      <c r="G21" s="11"/>
      <c r="H21" s="48">
        <f ca="1">SUM(H12,H20)</f>
        <v>5858456</v>
      </c>
      <c r="I21" s="49">
        <f ca="1">SUM(I12,I20)</f>
        <v>1444578</v>
      </c>
      <c r="J21" s="50">
        <f ca="1">IF(H21=0,IF(I21=0,0,-1),I21/ABS(H21))</f>
        <v>0.24657998626259206</v>
      </c>
      <c r="K21" s="51"/>
    </row>
    <row r="22" spans="1:11" s="52" customFormat="1" ht="16" customHeight="1" thickTop="1" x14ac:dyDescent="0.25">
      <c r="A22" s="2"/>
      <c r="B22" s="79" t="s">
        <v>9</v>
      </c>
      <c r="C22" s="60"/>
      <c r="D22" s="58"/>
      <c r="E22" s="58"/>
      <c r="F22" s="59"/>
      <c r="G22" s="11"/>
      <c r="H22" s="60"/>
      <c r="I22" s="58"/>
      <c r="J22" s="59"/>
      <c r="K22" s="51"/>
    </row>
    <row r="23" spans="1:11" s="52" customFormat="1" ht="16" customHeight="1" x14ac:dyDescent="0.25">
      <c r="A23" s="2"/>
      <c r="B23" s="79" t="s">
        <v>10</v>
      </c>
      <c r="C23" s="60"/>
      <c r="D23" s="58"/>
      <c r="E23" s="58"/>
      <c r="F23" s="59"/>
      <c r="G23" s="11"/>
      <c r="H23" s="60"/>
      <c r="I23" s="58"/>
      <c r="J23" s="59"/>
      <c r="K23" s="51"/>
    </row>
    <row r="24" spans="1:11" ht="16" customHeight="1" x14ac:dyDescent="0.25">
      <c r="A24" s="1" t="s">
        <v>244</v>
      </c>
      <c r="B24" s="40" t="str">
        <f ca="1">IF(ISNA(VLOOKUP($A24,ClassAll,COLUMN(Classes!$B$4),0)),"No class!",VLOOKUP($A24,ClassAll,COLUMN(Classes!$B$4),0))</f>
        <v>Shareholders' contributions</v>
      </c>
      <c r="C24" s="44" cm="1">
        <f t="array" aca="1" ref="C24" ca="1">-IF(ISNA(MATCH(C$4,TBMonths,0))=TRUE,0,SUMIF(TBAll,$A24&amp;"*",OFFSET(TB!$D$4,1,MATCH(C$4,TBMonths,0),TBRowCount,1)))</f>
        <v>1000</v>
      </c>
      <c r="D24" s="42" cm="1">
        <f t="array" aca="1" ref="D24" ca="1">-IF(ISNA(MATCH(D$4,TBMonths,0))=TRUE,0,SUMIF(TBAll,$A24&amp;"*",OFFSET(TB!$D$4,1,MATCH(D$4,TBMonths,0),TBRowCount,1)))</f>
        <v>1000</v>
      </c>
      <c r="E24" s="42">
        <f t="shared" ref="E24:E26" ca="1" si="16">C24-D24</f>
        <v>0</v>
      </c>
      <c r="F24" s="43">
        <f t="shared" ref="F24:F27" ca="1" si="17">IF(D24=0,IF(E24=0,0,-1),E24/ABS(D24))</f>
        <v>0</v>
      </c>
      <c r="H24" s="44" cm="1">
        <f t="array" aca="1" ref="H24" ca="1">-IF(ISNA(MATCH(H$4,TBMonths,0))=TRUE,0,SUMIF(TBAll,$A24&amp;"*",OFFSET(TB!$D$4,1,MATCH(H$4,TBMonths,0),TBRowCount,1)))</f>
        <v>1000</v>
      </c>
      <c r="I24" s="42">
        <f t="shared" ref="I24:I26" ca="1" si="18">D24-H24</f>
        <v>0</v>
      </c>
      <c r="J24" s="43">
        <f t="shared" ref="J24:J27" ca="1" si="19">IF(H24=0,IF(I24=0,0,-1),I24/ABS(H24))</f>
        <v>0</v>
      </c>
    </row>
    <row r="25" spans="1:11" ht="16" customHeight="1" x14ac:dyDescent="0.25">
      <c r="A25" s="1" t="s">
        <v>243</v>
      </c>
      <c r="B25" s="40" t="str">
        <f ca="1">IF(ISNA(VLOOKUP($A25,ClassAll,COLUMN(Classes!$B$4),0)),"No class!",VLOOKUP($A25,ClassAll,COLUMN(Classes!$B$4),0))</f>
        <v>Reserves</v>
      </c>
      <c r="C25" s="44" cm="1">
        <f t="array" aca="1" ref="C25" ca="1">-IF(ISNA(MATCH(C$4,TBMonths,0))=TRUE,0,SUMIF(TBAll,$A25&amp;"*",OFFSET(TB!$D$4,1,MATCH(C$4,TBMonths,0),TBRowCount,1)))</f>
        <v>0</v>
      </c>
      <c r="D25" s="42" cm="1">
        <f t="array" aca="1" ref="D25" ca="1">-IF(ISNA(MATCH(D$4,TBMonths,0))=TRUE,0,SUMIF(TBAll,$A25&amp;"*",OFFSET(TB!$D$4,1,MATCH(D$4,TBMonths,0),TBRowCount,1)))</f>
        <v>0</v>
      </c>
      <c r="E25" s="42">
        <f t="shared" ref="E25" ca="1" si="20">C25-D25</f>
        <v>0</v>
      </c>
      <c r="F25" s="43">
        <f t="shared" ref="F25" ca="1" si="21">IF(D25=0,IF(E25=0,0,-1),E25/ABS(D25))</f>
        <v>0</v>
      </c>
      <c r="H25" s="44" cm="1">
        <f t="array" aca="1" ref="H25" ca="1">-IF(ISNA(MATCH(H$4,TBMonths,0))=TRUE,0,SUMIF(TBAll,$A25&amp;"*",OFFSET(TB!$D$4,1,MATCH(H$4,TBMonths,0),TBRowCount,1)))</f>
        <v>0</v>
      </c>
      <c r="I25" s="42">
        <f t="shared" ref="I25" ca="1" si="22">D25-H25</f>
        <v>0</v>
      </c>
      <c r="J25" s="43">
        <f t="shared" ref="J25" ca="1" si="23">IF(H25=0,IF(I25=0,0,-1),I25/ABS(H25))</f>
        <v>0</v>
      </c>
    </row>
    <row r="26" spans="1:11" ht="16" customHeight="1" x14ac:dyDescent="0.25">
      <c r="A26" s="1" t="s">
        <v>245</v>
      </c>
      <c r="B26" s="40" t="str">
        <f ca="1">IF(ISNA(VLOOKUP($A26,ClassAll,COLUMN(Classes!$B$4),0)),"No class!",VLOOKUP($A26,ClassAll,COLUMN(Classes!$B$4),0))</f>
        <v>Retained earnings</v>
      </c>
      <c r="C26" s="44">
        <f ca="1">IS!C41</f>
        <v>5223874</v>
      </c>
      <c r="D26" s="42">
        <f ca="1">IS!D41</f>
        <v>4339805</v>
      </c>
      <c r="E26" s="42">
        <f t="shared" ca="1" si="16"/>
        <v>884069</v>
      </c>
      <c r="F26" s="43">
        <f t="shared" ca="1" si="17"/>
        <v>0.20371168750669674</v>
      </c>
      <c r="H26" s="44">
        <f ca="1">IS!H41</f>
        <v>3335138</v>
      </c>
      <c r="I26" s="42">
        <f t="shared" ca="1" si="18"/>
        <v>1004667</v>
      </c>
      <c r="J26" s="43">
        <f t="shared" ca="1" si="19"/>
        <v>0.301237010282633</v>
      </c>
    </row>
    <row r="27" spans="1:11" ht="16" customHeight="1" thickBot="1" x14ac:dyDescent="0.3">
      <c r="B27" s="203" t="s">
        <v>471</v>
      </c>
      <c r="C27" s="80">
        <f ca="1">SUM(C24:C26)</f>
        <v>5224874</v>
      </c>
      <c r="D27" s="81">
        <f ca="1">SUM(D24:D26)</f>
        <v>4340805</v>
      </c>
      <c r="E27" s="81">
        <f ca="1">SUM(E24:E26)</f>
        <v>884069</v>
      </c>
      <c r="F27" s="82">
        <f t="shared" ca="1" si="17"/>
        <v>0.20366475803451203</v>
      </c>
      <c r="H27" s="80">
        <f ca="1">SUM(H24:H26)</f>
        <v>3336138</v>
      </c>
      <c r="I27" s="81">
        <f ca="1">SUM(I24:I26)</f>
        <v>1004667</v>
      </c>
      <c r="J27" s="82">
        <f t="shared" ca="1" si="19"/>
        <v>0.30114671515386954</v>
      </c>
    </row>
    <row r="28" spans="1:11" s="52" customFormat="1" ht="16" customHeight="1" x14ac:dyDescent="0.25">
      <c r="A28" s="2"/>
      <c r="B28" s="79" t="s">
        <v>11</v>
      </c>
      <c r="C28" s="60"/>
      <c r="D28" s="58"/>
      <c r="E28" s="58"/>
      <c r="F28" s="59"/>
      <c r="G28" s="11"/>
      <c r="H28" s="60"/>
      <c r="I28" s="58"/>
      <c r="J28" s="59"/>
      <c r="K28" s="51"/>
    </row>
    <row r="29" spans="1:11" ht="16" customHeight="1" x14ac:dyDescent="0.25">
      <c r="A29" s="1" t="s">
        <v>240</v>
      </c>
      <c r="B29" s="40" t="str">
        <f ca="1">IF(ISNA(VLOOKUP($A29,ClassAll,COLUMN(Classes!$B$4),0)),"No class!",VLOOKUP($A29,ClassAll,COLUMN(Classes!$B$4),0))</f>
        <v>Long term loans</v>
      </c>
      <c r="C29" s="44" cm="1">
        <f t="array" aca="1" ref="C29" ca="1">-IF(ISNA(MATCH(C$4,TBMonths,0))=TRUE,0,SUMIF(TBAll,$A29&amp;"*",OFFSET(TB!$D$4,1,MATCH(C$4,TBMonths,0),TBRowCount,1)))</f>
        <v>1265992</v>
      </c>
      <c r="D29" s="42" cm="1">
        <f t="array" aca="1" ref="D29" ca="1">-IF(ISNA(MATCH(D$4,TBMonths,0))=TRUE,0,SUMIF(TBAll,$A29&amp;"*",OFFSET(TB!$D$4,1,MATCH(D$4,TBMonths,0),TBRowCount,1)))</f>
        <v>1967685</v>
      </c>
      <c r="E29" s="42">
        <f t="shared" ref="E29:E31" ca="1" si="24">C29-D29</f>
        <v>-701693</v>
      </c>
      <c r="F29" s="43">
        <f t="shared" ref="F29:F32" ca="1" si="25">IF(D29=0,IF(E29=0,0,-1),E29/ABS(D29))</f>
        <v>-0.35660840022666229</v>
      </c>
      <c r="H29" s="44" cm="1">
        <f t="array" aca="1" ref="H29" ca="1">-IF(ISNA(MATCH(H$4,TBMonths,0))=TRUE,0,SUMIF(TBAll,$A29&amp;"*",OFFSET(TB!$D$4,1,MATCH(H$4,TBMonths,0),TBRowCount,1)))</f>
        <v>1646180</v>
      </c>
      <c r="I29" s="42">
        <f t="shared" ref="I29:I31" ca="1" si="26">D29-H29</f>
        <v>321505</v>
      </c>
      <c r="J29" s="43">
        <f t="shared" ref="J29:J32" ca="1" si="27">IF(H29=0,IF(I29=0,0,-1),I29/ABS(H29))</f>
        <v>0.19530367274538629</v>
      </c>
    </row>
    <row r="30" spans="1:11" ht="16" customHeight="1" x14ac:dyDescent="0.25">
      <c r="A30" s="1" t="s">
        <v>242</v>
      </c>
      <c r="B30" s="40" t="str">
        <f ca="1">IF(ISNA(VLOOKUP($A30,ClassAll,COLUMN(Classes!$B$4),0)),"No class!",VLOOKUP($A30,ClassAll,COLUMN(Classes!$B$4),0))</f>
        <v>Finance leases</v>
      </c>
      <c r="C30" s="44" cm="1">
        <f t="array" aca="1" ref="C30" ca="1">-IF(ISNA(MATCH(C$4,TBMonths,0))=TRUE,0,SUMIF(TBAll,$A30&amp;"*",OFFSET(TB!$D$4,1,MATCH(C$4,TBMonths,0),TBRowCount,1)))</f>
        <v>85325</v>
      </c>
      <c r="D30" s="42" cm="1">
        <f t="array" aca="1" ref="D30" ca="1">-IF(ISNA(MATCH(D$4,TBMonths,0))=TRUE,0,SUMIF(TBAll,$A30&amp;"*",OFFSET(TB!$D$4,1,MATCH(D$4,TBMonths,0),TBRowCount,1)))</f>
        <v>146420</v>
      </c>
      <c r="E30" s="42">
        <f t="shared" ca="1" si="24"/>
        <v>-61095</v>
      </c>
      <c r="F30" s="43">
        <f t="shared" ca="1" si="25"/>
        <v>-0.41725857123343807</v>
      </c>
      <c r="H30" s="44" cm="1">
        <f t="array" aca="1" ref="H30" ca="1">-IF(ISNA(MATCH(H$4,TBMonths,0))=TRUE,0,SUMIF(TBAll,$A30&amp;"*",OFFSET(TB!$D$4,1,MATCH(H$4,TBMonths,0),TBRowCount,1)))</f>
        <v>209394</v>
      </c>
      <c r="I30" s="42">
        <f t="shared" ca="1" si="26"/>
        <v>-62974</v>
      </c>
      <c r="J30" s="43">
        <f t="shared" ca="1" si="27"/>
        <v>-0.30074405188305298</v>
      </c>
    </row>
    <row r="31" spans="1:11" ht="16" customHeight="1" x14ac:dyDescent="0.25">
      <c r="A31" s="1" t="s">
        <v>241</v>
      </c>
      <c r="B31" s="40" t="str">
        <f ca="1">IF(ISNA(VLOOKUP($A31,ClassAll,COLUMN(Classes!$B$4),0)),"No class!",VLOOKUP($A31,ClassAll,COLUMN(Classes!$B$4),0))</f>
        <v>Deferred tax</v>
      </c>
      <c r="C31" s="44" cm="1">
        <f t="array" aca="1" ref="C31" ca="1">-IF(ISNA(MATCH(C$4,TBMonths,0))=TRUE,0,SUMIF(TBAll,$A31&amp;"*",OFFSET(TB!$D$4,1,MATCH(C$4,TBMonths,0),TBRowCount,1)))</f>
        <v>-33790</v>
      </c>
      <c r="D31" s="42" cm="1">
        <f t="array" aca="1" ref="D31" ca="1">-IF(ISNA(MATCH(D$4,TBMonths,0))=TRUE,0,SUMIF(TBAll,$A31&amp;"*",OFFSET(TB!$D$4,1,MATCH(D$4,TBMonths,0),TBRowCount,1)))</f>
        <v>17377</v>
      </c>
      <c r="E31" s="42">
        <f t="shared" ca="1" si="24"/>
        <v>-51167</v>
      </c>
      <c r="F31" s="43">
        <f t="shared" ca="1" si="25"/>
        <v>-2.9445243712953904</v>
      </c>
      <c r="H31" s="44" cm="1">
        <f t="array" aca="1" ref="H31" ca="1">-IF(ISNA(MATCH(H$4,TBMonths,0))=TRUE,0,SUMIF(TBAll,$A31&amp;"*",OFFSET(TB!$D$4,1,MATCH(H$4,TBMonths,0),TBRowCount,1)))</f>
        <v>-47278</v>
      </c>
      <c r="I31" s="42">
        <f t="shared" ca="1" si="26"/>
        <v>64655</v>
      </c>
      <c r="J31" s="43">
        <f t="shared" ca="1" si="27"/>
        <v>1.3675493887220271</v>
      </c>
    </row>
    <row r="32" spans="1:11" ht="16" customHeight="1" thickBot="1" x14ac:dyDescent="0.3">
      <c r="B32" s="203" t="s">
        <v>472</v>
      </c>
      <c r="C32" s="80">
        <f ca="1">SUM(C29:C31)</f>
        <v>1317527</v>
      </c>
      <c r="D32" s="81">
        <f ca="1">SUM(D29:D31)</f>
        <v>2131482</v>
      </c>
      <c r="E32" s="81">
        <f ca="1">SUM(E29:E31)</f>
        <v>-813955</v>
      </c>
      <c r="F32" s="82">
        <f t="shared" ca="1" si="25"/>
        <v>-0.3818728002394578</v>
      </c>
      <c r="H32" s="80">
        <f ca="1">SUM(H29:H31)</f>
        <v>1808296</v>
      </c>
      <c r="I32" s="81">
        <f ca="1">SUM(I29:I31)</f>
        <v>323186</v>
      </c>
      <c r="J32" s="82">
        <f t="shared" ca="1" si="27"/>
        <v>0.17872405845060765</v>
      </c>
    </row>
    <row r="33" spans="1:11" s="52" customFormat="1" ht="16" customHeight="1" x14ac:dyDescent="0.25">
      <c r="A33" s="2"/>
      <c r="B33" s="79" t="s">
        <v>16</v>
      </c>
      <c r="C33" s="60"/>
      <c r="D33" s="58"/>
      <c r="E33" s="58"/>
      <c r="F33" s="59"/>
      <c r="G33" s="11"/>
      <c r="H33" s="60"/>
      <c r="I33" s="58"/>
      <c r="J33" s="59"/>
      <c r="K33" s="51"/>
    </row>
    <row r="34" spans="1:11" ht="16" customHeight="1" x14ac:dyDescent="0.25">
      <c r="A34" s="1" t="s">
        <v>229</v>
      </c>
      <c r="B34" s="40" t="str">
        <f ca="1">IF(ISNA(VLOOKUP($A34,ClassAll,COLUMN(Classes!$B$4),0)),"No class!",VLOOKUP($A34,ClassAll,COLUMN(Classes!$B$4),0))</f>
        <v>Bank overdraft</v>
      </c>
      <c r="C34" s="44" cm="1">
        <f t="array" aca="1" ref="C34" ca="1">-IF(ISNA(MATCH(C$4,TBMonths,0))=TRUE,0,IF(SUMIF(TBAll,$A34&amp;"*",OFFSET(TB!$D$4,1,MATCH(C$4,TBMonths,0),TBRowCount,1))&lt;=0,SUMIF(TBAll,$A34&amp;"*",OFFSET(TB!$D$4,1,MATCH(C$4,TBMonths,0),TBRowCount,1)),0))</f>
        <v>0</v>
      </c>
      <c r="D34" s="42" cm="1">
        <f t="array" aca="1" ref="D34" ca="1">-IF(ISNA(MATCH(D$4,TBMonths,0))=TRUE,0,IF(SUMIF(TBAll,$A34&amp;"*",OFFSET(TB!$D$4,1,MATCH(D$4,TBMonths,0),TBRowCount,1))&lt;=0,SUMIF(TBAll,$A34&amp;"*",OFFSET(TB!$D$4,1,MATCH(D$4,TBMonths,0),TBRowCount,1)),0))</f>
        <v>0</v>
      </c>
      <c r="E34" s="42">
        <f t="shared" ref="E34:E41" ca="1" si="28">C34-D34</f>
        <v>0</v>
      </c>
      <c r="F34" s="43">
        <f t="shared" ref="F34:F42" ca="1" si="29">IF(D34=0,IF(E34=0,0,-1),E34/ABS(D34))</f>
        <v>0</v>
      </c>
      <c r="H34" s="44" cm="1">
        <f t="array" aca="1" ref="H34" ca="1">-IF(ISNA(MATCH(H$4,TBMonths,0))=TRUE,0,IF(SUMIF(TBAll,$A34&amp;"*",OFFSET(TB!$D$4,1,MATCH(H$4,TBMonths,0),TBRowCount,1))&lt;=0,SUMIF(TBAll,$A34&amp;"*",OFFSET(TB!$D$4,1,MATCH(H$4,TBMonths,0),TBRowCount,1)),0))</f>
        <v>0</v>
      </c>
      <c r="I34" s="42">
        <f t="shared" ref="I34:I41" ca="1" si="30">D34-H34</f>
        <v>0</v>
      </c>
      <c r="J34" s="43">
        <f t="shared" ref="J34:J42" ca="1" si="31">IF(H34=0,IF(I34=0,0,-1),I34/ABS(H34))</f>
        <v>0</v>
      </c>
    </row>
    <row r="35" spans="1:11" ht="16" customHeight="1" x14ac:dyDescent="0.25">
      <c r="A35" s="1" t="s">
        <v>230</v>
      </c>
      <c r="B35" s="40" t="str">
        <f ca="1">IF(ISNA(VLOOKUP($A35,ClassAll,COLUMN(Classes!$B$4),0)),"No class!",VLOOKUP($A35,ClassAll,COLUMN(Classes!$B$4),0))</f>
        <v>Trade creditors</v>
      </c>
      <c r="C35" s="44" cm="1">
        <f t="array" aca="1" ref="C35" ca="1">-IF(ISNA(MATCH(C$4,TBMonths,0))=TRUE,0,SUMIF(TBAll,$A35&amp;"*",OFFSET(TB!$D$4,1,MATCH(C$4,TBMonths,0),TBRowCount,1)))</f>
        <v>186802</v>
      </c>
      <c r="D35" s="42" cm="1">
        <f t="array" aca="1" ref="D35" ca="1">-IF(ISNA(MATCH(D$4,TBMonths,0))=TRUE,0,SUMIF(TBAll,$A35&amp;"*",OFFSET(TB!$D$4,1,MATCH(D$4,TBMonths,0),TBRowCount,1)))</f>
        <v>219900</v>
      </c>
      <c r="E35" s="42">
        <f t="shared" ca="1" si="28"/>
        <v>-33098</v>
      </c>
      <c r="F35" s="43">
        <f t="shared" ca="1" si="29"/>
        <v>-0.15051386994088223</v>
      </c>
      <c r="H35" s="44" cm="1">
        <f t="array" aca="1" ref="H35" ca="1">-IF(ISNA(MATCH(H$4,TBMonths,0))=TRUE,0,SUMIF(TBAll,$A35&amp;"*",OFFSET(TB!$D$4,1,MATCH(H$4,TBMonths,0),TBRowCount,1)))</f>
        <v>166325</v>
      </c>
      <c r="I35" s="42">
        <f t="shared" ca="1" si="30"/>
        <v>53575</v>
      </c>
      <c r="J35" s="43">
        <f t="shared" ca="1" si="31"/>
        <v>0.32211032616864571</v>
      </c>
    </row>
    <row r="36" spans="1:11" ht="16" customHeight="1" x14ac:dyDescent="0.25">
      <c r="A36" s="1" t="s">
        <v>232</v>
      </c>
      <c r="B36" s="40" t="str">
        <f ca="1">IF(ISNA(VLOOKUP($A36,ClassAll,COLUMN(Classes!$B$4),0)),"No class!",VLOOKUP($A36,ClassAll,COLUMN(Classes!$B$4),0))</f>
        <v>Accruals</v>
      </c>
      <c r="C36" s="44" cm="1">
        <f t="array" aca="1" ref="C36" ca="1">-IF(ISNA(MATCH(C$4,TBMonths,0))=TRUE,0,SUMIF(TBAll,$A36&amp;"*",OFFSET(TB!$D$4,1,MATCH(C$4,TBMonths,0),TBRowCount,1)))</f>
        <v>110937</v>
      </c>
      <c r="D36" s="42" cm="1">
        <f t="array" aca="1" ref="D36" ca="1">-IF(ISNA(MATCH(D$4,TBMonths,0))=TRUE,0,SUMIF(TBAll,$A36&amp;"*",OFFSET(TB!$D$4,1,MATCH(D$4,TBMonths,0),TBRowCount,1)))</f>
        <v>86520</v>
      </c>
      <c r="E36" s="42">
        <f t="shared" ca="1" si="28"/>
        <v>24417</v>
      </c>
      <c r="F36" s="43">
        <f t="shared" ca="1" si="29"/>
        <v>0.28221220527045771</v>
      </c>
      <c r="H36" s="44" cm="1">
        <f t="array" aca="1" ref="H36" ca="1">-IF(ISNA(MATCH(H$4,TBMonths,0))=TRUE,0,SUMIF(TBAll,$A36&amp;"*",OFFSET(TB!$D$4,1,MATCH(H$4,TBMonths,0),TBRowCount,1)))</f>
        <v>71708</v>
      </c>
      <c r="I36" s="42">
        <f t="shared" ca="1" si="30"/>
        <v>14812</v>
      </c>
      <c r="J36" s="43">
        <f t="shared" ca="1" si="31"/>
        <v>0.20655993752440452</v>
      </c>
    </row>
    <row r="37" spans="1:11" ht="16" customHeight="1" x14ac:dyDescent="0.25">
      <c r="A37" s="1" t="s">
        <v>238</v>
      </c>
      <c r="B37" s="40" t="str">
        <f ca="1">IF(ISNA(VLOOKUP($A37,ClassAll,COLUMN(Classes!$B$4),0)),"No class!",VLOOKUP($A37,ClassAll,COLUMN(Classes!$B$4),0))</f>
        <v>Sales tax</v>
      </c>
      <c r="C37" s="44" cm="1">
        <f t="array" aca="1" ref="C37" ca="1">-IF(ISNA(MATCH(C$4,TBMonths,0))=TRUE,0,SUMIF(TBAll,$A37&amp;"*",OFFSET(TB!$D$4,1,MATCH(C$4,TBMonths,0),TBRowCount,1)))</f>
        <v>75891</v>
      </c>
      <c r="D37" s="42" cm="1">
        <f t="array" aca="1" ref="D37" ca="1">-IF(ISNA(MATCH(D$4,TBMonths,0))=TRUE,0,SUMIF(TBAll,$A37&amp;"*",OFFSET(TB!$D$4,1,MATCH(D$4,TBMonths,0),TBRowCount,1)))</f>
        <v>59835</v>
      </c>
      <c r="E37" s="42">
        <f t="shared" ca="1" si="28"/>
        <v>16056</v>
      </c>
      <c r="F37" s="43">
        <f t="shared" ca="1" si="29"/>
        <v>0.26833792930559036</v>
      </c>
      <c r="H37" s="44" cm="1">
        <f t="array" aca="1" ref="H37" ca="1">-IF(ISNA(MATCH(H$4,TBMonths,0))=TRUE,0,SUMIF(TBAll,$A37&amp;"*",OFFSET(TB!$D$4,1,MATCH(H$4,TBMonths,0),TBRowCount,1)))</f>
        <v>55891</v>
      </c>
      <c r="I37" s="42">
        <f t="shared" ca="1" si="30"/>
        <v>3944</v>
      </c>
      <c r="J37" s="43">
        <f t="shared" ca="1" si="31"/>
        <v>7.0565922957184515E-2</v>
      </c>
    </row>
    <row r="38" spans="1:11" ht="16" customHeight="1" x14ac:dyDescent="0.25">
      <c r="A38" s="1" t="s">
        <v>236</v>
      </c>
      <c r="B38" s="40" t="str">
        <f ca="1">IF(ISNA(VLOOKUP($A38,ClassAll,COLUMN(Classes!$B$4),0)),"No class!",VLOOKUP($A38,ClassAll,COLUMN(Classes!$B$4),0))</f>
        <v>Other provisions</v>
      </c>
      <c r="C38" s="44" cm="1">
        <f t="array" aca="1" ref="C38" ca="1">-IF(ISNA(MATCH(C$4,TBMonths,0))=TRUE,0,SUMIF(TBAll,$A38&amp;"*",OFFSET(TB!$D$4,1,MATCH(C$4,TBMonths,0),TBRowCount,1)))</f>
        <v>214823</v>
      </c>
      <c r="D38" s="42" cm="1">
        <f t="array" aca="1" ref="D38" ca="1">-IF(ISNA(MATCH(D$4,TBMonths,0))=TRUE,0,SUMIF(TBAll,$A38&amp;"*",OFFSET(TB!$D$4,1,MATCH(D$4,TBMonths,0),TBRowCount,1)))</f>
        <v>214870</v>
      </c>
      <c r="E38" s="42">
        <f t="shared" ref="E38" ca="1" si="32">C38-D38</f>
        <v>-47</v>
      </c>
      <c r="F38" s="43">
        <f t="shared" ref="F38" ca="1" si="33">IF(D38=0,IF(E38=0,0,-1),E38/ABS(D38))</f>
        <v>-2.1873691069018475E-4</v>
      </c>
      <c r="H38" s="44" cm="1">
        <f t="array" aca="1" ref="H38" ca="1">-IF(ISNA(MATCH(H$4,TBMonths,0))=TRUE,0,SUMIF(TBAll,$A38&amp;"*",OFFSET(TB!$D$4,1,MATCH(H$4,TBMonths,0),TBRowCount,1)))</f>
        <v>211637</v>
      </c>
      <c r="I38" s="42">
        <f t="shared" ref="I38" ca="1" si="34">D38-H38</f>
        <v>3233</v>
      </c>
      <c r="J38" s="43">
        <f t="shared" ref="J38" ca="1" si="35">IF(H38=0,IF(I38=0,0,-1),I38/ABS(H38))</f>
        <v>1.5276156815679677E-2</v>
      </c>
    </row>
    <row r="39" spans="1:11" ht="16" customHeight="1" x14ac:dyDescent="0.25">
      <c r="A39" s="1" t="s">
        <v>233</v>
      </c>
      <c r="B39" s="40" t="str">
        <f ca="1">IF(ISNA(VLOOKUP($A39,ClassAll,COLUMN(Classes!$B$4),0)),"No class!",VLOOKUP($A39,ClassAll,COLUMN(Classes!$B$4),0))</f>
        <v>Dividends payable</v>
      </c>
      <c r="C39" s="44" cm="1">
        <f t="array" aca="1" ref="C39" ca="1">-IF(ISNA(MATCH(C$4,TBMonths,0))=TRUE,0,SUMIF(TBAll,$A39&amp;"*",OFFSET(TB!$D$4,1,MATCH(C$4,TBMonths,0),TBRowCount,1)))</f>
        <v>150000</v>
      </c>
      <c r="D39" s="42" cm="1">
        <f t="array" aca="1" ref="D39" ca="1">-IF(ISNA(MATCH(D$4,TBMonths,0))=TRUE,0,SUMIF(TBAll,$A39&amp;"*",OFFSET(TB!$D$4,1,MATCH(D$4,TBMonths,0),TBRowCount,1)))</f>
        <v>100000</v>
      </c>
      <c r="E39" s="42">
        <f t="shared" ca="1" si="28"/>
        <v>50000</v>
      </c>
      <c r="F39" s="43">
        <f t="shared" ca="1" si="29"/>
        <v>0.5</v>
      </c>
      <c r="H39" s="44" cm="1">
        <f t="array" aca="1" ref="H39" ca="1">-IF(ISNA(MATCH(H$4,TBMonths,0))=TRUE,0,SUMIF(TBAll,$A39&amp;"*",OFFSET(TB!$D$4,1,MATCH(H$4,TBMonths,0),TBRowCount,1)))</f>
        <v>75000</v>
      </c>
      <c r="I39" s="42">
        <f t="shared" ca="1" si="30"/>
        <v>25000</v>
      </c>
      <c r="J39" s="43">
        <f t="shared" ca="1" si="31"/>
        <v>0.33333333333333331</v>
      </c>
    </row>
    <row r="40" spans="1:11" ht="16" customHeight="1" x14ac:dyDescent="0.25">
      <c r="A40" s="1" t="s">
        <v>234</v>
      </c>
      <c r="B40" s="40" t="str">
        <f ca="1">IF(ISNA(VLOOKUP($A40,ClassAll,COLUMN(Classes!$B$4),0)),"No class!",VLOOKUP($A40,ClassAll,COLUMN(Classes!$B$4),0))</f>
        <v>Provision for taxation</v>
      </c>
      <c r="C40" s="44" cm="1">
        <f t="array" aca="1" ref="C40" ca="1">-IF(ISNA(MATCH(C$4,TBMonths,0))=TRUE,0,SUMIF(TBAll,$A40&amp;"*",OFFSET(TB!$D$4,1,MATCH(C$4,TBMonths,0),TBRowCount,1)))</f>
        <v>215724</v>
      </c>
      <c r="D40" s="42" cm="1">
        <f t="array" aca="1" ref="D40" ca="1">-IF(ISNA(MATCH(D$4,TBMonths,0))=TRUE,0,SUMIF(TBAll,$A40&amp;"*",OFFSET(TB!$D$4,1,MATCH(D$4,TBMonths,0),TBRowCount,1)))</f>
        <v>131926</v>
      </c>
      <c r="E40" s="42">
        <f t="shared" ca="1" si="28"/>
        <v>83798</v>
      </c>
      <c r="F40" s="43">
        <f t="shared" ca="1" si="29"/>
        <v>0.63518942437427039</v>
      </c>
      <c r="H40" s="44" cm="1">
        <f t="array" aca="1" ref="H40" ca="1">-IF(ISNA(MATCH(H$4,TBMonths,0))=TRUE,0,SUMIF(TBAll,$A40&amp;"*",OFFSET(TB!$D$4,1,MATCH(H$4,TBMonths,0),TBRowCount,1)))</f>
        <v>118400</v>
      </c>
      <c r="I40" s="42">
        <f t="shared" ca="1" si="30"/>
        <v>13526</v>
      </c>
      <c r="J40" s="43">
        <f t="shared" ca="1" si="31"/>
        <v>0.11423986486486487</v>
      </c>
    </row>
    <row r="41" spans="1:11" ht="16" customHeight="1" x14ac:dyDescent="0.25">
      <c r="A41" s="1" t="s">
        <v>375</v>
      </c>
      <c r="B41" s="40" t="str">
        <f ca="1">IF(ISNA(VLOOKUP($A41,ClassAll,COLUMN(Classes!$B$4),0)),"No class!",VLOOKUP($A41,ClassAll,COLUMN(Classes!$B$4),0))</f>
        <v>Interest payable</v>
      </c>
      <c r="C41" s="44" cm="1">
        <f t="array" aca="1" ref="C41" ca="1">-IF(ISNA(MATCH(C$4,TBMonths,0))=TRUE,0,SUMIF(TBAll,$A41&amp;"*",OFFSET(TB!$D$4,1,MATCH(C$4,TBMonths,0),TBRowCount,1)))</f>
        <v>16185</v>
      </c>
      <c r="D41" s="42" cm="1">
        <f t="array" aca="1" ref="D41" ca="1">-IF(ISNA(MATCH(D$4,TBMonths,0))=TRUE,0,SUMIF(TBAll,$A41&amp;"*",OFFSET(TB!$D$4,1,MATCH(D$4,TBMonths,0),TBRowCount,1)))</f>
        <v>17696</v>
      </c>
      <c r="E41" s="42">
        <f t="shared" ca="1" si="28"/>
        <v>-1511</v>
      </c>
      <c r="F41" s="43">
        <f t="shared" ca="1" si="29"/>
        <v>-8.5386528028933095E-2</v>
      </c>
      <c r="H41" s="44" cm="1">
        <f t="array" aca="1" ref="H41" ca="1">-IF(ISNA(MATCH(H$4,TBMonths,0))=TRUE,0,SUMIF(TBAll,$A41&amp;"*",OFFSET(TB!$D$4,1,MATCH(H$4,TBMonths,0),TBRowCount,1)))</f>
        <v>15061</v>
      </c>
      <c r="I41" s="42">
        <f t="shared" ca="1" si="30"/>
        <v>2635</v>
      </c>
      <c r="J41" s="43">
        <f t="shared" ca="1" si="31"/>
        <v>0.17495518225881415</v>
      </c>
    </row>
    <row r="42" spans="1:11" ht="16" customHeight="1" thickBot="1" x14ac:dyDescent="0.3">
      <c r="B42" s="203" t="s">
        <v>473</v>
      </c>
      <c r="C42" s="80">
        <f ca="1">SUM(C34:C41)</f>
        <v>970362</v>
      </c>
      <c r="D42" s="81">
        <f ca="1">SUM(D34:D41)</f>
        <v>830747</v>
      </c>
      <c r="E42" s="81">
        <f ca="1">SUM(E34:E41)</f>
        <v>139615</v>
      </c>
      <c r="F42" s="82">
        <f t="shared" ca="1" si="29"/>
        <v>0.16805958974272553</v>
      </c>
      <c r="H42" s="80">
        <f ca="1">SUM(H34:H41)</f>
        <v>714022</v>
      </c>
      <c r="I42" s="81">
        <f ca="1">SUM(I34:I41)</f>
        <v>116725</v>
      </c>
      <c r="J42" s="82">
        <f t="shared" ca="1" si="31"/>
        <v>0.16347535510110334</v>
      </c>
    </row>
    <row r="43" spans="1:11" s="52" customFormat="1" ht="16" customHeight="1" thickBot="1" x14ac:dyDescent="0.3">
      <c r="A43" s="2"/>
      <c r="B43" s="79" t="s">
        <v>19</v>
      </c>
      <c r="C43" s="62">
        <f ca="1">SUM(C32,C42)</f>
        <v>2287889</v>
      </c>
      <c r="D43" s="63">
        <f ca="1">SUM(D32,D42)</f>
        <v>2962229</v>
      </c>
      <c r="E43" s="63">
        <f ca="1">SUM(E32,E42)</f>
        <v>-674340</v>
      </c>
      <c r="F43" s="64">
        <f ca="1">IF(D43=0,IF(E43=0,0,-1),E43/ABS(D43))</f>
        <v>-0.22764614079465159</v>
      </c>
      <c r="G43" s="11"/>
      <c r="H43" s="62">
        <f ca="1">SUM(H32,H42)</f>
        <v>2522318</v>
      </c>
      <c r="I43" s="63">
        <f ca="1">SUM(I32,I42)</f>
        <v>439911</v>
      </c>
      <c r="J43" s="64">
        <f ca="1">IF(H43=0,IF(I43=0,0,-1),I43/ABS(H43))</f>
        <v>0.17440742999098449</v>
      </c>
      <c r="K43" s="51"/>
    </row>
    <row r="44" spans="1:11" s="52" customFormat="1" ht="16" customHeight="1" thickBot="1" x14ac:dyDescent="0.3">
      <c r="A44" s="2"/>
      <c r="B44" s="47" t="s">
        <v>20</v>
      </c>
      <c r="C44" s="48">
        <f ca="1">SUM(C27,C43)</f>
        <v>7512763</v>
      </c>
      <c r="D44" s="49">
        <f ca="1">SUM(D27,D43)</f>
        <v>7303034</v>
      </c>
      <c r="E44" s="49">
        <f ca="1">SUM(E27,E43)</f>
        <v>209729</v>
      </c>
      <c r="F44" s="50">
        <f ca="1">IF(D44=0,IF(E44=0,0,-1),E44/ABS(D44))</f>
        <v>2.8718064300398985E-2</v>
      </c>
      <c r="G44" s="11"/>
      <c r="H44" s="48">
        <f ca="1">SUM(H27,H43)</f>
        <v>5858456</v>
      </c>
      <c r="I44" s="49">
        <f ca="1">SUM(I27,I43)</f>
        <v>1444578</v>
      </c>
      <c r="J44" s="50">
        <f ca="1">IF(H44=0,IF(I44=0,0,-1),I44/ABS(H44))</f>
        <v>0.24657998626259206</v>
      </c>
      <c r="K44" s="51"/>
    </row>
    <row r="45" spans="1:11" s="227" customFormat="1" ht="16" customHeight="1" thickTop="1" x14ac:dyDescent="0.25">
      <c r="A45" s="85"/>
      <c r="B45" s="226"/>
      <c r="C45" s="101"/>
      <c r="D45" s="101"/>
      <c r="E45" s="101"/>
      <c r="F45" s="129"/>
      <c r="H45" s="101"/>
      <c r="I45" s="101"/>
      <c r="J45" s="129"/>
      <c r="K45" s="88"/>
    </row>
    <row r="46" spans="1:11" s="227" customFormat="1" ht="16" customHeight="1" x14ac:dyDescent="0.25">
      <c r="A46" s="85"/>
      <c r="B46" s="226" t="s">
        <v>484</v>
      </c>
      <c r="C46" s="234">
        <f ca="1">IF(C42=0,0,C20/C42)</f>
        <v>1.3733699382292381</v>
      </c>
      <c r="D46" s="234">
        <f ca="1">IF(D42=0,0,D20/D42)</f>
        <v>1.5616752151978881</v>
      </c>
      <c r="E46" s="234">
        <f t="shared" ref="E46:E51" ca="1" si="36">C46-D46</f>
        <v>-0.18830527696864996</v>
      </c>
      <c r="F46" s="236">
        <f t="shared" ref="F46:F51" ca="1" si="37">IF(D46=0,IF(E46=0,0,-1),E46/ABS(D46))</f>
        <v>-0.12057902637891887</v>
      </c>
      <c r="G46" s="235"/>
      <c r="H46" s="234">
        <f ca="1">IF(H42=0,0,H20/H42)</f>
        <v>1.3244395830940783</v>
      </c>
      <c r="I46" s="234">
        <f t="shared" ref="I46:I51" ca="1" si="38">D46-H46</f>
        <v>0.23723563210380982</v>
      </c>
      <c r="J46" s="236">
        <f t="shared" ref="J46:J51" ca="1" si="39">IF(H46=0,IF(I46=0,0,-1),I46/ABS(H46))</f>
        <v>0.17912152062806355</v>
      </c>
      <c r="K46" s="88"/>
    </row>
    <row r="47" spans="1:11" s="227" customFormat="1" ht="16" customHeight="1" x14ac:dyDescent="0.25">
      <c r="A47" s="85"/>
      <c r="B47" s="226" t="s">
        <v>485</v>
      </c>
      <c r="C47" s="234">
        <f ca="1">IF(C42=0,0,(C20-C14)/C42)</f>
        <v>1.0096778315721349</v>
      </c>
      <c r="D47" s="234">
        <f t="shared" ref="D47" ca="1" si="40">IF(D42=0,0,(D20-D14)/D42)</f>
        <v>1.1840090906136285</v>
      </c>
      <c r="E47" s="234">
        <f t="shared" ca="1" si="36"/>
        <v>-0.1743312590414936</v>
      </c>
      <c r="F47" s="236">
        <f t="shared" ca="1" si="37"/>
        <v>-0.14723810857832528</v>
      </c>
      <c r="G47" s="235"/>
      <c r="H47" s="234">
        <f ca="1">IF(H42=0,0,(H20-H14)/H42)</f>
        <v>0.97683684816434224</v>
      </c>
      <c r="I47" s="234">
        <f t="shared" ca="1" si="38"/>
        <v>0.20717224244928623</v>
      </c>
      <c r="J47" s="236">
        <f t="shared" ca="1" si="39"/>
        <v>0.21208479475216493</v>
      </c>
      <c r="K47" s="88"/>
    </row>
    <row r="48" spans="1:11" s="227" customFormat="1" ht="16" customHeight="1" x14ac:dyDescent="0.25">
      <c r="A48" s="85"/>
      <c r="B48" s="226" t="s">
        <v>486</v>
      </c>
      <c r="C48" s="234">
        <f ca="1">IF(IS!C6=0,0,C14/IS!C6*365)</f>
        <v>44.702374569462883</v>
      </c>
      <c r="D48" s="234">
        <f ca="1">IF(IS!D6=0,0,D14/IS!D6*365)</f>
        <v>40.851280864021369</v>
      </c>
      <c r="E48" s="234">
        <f t="shared" ca="1" si="36"/>
        <v>3.8510937054415137</v>
      </c>
      <c r="F48" s="236">
        <f t="shared" ca="1" si="37"/>
        <v>9.4271063819525366E-2</v>
      </c>
      <c r="G48" s="235"/>
      <c r="H48" s="234">
        <f ca="1">IF(IS!H6=0,0,H14/IS!H6*365)</f>
        <v>34.898348106164065</v>
      </c>
      <c r="I48" s="234">
        <f t="shared" ca="1" si="38"/>
        <v>5.9529327578573046</v>
      </c>
      <c r="J48" s="236">
        <f t="shared" ca="1" si="39"/>
        <v>0.17057921308332194</v>
      </c>
      <c r="K48" s="88"/>
    </row>
    <row r="49" spans="1:11" s="227" customFormat="1" ht="16" customHeight="1" x14ac:dyDescent="0.25">
      <c r="A49" s="85"/>
      <c r="B49" s="226" t="s">
        <v>487</v>
      </c>
      <c r="C49" s="234">
        <f ca="1">IF(IS!C5=0,0,C15/IS!C5*365)</f>
        <v>30.000020979153522</v>
      </c>
      <c r="D49" s="234">
        <f ca="1">IF(IS!D5=0,0,D15/IS!D5*365)</f>
        <v>28.999961070400577</v>
      </c>
      <c r="E49" s="234">
        <f t="shared" ca="1" si="36"/>
        <v>1.0000599087529451</v>
      </c>
      <c r="F49" s="236">
        <f t="shared" ca="1" si="37"/>
        <v>3.4484870732246514E-2</v>
      </c>
      <c r="G49" s="235"/>
      <c r="H49" s="234">
        <f ca="1">IF(IS!H5=0,0,H15/IS!H5*365)</f>
        <v>31.999992886935338</v>
      </c>
      <c r="I49" s="234">
        <f t="shared" ca="1" si="38"/>
        <v>-3.0000318165347615</v>
      </c>
      <c r="J49" s="236">
        <f t="shared" ca="1" si="39"/>
        <v>-9.3751015105993568E-2</v>
      </c>
      <c r="K49" s="88"/>
    </row>
    <row r="50" spans="1:11" s="227" customFormat="1" ht="16" customHeight="1" x14ac:dyDescent="0.25">
      <c r="A50" s="85"/>
      <c r="B50" s="226" t="s">
        <v>488</v>
      </c>
      <c r="C50" s="234">
        <f ca="1">IF(SUM(IS!C6,IS!C10)=0,0,SUM(C35:C36)/SUM(IS!C6,IS!C10)*365)</f>
        <v>20.469806514415261</v>
      </c>
      <c r="D50" s="234">
        <f ca="1">IF(SUM(IS!D6,IS!D10)=0,0,SUM(D35:D36)/SUM(IS!D6,IS!D10)*365)</f>
        <v>23.798092421284451</v>
      </c>
      <c r="E50" s="234">
        <f t="shared" ca="1" si="36"/>
        <v>-3.3282859068691906</v>
      </c>
      <c r="F50" s="236">
        <f t="shared" ca="1" si="37"/>
        <v>-0.13985515510866955</v>
      </c>
      <c r="G50" s="235"/>
      <c r="H50" s="234">
        <f ca="1">IF(SUM(IS!H6,IS!H10)=0,0,SUM(H35:H36)/SUM(IS!H6,IS!H10)*365)</f>
        <v>20.68934892713439</v>
      </c>
      <c r="I50" s="234">
        <f t="shared" ca="1" si="38"/>
        <v>3.1087434941500618</v>
      </c>
      <c r="J50" s="236">
        <f t="shared" ca="1" si="39"/>
        <v>0.15025815965010375</v>
      </c>
      <c r="K50" s="88"/>
    </row>
    <row r="51" spans="1:11" s="227" customFormat="1" ht="16" customHeight="1" x14ac:dyDescent="0.25">
      <c r="A51" s="85"/>
      <c r="B51" s="226" t="s">
        <v>489</v>
      </c>
      <c r="C51" s="234">
        <f ca="1">IF(C27=0,0,C43/C27)</f>
        <v>0.43788405232355843</v>
      </c>
      <c r="D51" s="234">
        <f ca="1">IF(D27=0,0,D43/D27)</f>
        <v>0.68241466732553069</v>
      </c>
      <c r="E51" s="234">
        <f t="shared" ca="1" si="36"/>
        <v>-0.24453061500197226</v>
      </c>
      <c r="F51" s="236">
        <f t="shared" ca="1" si="37"/>
        <v>-0.35833141740683661</v>
      </c>
      <c r="G51" s="235"/>
      <c r="H51" s="234">
        <f ca="1">IF(H27=0,0,H43/H27)</f>
        <v>0.75605925174558131</v>
      </c>
      <c r="I51" s="234">
        <f t="shared" ca="1" si="38"/>
        <v>-7.3644584420050618E-2</v>
      </c>
      <c r="J51" s="236">
        <f t="shared" ca="1" si="39"/>
        <v>-9.740583724095804E-2</v>
      </c>
      <c r="K51" s="88"/>
    </row>
    <row r="52" spans="1:11" s="232" customFormat="1" ht="16" customHeight="1" x14ac:dyDescent="0.25">
      <c r="A52" s="228"/>
      <c r="B52" s="229"/>
      <c r="C52" s="230" t="str">
        <f ca="1">IF(ROUND(C21-C44,0)=0,"",ROUND(C21-C44,0))</f>
        <v/>
      </c>
      <c r="D52" s="230" t="str">
        <f ca="1">IF(ROUND(D21-D44,0)=0,"",ROUND(D21-D44,0))</f>
        <v/>
      </c>
      <c r="E52" s="230"/>
      <c r="F52" s="231"/>
      <c r="H52" s="230" t="str">
        <f ca="1">IF(ROUND(H21-H44,0)=0,"",ROUND(H21-H44,0))</f>
        <v/>
      </c>
      <c r="I52" s="230"/>
      <c r="J52" s="231"/>
      <c r="K52" s="233"/>
    </row>
    <row r="53" spans="1:11" s="76" customFormat="1" ht="16" customHeight="1" x14ac:dyDescent="0.25">
      <c r="A53" s="6"/>
      <c r="B53" s="71" t="s">
        <v>396</v>
      </c>
      <c r="C53" s="73" t="str">
        <f ca="1">IF(ROUND(C21-C44,0)=0,"ok","error!")</f>
        <v>ok</v>
      </c>
      <c r="D53" s="73" t="str">
        <f ca="1">IF(ROUND(D21-D44,0)=0,"ok","error!")</f>
        <v>ok</v>
      </c>
      <c r="E53" s="74"/>
      <c r="F53" s="75"/>
      <c r="H53" s="73" t="str">
        <f ca="1">IF(ROUND(H21-H44,0)=0,"ok","error!")</f>
        <v>ok</v>
      </c>
      <c r="I53" s="74"/>
      <c r="J53" s="75"/>
      <c r="K53" s="77"/>
    </row>
  </sheetData>
  <conditionalFormatting sqref="D21">
    <cfRule type="expression" dxfId="11" priority="9" stopIfTrue="1">
      <formula>ROUND(D21-D44,0)&lt;&gt;0</formula>
    </cfRule>
  </conditionalFormatting>
  <conditionalFormatting sqref="C44:D44 H44">
    <cfRule type="expression" dxfId="10" priority="8" stopIfTrue="1">
      <formula>ROUND(C21-C44,0)&lt;&gt;0</formula>
    </cfRule>
  </conditionalFormatting>
  <conditionalFormatting sqref="C21">
    <cfRule type="expression" dxfId="9" priority="7" stopIfTrue="1">
      <formula>ROUND(C21-C44,0)&lt;&gt;0</formula>
    </cfRule>
  </conditionalFormatting>
  <conditionalFormatting sqref="H21">
    <cfRule type="expression" dxfId="8" priority="5" stopIfTrue="1">
      <formula>ROUND(H21-H44,0)&lt;&gt;0</formula>
    </cfRule>
  </conditionalFormatting>
  <conditionalFormatting sqref="C53:D53 H53">
    <cfRule type="containsText" dxfId="7" priority="1" stopIfTrue="1" operator="containsText" text="error!">
      <formula>NOT(ISERROR(SEARCH("error!",C53)))</formula>
    </cfRule>
  </conditionalFormatting>
  <pageMargins left="0.55118110236220474" right="0.55118110236220474" top="0.55118110236220474" bottom="0.55118110236220474" header="0.39370078740157483" footer="0.39370078740157483"/>
  <pageSetup paperSize="9" scale="59" fitToWidth="0" orientation="landscape" r:id="rId1"/>
  <headerFooter>
    <oddFooter>&amp;C&amp;"-,Regular"&amp;9Page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14</vt:i4>
      </vt:variant>
    </vt:vector>
  </HeadingPairs>
  <TitlesOfParts>
    <vt:vector size="15" baseType="lpstr">
      <vt:lpstr>Info</vt:lpstr>
      <vt:lpstr>BalRowNo</vt:lpstr>
      <vt:lpstr>CfsRowNo</vt:lpstr>
      <vt:lpstr>IncRowNo</vt:lpstr>
      <vt:lpstr>MonthNames</vt:lpstr>
      <vt:lpstr>BS!Print_Area</vt:lpstr>
      <vt:lpstr>CFS!Print_Area</vt:lpstr>
      <vt:lpstr>DB!Print_Area</vt:lpstr>
      <vt:lpstr>IS!Print_Area</vt:lpstr>
      <vt:lpstr>BS!Print_Titles</vt:lpstr>
      <vt:lpstr>CFS!Print_Titles</vt:lpstr>
      <vt:lpstr>Instructions!Print_Titles</vt:lpstr>
      <vt:lpstr>IS!Print_Titles</vt:lpstr>
      <vt:lpstr>TB!Print_Titles</vt:lpstr>
      <vt:lpstr>TBCheck!Print_Titles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Analysis Template - Excel Skills</dc:title>
  <dc:subject>Financial Statements</dc:subject>
  <dc:creator>Excel Skills International</dc:creator>
  <cp:keywords>fianancial analysis, financials</cp:keywords>
  <cp:lastModifiedBy>app</cp:lastModifiedBy>
  <cp:lastPrinted>2020-10-17T13:19:59Z</cp:lastPrinted>
  <dcterms:created xsi:type="dcterms:W3CDTF">2009-09-28T11:29:56Z</dcterms:created>
  <dcterms:modified xsi:type="dcterms:W3CDTF">2024-01-30T15:54:22Z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ae9982f3-967d-44d8-a196-28f91c31902a</vt:lpwstr>
  </property>
</Properties>
</file>