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tables/table1.xml" ContentType="application/vnd.openxmlformats-officedocument.spreadsheetml.table+xml"/>
  <Override PartName="/xl/drawings/drawing6.xml" ContentType="application/vnd.openxmlformats-officedocument.drawing+xml"/>
  <Override PartName="/xl/tables/table2.xml" ContentType="application/vnd.openxmlformats-officedocument.spreadsheetml.table+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6e47d59681a24c6b" Type="http://schemas.microsoft.com/office/2007/relationships/ui/extensibility" Target="customUI/customUI14.xml"/><Relationship Id="rId2" Type="http://schemas.openxmlformats.org/package/2006/relationships/metadata/core-properties" Target="docProps/core.xml"/><Relationship Id="rId1" Type="http://schemas.openxmlformats.org/officeDocument/2006/relationships/officeDocument" Target="xl/workbook.xml"/><Relationship Id="R8a92a287d5da41d2" Type="http://schemas.microsoft.com/office/2006/relationships/ui/extensibility" Target="customUI/customUI.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029"/>
  <workbookPr codeName="ThisWorkbook" hidePivotFieldList="1"/>
  <mc:AlternateContent xmlns:mc="http://schemas.openxmlformats.org/markup-compatibility/2006">
    <mc:Choice Requires="x15">
      <x15ac:absPath xmlns:x15ac="http://schemas.microsoft.com/office/spreadsheetml/2010/11/ac" url="D:\fc\fcproduction\files_vol\task\65b91c289b26bf4627058c26\"/>
    </mc:Choice>
  </mc:AlternateContent>
  <xr:revisionPtr revIDLastSave="0" documentId="8_{7D451A07-89B5-48C0-8372-BAD6C5C04480}" xr6:coauthVersionLast="47" xr6:coauthVersionMax="47" xr10:uidLastSave="{00000000-0000-0000-0000-000000000000}"/>
  <bookViews>
    <workbookView xWindow="1520" yWindow="1520" windowWidth="16800" windowHeight="9760" tabRatio="793" xr2:uid="{00000000-000D-0000-FFFF-FFFF00000000}"/>
  </bookViews>
  <sheets>
    <sheet name="Info" sheetId="24" r:id="rId1"/>
    <sheet name="Trial" sheetId="23" state="veryHidden" r:id="rId2"/>
    <sheet name="Instructions" sheetId="11" state="veryHidden" r:id="rId3"/>
    <sheet name="Set-up" sheetId="13" state="hidden" r:id="rId4"/>
    <sheet name="Assets" sheetId="25" state="veryHidden" r:id="rId5"/>
    <sheet name="Transact" sheetId="14" state="veryHidden" r:id="rId6"/>
    <sheet name="Category" sheetId="27" state="veryHidden" r:id="rId7"/>
    <sheet name="Class" sheetId="28" state="veryHidden" r:id="rId8"/>
    <sheet name="Journals" sheetId="30" state="veryHidden" r:id="rId9"/>
  </sheets>
  <definedNames>
    <definedName name="_xlnm._FilterDatabase" localSheetId="4" hidden="1">Assets!$A$4:$BF$44</definedName>
    <definedName name="_xlnm._FilterDatabase" localSheetId="5" hidden="1">Transact!$A$4:$AU$82</definedName>
    <definedName name="AssetAll">Asset[[#Data],[Asset Number]:[Last Trn Date]]</definedName>
    <definedName name="AssetCAdd">Asset[[#Data],[Additions]]</definedName>
    <definedName name="AssetCat">Asset[[#Data],[Category]]</definedName>
    <definedName name="AssetCDis">Asset[[#Data],[Disposals]]</definedName>
    <definedName name="AssetCImp">Asset[[#Data],[Impairment]]</definedName>
    <definedName name="AssetClass">Asset[[#Data],[Class]]</definedName>
    <definedName name="AssetCOB">Asset[[#Data],[AC Opening Balance]]</definedName>
    <definedName name="AssetCode">Asset[[#Data],[Asset Number]]</definedName>
    <definedName name="AssetCount">COUNTA(Asset[[#Data],[Asset Number]])</definedName>
    <definedName name="AssetCRev">Asset[[#Data],[Revaluations]]</definedName>
    <definedName name="AssetDDepC">Asset[[#Data],[Depreciation - Cost]]</definedName>
    <definedName name="AssetDDepR">Asset[[#Data],[Depreciation - Revaluation]]</definedName>
    <definedName name="AssetDDis">Asset[[#Data],[Acc Depr - Disposals]]</definedName>
    <definedName name="AssetDOB">Asset[[#Data],[AD Opening Balance]]</definedName>
    <definedName name="AssetDRev">Asset[[#Data],[Acc Depr - Revaluations]]</definedName>
    <definedName name="AssetErrorCode">Asset[[#Data],[Error Code]]</definedName>
    <definedName name="AssetIWO">Asset[[#Data],[Impairment Write-Offs]]</definedName>
    <definedName name="AssetMCost">Asset[[#Data],[Cost]]</definedName>
    <definedName name="AssetMDTax">Asset[[#Data],[DT MTD Movement]]</definedName>
    <definedName name="AssetMRev">Asset[[#Data],[Revaluation]]</definedName>
    <definedName name="AssetNo">Asset[[#Data],[Asset Number]]</definedName>
    <definedName name="AssetPLoss">Asset[[#Data],[Profit / (Loss) on Disposal]]</definedName>
    <definedName name="AssetRMove">Asset[[#Data],[Revaluation Surplus]]</definedName>
    <definedName name="AssetROB">Asset[[#Data],[RR Opening Balance]]</definedName>
    <definedName name="AssetYDTax">Asset[[#Data],[DT YTD Movement]]</definedName>
    <definedName name="CatAll">OFFSET('Set-up'!$A$22,1,0,ROW('Set-up'!$A$34)-ROW('Set-up'!$A$22)-1,11)</definedName>
    <definedName name="CatCode">OFFSET('Set-up'!$A$22,1,0,ROW('Set-up'!$A$34)-ROW('Set-up'!$A$22)-1,1)</definedName>
    <definedName name="CatCount">COUNTA(CatCode)</definedName>
    <definedName name="CatSumCount">COUNTA(OFFSET(Category!$A$5,1,0,Records,1))</definedName>
    <definedName name="ClassAll">OFFSET('Set-up'!$A$12,1,0,ROW('Set-up'!$A$19)-ROW('Set-up'!$A$12)-1,2)</definedName>
    <definedName name="ClassCode">OFFSET('Set-up'!$A$12,1,0,ROW('Set-up'!$A$19)-ROW('Set-up'!$A$12)-1,1)</definedName>
    <definedName name="ClassCount">COUNTA(ClassCode)</definedName>
    <definedName name="ClassSumCount">COUNTA(OFFSET(Class!$A$5,1,0,Records,1))</definedName>
    <definedName name="JnlCount">COUNTA(OFFSET(Category!$A$5,1,0,Records,1))</definedName>
    <definedName name="MonthNames">'Set-up'!$A$64:$A$75</definedName>
    <definedName name="_xlnm.Print_Area" localSheetId="2">Instructions!$A$1:$A$403</definedName>
    <definedName name="_xlnm.Print_Titles" localSheetId="4">Assets!$A:$C,Assets!$1:$4</definedName>
    <definedName name="_xlnm.Print_Titles" localSheetId="6">Category!$A:$B,Category!$1:$5</definedName>
    <definedName name="_xlnm.Print_Titles" localSheetId="7">Class!$A:$B,Class!$1:$5</definedName>
    <definedName name="_xlnm.Print_Titles" localSheetId="2">Instructions!$1:$4</definedName>
    <definedName name="_xlnm.Print_Titles" localSheetId="8">Journals!$A:$B,Journals!$1:$5</definedName>
    <definedName name="_xlnm.Print_Titles" localSheetId="5">Transact!$A:$C,Transact!$1:$4</definedName>
    <definedName name="Records">1000</definedName>
    <definedName name="TaxAll">OFFSET('Set-up'!$A$37,1,0,ROW('Set-up'!$A$48)-ROW('Set-up'!$A$37)-1,10)</definedName>
    <definedName name="TaxCode">OFFSET('Set-up'!$A$37,1,0,ROW('Set-up'!$A$48)-ROW('Set-up'!$A$37)-1,1)</definedName>
    <definedName name="TaxCumMonth">{12,24,36,48,60}</definedName>
    <definedName name="TaxCurMonth">{0,13,25,37,49}</definedName>
    <definedName name="TransAll">Trans[#Data]</definedName>
    <definedName name="TransAmount">Trans[[#Data],[Transaction Amount]]</definedName>
    <definedName name="TransAsset">Trans[[#Data],[Asset Number]]</definedName>
    <definedName name="TransCAccDep">Trans[[#Data],[Current Accum Depr]]</definedName>
    <definedName name="TransCat">Trans[[#Data],[Category]]</definedName>
    <definedName name="TransCCMDep">Trans[[#Data],[MTD Cost Depreciation]]</definedName>
    <definedName name="TransCCYDep">Trans[[#Data],[YTD Cost Depreciation]]</definedName>
    <definedName name="TransCCYDep2">Trans[[#Data],[YTD Total Depr at Cost]]</definedName>
    <definedName name="TransCLife">Trans[[#Data],[Current Lifetime]]</definedName>
    <definedName name="TransCount">COUNTA(Trans[[#Data],[Transaction Date]])</definedName>
    <definedName name="TransCRes">Trans[[#Data],[Current Residual]]</definedName>
    <definedName name="TransCTMDep">Trans[[#Data],[MTD Total Depreciation]]</definedName>
    <definedName name="TransCTYDep">Trans[[#Data],[YTD Total Depreciation]]</definedName>
    <definedName name="TransDate">Trans[[#Data],[Transaction Date]]</definedName>
    <definedName name="TransError">Trans[[#Data],[Error Code]]</definedName>
    <definedName name="TransHCost">Trans[[#Data],[Asset Historical Cost]]</definedName>
    <definedName name="TransIDDate">Trans[[#Data],[Transaction Date ID]]</definedName>
    <definedName name="TransImpair">Trans[[#Data],[Impairment Value]]</definedName>
    <definedName name="TransPCAccDep">Trans[[#Data],[Accum Depr at Cost PY]]</definedName>
    <definedName name="TransPCost">Trans[[#Data],[Previous Deemed Cost]]</definedName>
    <definedName name="TransPDate">Trans[[#Data],[Previous Trn Date]]</definedName>
    <definedName name="TransPLife">Trans[[#Data],[Previous Lifetime]]</definedName>
    <definedName name="TransPMAccDep">Trans[[#Data],[Accum Depr Cost at PM]]</definedName>
    <definedName name="TransPRes">Trans[[#Data],[Previous Residual Value]]</definedName>
    <definedName name="TransProceeds">Trans[[#Data],[Proceeds on Sale]]</definedName>
    <definedName name="TransProfit">Trans[[#Data],[Profit / (Loss) on Disposal]]</definedName>
    <definedName name="TransRAccDep">Trans[[#Data],[Accum Depr: Revaluation]]</definedName>
    <definedName name="TransRPAccDep">Trans[[#Data],[Accum Depr: Rev &lt;PY]]</definedName>
    <definedName name="TransRPrev">Trans[[#Data],[Previous Revaluation]]</definedName>
    <definedName name="TransRSurplus">Trans[[#Data],[Revaluation Surplus]]</definedName>
    <definedName name="TransTDCost">Trans[[#Data],[Depr: Cost by Transaction]]</definedName>
    <definedName name="TransType">Trans[[#Data],[Transaction Type]]</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34" i="28" l="1" a="1"/>
  <c r="A34" i="28" s="1"/>
  <c r="A33" i="28" a="1"/>
  <c r="A33" i="28" s="1"/>
  <c r="A32" i="28" a="1"/>
  <c r="A32" i="28" s="1"/>
  <c r="A31" i="28" a="1"/>
  <c r="A31" i="28" s="1"/>
  <c r="A30" i="28" a="1"/>
  <c r="A30" i="28" s="1"/>
  <c r="A29" i="28" a="1"/>
  <c r="A29" i="28" s="1"/>
  <c r="A28" i="28" a="1"/>
  <c r="A28" i="28" s="1"/>
  <c r="A27" i="28" a="1"/>
  <c r="A27" i="28" s="1"/>
  <c r="A26" i="28" a="1"/>
  <c r="A26" i="28" s="1"/>
  <c r="A25" i="28" a="1"/>
  <c r="A25" i="28" s="1"/>
  <c r="A24" i="28" a="1"/>
  <c r="A24" i="28" s="1"/>
  <c r="A23" i="28" a="1"/>
  <c r="A23" i="28" s="1"/>
  <c r="A22" i="28" a="1"/>
  <c r="A22" i="28" s="1"/>
  <c r="A21" i="28" a="1"/>
  <c r="A21" i="28" s="1"/>
  <c r="A20" i="28" a="1"/>
  <c r="A20" i="28" s="1"/>
  <c r="A19" i="28" a="1"/>
  <c r="A19" i="28" s="1"/>
  <c r="A18" i="28" a="1"/>
  <c r="A18" i="28" s="1"/>
  <c r="A17" i="28" a="1"/>
  <c r="A17" i="28" s="1"/>
  <c r="A16" i="28" a="1"/>
  <c r="A16" i="28" s="1"/>
  <c r="A15" i="28" a="1"/>
  <c r="A15" i="28" s="1"/>
  <c r="A14" i="28" a="1"/>
  <c r="A14" i="28" s="1"/>
  <c r="A13" i="28" a="1"/>
  <c r="A13" i="28" s="1"/>
  <c r="A12" i="28" a="1"/>
  <c r="A12" i="28" s="1"/>
  <c r="A11" i="28" a="1"/>
  <c r="A11" i="28" s="1"/>
  <c r="A10" i="28" a="1"/>
  <c r="A10" i="28" s="1"/>
  <c r="A9" i="28" a="1"/>
  <c r="A9" i="28" s="1"/>
  <c r="A8" i="28" a="1"/>
  <c r="A8" i="28" s="1"/>
  <c r="A7" i="28" a="1"/>
  <c r="A7" i="28" s="1"/>
  <c r="A6" i="28" a="1"/>
  <c r="A6" i="28" s="1"/>
  <c r="AS35" i="30" a="1"/>
  <c r="AS35" i="30" s="1"/>
  <c r="AQ35" i="30" a="1"/>
  <c r="AQ35" i="30" s="1"/>
  <c r="AO35" i="30" a="1"/>
  <c r="AO35" i="30" s="1"/>
  <c r="AM35" i="30" a="1"/>
  <c r="AM35" i="30" s="1"/>
  <c r="AK35" i="30" a="1"/>
  <c r="AK35" i="30" s="1"/>
  <c r="AI35" i="30" a="1"/>
  <c r="AI35" i="30" s="1"/>
  <c r="AG35" i="30" a="1"/>
  <c r="AG35" i="30" s="1"/>
  <c r="AE35" i="30" a="1"/>
  <c r="AE35" i="30" s="1"/>
  <c r="AC35" i="30" a="1"/>
  <c r="AC35" i="30" s="1"/>
  <c r="AA35" i="30" a="1"/>
  <c r="AA35" i="30" s="1"/>
  <c r="Y35" i="30" a="1"/>
  <c r="Y35" i="30" s="1"/>
  <c r="W35" i="30" a="1"/>
  <c r="W35" i="30" s="1"/>
  <c r="U35" i="30" a="1"/>
  <c r="U35" i="30" s="1"/>
  <c r="S35" i="30" a="1"/>
  <c r="S35" i="30" s="1"/>
  <c r="Q35" i="30" a="1"/>
  <c r="Q35" i="30" s="1"/>
  <c r="O35" i="30" a="1"/>
  <c r="O35" i="30" s="1"/>
  <c r="M35" i="30" a="1"/>
  <c r="M35" i="30" s="1"/>
  <c r="K35" i="30" a="1"/>
  <c r="K35" i="30" s="1"/>
  <c r="I35" i="30" a="1"/>
  <c r="I35" i="30" s="1"/>
  <c r="G35" i="30" a="1"/>
  <c r="G35" i="30" s="1"/>
  <c r="E35" i="30" a="1"/>
  <c r="E35" i="30" s="1"/>
  <c r="C35" i="30" a="1"/>
  <c r="C35" i="30" s="1"/>
  <c r="A35" i="30" a="1"/>
  <c r="A35" i="30" s="1"/>
  <c r="AS34" i="30" a="1"/>
  <c r="AS34" i="30" s="1"/>
  <c r="AQ34" i="30" a="1"/>
  <c r="AQ34" i="30" s="1"/>
  <c r="AO34" i="30" a="1"/>
  <c r="AO34" i="30" s="1"/>
  <c r="AM34" i="30" a="1"/>
  <c r="AM34" i="30" s="1"/>
  <c r="AK34" i="30" a="1"/>
  <c r="AK34" i="30" s="1"/>
  <c r="AI34" i="30" a="1"/>
  <c r="AI34" i="30" s="1"/>
  <c r="AG34" i="30" a="1"/>
  <c r="AG34" i="30" s="1"/>
  <c r="AE34" i="30" a="1"/>
  <c r="AE34" i="30" s="1"/>
  <c r="AC34" i="30" a="1"/>
  <c r="AC34" i="30" s="1"/>
  <c r="AA34" i="30" a="1"/>
  <c r="AA34" i="30" s="1"/>
  <c r="Y34" i="30" a="1"/>
  <c r="Y34" i="30" s="1"/>
  <c r="W34" i="30" a="1"/>
  <c r="W34" i="30" s="1"/>
  <c r="U34" i="30" a="1"/>
  <c r="U34" i="30" s="1"/>
  <c r="S34" i="30" a="1"/>
  <c r="S34" i="30" s="1"/>
  <c r="Q34" i="30" a="1"/>
  <c r="Q34" i="30" s="1"/>
  <c r="O34" i="30" a="1"/>
  <c r="O34" i="30" s="1"/>
  <c r="M34" i="30" a="1"/>
  <c r="M34" i="30" s="1"/>
  <c r="K34" i="30" a="1"/>
  <c r="K34" i="30" s="1"/>
  <c r="I34" i="30" a="1"/>
  <c r="I34" i="30" s="1"/>
  <c r="G34" i="30" a="1"/>
  <c r="G34" i="30" s="1"/>
  <c r="E34" i="30" a="1"/>
  <c r="E34" i="30" s="1"/>
  <c r="C34" i="30" a="1"/>
  <c r="C34" i="30" s="1"/>
  <c r="A34" i="30" a="1"/>
  <c r="A34" i="30" s="1"/>
  <c r="AS33" i="30" a="1"/>
  <c r="AS33" i="30" s="1"/>
  <c r="AQ33" i="30" a="1"/>
  <c r="AQ33" i="30" s="1"/>
  <c r="AO33" i="30" a="1"/>
  <c r="AO33" i="30" s="1"/>
  <c r="AM33" i="30" a="1"/>
  <c r="AM33" i="30" s="1"/>
  <c r="AK33" i="30" a="1"/>
  <c r="AK33" i="30" s="1"/>
  <c r="AI33" i="30" a="1"/>
  <c r="AI33" i="30" s="1"/>
  <c r="AG33" i="30" a="1"/>
  <c r="AG33" i="30" s="1"/>
  <c r="AE33" i="30" a="1"/>
  <c r="AE33" i="30" s="1"/>
  <c r="AC33" i="30" a="1"/>
  <c r="AC33" i="30" s="1"/>
  <c r="AA33" i="30" a="1"/>
  <c r="AA33" i="30" s="1"/>
  <c r="Y33" i="30" a="1"/>
  <c r="Y33" i="30" s="1"/>
  <c r="W33" i="30" a="1"/>
  <c r="W33" i="30" s="1"/>
  <c r="U33" i="30" a="1"/>
  <c r="U33" i="30" s="1"/>
  <c r="S33" i="30" a="1"/>
  <c r="S33" i="30" s="1"/>
  <c r="Q33" i="30" a="1"/>
  <c r="Q33" i="30" s="1"/>
  <c r="O33" i="30" a="1"/>
  <c r="O33" i="30" s="1"/>
  <c r="M33" i="30" a="1"/>
  <c r="M33" i="30" s="1"/>
  <c r="K33" i="30" a="1"/>
  <c r="K33" i="30" s="1"/>
  <c r="I33" i="30" a="1"/>
  <c r="I33" i="30" s="1"/>
  <c r="G33" i="30" a="1"/>
  <c r="G33" i="30" s="1"/>
  <c r="E33" i="30" a="1"/>
  <c r="E33" i="30" s="1"/>
  <c r="C33" i="30" a="1"/>
  <c r="C33" i="30" s="1"/>
  <c r="A33" i="30" a="1"/>
  <c r="A33" i="30" s="1"/>
  <c r="AS32" i="30" a="1"/>
  <c r="AS32" i="30" s="1"/>
  <c r="AQ32" i="30" a="1"/>
  <c r="AQ32" i="30" s="1"/>
  <c r="AO32" i="30" a="1"/>
  <c r="AO32" i="30" s="1"/>
  <c r="AM32" i="30" a="1"/>
  <c r="AM32" i="30" s="1"/>
  <c r="AK32" i="30" a="1"/>
  <c r="AK32" i="30" s="1"/>
  <c r="AI32" i="30" a="1"/>
  <c r="AI32" i="30" s="1"/>
  <c r="AG32" i="30" a="1"/>
  <c r="AG32" i="30" s="1"/>
  <c r="AE32" i="30" a="1"/>
  <c r="AE32" i="30" s="1"/>
  <c r="AC32" i="30" a="1"/>
  <c r="AC32" i="30" s="1"/>
  <c r="AA32" i="30" a="1"/>
  <c r="AA32" i="30" s="1"/>
  <c r="Y32" i="30" a="1"/>
  <c r="Y32" i="30" s="1"/>
  <c r="W32" i="30" a="1"/>
  <c r="W32" i="30" s="1"/>
  <c r="U32" i="30" a="1"/>
  <c r="U32" i="30" s="1"/>
  <c r="S32" i="30" a="1"/>
  <c r="S32" i="30" s="1"/>
  <c r="Q32" i="30" a="1"/>
  <c r="Q32" i="30" s="1"/>
  <c r="O32" i="30" a="1"/>
  <c r="O32" i="30" s="1"/>
  <c r="M32" i="30" a="1"/>
  <c r="M32" i="30" s="1"/>
  <c r="K32" i="30" a="1"/>
  <c r="K32" i="30" s="1"/>
  <c r="I32" i="30" a="1"/>
  <c r="I32" i="30" s="1"/>
  <c r="G32" i="30" a="1"/>
  <c r="G32" i="30" s="1"/>
  <c r="E32" i="30" a="1"/>
  <c r="E32" i="30" s="1"/>
  <c r="C32" i="30" a="1"/>
  <c r="C32" i="30" s="1"/>
  <c r="A32" i="30" a="1"/>
  <c r="A32" i="30" s="1"/>
  <c r="AS31" i="30" a="1"/>
  <c r="AS31" i="30" s="1"/>
  <c r="AQ31" i="30" a="1"/>
  <c r="AQ31" i="30" s="1"/>
  <c r="AO31" i="30" a="1"/>
  <c r="AO31" i="30" s="1"/>
  <c r="AM31" i="30" a="1"/>
  <c r="AM31" i="30" s="1"/>
  <c r="AK31" i="30" a="1"/>
  <c r="AK31" i="30" s="1"/>
  <c r="AI31" i="30" a="1"/>
  <c r="AI31" i="30" s="1"/>
  <c r="AG31" i="30" a="1"/>
  <c r="AG31" i="30" s="1"/>
  <c r="AE31" i="30" a="1"/>
  <c r="AE31" i="30" s="1"/>
  <c r="AC31" i="30" a="1"/>
  <c r="AC31" i="30" s="1"/>
  <c r="AA31" i="30" a="1"/>
  <c r="AA31" i="30" s="1"/>
  <c r="Y31" i="30" a="1"/>
  <c r="Y31" i="30" s="1"/>
  <c r="W31" i="30" a="1"/>
  <c r="W31" i="30" s="1"/>
  <c r="U31" i="30" a="1"/>
  <c r="U31" i="30" s="1"/>
  <c r="S31" i="30" a="1"/>
  <c r="S31" i="30" s="1"/>
  <c r="Q31" i="30" a="1"/>
  <c r="Q31" i="30" s="1"/>
  <c r="O31" i="30" a="1"/>
  <c r="O31" i="30" s="1"/>
  <c r="M31" i="30" a="1"/>
  <c r="M31" i="30" s="1"/>
  <c r="K31" i="30" a="1"/>
  <c r="K31" i="30" s="1"/>
  <c r="I31" i="30" a="1"/>
  <c r="I31" i="30" s="1"/>
  <c r="G31" i="30" a="1"/>
  <c r="G31" i="30" s="1"/>
  <c r="E31" i="30" a="1"/>
  <c r="E31" i="30" s="1"/>
  <c r="C31" i="30" a="1"/>
  <c r="C31" i="30" s="1"/>
  <c r="A31" i="30" a="1"/>
  <c r="A31" i="30" s="1"/>
  <c r="AS30" i="30" a="1"/>
  <c r="AS30" i="30" s="1"/>
  <c r="AQ30" i="30" a="1"/>
  <c r="AQ30" i="30" s="1"/>
  <c r="AO30" i="30" a="1"/>
  <c r="AO30" i="30" s="1"/>
  <c r="AM30" i="30" a="1"/>
  <c r="AM30" i="30" s="1"/>
  <c r="AK30" i="30" a="1"/>
  <c r="AK30" i="30" s="1"/>
  <c r="AI30" i="30" a="1"/>
  <c r="AI30" i="30" s="1"/>
  <c r="AG30" i="30" a="1"/>
  <c r="AG30" i="30" s="1"/>
  <c r="AE30" i="30" a="1"/>
  <c r="AE30" i="30" s="1"/>
  <c r="AC30" i="30" a="1"/>
  <c r="AC30" i="30" s="1"/>
  <c r="AA30" i="30" a="1"/>
  <c r="AA30" i="30" s="1"/>
  <c r="Y30" i="30" a="1"/>
  <c r="Y30" i="30" s="1"/>
  <c r="W30" i="30" a="1"/>
  <c r="W30" i="30" s="1"/>
  <c r="U30" i="30" a="1"/>
  <c r="U30" i="30" s="1"/>
  <c r="S30" i="30" a="1"/>
  <c r="S30" i="30" s="1"/>
  <c r="Q30" i="30" a="1"/>
  <c r="Q30" i="30" s="1"/>
  <c r="O30" i="30" a="1"/>
  <c r="O30" i="30" s="1"/>
  <c r="M30" i="30" a="1"/>
  <c r="M30" i="30" s="1"/>
  <c r="K30" i="30" a="1"/>
  <c r="K30" i="30" s="1"/>
  <c r="I30" i="30" a="1"/>
  <c r="I30" i="30" s="1"/>
  <c r="G30" i="30" a="1"/>
  <c r="G30" i="30" s="1"/>
  <c r="E30" i="30" a="1"/>
  <c r="E30" i="30" s="1"/>
  <c r="C30" i="30" a="1"/>
  <c r="C30" i="30" s="1"/>
  <c r="A30" i="30" a="1"/>
  <c r="A30" i="30" s="1"/>
  <c r="AS29" i="30" a="1"/>
  <c r="AS29" i="30" s="1"/>
  <c r="AQ29" i="30" a="1"/>
  <c r="AQ29" i="30" s="1"/>
  <c r="AO29" i="30" a="1"/>
  <c r="AO29" i="30" s="1"/>
  <c r="AM29" i="30" a="1"/>
  <c r="AM29" i="30" s="1"/>
  <c r="AK29" i="30" a="1"/>
  <c r="AK29" i="30" s="1"/>
  <c r="AI29" i="30" a="1"/>
  <c r="AI29" i="30" s="1"/>
  <c r="AG29" i="30" a="1"/>
  <c r="AG29" i="30" s="1"/>
  <c r="AE29" i="30" a="1"/>
  <c r="AE29" i="30" s="1"/>
  <c r="AC29" i="30" a="1"/>
  <c r="AC29" i="30" s="1"/>
  <c r="AA29" i="30" a="1"/>
  <c r="AA29" i="30" s="1"/>
  <c r="Y29" i="30" a="1"/>
  <c r="Y29" i="30" s="1"/>
  <c r="W29" i="30" a="1"/>
  <c r="W29" i="30" s="1"/>
  <c r="U29" i="30" a="1"/>
  <c r="U29" i="30" s="1"/>
  <c r="S29" i="30" a="1"/>
  <c r="S29" i="30" s="1"/>
  <c r="Q29" i="30" a="1"/>
  <c r="Q29" i="30" s="1"/>
  <c r="O29" i="30" a="1"/>
  <c r="O29" i="30" s="1"/>
  <c r="M29" i="30" a="1"/>
  <c r="M29" i="30" s="1"/>
  <c r="K29" i="30" a="1"/>
  <c r="K29" i="30" s="1"/>
  <c r="I29" i="30" a="1"/>
  <c r="I29" i="30" s="1"/>
  <c r="G29" i="30" a="1"/>
  <c r="G29" i="30" s="1"/>
  <c r="E29" i="30" a="1"/>
  <c r="E29" i="30" s="1"/>
  <c r="C29" i="30" a="1"/>
  <c r="C29" i="30" s="1"/>
  <c r="A29" i="30" a="1"/>
  <c r="A29" i="30" s="1"/>
  <c r="AS28" i="30" a="1"/>
  <c r="AS28" i="30" s="1"/>
  <c r="AQ28" i="30" a="1"/>
  <c r="AQ28" i="30" s="1"/>
  <c r="AO28" i="30" a="1"/>
  <c r="AO28" i="30" s="1"/>
  <c r="AM28" i="30" a="1"/>
  <c r="AM28" i="30" s="1"/>
  <c r="AK28" i="30" a="1"/>
  <c r="AK28" i="30" s="1"/>
  <c r="AI28" i="30" a="1"/>
  <c r="AI28" i="30" s="1"/>
  <c r="AG28" i="30" a="1"/>
  <c r="AG28" i="30" s="1"/>
  <c r="AE28" i="30" a="1"/>
  <c r="AE28" i="30" s="1"/>
  <c r="AC28" i="30" a="1"/>
  <c r="AC28" i="30" s="1"/>
  <c r="AA28" i="30" a="1"/>
  <c r="AA28" i="30" s="1"/>
  <c r="Y28" i="30" a="1"/>
  <c r="Y28" i="30" s="1"/>
  <c r="W28" i="30" a="1"/>
  <c r="W28" i="30" s="1"/>
  <c r="U28" i="30" a="1"/>
  <c r="U28" i="30" s="1"/>
  <c r="S28" i="30" a="1"/>
  <c r="S28" i="30" s="1"/>
  <c r="Q28" i="30" a="1"/>
  <c r="Q28" i="30" s="1"/>
  <c r="O28" i="30" a="1"/>
  <c r="O28" i="30" s="1"/>
  <c r="M28" i="30" a="1"/>
  <c r="M28" i="30" s="1"/>
  <c r="K28" i="30" a="1"/>
  <c r="K28" i="30" s="1"/>
  <c r="I28" i="30" a="1"/>
  <c r="I28" i="30" s="1"/>
  <c r="G28" i="30" a="1"/>
  <c r="G28" i="30" s="1"/>
  <c r="E28" i="30" a="1"/>
  <c r="E28" i="30" s="1"/>
  <c r="C28" i="30" a="1"/>
  <c r="C28" i="30" s="1"/>
  <c r="A28" i="30" a="1"/>
  <c r="A28" i="30" s="1"/>
  <c r="AS27" i="30" a="1"/>
  <c r="AS27" i="30" s="1"/>
  <c r="AQ27" i="30" a="1"/>
  <c r="AQ27" i="30" s="1"/>
  <c r="AO27" i="30" a="1"/>
  <c r="AO27" i="30" s="1"/>
  <c r="AM27" i="30" a="1"/>
  <c r="AM27" i="30" s="1"/>
  <c r="AK27" i="30" a="1"/>
  <c r="AK27" i="30" s="1"/>
  <c r="AI27" i="30" a="1"/>
  <c r="AI27" i="30" s="1"/>
  <c r="AG27" i="30" a="1"/>
  <c r="AG27" i="30" s="1"/>
  <c r="AE27" i="30" a="1"/>
  <c r="AE27" i="30" s="1"/>
  <c r="AC27" i="30" a="1"/>
  <c r="AC27" i="30" s="1"/>
  <c r="AA27" i="30" a="1"/>
  <c r="AA27" i="30" s="1"/>
  <c r="Y27" i="30" a="1"/>
  <c r="Y27" i="30" s="1"/>
  <c r="W27" i="30" a="1"/>
  <c r="W27" i="30" s="1"/>
  <c r="U27" i="30" a="1"/>
  <c r="U27" i="30" s="1"/>
  <c r="S27" i="30" a="1"/>
  <c r="S27" i="30" s="1"/>
  <c r="Q27" i="30" a="1"/>
  <c r="Q27" i="30" s="1"/>
  <c r="O27" i="30" a="1"/>
  <c r="O27" i="30" s="1"/>
  <c r="M27" i="30" a="1"/>
  <c r="M27" i="30" s="1"/>
  <c r="K27" i="30" a="1"/>
  <c r="K27" i="30" s="1"/>
  <c r="I27" i="30" a="1"/>
  <c r="I27" i="30" s="1"/>
  <c r="G27" i="30" a="1"/>
  <c r="G27" i="30" s="1"/>
  <c r="E27" i="30" a="1"/>
  <c r="E27" i="30" s="1"/>
  <c r="C27" i="30" a="1"/>
  <c r="C27" i="30" s="1"/>
  <c r="A27" i="30" a="1"/>
  <c r="A27" i="30" s="1"/>
  <c r="AS26" i="30" a="1"/>
  <c r="AS26" i="30" s="1"/>
  <c r="AQ26" i="30" a="1"/>
  <c r="AQ26" i="30" s="1"/>
  <c r="AO26" i="30" a="1"/>
  <c r="AO26" i="30" s="1"/>
  <c r="AM26" i="30" a="1"/>
  <c r="AM26" i="30" s="1"/>
  <c r="AK26" i="30" a="1"/>
  <c r="AK26" i="30" s="1"/>
  <c r="AI26" i="30" a="1"/>
  <c r="AI26" i="30" s="1"/>
  <c r="AG26" i="30" a="1"/>
  <c r="AG26" i="30" s="1"/>
  <c r="AE26" i="30" a="1"/>
  <c r="AE26" i="30" s="1"/>
  <c r="AC26" i="30" a="1"/>
  <c r="AC26" i="30" s="1"/>
  <c r="AA26" i="30" a="1"/>
  <c r="AA26" i="30" s="1"/>
  <c r="Y26" i="30" a="1"/>
  <c r="Y26" i="30" s="1"/>
  <c r="W26" i="30" a="1"/>
  <c r="W26" i="30" s="1"/>
  <c r="U26" i="30" a="1"/>
  <c r="U26" i="30" s="1"/>
  <c r="S26" i="30" a="1"/>
  <c r="S26" i="30" s="1"/>
  <c r="Q26" i="30" a="1"/>
  <c r="Q26" i="30" s="1"/>
  <c r="O26" i="30" a="1"/>
  <c r="O26" i="30" s="1"/>
  <c r="M26" i="30" a="1"/>
  <c r="M26" i="30" s="1"/>
  <c r="K26" i="30" a="1"/>
  <c r="K26" i="30" s="1"/>
  <c r="I26" i="30" a="1"/>
  <c r="I26" i="30" s="1"/>
  <c r="G26" i="30" a="1"/>
  <c r="G26" i="30" s="1"/>
  <c r="E26" i="30" a="1"/>
  <c r="E26" i="30" s="1"/>
  <c r="C26" i="30" a="1"/>
  <c r="C26" i="30" s="1"/>
  <c r="A26" i="30" a="1"/>
  <c r="A26" i="30" s="1"/>
  <c r="AS25" i="30" a="1"/>
  <c r="AS25" i="30" s="1"/>
  <c r="AQ25" i="30" a="1"/>
  <c r="AQ25" i="30" s="1"/>
  <c r="AO25" i="30" a="1"/>
  <c r="AO25" i="30" s="1"/>
  <c r="AM25" i="30" a="1"/>
  <c r="AM25" i="30" s="1"/>
  <c r="AK25" i="30" a="1"/>
  <c r="AK25" i="30" s="1"/>
  <c r="AI25" i="30" a="1"/>
  <c r="AI25" i="30" s="1"/>
  <c r="AG25" i="30" a="1"/>
  <c r="AG25" i="30" s="1"/>
  <c r="AE25" i="30" a="1"/>
  <c r="AE25" i="30" s="1"/>
  <c r="AC25" i="30" a="1"/>
  <c r="AC25" i="30" s="1"/>
  <c r="AA25" i="30" a="1"/>
  <c r="AA25" i="30" s="1"/>
  <c r="Y25" i="30" a="1"/>
  <c r="Y25" i="30" s="1"/>
  <c r="W25" i="30" a="1"/>
  <c r="W25" i="30" s="1"/>
  <c r="U25" i="30" a="1"/>
  <c r="U25" i="30" s="1"/>
  <c r="S25" i="30" a="1"/>
  <c r="S25" i="30" s="1"/>
  <c r="Q25" i="30" a="1"/>
  <c r="Q25" i="30" s="1"/>
  <c r="O25" i="30" a="1"/>
  <c r="O25" i="30" s="1"/>
  <c r="M25" i="30" a="1"/>
  <c r="M25" i="30" s="1"/>
  <c r="K25" i="30" a="1"/>
  <c r="K25" i="30" s="1"/>
  <c r="I25" i="30" a="1"/>
  <c r="I25" i="30" s="1"/>
  <c r="G25" i="30" a="1"/>
  <c r="G25" i="30" s="1"/>
  <c r="E25" i="30" a="1"/>
  <c r="E25" i="30" s="1"/>
  <c r="C25" i="30" a="1"/>
  <c r="C25" i="30" s="1"/>
  <c r="A25" i="30" a="1"/>
  <c r="A25" i="30" s="1"/>
  <c r="AS24" i="30" a="1"/>
  <c r="AS24" i="30" s="1"/>
  <c r="AQ24" i="30" a="1"/>
  <c r="AQ24" i="30" s="1"/>
  <c r="AO24" i="30" a="1"/>
  <c r="AO24" i="30" s="1"/>
  <c r="AM24" i="30" a="1"/>
  <c r="AM24" i="30" s="1"/>
  <c r="AK24" i="30" a="1"/>
  <c r="AK24" i="30" s="1"/>
  <c r="AI24" i="30" a="1"/>
  <c r="AI24" i="30" s="1"/>
  <c r="AG24" i="30" a="1"/>
  <c r="AG24" i="30" s="1"/>
  <c r="AE24" i="30" a="1"/>
  <c r="AE24" i="30" s="1"/>
  <c r="AC24" i="30" a="1"/>
  <c r="AC24" i="30" s="1"/>
  <c r="AA24" i="30" a="1"/>
  <c r="AA24" i="30" s="1"/>
  <c r="Y24" i="30" a="1"/>
  <c r="Y24" i="30" s="1"/>
  <c r="W24" i="30" a="1"/>
  <c r="W24" i="30" s="1"/>
  <c r="U24" i="30" a="1"/>
  <c r="U24" i="30" s="1"/>
  <c r="S24" i="30" a="1"/>
  <c r="S24" i="30" s="1"/>
  <c r="Q24" i="30" a="1"/>
  <c r="Q24" i="30" s="1"/>
  <c r="O24" i="30" a="1"/>
  <c r="O24" i="30" s="1"/>
  <c r="M24" i="30" a="1"/>
  <c r="M24" i="30" s="1"/>
  <c r="K24" i="30" a="1"/>
  <c r="K24" i="30" s="1"/>
  <c r="I24" i="30" a="1"/>
  <c r="I24" i="30" s="1"/>
  <c r="G24" i="30" a="1"/>
  <c r="G24" i="30" s="1"/>
  <c r="E24" i="30" a="1"/>
  <c r="E24" i="30" s="1"/>
  <c r="C24" i="30" a="1"/>
  <c r="C24" i="30" s="1"/>
  <c r="A24" i="30" a="1"/>
  <c r="A24" i="30" s="1"/>
  <c r="AS23" i="30" a="1"/>
  <c r="AS23" i="30" s="1"/>
  <c r="AQ23" i="30" a="1"/>
  <c r="AQ23" i="30" s="1"/>
  <c r="AO23" i="30" a="1"/>
  <c r="AO23" i="30" s="1"/>
  <c r="AM23" i="30" a="1"/>
  <c r="AM23" i="30" s="1"/>
  <c r="AK23" i="30" a="1"/>
  <c r="AK23" i="30" s="1"/>
  <c r="AI23" i="30" a="1"/>
  <c r="AI23" i="30" s="1"/>
  <c r="AG23" i="30" a="1"/>
  <c r="AG23" i="30" s="1"/>
  <c r="AE23" i="30" a="1"/>
  <c r="AE23" i="30" s="1"/>
  <c r="AC23" i="30" a="1"/>
  <c r="AC23" i="30" s="1"/>
  <c r="AA23" i="30" a="1"/>
  <c r="AA23" i="30" s="1"/>
  <c r="Y23" i="30" a="1"/>
  <c r="Y23" i="30" s="1"/>
  <c r="W23" i="30" a="1"/>
  <c r="W23" i="30" s="1"/>
  <c r="U23" i="30" a="1"/>
  <c r="U23" i="30" s="1"/>
  <c r="S23" i="30" a="1"/>
  <c r="S23" i="30" s="1"/>
  <c r="Q23" i="30" a="1"/>
  <c r="Q23" i="30" s="1"/>
  <c r="O23" i="30" a="1"/>
  <c r="O23" i="30" s="1"/>
  <c r="M23" i="30" a="1"/>
  <c r="M23" i="30" s="1"/>
  <c r="K23" i="30" a="1"/>
  <c r="K23" i="30" s="1"/>
  <c r="I23" i="30" a="1"/>
  <c r="I23" i="30" s="1"/>
  <c r="G23" i="30" a="1"/>
  <c r="G23" i="30" s="1"/>
  <c r="E23" i="30" a="1"/>
  <c r="E23" i="30" s="1"/>
  <c r="C23" i="30" a="1"/>
  <c r="C23" i="30" s="1"/>
  <c r="A23" i="30" a="1"/>
  <c r="A23" i="30" s="1"/>
  <c r="AS22" i="30" a="1"/>
  <c r="AS22" i="30" s="1"/>
  <c r="AQ22" i="30" a="1"/>
  <c r="AQ22" i="30" s="1"/>
  <c r="AO22" i="30" a="1"/>
  <c r="AO22" i="30" s="1"/>
  <c r="AM22" i="30" a="1"/>
  <c r="AM22" i="30" s="1"/>
  <c r="AK22" i="30" a="1"/>
  <c r="AK22" i="30" s="1"/>
  <c r="AI22" i="30" a="1"/>
  <c r="AI22" i="30" s="1"/>
  <c r="AG22" i="30" a="1"/>
  <c r="AG22" i="30" s="1"/>
  <c r="AE22" i="30" a="1"/>
  <c r="AE22" i="30" s="1"/>
  <c r="AC22" i="30" a="1"/>
  <c r="AC22" i="30" s="1"/>
  <c r="AA22" i="30" a="1"/>
  <c r="AA22" i="30" s="1"/>
  <c r="Y22" i="30" a="1"/>
  <c r="Y22" i="30" s="1"/>
  <c r="W22" i="30" a="1"/>
  <c r="W22" i="30" s="1"/>
  <c r="U22" i="30" a="1"/>
  <c r="U22" i="30" s="1"/>
  <c r="S22" i="30" a="1"/>
  <c r="S22" i="30" s="1"/>
  <c r="Q22" i="30" a="1"/>
  <c r="Q22" i="30" s="1"/>
  <c r="O22" i="30" a="1"/>
  <c r="O22" i="30" s="1"/>
  <c r="M22" i="30" a="1"/>
  <c r="M22" i="30" s="1"/>
  <c r="K22" i="30" a="1"/>
  <c r="K22" i="30" s="1"/>
  <c r="I22" i="30" a="1"/>
  <c r="I22" i="30" s="1"/>
  <c r="G22" i="30" a="1"/>
  <c r="G22" i="30" s="1"/>
  <c r="E22" i="30" a="1"/>
  <c r="E22" i="30" s="1"/>
  <c r="C22" i="30" a="1"/>
  <c r="C22" i="30" s="1"/>
  <c r="A22" i="30" a="1"/>
  <c r="A22" i="30" s="1"/>
  <c r="AS21" i="30" a="1"/>
  <c r="AS21" i="30" s="1"/>
  <c r="AQ21" i="30" a="1"/>
  <c r="AQ21" i="30" s="1"/>
  <c r="AO21" i="30" a="1"/>
  <c r="AO21" i="30" s="1"/>
  <c r="AM21" i="30" a="1"/>
  <c r="AM21" i="30" s="1"/>
  <c r="AK21" i="30" a="1"/>
  <c r="AK21" i="30" s="1"/>
  <c r="AI21" i="30" a="1"/>
  <c r="AI21" i="30" s="1"/>
  <c r="AG21" i="30" a="1"/>
  <c r="AG21" i="30" s="1"/>
  <c r="AE21" i="30" a="1"/>
  <c r="AE21" i="30" s="1"/>
  <c r="AC21" i="30" a="1"/>
  <c r="AC21" i="30" s="1"/>
  <c r="AA21" i="30" a="1"/>
  <c r="AA21" i="30" s="1"/>
  <c r="Y21" i="30" a="1"/>
  <c r="Y21" i="30" s="1"/>
  <c r="W21" i="30" a="1"/>
  <c r="W21" i="30" s="1"/>
  <c r="U21" i="30" a="1"/>
  <c r="U21" i="30" s="1"/>
  <c r="S21" i="30" a="1"/>
  <c r="S21" i="30" s="1"/>
  <c r="Q21" i="30" a="1"/>
  <c r="Q21" i="30" s="1"/>
  <c r="O21" i="30" a="1"/>
  <c r="O21" i="30" s="1"/>
  <c r="M21" i="30" a="1"/>
  <c r="M21" i="30" s="1"/>
  <c r="K21" i="30" a="1"/>
  <c r="K21" i="30" s="1"/>
  <c r="I21" i="30" a="1"/>
  <c r="I21" i="30" s="1"/>
  <c r="G21" i="30" a="1"/>
  <c r="G21" i="30" s="1"/>
  <c r="E21" i="30" a="1"/>
  <c r="E21" i="30" s="1"/>
  <c r="C21" i="30" a="1"/>
  <c r="C21" i="30" s="1"/>
  <c r="A21" i="30" a="1"/>
  <c r="A21" i="30" s="1"/>
  <c r="AS20" i="30" a="1"/>
  <c r="AS20" i="30" s="1"/>
  <c r="AQ20" i="30" a="1"/>
  <c r="AQ20" i="30" s="1"/>
  <c r="AO20" i="30" a="1"/>
  <c r="AO20" i="30" s="1"/>
  <c r="AM20" i="30" a="1"/>
  <c r="AM20" i="30" s="1"/>
  <c r="AK20" i="30" a="1"/>
  <c r="AK20" i="30" s="1"/>
  <c r="AI20" i="30" a="1"/>
  <c r="AI20" i="30" s="1"/>
  <c r="AG20" i="30" a="1"/>
  <c r="AG20" i="30" s="1"/>
  <c r="AE20" i="30" a="1"/>
  <c r="AE20" i="30" s="1"/>
  <c r="AC20" i="30" a="1"/>
  <c r="AC20" i="30" s="1"/>
  <c r="AA20" i="30" a="1"/>
  <c r="AA20" i="30" s="1"/>
  <c r="Y20" i="30" a="1"/>
  <c r="Y20" i="30" s="1"/>
  <c r="W20" i="30" a="1"/>
  <c r="W20" i="30" s="1"/>
  <c r="U20" i="30" a="1"/>
  <c r="U20" i="30" s="1"/>
  <c r="S20" i="30" a="1"/>
  <c r="S20" i="30" s="1"/>
  <c r="Q20" i="30" a="1"/>
  <c r="Q20" i="30" s="1"/>
  <c r="O20" i="30" a="1"/>
  <c r="O20" i="30" s="1"/>
  <c r="M20" i="30" a="1"/>
  <c r="M20" i="30" s="1"/>
  <c r="K20" i="30" a="1"/>
  <c r="K20" i="30" s="1"/>
  <c r="I20" i="30" a="1"/>
  <c r="I20" i="30" s="1"/>
  <c r="G20" i="30" a="1"/>
  <c r="G20" i="30" s="1"/>
  <c r="E20" i="30" a="1"/>
  <c r="E20" i="30" s="1"/>
  <c r="C20" i="30" a="1"/>
  <c r="C20" i="30" s="1"/>
  <c r="A20" i="30" a="1"/>
  <c r="A20" i="30" s="1"/>
  <c r="AS19" i="30" a="1"/>
  <c r="AS19" i="30" s="1"/>
  <c r="AQ19" i="30" a="1"/>
  <c r="AQ19" i="30" s="1"/>
  <c r="AO19" i="30" a="1"/>
  <c r="AO19" i="30" s="1"/>
  <c r="AM19" i="30" a="1"/>
  <c r="AM19" i="30" s="1"/>
  <c r="AK19" i="30" a="1"/>
  <c r="AK19" i="30" s="1"/>
  <c r="AI19" i="30" a="1"/>
  <c r="AI19" i="30" s="1"/>
  <c r="AG19" i="30" a="1"/>
  <c r="AG19" i="30" s="1"/>
  <c r="AE19" i="30" a="1"/>
  <c r="AE19" i="30" s="1"/>
  <c r="AC19" i="30" a="1"/>
  <c r="AC19" i="30" s="1"/>
  <c r="AA19" i="30" a="1"/>
  <c r="AA19" i="30" s="1"/>
  <c r="Y19" i="30" a="1"/>
  <c r="Y19" i="30" s="1"/>
  <c r="W19" i="30" a="1"/>
  <c r="W19" i="30" s="1"/>
  <c r="U19" i="30" a="1"/>
  <c r="U19" i="30" s="1"/>
  <c r="S19" i="30" a="1"/>
  <c r="S19" i="30" s="1"/>
  <c r="Q19" i="30" a="1"/>
  <c r="Q19" i="30" s="1"/>
  <c r="O19" i="30" a="1"/>
  <c r="O19" i="30" s="1"/>
  <c r="M19" i="30" a="1"/>
  <c r="M19" i="30" s="1"/>
  <c r="K19" i="30" a="1"/>
  <c r="K19" i="30" s="1"/>
  <c r="I19" i="30" a="1"/>
  <c r="I19" i="30" s="1"/>
  <c r="G19" i="30" a="1"/>
  <c r="G19" i="30" s="1"/>
  <c r="E19" i="30" a="1"/>
  <c r="E19" i="30" s="1"/>
  <c r="C19" i="30" a="1"/>
  <c r="C19" i="30" s="1"/>
  <c r="A19" i="30" a="1"/>
  <c r="A19" i="30" s="1"/>
  <c r="AS18" i="30" a="1"/>
  <c r="AS18" i="30" s="1"/>
  <c r="AQ18" i="30" a="1"/>
  <c r="AQ18" i="30" s="1"/>
  <c r="AO18" i="30" a="1"/>
  <c r="AO18" i="30" s="1"/>
  <c r="AM18" i="30" a="1"/>
  <c r="AM18" i="30" s="1"/>
  <c r="AK18" i="30" a="1"/>
  <c r="AK18" i="30" s="1"/>
  <c r="AI18" i="30" a="1"/>
  <c r="AI18" i="30" s="1"/>
  <c r="AG18" i="30" a="1"/>
  <c r="AG18" i="30" s="1"/>
  <c r="AE18" i="30" a="1"/>
  <c r="AE18" i="30" s="1"/>
  <c r="AC18" i="30" a="1"/>
  <c r="AC18" i="30" s="1"/>
  <c r="AA18" i="30" a="1"/>
  <c r="AA18" i="30" s="1"/>
  <c r="Y18" i="30" a="1"/>
  <c r="Y18" i="30" s="1"/>
  <c r="W18" i="30" a="1"/>
  <c r="W18" i="30" s="1"/>
  <c r="U18" i="30" a="1"/>
  <c r="U18" i="30" s="1"/>
  <c r="S18" i="30" a="1"/>
  <c r="S18" i="30" s="1"/>
  <c r="Q18" i="30" a="1"/>
  <c r="Q18" i="30" s="1"/>
  <c r="O18" i="30" a="1"/>
  <c r="O18" i="30" s="1"/>
  <c r="M18" i="30" a="1"/>
  <c r="M18" i="30" s="1"/>
  <c r="K18" i="30" a="1"/>
  <c r="K18" i="30" s="1"/>
  <c r="I18" i="30" a="1"/>
  <c r="I18" i="30" s="1"/>
  <c r="G18" i="30" a="1"/>
  <c r="G18" i="30" s="1"/>
  <c r="E18" i="30" a="1"/>
  <c r="E18" i="30" s="1"/>
  <c r="C18" i="30" a="1"/>
  <c r="C18" i="30" s="1"/>
  <c r="A18" i="30" a="1"/>
  <c r="A18" i="30" s="1"/>
  <c r="AS17" i="30" a="1"/>
  <c r="AS17" i="30" s="1"/>
  <c r="AQ17" i="30" a="1"/>
  <c r="AQ17" i="30" s="1"/>
  <c r="AO17" i="30" a="1"/>
  <c r="AO17" i="30" s="1"/>
  <c r="AM17" i="30" a="1"/>
  <c r="AM17" i="30" s="1"/>
  <c r="AK17" i="30" a="1"/>
  <c r="AK17" i="30" s="1"/>
  <c r="AI17" i="30" a="1"/>
  <c r="AI17" i="30" s="1"/>
  <c r="AG17" i="30" a="1"/>
  <c r="AG17" i="30" s="1"/>
  <c r="AE17" i="30" a="1"/>
  <c r="AE17" i="30" s="1"/>
  <c r="AC17" i="30" a="1"/>
  <c r="AC17" i="30" s="1"/>
  <c r="AA17" i="30" a="1"/>
  <c r="AA17" i="30" s="1"/>
  <c r="Y17" i="30" a="1"/>
  <c r="Y17" i="30" s="1"/>
  <c r="W17" i="30" a="1"/>
  <c r="W17" i="30" s="1"/>
  <c r="U17" i="30" a="1"/>
  <c r="U17" i="30" s="1"/>
  <c r="S17" i="30" a="1"/>
  <c r="S17" i="30" s="1"/>
  <c r="Q17" i="30" a="1"/>
  <c r="Q17" i="30" s="1"/>
  <c r="O17" i="30" a="1"/>
  <c r="O17" i="30" s="1"/>
  <c r="M17" i="30" a="1"/>
  <c r="M17" i="30" s="1"/>
  <c r="K17" i="30" a="1"/>
  <c r="K17" i="30" s="1"/>
  <c r="I17" i="30" a="1"/>
  <c r="I17" i="30" s="1"/>
  <c r="G17" i="30" a="1"/>
  <c r="G17" i="30" s="1"/>
  <c r="E17" i="30" a="1"/>
  <c r="E17" i="30" s="1"/>
  <c r="C17" i="30" a="1"/>
  <c r="C17" i="30" s="1"/>
  <c r="A17" i="30" a="1"/>
  <c r="A17" i="30" s="1"/>
  <c r="AS16" i="30" a="1"/>
  <c r="AS16" i="30" s="1"/>
  <c r="AQ16" i="30" a="1"/>
  <c r="AQ16" i="30" s="1"/>
  <c r="AO16" i="30" a="1"/>
  <c r="AO16" i="30" s="1"/>
  <c r="AM16" i="30" a="1"/>
  <c r="AM16" i="30" s="1"/>
  <c r="AK16" i="30" a="1"/>
  <c r="AK16" i="30" s="1"/>
  <c r="AI16" i="30" a="1"/>
  <c r="AI16" i="30" s="1"/>
  <c r="AG16" i="30" a="1"/>
  <c r="AG16" i="30" s="1"/>
  <c r="AE16" i="30" a="1"/>
  <c r="AE16" i="30" s="1"/>
  <c r="AC16" i="30" a="1"/>
  <c r="AC16" i="30" s="1"/>
  <c r="AA16" i="30" a="1"/>
  <c r="AA16" i="30" s="1"/>
  <c r="Y16" i="30" a="1"/>
  <c r="Y16" i="30" s="1"/>
  <c r="W16" i="30" a="1"/>
  <c r="W16" i="30" s="1"/>
  <c r="U16" i="30" a="1"/>
  <c r="U16" i="30" s="1"/>
  <c r="S16" i="30" a="1"/>
  <c r="S16" i="30" s="1"/>
  <c r="Q16" i="30" a="1"/>
  <c r="Q16" i="30" s="1"/>
  <c r="O16" i="30" a="1"/>
  <c r="O16" i="30" s="1"/>
  <c r="M16" i="30" a="1"/>
  <c r="M16" i="30" s="1"/>
  <c r="K16" i="30" a="1"/>
  <c r="K16" i="30" s="1"/>
  <c r="I16" i="30" a="1"/>
  <c r="I16" i="30" s="1"/>
  <c r="G16" i="30" a="1"/>
  <c r="G16" i="30" s="1"/>
  <c r="E16" i="30" a="1"/>
  <c r="E16" i="30" s="1"/>
  <c r="C16" i="30" a="1"/>
  <c r="C16" i="30" s="1"/>
  <c r="A16" i="30" a="1"/>
  <c r="A16" i="30" s="1"/>
  <c r="AS15" i="30" a="1"/>
  <c r="AS15" i="30" s="1"/>
  <c r="AQ15" i="30" a="1"/>
  <c r="AQ15" i="30" s="1"/>
  <c r="AO15" i="30" a="1"/>
  <c r="AO15" i="30" s="1"/>
  <c r="AM15" i="30" a="1"/>
  <c r="AM15" i="30" s="1"/>
  <c r="AK15" i="30" a="1"/>
  <c r="AK15" i="30" s="1"/>
  <c r="AI15" i="30" a="1"/>
  <c r="AI15" i="30" s="1"/>
  <c r="AG15" i="30" a="1"/>
  <c r="AG15" i="30" s="1"/>
  <c r="AE15" i="30" a="1"/>
  <c r="AE15" i="30" s="1"/>
  <c r="AC15" i="30" a="1"/>
  <c r="AC15" i="30" s="1"/>
  <c r="AA15" i="30" a="1"/>
  <c r="AA15" i="30" s="1"/>
  <c r="Y15" i="30" a="1"/>
  <c r="Y15" i="30" s="1"/>
  <c r="W15" i="30" a="1"/>
  <c r="W15" i="30" s="1"/>
  <c r="U15" i="30" a="1"/>
  <c r="U15" i="30" s="1"/>
  <c r="S15" i="30" a="1"/>
  <c r="S15" i="30" s="1"/>
  <c r="Q15" i="30" a="1"/>
  <c r="Q15" i="30" s="1"/>
  <c r="O15" i="30" a="1"/>
  <c r="O15" i="30" s="1"/>
  <c r="M15" i="30" a="1"/>
  <c r="M15" i="30" s="1"/>
  <c r="K15" i="30" a="1"/>
  <c r="K15" i="30" s="1"/>
  <c r="I15" i="30" a="1"/>
  <c r="I15" i="30" s="1"/>
  <c r="G15" i="30" a="1"/>
  <c r="G15" i="30" s="1"/>
  <c r="E15" i="30" a="1"/>
  <c r="E15" i="30" s="1"/>
  <c r="C15" i="30" a="1"/>
  <c r="C15" i="30" s="1"/>
  <c r="A15" i="30" a="1"/>
  <c r="A15" i="30" s="1"/>
  <c r="AS14" i="30" a="1"/>
  <c r="AS14" i="30" s="1"/>
  <c r="AQ14" i="30" a="1"/>
  <c r="AQ14" i="30" s="1"/>
  <c r="AO14" i="30" a="1"/>
  <c r="AO14" i="30" s="1"/>
  <c r="AM14" i="30" a="1"/>
  <c r="AM14" i="30" s="1"/>
  <c r="AK14" i="30" a="1"/>
  <c r="AK14" i="30" s="1"/>
  <c r="AI14" i="30" a="1"/>
  <c r="AI14" i="30" s="1"/>
  <c r="AG14" i="30" a="1"/>
  <c r="AG14" i="30" s="1"/>
  <c r="AE14" i="30" a="1"/>
  <c r="AE14" i="30" s="1"/>
  <c r="AC14" i="30" a="1"/>
  <c r="AC14" i="30" s="1"/>
  <c r="AA14" i="30" a="1"/>
  <c r="AA14" i="30" s="1"/>
  <c r="Y14" i="30" a="1"/>
  <c r="Y14" i="30" s="1"/>
  <c r="W14" i="30" a="1"/>
  <c r="W14" i="30" s="1"/>
  <c r="U14" i="30" a="1"/>
  <c r="U14" i="30" s="1"/>
  <c r="S14" i="30" a="1"/>
  <c r="S14" i="30" s="1"/>
  <c r="Q14" i="30" a="1"/>
  <c r="Q14" i="30" s="1"/>
  <c r="O14" i="30" a="1"/>
  <c r="O14" i="30" s="1"/>
  <c r="M14" i="30" a="1"/>
  <c r="M14" i="30" s="1"/>
  <c r="K14" i="30" a="1"/>
  <c r="K14" i="30" s="1"/>
  <c r="I14" i="30" a="1"/>
  <c r="I14" i="30" s="1"/>
  <c r="G14" i="30" a="1"/>
  <c r="G14" i="30" s="1"/>
  <c r="E14" i="30" a="1"/>
  <c r="E14" i="30" s="1"/>
  <c r="C14" i="30" a="1"/>
  <c r="C14" i="30" s="1"/>
  <c r="A14" i="30" a="1"/>
  <c r="A14" i="30" s="1"/>
  <c r="AS13" i="30" a="1"/>
  <c r="AS13" i="30" s="1"/>
  <c r="AQ13" i="30" a="1"/>
  <c r="AQ13" i="30" s="1"/>
  <c r="AO13" i="30" a="1"/>
  <c r="AO13" i="30" s="1"/>
  <c r="AM13" i="30" a="1"/>
  <c r="AM13" i="30" s="1"/>
  <c r="AK13" i="30" a="1"/>
  <c r="AK13" i="30" s="1"/>
  <c r="AI13" i="30" a="1"/>
  <c r="AI13" i="30" s="1"/>
  <c r="AG13" i="30" a="1"/>
  <c r="AG13" i="30" s="1"/>
  <c r="AE13" i="30" a="1"/>
  <c r="AE13" i="30" s="1"/>
  <c r="AC13" i="30" a="1"/>
  <c r="AC13" i="30" s="1"/>
  <c r="AA13" i="30" a="1"/>
  <c r="AA13" i="30" s="1"/>
  <c r="Y13" i="30" a="1"/>
  <c r="Y13" i="30" s="1"/>
  <c r="W13" i="30" a="1"/>
  <c r="W13" i="30" s="1"/>
  <c r="U13" i="30" a="1"/>
  <c r="U13" i="30" s="1"/>
  <c r="S13" i="30" a="1"/>
  <c r="S13" i="30" s="1"/>
  <c r="Q13" i="30" a="1"/>
  <c r="Q13" i="30" s="1"/>
  <c r="O13" i="30" a="1"/>
  <c r="O13" i="30" s="1"/>
  <c r="M13" i="30" a="1"/>
  <c r="M13" i="30" s="1"/>
  <c r="K13" i="30" a="1"/>
  <c r="K13" i="30" s="1"/>
  <c r="I13" i="30" a="1"/>
  <c r="I13" i="30" s="1"/>
  <c r="G13" i="30" a="1"/>
  <c r="G13" i="30" s="1"/>
  <c r="E13" i="30" a="1"/>
  <c r="E13" i="30" s="1"/>
  <c r="C13" i="30" a="1"/>
  <c r="C13" i="30" s="1"/>
  <c r="A13" i="30" a="1"/>
  <c r="A13" i="30" s="1"/>
  <c r="AS12" i="30" a="1"/>
  <c r="AS12" i="30" s="1"/>
  <c r="AQ12" i="30" a="1"/>
  <c r="AQ12" i="30" s="1"/>
  <c r="AO12" i="30" a="1"/>
  <c r="AO12" i="30" s="1"/>
  <c r="AM12" i="30" a="1"/>
  <c r="AM12" i="30" s="1"/>
  <c r="AK12" i="30" a="1"/>
  <c r="AK12" i="30" s="1"/>
  <c r="AI12" i="30" a="1"/>
  <c r="AI12" i="30" s="1"/>
  <c r="AG12" i="30" a="1"/>
  <c r="AG12" i="30" s="1"/>
  <c r="AE12" i="30" a="1"/>
  <c r="AE12" i="30" s="1"/>
  <c r="AC12" i="30" a="1"/>
  <c r="AC12" i="30" s="1"/>
  <c r="AA12" i="30" a="1"/>
  <c r="AA12" i="30" s="1"/>
  <c r="Y12" i="30" a="1"/>
  <c r="Y12" i="30" s="1"/>
  <c r="W12" i="30" a="1"/>
  <c r="W12" i="30" s="1"/>
  <c r="U12" i="30" a="1"/>
  <c r="U12" i="30" s="1"/>
  <c r="S12" i="30" a="1"/>
  <c r="S12" i="30" s="1"/>
  <c r="Q12" i="30" a="1"/>
  <c r="Q12" i="30" s="1"/>
  <c r="O12" i="30" a="1"/>
  <c r="O12" i="30" s="1"/>
  <c r="M12" i="30" a="1"/>
  <c r="M12" i="30" s="1"/>
  <c r="K12" i="30" a="1"/>
  <c r="K12" i="30" s="1"/>
  <c r="I12" i="30" a="1"/>
  <c r="I12" i="30" s="1"/>
  <c r="G12" i="30" a="1"/>
  <c r="G12" i="30" s="1"/>
  <c r="E12" i="30" a="1"/>
  <c r="E12" i="30" s="1"/>
  <c r="C12" i="30" a="1"/>
  <c r="C12" i="30" s="1"/>
  <c r="A12" i="30" a="1"/>
  <c r="A12" i="30" s="1"/>
  <c r="AS11" i="30" a="1"/>
  <c r="AS11" i="30" s="1"/>
  <c r="AQ11" i="30" a="1"/>
  <c r="AQ11" i="30" s="1"/>
  <c r="AO11" i="30" a="1"/>
  <c r="AO11" i="30" s="1"/>
  <c r="AM11" i="30" a="1"/>
  <c r="AM11" i="30" s="1"/>
  <c r="AK11" i="30" a="1"/>
  <c r="AK11" i="30" s="1"/>
  <c r="AI11" i="30" a="1"/>
  <c r="AI11" i="30" s="1"/>
  <c r="AG11" i="30" a="1"/>
  <c r="AG11" i="30" s="1"/>
  <c r="AE11" i="30" a="1"/>
  <c r="AE11" i="30" s="1"/>
  <c r="AC11" i="30" a="1"/>
  <c r="AC11" i="30" s="1"/>
  <c r="AA11" i="30" a="1"/>
  <c r="AA11" i="30" s="1"/>
  <c r="Y11" i="30" a="1"/>
  <c r="Y11" i="30" s="1"/>
  <c r="W11" i="30" a="1"/>
  <c r="W11" i="30" s="1"/>
  <c r="U11" i="30" a="1"/>
  <c r="U11" i="30" s="1"/>
  <c r="S11" i="30" a="1"/>
  <c r="S11" i="30" s="1"/>
  <c r="Q11" i="30" a="1"/>
  <c r="Q11" i="30" s="1"/>
  <c r="O11" i="30" a="1"/>
  <c r="O11" i="30" s="1"/>
  <c r="M11" i="30" a="1"/>
  <c r="M11" i="30" s="1"/>
  <c r="K11" i="30" a="1"/>
  <c r="K11" i="30" s="1"/>
  <c r="I11" i="30" a="1"/>
  <c r="I11" i="30" s="1"/>
  <c r="G11" i="30" a="1"/>
  <c r="G11" i="30" s="1"/>
  <c r="E11" i="30" a="1"/>
  <c r="E11" i="30" s="1"/>
  <c r="C11" i="30" a="1"/>
  <c r="C11" i="30" s="1"/>
  <c r="A11" i="30" a="1"/>
  <c r="A11" i="30" s="1"/>
  <c r="AS10" i="30" a="1"/>
  <c r="AS10" i="30" s="1"/>
  <c r="AQ10" i="30" a="1"/>
  <c r="AQ10" i="30" s="1"/>
  <c r="AO10" i="30" a="1"/>
  <c r="AO10" i="30" s="1"/>
  <c r="AM10" i="30" a="1"/>
  <c r="AM10" i="30" s="1"/>
  <c r="AK10" i="30" a="1"/>
  <c r="AK10" i="30" s="1"/>
  <c r="AI10" i="30" a="1"/>
  <c r="AI10" i="30" s="1"/>
  <c r="AG10" i="30" a="1"/>
  <c r="AG10" i="30" s="1"/>
  <c r="AE10" i="30" a="1"/>
  <c r="AE10" i="30" s="1"/>
  <c r="AC10" i="30" a="1"/>
  <c r="AC10" i="30" s="1"/>
  <c r="AA10" i="30" a="1"/>
  <c r="AA10" i="30" s="1"/>
  <c r="Y10" i="30" a="1"/>
  <c r="Y10" i="30" s="1"/>
  <c r="W10" i="30" a="1"/>
  <c r="W10" i="30" s="1"/>
  <c r="U10" i="30" a="1"/>
  <c r="U10" i="30" s="1"/>
  <c r="S10" i="30" a="1"/>
  <c r="S10" i="30" s="1"/>
  <c r="Q10" i="30" a="1"/>
  <c r="Q10" i="30" s="1"/>
  <c r="O10" i="30" a="1"/>
  <c r="O10" i="30" s="1"/>
  <c r="M10" i="30" a="1"/>
  <c r="M10" i="30" s="1"/>
  <c r="K10" i="30" a="1"/>
  <c r="K10" i="30" s="1"/>
  <c r="I10" i="30" a="1"/>
  <c r="I10" i="30" s="1"/>
  <c r="G10" i="30" a="1"/>
  <c r="G10" i="30" s="1"/>
  <c r="E10" i="30" a="1"/>
  <c r="E10" i="30" s="1"/>
  <c r="C10" i="30" a="1"/>
  <c r="C10" i="30" s="1"/>
  <c r="A10" i="30" a="1"/>
  <c r="A10" i="30" s="1"/>
  <c r="AS9" i="30" a="1"/>
  <c r="AS9" i="30" s="1"/>
  <c r="AQ9" i="30" a="1"/>
  <c r="AQ9" i="30" s="1"/>
  <c r="AO9" i="30" a="1"/>
  <c r="AO9" i="30" s="1"/>
  <c r="AM9" i="30" a="1"/>
  <c r="AM9" i="30" s="1"/>
  <c r="AK9" i="30" a="1"/>
  <c r="AK9" i="30" s="1"/>
  <c r="AI9" i="30" a="1"/>
  <c r="AI9" i="30" s="1"/>
  <c r="AG9" i="30" a="1"/>
  <c r="AG9" i="30" s="1"/>
  <c r="AE9" i="30" a="1"/>
  <c r="AE9" i="30" s="1"/>
  <c r="AC9" i="30" a="1"/>
  <c r="AC9" i="30" s="1"/>
  <c r="AA9" i="30" a="1"/>
  <c r="AA9" i="30" s="1"/>
  <c r="Y9" i="30" a="1"/>
  <c r="Y9" i="30" s="1"/>
  <c r="W9" i="30" a="1"/>
  <c r="W9" i="30" s="1"/>
  <c r="U9" i="30" a="1"/>
  <c r="U9" i="30" s="1"/>
  <c r="S9" i="30" a="1"/>
  <c r="S9" i="30" s="1"/>
  <c r="Q9" i="30" a="1"/>
  <c r="Q9" i="30" s="1"/>
  <c r="O9" i="30" a="1"/>
  <c r="O9" i="30" s="1"/>
  <c r="M9" i="30" a="1"/>
  <c r="M9" i="30" s="1"/>
  <c r="K9" i="30" a="1"/>
  <c r="K9" i="30" s="1"/>
  <c r="I9" i="30" a="1"/>
  <c r="I9" i="30" s="1"/>
  <c r="G9" i="30" a="1"/>
  <c r="G9" i="30" s="1"/>
  <c r="E9" i="30" a="1"/>
  <c r="E9" i="30" s="1"/>
  <c r="C9" i="30" a="1"/>
  <c r="C9" i="30" s="1"/>
  <c r="A9" i="30" a="1"/>
  <c r="A9" i="30" s="1"/>
  <c r="AS8" i="30" a="1"/>
  <c r="AS8" i="30" s="1"/>
  <c r="AQ8" i="30" a="1"/>
  <c r="AQ8" i="30" s="1"/>
  <c r="AO8" i="30" a="1"/>
  <c r="AO8" i="30" s="1"/>
  <c r="AM8" i="30" a="1"/>
  <c r="AM8" i="30" s="1"/>
  <c r="AK8" i="30" a="1"/>
  <c r="AK8" i="30" s="1"/>
  <c r="AI8" i="30" a="1"/>
  <c r="AI8" i="30" s="1"/>
  <c r="AG8" i="30" a="1"/>
  <c r="AG8" i="30" s="1"/>
  <c r="AE8" i="30" a="1"/>
  <c r="AE8" i="30" s="1"/>
  <c r="AC8" i="30" a="1"/>
  <c r="AC8" i="30" s="1"/>
  <c r="AA8" i="30" a="1"/>
  <c r="AA8" i="30" s="1"/>
  <c r="Y8" i="30" a="1"/>
  <c r="Y8" i="30" s="1"/>
  <c r="W8" i="30" a="1"/>
  <c r="W8" i="30" s="1"/>
  <c r="U8" i="30" a="1"/>
  <c r="U8" i="30" s="1"/>
  <c r="S8" i="30" a="1"/>
  <c r="S8" i="30" s="1"/>
  <c r="Q8" i="30" a="1"/>
  <c r="Q8" i="30" s="1"/>
  <c r="O8" i="30" a="1"/>
  <c r="O8" i="30" s="1"/>
  <c r="M8" i="30" a="1"/>
  <c r="M8" i="30" s="1"/>
  <c r="K8" i="30" a="1"/>
  <c r="K8" i="30" s="1"/>
  <c r="I8" i="30" a="1"/>
  <c r="I8" i="30" s="1"/>
  <c r="G8" i="30" a="1"/>
  <c r="G8" i="30" s="1"/>
  <c r="E8" i="30" a="1"/>
  <c r="E8" i="30" s="1"/>
  <c r="C8" i="30" a="1"/>
  <c r="C8" i="30" s="1"/>
  <c r="A8" i="30" a="1"/>
  <c r="A8" i="30" s="1"/>
  <c r="AS7" i="30" a="1"/>
  <c r="AS7" i="30" s="1"/>
  <c r="AQ7" i="30" a="1"/>
  <c r="AQ7" i="30" s="1"/>
  <c r="AO7" i="30" a="1"/>
  <c r="AO7" i="30" s="1"/>
  <c r="AM7" i="30" a="1"/>
  <c r="AM7" i="30" s="1"/>
  <c r="AK7" i="30" a="1"/>
  <c r="AK7" i="30" s="1"/>
  <c r="AI7" i="30" a="1"/>
  <c r="AI7" i="30" s="1"/>
  <c r="AG7" i="30" a="1"/>
  <c r="AG7" i="30" s="1"/>
  <c r="AE7" i="30" a="1"/>
  <c r="AE7" i="30" s="1"/>
  <c r="AC7" i="30" a="1"/>
  <c r="AC7" i="30" s="1"/>
  <c r="AA7" i="30" a="1"/>
  <c r="AA7" i="30" s="1"/>
  <c r="Y7" i="30" a="1"/>
  <c r="Y7" i="30" s="1"/>
  <c r="W7" i="30" a="1"/>
  <c r="W7" i="30" s="1"/>
  <c r="U7" i="30" a="1"/>
  <c r="U7" i="30" s="1"/>
  <c r="S7" i="30" a="1"/>
  <c r="S7" i="30" s="1"/>
  <c r="Q7" i="30" a="1"/>
  <c r="Q7" i="30" s="1"/>
  <c r="O7" i="30" a="1"/>
  <c r="O7" i="30" s="1"/>
  <c r="M7" i="30" a="1"/>
  <c r="M7" i="30" s="1"/>
  <c r="K7" i="30" a="1"/>
  <c r="K7" i="30" s="1"/>
  <c r="I7" i="30" a="1"/>
  <c r="I7" i="30" s="1"/>
  <c r="G7" i="30" a="1"/>
  <c r="G7" i="30" s="1"/>
  <c r="E7" i="30" a="1"/>
  <c r="E7" i="30" s="1"/>
  <c r="C7" i="30" a="1"/>
  <c r="C7" i="30" s="1"/>
  <c r="A7" i="30" a="1"/>
  <c r="A7" i="30" s="1"/>
  <c r="AS6" i="30" a="1"/>
  <c r="AS6" i="30" s="1"/>
  <c r="AQ6" i="30" a="1"/>
  <c r="AQ6" i="30" s="1"/>
  <c r="AO6" i="30" a="1"/>
  <c r="AO6" i="30" s="1"/>
  <c r="AM6" i="30" a="1"/>
  <c r="AM6" i="30" s="1"/>
  <c r="AK6" i="30" a="1"/>
  <c r="AK6" i="30" s="1"/>
  <c r="AI6" i="30" a="1"/>
  <c r="AI6" i="30" s="1"/>
  <c r="AG6" i="30" a="1"/>
  <c r="AG6" i="30" s="1"/>
  <c r="AE6" i="30" a="1"/>
  <c r="AE6" i="30" s="1"/>
  <c r="AC6" i="30" a="1"/>
  <c r="AC6" i="30" s="1"/>
  <c r="AA6" i="30" a="1"/>
  <c r="AA6" i="30" s="1"/>
  <c r="Y6" i="30" a="1"/>
  <c r="Y6" i="30" s="1"/>
  <c r="W6" i="30" a="1"/>
  <c r="W6" i="30" s="1"/>
  <c r="U6" i="30" a="1"/>
  <c r="U6" i="30" s="1"/>
  <c r="S6" i="30" a="1"/>
  <c r="S6" i="30" s="1"/>
  <c r="Q6" i="30" a="1"/>
  <c r="Q6" i="30" s="1"/>
  <c r="O6" i="30" a="1"/>
  <c r="O6" i="30" s="1"/>
  <c r="M6" i="30" a="1"/>
  <c r="M6" i="30" s="1"/>
  <c r="K6" i="30" a="1"/>
  <c r="K6" i="30" s="1"/>
  <c r="I6" i="30" a="1"/>
  <c r="I6" i="30" s="1"/>
  <c r="G6" i="30" a="1"/>
  <c r="G6" i="30" s="1"/>
  <c r="E6" i="30" a="1"/>
  <c r="E6" i="30" s="1"/>
  <c r="C6" i="30" a="1"/>
  <c r="C6" i="30" s="1"/>
  <c r="A6" i="30" a="1"/>
  <c r="A6" i="30" s="1"/>
  <c r="A35" i="27" a="1"/>
  <c r="A35" i="27" s="1"/>
  <c r="A34" i="27" a="1"/>
  <c r="A34" i="27" s="1"/>
  <c r="A33" i="27" a="1"/>
  <c r="A33" i="27" s="1"/>
  <c r="A32" i="27" a="1"/>
  <c r="A32" i="27" s="1"/>
  <c r="A31" i="27" a="1"/>
  <c r="A31" i="27" s="1"/>
  <c r="A30" i="27" a="1"/>
  <c r="A30" i="27" s="1"/>
  <c r="A29" i="27" a="1"/>
  <c r="A29" i="27" s="1"/>
  <c r="A28" i="27" a="1"/>
  <c r="A28" i="27" s="1"/>
  <c r="A27" i="27" a="1"/>
  <c r="A27" i="27" s="1"/>
  <c r="A26" i="27" a="1"/>
  <c r="A26" i="27" s="1"/>
  <c r="A25" i="27" a="1"/>
  <c r="A25" i="27" s="1"/>
  <c r="A24" i="27" a="1"/>
  <c r="A24" i="27" s="1"/>
  <c r="A23" i="27" a="1"/>
  <c r="A23" i="27" s="1"/>
  <c r="A22" i="27" a="1"/>
  <c r="A22" i="27" s="1"/>
  <c r="A21" i="27" a="1"/>
  <c r="A21" i="27" s="1"/>
  <c r="A20" i="27" a="1"/>
  <c r="A20" i="27" s="1"/>
  <c r="A19" i="27" a="1"/>
  <c r="A19" i="27" s="1"/>
  <c r="A18" i="27" a="1"/>
  <c r="A18" i="27" s="1"/>
  <c r="A17" i="27" a="1"/>
  <c r="A17" i="27" s="1"/>
  <c r="A16" i="27" a="1"/>
  <c r="A16" i="27" s="1"/>
  <c r="A15" i="27" a="1"/>
  <c r="A15" i="27" s="1"/>
  <c r="A14" i="27" a="1"/>
  <c r="A14" i="27" s="1"/>
  <c r="A13" i="27" a="1"/>
  <c r="A13" i="27" s="1"/>
  <c r="A12" i="27" a="1"/>
  <c r="A12" i="27" s="1"/>
  <c r="A11" i="27" a="1"/>
  <c r="A11" i="27" s="1"/>
  <c r="A10" i="27" a="1"/>
  <c r="A10" i="27" s="1"/>
  <c r="A9" i="27" a="1"/>
  <c r="A9" i="27" s="1"/>
  <c r="A8" i="27" a="1"/>
  <c r="A8" i="27" s="1"/>
  <c r="A7" i="27" a="1"/>
  <c r="A7" i="27" s="1"/>
  <c r="A6" i="27" a="1"/>
  <c r="A6" i="27" s="1"/>
  <c r="AN48" i="14" l="1" a="1"/>
  <c r="AN48" i="14" s="1"/>
  <c r="AM48" i="14" s="1" a="1"/>
  <c r="AM48" i="14" s="1"/>
  <c r="AN11" i="14" a="1"/>
  <c r="AN11" i="14" s="1"/>
  <c r="AM11" i="14" s="1" a="1"/>
  <c r="AM11" i="14" s="1"/>
  <c r="AI82" i="14" a="1"/>
  <c r="AI82" i="14" s="1"/>
  <c r="AI81" i="14" a="1"/>
  <c r="AI81" i="14" s="1"/>
  <c r="AI80" i="14" a="1"/>
  <c r="AI80" i="14" s="1"/>
  <c r="AI79" i="14" a="1"/>
  <c r="AI79" i="14" s="1"/>
  <c r="AI78" i="14" a="1"/>
  <c r="AI78" i="14" s="1"/>
  <c r="AI77" i="14" a="1"/>
  <c r="AI77" i="14" s="1"/>
  <c r="AI40" i="14" a="1"/>
  <c r="AI40" i="14" s="1"/>
  <c r="AI39" i="14" a="1"/>
  <c r="AI39" i="14" s="1"/>
  <c r="AI38" i="14" a="1"/>
  <c r="AI38" i="14" s="1"/>
  <c r="AI37" i="14" a="1"/>
  <c r="AI37" i="14" s="1"/>
  <c r="AI36" i="14" a="1"/>
  <c r="AI36" i="14" s="1"/>
  <c r="AI35" i="14" a="1"/>
  <c r="AI35" i="14" s="1"/>
  <c r="AI34" i="14" a="1"/>
  <c r="AI34" i="14" s="1"/>
  <c r="AI33" i="14" a="1"/>
  <c r="AI33" i="14" s="1"/>
  <c r="AI32" i="14" a="1"/>
  <c r="AI32" i="14" s="1"/>
  <c r="AI31" i="14" a="1"/>
  <c r="AI31" i="14" s="1"/>
  <c r="AI30" i="14" a="1"/>
  <c r="AI30" i="14" s="1"/>
  <c r="AI29" i="14" a="1"/>
  <c r="AI29" i="14" s="1"/>
  <c r="AI28" i="14" a="1"/>
  <c r="AI28" i="14" s="1"/>
  <c r="AI27" i="14" a="1"/>
  <c r="AI27" i="14" s="1"/>
  <c r="AI26" i="14" a="1"/>
  <c r="AI26" i="14" s="1"/>
  <c r="AI25" i="14" a="1"/>
  <c r="AI25" i="14" s="1"/>
  <c r="AI24" i="14" a="1"/>
  <c r="AI24" i="14" s="1"/>
  <c r="AI23" i="14" a="1"/>
  <c r="AI23" i="14" s="1"/>
  <c r="AI22" i="14" a="1"/>
  <c r="AI22" i="14" s="1"/>
  <c r="AI21" i="14" a="1"/>
  <c r="AI21" i="14" s="1"/>
  <c r="AI20" i="14" a="1"/>
  <c r="AI20" i="14" s="1"/>
  <c r="AI19" i="14" a="1"/>
  <c r="AI19" i="14" s="1"/>
  <c r="AI18" i="14" a="1"/>
  <c r="AI18" i="14" s="1"/>
  <c r="AI17" i="14" a="1"/>
  <c r="AI17" i="14" s="1"/>
  <c r="AI16" i="14" a="1"/>
  <c r="AI16" i="14" s="1"/>
  <c r="AI15" i="14" a="1"/>
  <c r="AI15" i="14" s="1"/>
  <c r="AI14" i="14" a="1"/>
  <c r="AI14" i="14" s="1"/>
  <c r="AI13" i="14" a="1"/>
  <c r="AI13" i="14" s="1"/>
  <c r="AI12" i="14" a="1"/>
  <c r="AI12" i="14" s="1"/>
  <c r="AI11" i="14" a="1"/>
  <c r="AI11" i="14" s="1"/>
  <c r="AI10" i="14" a="1"/>
  <c r="AI10" i="14" s="1"/>
  <c r="AI9" i="14" a="1"/>
  <c r="AI9" i="14" s="1"/>
  <c r="AI8" i="14" a="1"/>
  <c r="AI8" i="14" s="1"/>
  <c r="AI7" i="14" a="1"/>
  <c r="AI7" i="14" s="1"/>
  <c r="AI6" i="14" a="1"/>
  <c r="AI6" i="14" s="1"/>
  <c r="T82" i="14" a="1"/>
  <c r="T82" i="14" s="1"/>
  <c r="T81" i="14" a="1"/>
  <c r="T81" i="14" s="1"/>
  <c r="T80" i="14"/>
  <c r="T80" i="14" a="1"/>
  <c r="T79" i="14" a="1"/>
  <c r="T79" i="14" s="1"/>
  <c r="T78" i="14" a="1"/>
  <c r="T78" i="14" s="1"/>
  <c r="T77" i="14" a="1"/>
  <c r="T77" i="14" s="1"/>
  <c r="T76" i="14" a="1"/>
  <c r="T76" i="14" s="1"/>
  <c r="T75" i="14" a="1"/>
  <c r="T75" i="14" s="1"/>
  <c r="T74" i="14" a="1"/>
  <c r="T74" i="14" s="1"/>
  <c r="T73" i="14" a="1"/>
  <c r="T73" i="14" s="1"/>
  <c r="T72" i="14" a="1"/>
  <c r="T72" i="14" s="1"/>
  <c r="T71" i="14" a="1"/>
  <c r="T71" i="14" s="1"/>
  <c r="T70" i="14" a="1"/>
  <c r="T70" i="14" s="1"/>
  <c r="T69" i="14" a="1"/>
  <c r="T69" i="14" s="1"/>
  <c r="T68" i="14" a="1"/>
  <c r="T68" i="14" s="1"/>
  <c r="T67" i="14" a="1"/>
  <c r="T67" i="14" s="1"/>
  <c r="T66" i="14" a="1"/>
  <c r="T66" i="14" s="1"/>
  <c r="T65" i="14" a="1"/>
  <c r="T65" i="14" s="1"/>
  <c r="T64" i="14" a="1"/>
  <c r="T64" i="14" s="1"/>
  <c r="T63" i="14" a="1"/>
  <c r="T63" i="14" s="1"/>
  <c r="T62" i="14" a="1"/>
  <c r="T62" i="14" s="1"/>
  <c r="T61" i="14" a="1"/>
  <c r="T61" i="14" s="1"/>
  <c r="T60" i="14" a="1"/>
  <c r="T60" i="14" s="1"/>
  <c r="T59" i="14" a="1"/>
  <c r="T59" i="14" s="1"/>
  <c r="T58" i="14" a="1"/>
  <c r="T58" i="14" s="1"/>
  <c r="T57" i="14" a="1"/>
  <c r="T57" i="14" s="1"/>
  <c r="T56" i="14" a="1"/>
  <c r="T56" i="14" s="1"/>
  <c r="T55" i="14" a="1"/>
  <c r="T55" i="14" s="1"/>
  <c r="T54" i="14" a="1"/>
  <c r="T54" i="14" s="1"/>
  <c r="T53" i="14" a="1"/>
  <c r="T53" i="14" s="1"/>
  <c r="T52" i="14" a="1"/>
  <c r="T52" i="14" s="1"/>
  <c r="T51" i="14" a="1"/>
  <c r="T51" i="14" s="1"/>
  <c r="T50" i="14" a="1"/>
  <c r="T50" i="14" s="1"/>
  <c r="T49" i="14" a="1"/>
  <c r="T49" i="14" s="1"/>
  <c r="T48" i="14" a="1"/>
  <c r="T48" i="14" s="1"/>
  <c r="T47" i="14" a="1"/>
  <c r="T47" i="14" s="1"/>
  <c r="T46" i="14" a="1"/>
  <c r="T46" i="14" s="1"/>
  <c r="T45" i="14" a="1"/>
  <c r="T45" i="14" s="1"/>
  <c r="T44" i="14" a="1"/>
  <c r="T44" i="14" s="1"/>
  <c r="T43" i="14" a="1"/>
  <c r="T43" i="14" s="1"/>
  <c r="T42" i="14" a="1"/>
  <c r="T42" i="14" s="1"/>
  <c r="T41" i="14" a="1"/>
  <c r="T41" i="14" s="1"/>
  <c r="T40" i="14" a="1"/>
  <c r="T40" i="14" s="1"/>
  <c r="T39" i="14" a="1"/>
  <c r="T39" i="14" s="1"/>
  <c r="T38" i="14" a="1"/>
  <c r="T38" i="14" s="1"/>
  <c r="T37" i="14" a="1"/>
  <c r="T37" i="14" s="1"/>
  <c r="T36" i="14" a="1"/>
  <c r="T36" i="14" s="1"/>
  <c r="T35" i="14" a="1"/>
  <c r="T35" i="14" s="1"/>
  <c r="T34" i="14" a="1"/>
  <c r="T34" i="14" s="1"/>
  <c r="T33" i="14" a="1"/>
  <c r="T33" i="14" s="1"/>
  <c r="T32" i="14" a="1"/>
  <c r="T32" i="14" s="1"/>
  <c r="T31" i="14" a="1"/>
  <c r="T31" i="14" s="1"/>
  <c r="T30" i="14" a="1"/>
  <c r="T30" i="14" s="1"/>
  <c r="T29" i="14" a="1"/>
  <c r="T29" i="14" s="1"/>
  <c r="T28" i="14" a="1"/>
  <c r="T28" i="14" s="1"/>
  <c r="T27" i="14" a="1"/>
  <c r="T27" i="14" s="1"/>
  <c r="T26" i="14" a="1"/>
  <c r="T26" i="14" s="1"/>
  <c r="T25" i="14" a="1"/>
  <c r="T25" i="14" s="1"/>
  <c r="T24" i="14" a="1"/>
  <c r="T24" i="14" s="1"/>
  <c r="T23" i="14" a="1"/>
  <c r="T23" i="14" s="1"/>
  <c r="T22" i="14" a="1"/>
  <c r="T22" i="14" s="1"/>
  <c r="T21" i="14" a="1"/>
  <c r="T21" i="14" s="1"/>
  <c r="T20" i="14" a="1"/>
  <c r="T20" i="14" s="1"/>
  <c r="T19" i="14" a="1"/>
  <c r="T19" i="14" s="1"/>
  <c r="T18" i="14" a="1"/>
  <c r="T18" i="14" s="1"/>
  <c r="T17" i="14" a="1"/>
  <c r="T17" i="14" s="1"/>
  <c r="T16" i="14" a="1"/>
  <c r="T16" i="14" s="1"/>
  <c r="T15" i="14" a="1"/>
  <c r="T15" i="14" s="1"/>
  <c r="T14" i="14" a="1"/>
  <c r="T14" i="14" s="1"/>
  <c r="T13" i="14" a="1"/>
  <c r="T13" i="14" s="1"/>
  <c r="T12" i="14" a="1"/>
  <c r="T12" i="14" s="1"/>
  <c r="T11" i="14" a="1"/>
  <c r="T11" i="14" s="1"/>
  <c r="T10" i="14" a="1"/>
  <c r="T10" i="14" s="1"/>
  <c r="T9" i="14" a="1"/>
  <c r="T9" i="14" s="1"/>
  <c r="T8" i="14" a="1"/>
  <c r="T8" i="14" s="1"/>
  <c r="T7" i="14" a="1"/>
  <c r="T7" i="14" s="1"/>
  <c r="T6" i="14" a="1"/>
  <c r="T6" i="14" s="1"/>
  <c r="AI5" i="14" a="1"/>
  <c r="AI5" i="14" s="1"/>
  <c r="T5" i="14" a="1"/>
  <c r="T5" i="14" s="1"/>
  <c r="H2" i="25" l="1"/>
  <c r="A75" i="13"/>
  <c r="A74" i="13"/>
  <c r="A73" i="13"/>
  <c r="A72" i="13"/>
  <c r="A71" i="13"/>
  <c r="A70" i="13"/>
  <c r="A69" i="13"/>
  <c r="A68" i="13"/>
  <c r="A67" i="13"/>
  <c r="A66" i="13"/>
  <c r="A65" i="13"/>
  <c r="A64" i="13"/>
  <c r="BF5" i="25" l="1"/>
  <c r="BE5" i="25"/>
  <c r="BC5" i="25"/>
  <c r="V82" i="14"/>
  <c r="U82" i="14"/>
  <c r="S82" i="14"/>
  <c r="L82" i="14"/>
  <c r="K82" i="14"/>
  <c r="AJ49" i="14"/>
  <c r="V49" i="14"/>
  <c r="U49" i="14"/>
  <c r="S49" i="14"/>
  <c r="L49" i="14"/>
  <c r="K49" i="14"/>
  <c r="AJ44" i="14"/>
  <c r="V44" i="14"/>
  <c r="U44" i="14"/>
  <c r="S44" i="14"/>
  <c r="L44" i="14"/>
  <c r="K44" i="14"/>
  <c r="AJ51" i="14"/>
  <c r="V51" i="14"/>
  <c r="U51" i="14"/>
  <c r="S51" i="14"/>
  <c r="L51" i="14"/>
  <c r="K51" i="14"/>
  <c r="AJ50" i="14"/>
  <c r="V50" i="14"/>
  <c r="U50" i="14"/>
  <c r="S50" i="14"/>
  <c r="L50" i="14"/>
  <c r="K50" i="14"/>
  <c r="AJ43" i="14"/>
  <c r="V43" i="14"/>
  <c r="U43" i="14"/>
  <c r="S43" i="14"/>
  <c r="L43" i="14"/>
  <c r="K43" i="14"/>
  <c r="AJ42" i="14"/>
  <c r="V42" i="14"/>
  <c r="U42" i="14"/>
  <c r="S42" i="14"/>
  <c r="L42" i="14"/>
  <c r="K42" i="14"/>
  <c r="AJ41" i="14"/>
  <c r="V41" i="14"/>
  <c r="U41" i="14"/>
  <c r="S41" i="14"/>
  <c r="L41" i="14"/>
  <c r="K41" i="14"/>
  <c r="AJ47" i="14"/>
  <c r="V47" i="14"/>
  <c r="U47" i="14"/>
  <c r="S47" i="14"/>
  <c r="L47" i="14"/>
  <c r="K47" i="14"/>
  <c r="AJ46" i="14"/>
  <c r="V46" i="14"/>
  <c r="U46" i="14"/>
  <c r="S46" i="14"/>
  <c r="L46" i="14"/>
  <c r="K46" i="14"/>
  <c r="AJ45" i="14"/>
  <c r="V45" i="14"/>
  <c r="U45" i="14"/>
  <c r="S45" i="14"/>
  <c r="L45" i="14"/>
  <c r="K45" i="14"/>
  <c r="AJ76" i="14"/>
  <c r="V76" i="14"/>
  <c r="U76" i="14"/>
  <c r="S76" i="14"/>
  <c r="L76" i="14"/>
  <c r="K76" i="14"/>
  <c r="AJ75" i="14"/>
  <c r="V75" i="14"/>
  <c r="U75" i="14"/>
  <c r="S75" i="14"/>
  <c r="L75" i="14"/>
  <c r="K75" i="14"/>
  <c r="AJ74" i="14"/>
  <c r="V74" i="14"/>
  <c r="U74" i="14"/>
  <c r="S74" i="14"/>
  <c r="L74" i="14"/>
  <c r="K74" i="14"/>
  <c r="AJ73" i="14"/>
  <c r="V73" i="14"/>
  <c r="U73" i="14"/>
  <c r="S73" i="14"/>
  <c r="L73" i="14"/>
  <c r="K73" i="14"/>
  <c r="AJ72" i="14"/>
  <c r="V72" i="14"/>
  <c r="U72" i="14"/>
  <c r="S72" i="14"/>
  <c r="L72" i="14"/>
  <c r="K72" i="14"/>
  <c r="AJ71" i="14"/>
  <c r="V71" i="14"/>
  <c r="U71" i="14"/>
  <c r="S71" i="14"/>
  <c r="L71" i="14"/>
  <c r="K71" i="14"/>
  <c r="AJ70" i="14"/>
  <c r="V70" i="14"/>
  <c r="U70" i="14"/>
  <c r="S70" i="14"/>
  <c r="L70" i="14"/>
  <c r="K70" i="14"/>
  <c r="AJ69" i="14"/>
  <c r="V69" i="14"/>
  <c r="U69" i="14"/>
  <c r="S69" i="14"/>
  <c r="L69" i="14"/>
  <c r="K69" i="14"/>
  <c r="AJ68" i="14"/>
  <c r="V68" i="14"/>
  <c r="U68" i="14"/>
  <c r="S68" i="14"/>
  <c r="L68" i="14"/>
  <c r="K68" i="14"/>
  <c r="AJ67" i="14"/>
  <c r="V67" i="14"/>
  <c r="U67" i="14"/>
  <c r="S67" i="14"/>
  <c r="L67" i="14"/>
  <c r="K67" i="14"/>
  <c r="AJ66" i="14"/>
  <c r="V66" i="14"/>
  <c r="U66" i="14"/>
  <c r="S66" i="14"/>
  <c r="L66" i="14"/>
  <c r="K66" i="14"/>
  <c r="AJ65" i="14"/>
  <c r="V65" i="14"/>
  <c r="U65" i="14"/>
  <c r="S65" i="14"/>
  <c r="L65" i="14"/>
  <c r="K65" i="14"/>
  <c r="AJ64" i="14"/>
  <c r="V64" i="14"/>
  <c r="U64" i="14"/>
  <c r="S64" i="14"/>
  <c r="L64" i="14"/>
  <c r="K64" i="14"/>
  <c r="AJ63" i="14"/>
  <c r="V63" i="14"/>
  <c r="U63" i="14"/>
  <c r="S63" i="14"/>
  <c r="L63" i="14"/>
  <c r="K63" i="14"/>
  <c r="AJ62" i="14"/>
  <c r="V62" i="14"/>
  <c r="U62" i="14"/>
  <c r="S62" i="14"/>
  <c r="L62" i="14"/>
  <c r="K62" i="14"/>
  <c r="AJ61" i="14"/>
  <c r="V61" i="14"/>
  <c r="U61" i="14"/>
  <c r="S61" i="14"/>
  <c r="L61" i="14"/>
  <c r="K61" i="14"/>
  <c r="AJ60" i="14"/>
  <c r="V60" i="14"/>
  <c r="U60" i="14"/>
  <c r="S60" i="14"/>
  <c r="L60" i="14"/>
  <c r="K60" i="14"/>
  <c r="AJ59" i="14"/>
  <c r="V59" i="14"/>
  <c r="U59" i="14"/>
  <c r="S59" i="14"/>
  <c r="L59" i="14"/>
  <c r="K59" i="14"/>
  <c r="AJ58" i="14"/>
  <c r="V58" i="14"/>
  <c r="U58" i="14"/>
  <c r="S58" i="14"/>
  <c r="L58" i="14"/>
  <c r="K58" i="14"/>
  <c r="AJ57" i="14"/>
  <c r="V57" i="14"/>
  <c r="U57" i="14"/>
  <c r="S57" i="14"/>
  <c r="L57" i="14"/>
  <c r="K57" i="14"/>
  <c r="AJ56" i="14"/>
  <c r="V56" i="14"/>
  <c r="U56" i="14"/>
  <c r="S56" i="14"/>
  <c r="L56" i="14"/>
  <c r="K56" i="14"/>
  <c r="AJ55" i="14"/>
  <c r="V55" i="14"/>
  <c r="U55" i="14"/>
  <c r="S55" i="14"/>
  <c r="L55" i="14"/>
  <c r="K55" i="14"/>
  <c r="AJ54" i="14"/>
  <c r="V54" i="14"/>
  <c r="U54" i="14"/>
  <c r="S54" i="14"/>
  <c r="L54" i="14"/>
  <c r="K54" i="14"/>
  <c r="AJ53" i="14"/>
  <c r="V53" i="14"/>
  <c r="U53" i="14"/>
  <c r="S53" i="14"/>
  <c r="L53" i="14"/>
  <c r="K53" i="14"/>
  <c r="AJ52" i="14"/>
  <c r="V52" i="14"/>
  <c r="U52" i="14"/>
  <c r="S52" i="14"/>
  <c r="L52" i="14"/>
  <c r="K52" i="14"/>
  <c r="AJ48" i="14"/>
  <c r="V48" i="14"/>
  <c r="U48" i="14"/>
  <c r="AK48" i="14"/>
  <c r="S48" i="14"/>
  <c r="L48" i="14"/>
  <c r="K48" i="14"/>
  <c r="H44" i="25"/>
  <c r="H43" i="25"/>
  <c r="H42" i="25"/>
  <c r="H41" i="25"/>
  <c r="H40" i="25"/>
  <c r="H39" i="25"/>
  <c r="H38" i="25"/>
  <c r="H37" i="25"/>
  <c r="H36" i="25"/>
  <c r="H35" i="25"/>
  <c r="H34" i="25"/>
  <c r="H33" i="25"/>
  <c r="H32" i="25"/>
  <c r="H31" i="25"/>
  <c r="H30" i="25"/>
  <c r="H29" i="25"/>
  <c r="H28" i="25"/>
  <c r="H27" i="25"/>
  <c r="H26" i="25"/>
  <c r="H25" i="25"/>
  <c r="H24" i="25"/>
  <c r="H23" i="25"/>
  <c r="H22" i="25"/>
  <c r="H21" i="25"/>
  <c r="H20" i="25"/>
  <c r="H19" i="25"/>
  <c r="H18" i="25"/>
  <c r="H17" i="25"/>
  <c r="H16" i="25"/>
  <c r="H15" i="25"/>
  <c r="H14" i="25"/>
  <c r="H13" i="25"/>
  <c r="H12" i="25"/>
  <c r="H11" i="25"/>
  <c r="H10" i="25"/>
  <c r="H9" i="25"/>
  <c r="H8" i="25"/>
  <c r="H7" i="25"/>
  <c r="H6" i="25"/>
  <c r="AJ81" i="14"/>
  <c r="V81" i="14"/>
  <c r="U81" i="14"/>
  <c r="S81" i="14"/>
  <c r="L81" i="14"/>
  <c r="K81" i="14"/>
  <c r="AJ80" i="14"/>
  <c r="V80" i="14"/>
  <c r="AS80" i="14" s="1"/>
  <c r="U80" i="14"/>
  <c r="S80" i="14"/>
  <c r="L80" i="14"/>
  <c r="K80" i="14"/>
  <c r="AJ79" i="14"/>
  <c r="V79" i="14"/>
  <c r="U79" i="14"/>
  <c r="S79" i="14"/>
  <c r="L79" i="14"/>
  <c r="K79" i="14"/>
  <c r="AJ78" i="14"/>
  <c r="V78" i="14"/>
  <c r="U78" i="14"/>
  <c r="S78" i="14"/>
  <c r="L78" i="14"/>
  <c r="K78" i="14"/>
  <c r="V77" i="14"/>
  <c r="U77" i="14"/>
  <c r="S77" i="14"/>
  <c r="L77" i="14"/>
  <c r="K77" i="14"/>
  <c r="AJ40" i="14"/>
  <c r="V40" i="14"/>
  <c r="U40" i="14"/>
  <c r="S40" i="14"/>
  <c r="L40" i="14"/>
  <c r="K40" i="14"/>
  <c r="AJ39" i="14"/>
  <c r="V39" i="14"/>
  <c r="U39" i="14"/>
  <c r="S39" i="14"/>
  <c r="L39" i="14"/>
  <c r="K39" i="14"/>
  <c r="AJ38" i="14"/>
  <c r="V38" i="14"/>
  <c r="U38" i="14"/>
  <c r="S38" i="14"/>
  <c r="L38" i="14"/>
  <c r="K38" i="14"/>
  <c r="AJ37" i="14"/>
  <c r="V37" i="14"/>
  <c r="U37" i="14"/>
  <c r="S37" i="14"/>
  <c r="L37" i="14"/>
  <c r="K37" i="14"/>
  <c r="AJ36" i="14"/>
  <c r="V36" i="14"/>
  <c r="U36" i="14"/>
  <c r="S36" i="14"/>
  <c r="L36" i="14"/>
  <c r="K36" i="14"/>
  <c r="AJ35" i="14"/>
  <c r="V35" i="14"/>
  <c r="U35" i="14"/>
  <c r="S35" i="14"/>
  <c r="L35" i="14"/>
  <c r="K35" i="14"/>
  <c r="AJ34" i="14"/>
  <c r="V34" i="14"/>
  <c r="U34" i="14"/>
  <c r="S34" i="14"/>
  <c r="L34" i="14"/>
  <c r="K34" i="14"/>
  <c r="AJ33" i="14"/>
  <c r="V33" i="14"/>
  <c r="U33" i="14"/>
  <c r="S33" i="14"/>
  <c r="L33" i="14"/>
  <c r="K33" i="14"/>
  <c r="AJ32" i="14"/>
  <c r="V32" i="14"/>
  <c r="U32" i="14"/>
  <c r="S32" i="14"/>
  <c r="L32" i="14"/>
  <c r="K32" i="14"/>
  <c r="AJ31" i="14"/>
  <c r="V31" i="14"/>
  <c r="U31" i="14"/>
  <c r="S31" i="14"/>
  <c r="L31" i="14"/>
  <c r="K31" i="14"/>
  <c r="AJ30" i="14"/>
  <c r="V30" i="14"/>
  <c r="U30" i="14"/>
  <c r="S30" i="14"/>
  <c r="L30" i="14"/>
  <c r="K30" i="14"/>
  <c r="AJ29" i="14"/>
  <c r="V29" i="14"/>
  <c r="U29" i="14"/>
  <c r="S29" i="14"/>
  <c r="L29" i="14"/>
  <c r="K29" i="14"/>
  <c r="AJ28" i="14"/>
  <c r="V28" i="14"/>
  <c r="U28" i="14"/>
  <c r="S28" i="14"/>
  <c r="L28" i="14"/>
  <c r="K28" i="14"/>
  <c r="AJ27" i="14"/>
  <c r="V27" i="14"/>
  <c r="U27" i="14"/>
  <c r="S27" i="14"/>
  <c r="L27" i="14"/>
  <c r="K27" i="14"/>
  <c r="AJ26" i="14"/>
  <c r="V26" i="14"/>
  <c r="U26" i="14"/>
  <c r="S26" i="14"/>
  <c r="L26" i="14"/>
  <c r="K26" i="14"/>
  <c r="AJ25" i="14"/>
  <c r="V25" i="14"/>
  <c r="U25" i="14"/>
  <c r="S25" i="14"/>
  <c r="L25" i="14"/>
  <c r="K25" i="14"/>
  <c r="AJ24" i="14"/>
  <c r="V24" i="14"/>
  <c r="U24" i="14"/>
  <c r="S24" i="14"/>
  <c r="L24" i="14"/>
  <c r="K24" i="14"/>
  <c r="AJ23" i="14"/>
  <c r="V23" i="14"/>
  <c r="U23" i="14"/>
  <c r="S23" i="14"/>
  <c r="L23" i="14"/>
  <c r="K23" i="14"/>
  <c r="AJ22" i="14"/>
  <c r="V22" i="14"/>
  <c r="U22" i="14"/>
  <c r="S22" i="14"/>
  <c r="L22" i="14"/>
  <c r="K22" i="14"/>
  <c r="AJ21" i="14"/>
  <c r="V21" i="14"/>
  <c r="U21" i="14"/>
  <c r="S21" i="14"/>
  <c r="L21" i="14"/>
  <c r="K21" i="14"/>
  <c r="AJ20" i="14"/>
  <c r="V20" i="14"/>
  <c r="U20" i="14"/>
  <c r="S20" i="14"/>
  <c r="L20" i="14"/>
  <c r="K20" i="14"/>
  <c r="AJ19" i="14"/>
  <c r="V19" i="14"/>
  <c r="U19" i="14"/>
  <c r="S19" i="14"/>
  <c r="L19" i="14"/>
  <c r="K19" i="14"/>
  <c r="AJ18" i="14"/>
  <c r="V18" i="14"/>
  <c r="U18" i="14"/>
  <c r="S18" i="14"/>
  <c r="L18" i="14"/>
  <c r="K18" i="14"/>
  <c r="AJ17" i="14"/>
  <c r="V17" i="14"/>
  <c r="U17" i="14"/>
  <c r="S17" i="14"/>
  <c r="L17" i="14"/>
  <c r="K17" i="14"/>
  <c r="AJ16" i="14"/>
  <c r="V16" i="14"/>
  <c r="U16" i="14"/>
  <c r="S16" i="14"/>
  <c r="L16" i="14"/>
  <c r="K16" i="14"/>
  <c r="AJ15" i="14"/>
  <c r="V15" i="14"/>
  <c r="U15" i="14"/>
  <c r="S15" i="14"/>
  <c r="L15" i="14"/>
  <c r="K15" i="14"/>
  <c r="AJ14" i="14"/>
  <c r="V14" i="14"/>
  <c r="U14" i="14"/>
  <c r="S14" i="14"/>
  <c r="L14" i="14"/>
  <c r="K14" i="14"/>
  <c r="AJ13" i="14"/>
  <c r="V13" i="14"/>
  <c r="U13" i="14"/>
  <c r="S13" i="14"/>
  <c r="L13" i="14"/>
  <c r="K13" i="14"/>
  <c r="AJ12" i="14"/>
  <c r="V12" i="14"/>
  <c r="U12" i="14"/>
  <c r="S12" i="14"/>
  <c r="L12" i="14"/>
  <c r="K12" i="14"/>
  <c r="AJ11" i="14"/>
  <c r="V11" i="14"/>
  <c r="U11" i="14"/>
  <c r="AK11" i="14" s="1"/>
  <c r="AG5" i="25" s="1"/>
  <c r="S11" i="14"/>
  <c r="L11" i="14"/>
  <c r="K11" i="14"/>
  <c r="AJ10" i="14"/>
  <c r="V10" i="14"/>
  <c r="U10" i="14"/>
  <c r="S10" i="14"/>
  <c r="L10" i="14"/>
  <c r="K10" i="14"/>
  <c r="AJ9" i="14"/>
  <c r="V9" i="14"/>
  <c r="U9" i="14"/>
  <c r="S9" i="14"/>
  <c r="L9" i="14"/>
  <c r="K9" i="14"/>
  <c r="AJ8" i="14"/>
  <c r="V8" i="14"/>
  <c r="U8" i="14"/>
  <c r="S8" i="14"/>
  <c r="L8" i="14"/>
  <c r="K8" i="14"/>
  <c r="AJ7" i="14"/>
  <c r="V7" i="14"/>
  <c r="U7" i="14"/>
  <c r="S7" i="14"/>
  <c r="L7" i="14"/>
  <c r="K7" i="14"/>
  <c r="AJ6" i="14"/>
  <c r="V6" i="14"/>
  <c r="U6" i="14"/>
  <c r="S6" i="14"/>
  <c r="L6" i="14"/>
  <c r="K6" i="14"/>
  <c r="AJ5" i="14"/>
  <c r="V5" i="14"/>
  <c r="U5" i="14"/>
  <c r="S5" i="14"/>
  <c r="L5" i="14"/>
  <c r="K5" i="14"/>
  <c r="H5" i="25"/>
  <c r="J47" i="13"/>
  <c r="J46" i="13"/>
  <c r="J45" i="13"/>
  <c r="J44" i="13"/>
  <c r="J43" i="13"/>
  <c r="J42" i="13"/>
  <c r="J41" i="13"/>
  <c r="J40" i="13"/>
  <c r="J39" i="13"/>
  <c r="J38" i="13"/>
  <c r="I47" i="13"/>
  <c r="I46" i="13"/>
  <c r="I45" i="13"/>
  <c r="I44" i="13"/>
  <c r="I43" i="13"/>
  <c r="I42" i="13"/>
  <c r="I41" i="13"/>
  <c r="I40" i="13"/>
  <c r="I39" i="13"/>
  <c r="I38" i="13"/>
  <c r="I2" i="25"/>
  <c r="J2" i="25" s="1"/>
  <c r="F35" i="30"/>
  <c r="T34" i="30"/>
  <c r="P33" i="30"/>
  <c r="V32" i="30"/>
  <c r="AN31" i="30"/>
  <c r="L30" i="30"/>
  <c r="AP29" i="30"/>
  <c r="AJ28" i="30"/>
  <c r="AJ26" i="30"/>
  <c r="V25" i="30"/>
  <c r="H24" i="30"/>
  <c r="B22" i="30"/>
  <c r="N21" i="30"/>
  <c r="AL20" i="30"/>
  <c r="V19" i="30"/>
  <c r="B18" i="30"/>
  <c r="N17" i="30"/>
  <c r="B15" i="30"/>
  <c r="B14" i="30"/>
  <c r="B12" i="30"/>
  <c r="B11" i="30"/>
  <c r="B10" i="30"/>
  <c r="A1" i="30"/>
  <c r="A1" i="28"/>
  <c r="A1" i="25"/>
  <c r="A1" i="27"/>
  <c r="A1" i="14"/>
  <c r="A1" i="13"/>
  <c r="BD5" i="25"/>
  <c r="J5" i="14" l="1" a="1"/>
  <c r="J5" i="14" s="1"/>
  <c r="J17" i="14" a="1"/>
  <c r="J17" i="14" s="1"/>
  <c r="J25" i="14" a="1"/>
  <c r="J25" i="14" s="1"/>
  <c r="J33" i="14" a="1"/>
  <c r="J33" i="14" s="1"/>
  <c r="J41" i="14" a="1"/>
  <c r="J41" i="14" s="1"/>
  <c r="J49" i="14" a="1"/>
  <c r="J49" i="14" s="1"/>
  <c r="J57" i="14" a="1"/>
  <c r="J57" i="14" s="1"/>
  <c r="J65" i="14" a="1"/>
  <c r="J65" i="14" s="1"/>
  <c r="J73" i="14" a="1"/>
  <c r="J73" i="14" s="1"/>
  <c r="J81" i="14" a="1"/>
  <c r="J81" i="14" s="1"/>
  <c r="J6" i="14" a="1"/>
  <c r="J6" i="14" s="1"/>
  <c r="J14" i="14" a="1"/>
  <c r="J14" i="14" s="1"/>
  <c r="J22" i="14" a="1"/>
  <c r="J22" i="14" s="1"/>
  <c r="J30" i="14" a="1"/>
  <c r="J30" i="14" s="1"/>
  <c r="J38" i="14" a="1"/>
  <c r="J38" i="14" s="1"/>
  <c r="J46" i="14" a="1"/>
  <c r="J46" i="14" s="1"/>
  <c r="J54" i="14" a="1"/>
  <c r="J54" i="14" s="1"/>
  <c r="J62" i="14" a="1"/>
  <c r="J62" i="14" s="1"/>
  <c r="J70" i="14" a="1"/>
  <c r="J70" i="14" s="1"/>
  <c r="J74" i="14" a="1"/>
  <c r="J74" i="14" s="1"/>
  <c r="J10" i="14" a="1"/>
  <c r="J10" i="14" s="1"/>
  <c r="J18" i="14" a="1"/>
  <c r="J18" i="14" s="1"/>
  <c r="J26" i="14" a="1"/>
  <c r="J26" i="14" s="1"/>
  <c r="J34" i="14" a="1"/>
  <c r="J34" i="14" s="1"/>
  <c r="J42" i="14" a="1"/>
  <c r="J42" i="14" s="1"/>
  <c r="J50" i="14" a="1"/>
  <c r="J50" i="14" s="1"/>
  <c r="J58" i="14" a="1"/>
  <c r="J58" i="14" s="1"/>
  <c r="J66" i="14" a="1"/>
  <c r="J66" i="14" s="1"/>
  <c r="J78" i="14" a="1"/>
  <c r="J78" i="14" s="1"/>
  <c r="J11" i="14" a="1"/>
  <c r="J11" i="14" s="1"/>
  <c r="J15" i="14" a="1"/>
  <c r="J15" i="14" s="1"/>
  <c r="J23" i="14" a="1"/>
  <c r="J23" i="14" s="1"/>
  <c r="J31" i="14" a="1"/>
  <c r="J31" i="14" s="1"/>
  <c r="J39" i="14" a="1"/>
  <c r="J39" i="14" s="1"/>
  <c r="J47" i="14" a="1"/>
  <c r="J47" i="14" s="1"/>
  <c r="J55" i="14" a="1"/>
  <c r="J55" i="14" s="1"/>
  <c r="J63" i="14" a="1"/>
  <c r="J63" i="14" s="1"/>
  <c r="J71" i="14" a="1"/>
  <c r="J71" i="14" s="1"/>
  <c r="J79" i="14" a="1"/>
  <c r="J79" i="14" s="1"/>
  <c r="J7" i="14" a="1"/>
  <c r="J7" i="14" s="1"/>
  <c r="J19" i="14" a="1"/>
  <c r="J19" i="14" s="1"/>
  <c r="J27" i="14" a="1"/>
  <c r="J27" i="14" s="1"/>
  <c r="J35" i="14" a="1"/>
  <c r="J35" i="14" s="1"/>
  <c r="J43" i="14" a="1"/>
  <c r="J43" i="14" s="1"/>
  <c r="J51" i="14" a="1"/>
  <c r="J51" i="14" s="1"/>
  <c r="J59" i="14" a="1"/>
  <c r="J59" i="14" s="1"/>
  <c r="J67" i="14" a="1"/>
  <c r="J67" i="14" s="1"/>
  <c r="J75" i="14" a="1"/>
  <c r="J75" i="14" s="1"/>
  <c r="J76" i="14" a="1"/>
  <c r="J76" i="14" s="1"/>
  <c r="J8" i="14" a="1"/>
  <c r="J8" i="14" s="1"/>
  <c r="J16" i="14" a="1"/>
  <c r="J16" i="14" s="1"/>
  <c r="J24" i="14" a="1"/>
  <c r="J24" i="14" s="1"/>
  <c r="J32" i="14" a="1"/>
  <c r="J32" i="14" s="1"/>
  <c r="J40" i="14" a="1"/>
  <c r="J40" i="14" s="1"/>
  <c r="J48" i="14" a="1"/>
  <c r="J48" i="14" s="1"/>
  <c r="J52" i="14" a="1"/>
  <c r="J52" i="14" s="1"/>
  <c r="J60" i="14" a="1"/>
  <c r="J60" i="14" s="1"/>
  <c r="J68" i="14" a="1"/>
  <c r="J68" i="14" s="1"/>
  <c r="J80" i="14" a="1"/>
  <c r="J80" i="14" s="1"/>
  <c r="J12" i="14" a="1"/>
  <c r="J12" i="14" s="1"/>
  <c r="J20" i="14" a="1"/>
  <c r="J20" i="14" s="1"/>
  <c r="J28" i="14" a="1"/>
  <c r="J28" i="14" s="1"/>
  <c r="J36" i="14" a="1"/>
  <c r="J36" i="14" s="1"/>
  <c r="J44" i="14" a="1"/>
  <c r="J44" i="14" s="1"/>
  <c r="J56" i="14" a="1"/>
  <c r="J56" i="14" s="1"/>
  <c r="J64" i="14" a="1"/>
  <c r="J64" i="14" s="1"/>
  <c r="J72" i="14" a="1"/>
  <c r="J72" i="14" s="1"/>
  <c r="J82" i="14" a="1"/>
  <c r="J82" i="14" s="1"/>
  <c r="J9" i="14" a="1"/>
  <c r="J9" i="14" s="1"/>
  <c r="J13" i="14" a="1"/>
  <c r="J13" i="14" s="1"/>
  <c r="J21" i="14" a="1"/>
  <c r="J21" i="14" s="1"/>
  <c r="J29" i="14" a="1"/>
  <c r="J29" i="14" s="1"/>
  <c r="J37" i="14" a="1"/>
  <c r="J37" i="14" s="1"/>
  <c r="J45" i="14" a="1"/>
  <c r="J45" i="14" s="1"/>
  <c r="J53" i="14" a="1"/>
  <c r="J53" i="14" s="1"/>
  <c r="J61" i="14" a="1"/>
  <c r="J61" i="14" s="1"/>
  <c r="J69" i="14" a="1"/>
  <c r="J69" i="14" s="1"/>
  <c r="J77" i="14" a="1"/>
  <c r="J77" i="14" s="1"/>
  <c r="AT62" i="14" a="1"/>
  <c r="AT62" i="14" s="1"/>
  <c r="AT82" i="14" a="1"/>
  <c r="AT82" i="14" s="1"/>
  <c r="AT77" i="14" a="1"/>
  <c r="AT77" i="14" s="1"/>
  <c r="AT49" i="14" a="1"/>
  <c r="AT49" i="14" s="1"/>
  <c r="AT12" i="14" a="1"/>
  <c r="AT12" i="14" s="1"/>
  <c r="AT24" i="14" a="1"/>
  <c r="AT24" i="14" s="1"/>
  <c r="B9" i="28"/>
  <c r="B28" i="27"/>
  <c r="U28" i="27" a="1"/>
  <c r="U28" i="27" s="1"/>
  <c r="M28" i="27" a="1"/>
  <c r="M28" i="27" s="1"/>
  <c r="G28" i="27" a="1"/>
  <c r="G28" i="27" s="1"/>
  <c r="C28" i="27" a="1"/>
  <c r="C28" i="27" s="1"/>
  <c r="V28" i="27" a="1"/>
  <c r="V28" i="27" s="1"/>
  <c r="J28" i="27" a="1"/>
  <c r="J28" i="27" s="1"/>
  <c r="R28" i="27" a="1"/>
  <c r="R28" i="27" s="1"/>
  <c r="I28" i="27" a="1"/>
  <c r="I28" i="27" s="1"/>
  <c r="Q28" i="27" a="1"/>
  <c r="Q28" i="27" s="1"/>
  <c r="F28" i="27" a="1"/>
  <c r="F28" i="27" s="1"/>
  <c r="X28" i="27" a="1"/>
  <c r="X28" i="27" s="1"/>
  <c r="N28" i="27" a="1"/>
  <c r="N28" i="27" s="1"/>
  <c r="E28" i="27" a="1"/>
  <c r="E28" i="27" s="1"/>
  <c r="W28" i="27" a="1"/>
  <c r="W28" i="27" s="1"/>
  <c r="D28" i="27" a="1"/>
  <c r="D28" i="27" s="1"/>
  <c r="K28" i="27" a="1"/>
  <c r="K28" i="27" s="1"/>
  <c r="B20" i="27"/>
  <c r="V20" i="27" a="1"/>
  <c r="V20" i="27" s="1"/>
  <c r="N20" i="27" a="1"/>
  <c r="N20" i="27" s="1"/>
  <c r="I20" i="27" a="1"/>
  <c r="I20" i="27" s="1"/>
  <c r="D20" i="27" a="1"/>
  <c r="D20" i="27" s="1"/>
  <c r="U20" i="27" a="1"/>
  <c r="U20" i="27" s="1"/>
  <c r="M20" i="27" a="1"/>
  <c r="M20" i="27" s="1"/>
  <c r="G20" i="27" a="1"/>
  <c r="G20" i="27" s="1"/>
  <c r="C20" i="27" a="1"/>
  <c r="C20" i="27" s="1"/>
  <c r="X20" i="27" a="1"/>
  <c r="X20" i="27" s="1"/>
  <c r="R20" i="27" a="1"/>
  <c r="R20" i="27" s="1"/>
  <c r="K20" i="27" a="1"/>
  <c r="K20" i="27" s="1"/>
  <c r="F20" i="27" a="1"/>
  <c r="F20" i="27" s="1"/>
  <c r="W20" i="27" a="1"/>
  <c r="W20" i="27" s="1"/>
  <c r="Q20" i="27" a="1"/>
  <c r="Q20" i="27" s="1"/>
  <c r="J20" i="27" a="1"/>
  <c r="J20" i="27" s="1"/>
  <c r="E20" i="27" a="1"/>
  <c r="E20" i="27" s="1"/>
  <c r="B12" i="27"/>
  <c r="B10" i="28"/>
  <c r="B18" i="28"/>
  <c r="X18" i="28" a="1"/>
  <c r="X18" i="28" s="1"/>
  <c r="R18" i="28" a="1"/>
  <c r="R18" i="28" s="1"/>
  <c r="K18" i="28" a="1"/>
  <c r="K18" i="28" s="1"/>
  <c r="F18" i="28" a="1"/>
  <c r="F18" i="28" s="1"/>
  <c r="N18" i="28" a="1"/>
  <c r="N18" i="28" s="1"/>
  <c r="E18" i="28" a="1"/>
  <c r="E18" i="28" s="1"/>
  <c r="W18" i="28" a="1"/>
  <c r="W18" i="28" s="1"/>
  <c r="M18" i="28" a="1"/>
  <c r="M18" i="28" s="1"/>
  <c r="Q18" i="28" a="1"/>
  <c r="Q18" i="28" s="1"/>
  <c r="G18" i="28" a="1"/>
  <c r="G18" i="28" s="1"/>
  <c r="I18" i="28" a="1"/>
  <c r="I18" i="28" s="1"/>
  <c r="J18" i="28" a="1"/>
  <c r="J18" i="28" s="1"/>
  <c r="V18" i="28" a="1"/>
  <c r="V18" i="28" s="1"/>
  <c r="U18" i="28" a="1"/>
  <c r="U18" i="28" s="1"/>
  <c r="D18" i="28" a="1"/>
  <c r="D18" i="28" s="1"/>
  <c r="C18" i="28" a="1"/>
  <c r="C18" i="28" s="1"/>
  <c r="B26" i="28"/>
  <c r="X26" i="28" a="1"/>
  <c r="X26" i="28" s="1"/>
  <c r="R26" i="28" a="1"/>
  <c r="R26" i="28" s="1"/>
  <c r="K26" i="28" a="1"/>
  <c r="K26" i="28" s="1"/>
  <c r="F26" i="28" a="1"/>
  <c r="F26" i="28" s="1"/>
  <c r="N26" i="28" a="1"/>
  <c r="N26" i="28" s="1"/>
  <c r="E26" i="28" a="1"/>
  <c r="E26" i="28" s="1"/>
  <c r="W26" i="28" a="1"/>
  <c r="W26" i="28" s="1"/>
  <c r="M26" i="28" a="1"/>
  <c r="M26" i="28" s="1"/>
  <c r="Q26" i="28" a="1"/>
  <c r="Q26" i="28" s="1"/>
  <c r="G26" i="28" a="1"/>
  <c r="G26" i="28" s="1"/>
  <c r="V26" i="28" a="1"/>
  <c r="V26" i="28" s="1"/>
  <c r="U26" i="28" a="1"/>
  <c r="U26" i="28" s="1"/>
  <c r="D26" i="28" a="1"/>
  <c r="D26" i="28" s="1"/>
  <c r="J26" i="28" a="1"/>
  <c r="J26" i="28" s="1"/>
  <c r="I26" i="28" a="1"/>
  <c r="I26" i="28" s="1"/>
  <c r="C26" i="28" a="1"/>
  <c r="C26" i="28" s="1"/>
  <c r="B34" i="28"/>
  <c r="X34" i="28" a="1"/>
  <c r="X34" i="28" s="1"/>
  <c r="R34" i="28" a="1"/>
  <c r="R34" i="28" s="1"/>
  <c r="K34" i="28" a="1"/>
  <c r="K34" i="28" s="1"/>
  <c r="F34" i="28" a="1"/>
  <c r="F34" i="28" s="1"/>
  <c r="N34" i="28" a="1"/>
  <c r="N34" i="28" s="1"/>
  <c r="E34" i="28" a="1"/>
  <c r="E34" i="28" s="1"/>
  <c r="W34" i="28" a="1"/>
  <c r="W34" i="28" s="1"/>
  <c r="M34" i="28" a="1"/>
  <c r="M34" i="28" s="1"/>
  <c r="Q34" i="28" a="1"/>
  <c r="Q34" i="28" s="1"/>
  <c r="G34" i="28" a="1"/>
  <c r="G34" i="28" s="1"/>
  <c r="I34" i="28" a="1"/>
  <c r="I34" i="28" s="1"/>
  <c r="J34" i="28" a="1"/>
  <c r="J34" i="28" s="1"/>
  <c r="V34" i="28" a="1"/>
  <c r="V34" i="28" s="1"/>
  <c r="U34" i="28" a="1"/>
  <c r="U34" i="28" s="1"/>
  <c r="D34" i="28" a="1"/>
  <c r="D34" i="28" s="1"/>
  <c r="C34" i="28" a="1"/>
  <c r="C34" i="28" s="1"/>
  <c r="O55" i="14"/>
  <c r="O59" i="14"/>
  <c r="O63" i="14"/>
  <c r="O67" i="14"/>
  <c r="O71" i="14"/>
  <c r="O75" i="14"/>
  <c r="O47" i="14"/>
  <c r="O50" i="14"/>
  <c r="O82" i="14"/>
  <c r="B29" i="27"/>
  <c r="V29" i="27" a="1"/>
  <c r="V29" i="27" s="1"/>
  <c r="N29" i="27" a="1"/>
  <c r="N29" i="27" s="1"/>
  <c r="I29" i="27" a="1"/>
  <c r="I29" i="27" s="1"/>
  <c r="D29" i="27" a="1"/>
  <c r="D29" i="27" s="1"/>
  <c r="G29" i="27" a="1"/>
  <c r="G29" i="27" s="1"/>
  <c r="R29" i="27" a="1"/>
  <c r="R29" i="27" s="1"/>
  <c r="J29" i="27" a="1"/>
  <c r="J29" i="27" s="1"/>
  <c r="C29" i="27" a="1"/>
  <c r="C29" i="27" s="1"/>
  <c r="F29" i="27" a="1"/>
  <c r="F29" i="27" s="1"/>
  <c r="U29" i="27" a="1"/>
  <c r="U29" i="27" s="1"/>
  <c r="Q29" i="27" a="1"/>
  <c r="Q29" i="27" s="1"/>
  <c r="E29" i="27" a="1"/>
  <c r="E29" i="27" s="1"/>
  <c r="M29" i="27" a="1"/>
  <c r="M29" i="27" s="1"/>
  <c r="X29" i="27" a="1"/>
  <c r="X29" i="27" s="1"/>
  <c r="K29" i="27" a="1"/>
  <c r="K29" i="27" s="1"/>
  <c r="W29" i="27" a="1"/>
  <c r="W29" i="27" s="1"/>
  <c r="B33" i="28"/>
  <c r="X33" i="28" a="1"/>
  <c r="X33" i="28" s="1"/>
  <c r="R33" i="28" a="1"/>
  <c r="R33" i="28" s="1"/>
  <c r="K33" i="28" a="1"/>
  <c r="K33" i="28" s="1"/>
  <c r="F33" i="28" a="1"/>
  <c r="F33" i="28" s="1"/>
  <c r="U33" i="28" a="1"/>
  <c r="U33" i="28" s="1"/>
  <c r="I33" i="28" a="1"/>
  <c r="I33" i="28" s="1"/>
  <c r="D33" i="28" a="1"/>
  <c r="D33" i="28" s="1"/>
  <c r="C33" i="28" a="1"/>
  <c r="C33" i="28" s="1"/>
  <c r="W33" i="28" a="1"/>
  <c r="W33" i="28" s="1"/>
  <c r="V33" i="28" a="1"/>
  <c r="V33" i="28" s="1"/>
  <c r="E33" i="28" a="1"/>
  <c r="E33" i="28" s="1"/>
  <c r="Q33" i="28" a="1"/>
  <c r="Q33" i="28" s="1"/>
  <c r="N33" i="28" a="1"/>
  <c r="N33" i="28" s="1"/>
  <c r="M33" i="28" a="1"/>
  <c r="M33" i="28" s="1"/>
  <c r="J33" i="28" a="1"/>
  <c r="J33" i="28" s="1"/>
  <c r="G33" i="28" a="1"/>
  <c r="G33" i="28" s="1"/>
  <c r="O23" i="14"/>
  <c r="B19" i="28"/>
  <c r="X19" i="28" a="1"/>
  <c r="X19" i="28" s="1"/>
  <c r="R19" i="28" a="1"/>
  <c r="R19" i="28" s="1"/>
  <c r="K19" i="28" a="1"/>
  <c r="K19" i="28" s="1"/>
  <c r="F19" i="28" a="1"/>
  <c r="F19" i="28" s="1"/>
  <c r="U19" i="28" a="1"/>
  <c r="U19" i="28" s="1"/>
  <c r="I19" i="28" a="1"/>
  <c r="I19" i="28" s="1"/>
  <c r="D19" i="28" a="1"/>
  <c r="D19" i="28" s="1"/>
  <c r="N19" i="28" a="1"/>
  <c r="N19" i="28" s="1"/>
  <c r="V19" i="28" a="1"/>
  <c r="V19" i="28" s="1"/>
  <c r="E19" i="28" a="1"/>
  <c r="E19" i="28" s="1"/>
  <c r="Q19" i="28" a="1"/>
  <c r="Q19" i="28" s="1"/>
  <c r="M19" i="28" a="1"/>
  <c r="M19" i="28" s="1"/>
  <c r="W19" i="28" a="1"/>
  <c r="W19" i="28" s="1"/>
  <c r="J19" i="28" a="1"/>
  <c r="J19" i="28" s="1"/>
  <c r="G19" i="28" a="1"/>
  <c r="G19" i="28" s="1"/>
  <c r="C19" i="28" a="1"/>
  <c r="C19" i="28" s="1"/>
  <c r="B19" i="27"/>
  <c r="V19" i="27" a="1"/>
  <c r="V19" i="27" s="1"/>
  <c r="N19" i="27" a="1"/>
  <c r="N19" i="27" s="1"/>
  <c r="I19" i="27" a="1"/>
  <c r="I19" i="27" s="1"/>
  <c r="D19" i="27" a="1"/>
  <c r="D19" i="27" s="1"/>
  <c r="U19" i="27" a="1"/>
  <c r="U19" i="27" s="1"/>
  <c r="M19" i="27" a="1"/>
  <c r="M19" i="27" s="1"/>
  <c r="G19" i="27" a="1"/>
  <c r="G19" i="27" s="1"/>
  <c r="C19" i="27" a="1"/>
  <c r="C19" i="27" s="1"/>
  <c r="X19" i="27" a="1"/>
  <c r="X19" i="27" s="1"/>
  <c r="R19" i="27" a="1"/>
  <c r="R19" i="27" s="1"/>
  <c r="K19" i="27" a="1"/>
  <c r="K19" i="27" s="1"/>
  <c r="F19" i="27" a="1"/>
  <c r="F19" i="27" s="1"/>
  <c r="W19" i="27" a="1"/>
  <c r="W19" i="27" s="1"/>
  <c r="Q19" i="27" a="1"/>
  <c r="Q19" i="27" s="1"/>
  <c r="J19" i="27" a="1"/>
  <c r="J19" i="27" s="1"/>
  <c r="E19" i="27" a="1"/>
  <c r="E19" i="27" s="1"/>
  <c r="B27" i="28"/>
  <c r="X27" i="28" a="1"/>
  <c r="X27" i="28" s="1"/>
  <c r="R27" i="28" a="1"/>
  <c r="R27" i="28" s="1"/>
  <c r="K27" i="28" a="1"/>
  <c r="K27" i="28" s="1"/>
  <c r="F27" i="28" a="1"/>
  <c r="F27" i="28" s="1"/>
  <c r="U27" i="28" a="1"/>
  <c r="U27" i="28" s="1"/>
  <c r="I27" i="28" a="1"/>
  <c r="I27" i="28" s="1"/>
  <c r="D27" i="28" a="1"/>
  <c r="D27" i="28" s="1"/>
  <c r="W27" i="28" a="1"/>
  <c r="W27" i="28" s="1"/>
  <c r="M27" i="28" a="1"/>
  <c r="M27" i="28" s="1"/>
  <c r="J27" i="28" a="1"/>
  <c r="J27" i="28" s="1"/>
  <c r="Q27" i="28" a="1"/>
  <c r="Q27" i="28" s="1"/>
  <c r="N27" i="28" a="1"/>
  <c r="N27" i="28" s="1"/>
  <c r="G27" i="28" a="1"/>
  <c r="G27" i="28" s="1"/>
  <c r="E27" i="28" a="1"/>
  <c r="E27" i="28" s="1"/>
  <c r="C27" i="28" a="1"/>
  <c r="C27" i="28" s="1"/>
  <c r="V27" i="28" a="1"/>
  <c r="V27" i="28" s="1"/>
  <c r="B34" i="27"/>
  <c r="V34" i="27" a="1"/>
  <c r="V34" i="27" s="1"/>
  <c r="N34" i="27" a="1"/>
  <c r="N34" i="27" s="1"/>
  <c r="I34" i="27" a="1"/>
  <c r="I34" i="27" s="1"/>
  <c r="D34" i="27" a="1"/>
  <c r="D34" i="27" s="1"/>
  <c r="G34" i="27" a="1"/>
  <c r="G34" i="27" s="1"/>
  <c r="R34" i="27" a="1"/>
  <c r="R34" i="27" s="1"/>
  <c r="J34" i="27" a="1"/>
  <c r="J34" i="27" s="1"/>
  <c r="C34" i="27" a="1"/>
  <c r="C34" i="27" s="1"/>
  <c r="Q34" i="27" a="1"/>
  <c r="Q34" i="27" s="1"/>
  <c r="E34" i="27" a="1"/>
  <c r="E34" i="27" s="1"/>
  <c r="M34" i="27" a="1"/>
  <c r="M34" i="27" s="1"/>
  <c r="X34" i="27" a="1"/>
  <c r="X34" i="27" s="1"/>
  <c r="K34" i="27" a="1"/>
  <c r="K34" i="27" s="1"/>
  <c r="W34" i="27" a="1"/>
  <c r="W34" i="27" s="1"/>
  <c r="F34" i="27" a="1"/>
  <c r="F34" i="27" s="1"/>
  <c r="U34" i="27" a="1"/>
  <c r="U34" i="27" s="1"/>
  <c r="B26" i="27"/>
  <c r="U26" i="27" a="1"/>
  <c r="U26" i="27" s="1"/>
  <c r="M26" i="27" a="1"/>
  <c r="M26" i="27" s="1"/>
  <c r="G26" i="27" a="1"/>
  <c r="G26" i="27" s="1"/>
  <c r="C26" i="27" a="1"/>
  <c r="C26" i="27" s="1"/>
  <c r="V26" i="27" a="1"/>
  <c r="V26" i="27" s="1"/>
  <c r="J26" i="27" a="1"/>
  <c r="J26" i="27" s="1"/>
  <c r="R26" i="27" a="1"/>
  <c r="R26" i="27" s="1"/>
  <c r="I26" i="27" a="1"/>
  <c r="I26" i="27" s="1"/>
  <c r="Q26" i="27" a="1"/>
  <c r="Q26" i="27" s="1"/>
  <c r="F26" i="27" a="1"/>
  <c r="F26" i="27" s="1"/>
  <c r="X26" i="27" a="1"/>
  <c r="X26" i="27" s="1"/>
  <c r="N26" i="27" a="1"/>
  <c r="N26" i="27" s="1"/>
  <c r="E26" i="27" a="1"/>
  <c r="E26" i="27" s="1"/>
  <c r="W26" i="27" a="1"/>
  <c r="W26" i="27" s="1"/>
  <c r="K26" i="27" a="1"/>
  <c r="K26" i="27" s="1"/>
  <c r="D26" i="27" a="1"/>
  <c r="D26" i="27" s="1"/>
  <c r="B18" i="27"/>
  <c r="V18" i="27" a="1"/>
  <c r="V18" i="27" s="1"/>
  <c r="N18" i="27" a="1"/>
  <c r="N18" i="27" s="1"/>
  <c r="I18" i="27" a="1"/>
  <c r="I18" i="27" s="1"/>
  <c r="D18" i="27" a="1"/>
  <c r="D18" i="27" s="1"/>
  <c r="U18" i="27" a="1"/>
  <c r="U18" i="27" s="1"/>
  <c r="M18" i="27" a="1"/>
  <c r="M18" i="27" s="1"/>
  <c r="G18" i="27" a="1"/>
  <c r="G18" i="27" s="1"/>
  <c r="C18" i="27" a="1"/>
  <c r="C18" i="27" s="1"/>
  <c r="X18" i="27" a="1"/>
  <c r="X18" i="27" s="1"/>
  <c r="R18" i="27" a="1"/>
  <c r="R18" i="27" s="1"/>
  <c r="K18" i="27" a="1"/>
  <c r="K18" i="27" s="1"/>
  <c r="F18" i="27" a="1"/>
  <c r="F18" i="27" s="1"/>
  <c r="W18" i="27" a="1"/>
  <c r="W18" i="27" s="1"/>
  <c r="Q18" i="27" a="1"/>
  <c r="Q18" i="27" s="1"/>
  <c r="J18" i="27" a="1"/>
  <c r="J18" i="27" s="1"/>
  <c r="E18" i="27" a="1"/>
  <c r="E18" i="27" s="1"/>
  <c r="B10" i="27"/>
  <c r="X10" i="27" a="1"/>
  <c r="X10" i="27" s="1"/>
  <c r="R10" i="27" a="1"/>
  <c r="R10" i="27" s="1"/>
  <c r="K10" i="27" a="1"/>
  <c r="K10" i="27" s="1"/>
  <c r="S10" i="27" s="1"/>
  <c r="F10" i="27" a="1"/>
  <c r="F10" i="27" s="1"/>
  <c r="N10" i="27" a="1"/>
  <c r="N10" i="27" s="1"/>
  <c r="E10" i="27" a="1"/>
  <c r="E10" i="27" s="1"/>
  <c r="W10" i="27" a="1"/>
  <c r="W10" i="27" s="1"/>
  <c r="M10" i="27" a="1"/>
  <c r="M10" i="27" s="1"/>
  <c r="D10" i="27" a="1"/>
  <c r="D10" i="27" s="1"/>
  <c r="V10" i="27" a="1"/>
  <c r="V10" i="27" s="1"/>
  <c r="J10" i="27" a="1"/>
  <c r="J10" i="27" s="1"/>
  <c r="C10" i="27" a="1"/>
  <c r="C10" i="27" s="1"/>
  <c r="U10" i="27" a="1"/>
  <c r="U10" i="27" s="1"/>
  <c r="I10" i="27" a="1"/>
  <c r="I10" i="27" s="1"/>
  <c r="Q10" i="27" a="1"/>
  <c r="Q10" i="27" s="1"/>
  <c r="G10" i="27" a="1"/>
  <c r="G10" i="27" s="1"/>
  <c r="B12" i="28"/>
  <c r="X12" i="28" a="1"/>
  <c r="X12" i="28" s="1"/>
  <c r="R12" i="28" a="1"/>
  <c r="R12" i="28" s="1"/>
  <c r="K12" i="28" a="1"/>
  <c r="K12" i="28" s="1"/>
  <c r="F12" i="28" a="1"/>
  <c r="F12" i="28" s="1"/>
  <c r="I12" i="28" a="1"/>
  <c r="I12" i="28" s="1"/>
  <c r="C12" i="28" a="1"/>
  <c r="C12" i="28" s="1"/>
  <c r="E12" i="28" a="1"/>
  <c r="E12" i="28" s="1"/>
  <c r="U12" i="28" a="1"/>
  <c r="U12" i="28" s="1"/>
  <c r="D12" i="28" a="1"/>
  <c r="D12" i="28" s="1"/>
  <c r="J12" i="28" a="1"/>
  <c r="J12" i="28" s="1"/>
  <c r="W12" i="28" a="1"/>
  <c r="W12" i="28" s="1"/>
  <c r="V12" i="28" a="1"/>
  <c r="V12" i="28" s="1"/>
  <c r="Q12" i="28" a="1"/>
  <c r="Q12" i="28" s="1"/>
  <c r="N12" i="28" a="1"/>
  <c r="N12" i="28" s="1"/>
  <c r="M12" i="28" a="1"/>
  <c r="M12" i="28" s="1"/>
  <c r="G12" i="28" a="1"/>
  <c r="G12" i="28" s="1"/>
  <c r="B20" i="28"/>
  <c r="X20" i="28" a="1"/>
  <c r="X20" i="28" s="1"/>
  <c r="R20" i="28" a="1"/>
  <c r="R20" i="28" s="1"/>
  <c r="K20" i="28" a="1"/>
  <c r="K20" i="28" s="1"/>
  <c r="F20" i="28" a="1"/>
  <c r="F20" i="28" s="1"/>
  <c r="N20" i="28" a="1"/>
  <c r="N20" i="28" s="1"/>
  <c r="E20" i="28" a="1"/>
  <c r="E20" i="28" s="1"/>
  <c r="W20" i="28" a="1"/>
  <c r="W20" i="28" s="1"/>
  <c r="M20" i="28" a="1"/>
  <c r="M20" i="28" s="1"/>
  <c r="Q20" i="28" a="1"/>
  <c r="Q20" i="28" s="1"/>
  <c r="G20" i="28" a="1"/>
  <c r="G20" i="28" s="1"/>
  <c r="V20" i="28" a="1"/>
  <c r="V20" i="28" s="1"/>
  <c r="J20" i="28" a="1"/>
  <c r="J20" i="28" s="1"/>
  <c r="U20" i="28" a="1"/>
  <c r="U20" i="28" s="1"/>
  <c r="C20" i="28" a="1"/>
  <c r="C20" i="28" s="1"/>
  <c r="I20" i="28" a="1"/>
  <c r="I20" i="28" s="1"/>
  <c r="D20" i="28" a="1"/>
  <c r="D20" i="28" s="1"/>
  <c r="B28" i="28"/>
  <c r="X28" i="28" a="1"/>
  <c r="X28" i="28" s="1"/>
  <c r="R28" i="28" a="1"/>
  <c r="R28" i="28" s="1"/>
  <c r="K28" i="28" a="1"/>
  <c r="K28" i="28" s="1"/>
  <c r="F28" i="28" a="1"/>
  <c r="F28" i="28" s="1"/>
  <c r="N28" i="28" a="1"/>
  <c r="N28" i="28" s="1"/>
  <c r="E28" i="28" a="1"/>
  <c r="E28" i="28" s="1"/>
  <c r="W28" i="28" a="1"/>
  <c r="W28" i="28" s="1"/>
  <c r="M28" i="28" a="1"/>
  <c r="M28" i="28" s="1"/>
  <c r="Q28" i="28" a="1"/>
  <c r="Q28" i="28" s="1"/>
  <c r="G28" i="28" a="1"/>
  <c r="G28" i="28" s="1"/>
  <c r="U28" i="28" a="1"/>
  <c r="U28" i="28" s="1"/>
  <c r="D28" i="28" a="1"/>
  <c r="D28" i="28" s="1"/>
  <c r="C28" i="28" a="1"/>
  <c r="C28" i="28" s="1"/>
  <c r="V28" i="28" a="1"/>
  <c r="V28" i="28" s="1"/>
  <c r="J28" i="28" a="1"/>
  <c r="J28" i="28" s="1"/>
  <c r="I28" i="28" a="1"/>
  <c r="I28" i="28" s="1"/>
  <c r="B21" i="27"/>
  <c r="V21" i="27" a="1"/>
  <c r="V21" i="27" s="1"/>
  <c r="N21" i="27" a="1"/>
  <c r="N21" i="27" s="1"/>
  <c r="I21" i="27" a="1"/>
  <c r="I21" i="27" s="1"/>
  <c r="D21" i="27" a="1"/>
  <c r="D21" i="27" s="1"/>
  <c r="U21" i="27" a="1"/>
  <c r="U21" i="27" s="1"/>
  <c r="M21" i="27" a="1"/>
  <c r="M21" i="27" s="1"/>
  <c r="G21" i="27" a="1"/>
  <c r="G21" i="27" s="1"/>
  <c r="C21" i="27" a="1"/>
  <c r="C21" i="27" s="1"/>
  <c r="X21" i="27" a="1"/>
  <c r="X21" i="27" s="1"/>
  <c r="R21" i="27" a="1"/>
  <c r="R21" i="27" s="1"/>
  <c r="K21" i="27" a="1"/>
  <c r="K21" i="27" s="1"/>
  <c r="F21" i="27" a="1"/>
  <c r="F21" i="27" s="1"/>
  <c r="W21" i="27" a="1"/>
  <c r="W21" i="27" s="1"/>
  <c r="Q21" i="27" a="1"/>
  <c r="Q21" i="27" s="1"/>
  <c r="J21" i="27" a="1"/>
  <c r="J21" i="27" s="1"/>
  <c r="E21" i="27" a="1"/>
  <c r="E21" i="27" s="1"/>
  <c r="B25" i="28"/>
  <c r="X25" i="28" a="1"/>
  <c r="X25" i="28" s="1"/>
  <c r="R25" i="28" a="1"/>
  <c r="R25" i="28" s="1"/>
  <c r="K25" i="28" a="1"/>
  <c r="K25" i="28" s="1"/>
  <c r="F25" i="28" a="1"/>
  <c r="F25" i="28" s="1"/>
  <c r="U25" i="28" a="1"/>
  <c r="U25" i="28" s="1"/>
  <c r="I25" i="28" a="1"/>
  <c r="I25" i="28" s="1"/>
  <c r="D25" i="28" a="1"/>
  <c r="D25" i="28" s="1"/>
  <c r="G25" i="28" a="1"/>
  <c r="G25" i="28" s="1"/>
  <c r="N25" i="28" a="1"/>
  <c r="N25" i="28" s="1"/>
  <c r="M25" i="28" a="1"/>
  <c r="M25" i="28" s="1"/>
  <c r="Q25" i="28" a="1"/>
  <c r="Q25" i="28" s="1"/>
  <c r="J25" i="28" a="1"/>
  <c r="J25" i="28" s="1"/>
  <c r="E25" i="28" a="1"/>
  <c r="E25" i="28" s="1"/>
  <c r="W25" i="28" a="1"/>
  <c r="W25" i="28" s="1"/>
  <c r="C25" i="28" a="1"/>
  <c r="C25" i="28" s="1"/>
  <c r="V25" i="28" a="1"/>
  <c r="V25" i="28" s="1"/>
  <c r="B27" i="27"/>
  <c r="U27" i="27" a="1"/>
  <c r="U27" i="27" s="1"/>
  <c r="M27" i="27" a="1"/>
  <c r="M27" i="27" s="1"/>
  <c r="G27" i="27" a="1"/>
  <c r="G27" i="27" s="1"/>
  <c r="C27" i="27" a="1"/>
  <c r="C27" i="27" s="1"/>
  <c r="F27" i="27" a="1"/>
  <c r="F27" i="27" s="1"/>
  <c r="X27" i="27" a="1"/>
  <c r="X27" i="27" s="1"/>
  <c r="N27" i="27" a="1"/>
  <c r="N27" i="27" s="1"/>
  <c r="E27" i="27" a="1"/>
  <c r="E27" i="27" s="1"/>
  <c r="W27" i="27" a="1"/>
  <c r="W27" i="27" s="1"/>
  <c r="K27" i="27" a="1"/>
  <c r="K27" i="27" s="1"/>
  <c r="D27" i="27" a="1"/>
  <c r="D27" i="27" s="1"/>
  <c r="V27" i="27" a="1"/>
  <c r="V27" i="27" s="1"/>
  <c r="J27" i="27" a="1"/>
  <c r="J27" i="27" s="1"/>
  <c r="R27" i="27" a="1"/>
  <c r="R27" i="27" s="1"/>
  <c r="I27" i="27" a="1"/>
  <c r="I27" i="27" s="1"/>
  <c r="Q27" i="27" a="1"/>
  <c r="Q27" i="27" s="1"/>
  <c r="B9" i="27"/>
  <c r="B21" i="28"/>
  <c r="X21" i="28" a="1"/>
  <c r="X21" i="28" s="1"/>
  <c r="R21" i="28" a="1"/>
  <c r="R21" i="28" s="1"/>
  <c r="K21" i="28" a="1"/>
  <c r="K21" i="28" s="1"/>
  <c r="F21" i="28" a="1"/>
  <c r="F21" i="28" s="1"/>
  <c r="U21" i="28" a="1"/>
  <c r="U21" i="28" s="1"/>
  <c r="I21" i="28" a="1"/>
  <c r="I21" i="28" s="1"/>
  <c r="D21" i="28" a="1"/>
  <c r="D21" i="28" s="1"/>
  <c r="M21" i="28" a="1"/>
  <c r="M21" i="28" s="1"/>
  <c r="Q21" i="28" a="1"/>
  <c r="Q21" i="28" s="1"/>
  <c r="C21" i="28" a="1"/>
  <c r="C21" i="28" s="1"/>
  <c r="N21" i="28" a="1"/>
  <c r="N21" i="28" s="1"/>
  <c r="J21" i="28" a="1"/>
  <c r="J21" i="28" s="1"/>
  <c r="W21" i="28" a="1"/>
  <c r="W21" i="28" s="1"/>
  <c r="V21" i="28" a="1"/>
  <c r="V21" i="28" s="1"/>
  <c r="G21" i="28" a="1"/>
  <c r="G21" i="28" s="1"/>
  <c r="E21" i="28" a="1"/>
  <c r="E21" i="28" s="1"/>
  <c r="B29" i="28"/>
  <c r="X29" i="28" a="1"/>
  <c r="X29" i="28" s="1"/>
  <c r="R29" i="28" a="1"/>
  <c r="R29" i="28" s="1"/>
  <c r="K29" i="28" a="1"/>
  <c r="K29" i="28" s="1"/>
  <c r="F29" i="28" a="1"/>
  <c r="F29" i="28" s="1"/>
  <c r="U29" i="28" a="1"/>
  <c r="U29" i="28" s="1"/>
  <c r="I29" i="28" a="1"/>
  <c r="I29" i="28" s="1"/>
  <c r="D29" i="28" a="1"/>
  <c r="D29" i="28" s="1"/>
  <c r="V29" i="28" a="1"/>
  <c r="V29" i="28" s="1"/>
  <c r="E29" i="28" a="1"/>
  <c r="E29" i="28" s="1"/>
  <c r="J29" i="28" a="1"/>
  <c r="J29" i="28" s="1"/>
  <c r="G29" i="28" a="1"/>
  <c r="G29" i="28" s="1"/>
  <c r="Q29" i="28" a="1"/>
  <c r="Q29" i="28" s="1"/>
  <c r="N29" i="28" a="1"/>
  <c r="N29" i="28" s="1"/>
  <c r="M29" i="28" a="1"/>
  <c r="M29" i="28" s="1"/>
  <c r="C29" i="28" a="1"/>
  <c r="C29" i="28" s="1"/>
  <c r="W29" i="28" a="1"/>
  <c r="W29" i="28" s="1"/>
  <c r="O77" i="14"/>
  <c r="B17" i="28"/>
  <c r="X17" i="28" a="1"/>
  <c r="X17" i="28" s="1"/>
  <c r="R17" i="28" a="1"/>
  <c r="R17" i="28" s="1"/>
  <c r="K17" i="28" a="1"/>
  <c r="K17" i="28" s="1"/>
  <c r="F17" i="28" a="1"/>
  <c r="F17" i="28" s="1"/>
  <c r="U17" i="28" a="1"/>
  <c r="U17" i="28" s="1"/>
  <c r="I17" i="28" a="1"/>
  <c r="I17" i="28" s="1"/>
  <c r="D17" i="28" a="1"/>
  <c r="D17" i="28" s="1"/>
  <c r="C17" i="28" a="1"/>
  <c r="C17" i="28" s="1"/>
  <c r="W17" i="28" a="1"/>
  <c r="W17" i="28" s="1"/>
  <c r="V17" i="28" a="1"/>
  <c r="V17" i="28" s="1"/>
  <c r="E17" i="28" a="1"/>
  <c r="E17" i="28" s="1"/>
  <c r="M17" i="28" a="1"/>
  <c r="M17" i="28" s="1"/>
  <c r="Q17" i="28" a="1"/>
  <c r="Q17" i="28" s="1"/>
  <c r="N17" i="28" a="1"/>
  <c r="N17" i="28" s="1"/>
  <c r="J17" i="28" a="1"/>
  <c r="J17" i="28" s="1"/>
  <c r="G17" i="28" a="1"/>
  <c r="G17" i="28" s="1"/>
  <c r="B35" i="27"/>
  <c r="X35" i="27" a="1"/>
  <c r="X35" i="27" s="1"/>
  <c r="V35" i="27" a="1"/>
  <c r="V35" i="27" s="1"/>
  <c r="N35" i="27" a="1"/>
  <c r="N35" i="27" s="1"/>
  <c r="I35" i="27" a="1"/>
  <c r="I35" i="27" s="1"/>
  <c r="D35" i="27" a="1"/>
  <c r="D35" i="27" s="1"/>
  <c r="G35" i="27" a="1"/>
  <c r="G35" i="27" s="1"/>
  <c r="R35" i="27" a="1"/>
  <c r="R35" i="27" s="1"/>
  <c r="J35" i="27" a="1"/>
  <c r="J35" i="27" s="1"/>
  <c r="C35" i="27" a="1"/>
  <c r="C35" i="27" s="1"/>
  <c r="U35" i="27" a="1"/>
  <c r="U35" i="27" s="1"/>
  <c r="Q35" i="27" a="1"/>
  <c r="Q35" i="27" s="1"/>
  <c r="E35" i="27" a="1"/>
  <c r="E35" i="27" s="1"/>
  <c r="M35" i="27" a="1"/>
  <c r="M35" i="27" s="1"/>
  <c r="K35" i="27" a="1"/>
  <c r="K35" i="27" s="1"/>
  <c r="W35" i="27" a="1"/>
  <c r="W35" i="27" s="1"/>
  <c r="F35" i="27" a="1"/>
  <c r="F35" i="27" s="1"/>
  <c r="B24" i="27"/>
  <c r="U24" i="27" a="1"/>
  <c r="U24" i="27" s="1"/>
  <c r="M24" i="27" a="1"/>
  <c r="M24" i="27" s="1"/>
  <c r="G24" i="27" a="1"/>
  <c r="G24" i="27" s="1"/>
  <c r="C24" i="27" a="1"/>
  <c r="C24" i="27" s="1"/>
  <c r="V24" i="27" a="1"/>
  <c r="V24" i="27" s="1"/>
  <c r="J24" i="27" a="1"/>
  <c r="J24" i="27" s="1"/>
  <c r="R24" i="27" a="1"/>
  <c r="R24" i="27" s="1"/>
  <c r="I24" i="27" a="1"/>
  <c r="I24" i="27" s="1"/>
  <c r="Q24" i="27" a="1"/>
  <c r="Q24" i="27" s="1"/>
  <c r="F24" i="27" a="1"/>
  <c r="F24" i="27" s="1"/>
  <c r="X24" i="27" a="1"/>
  <c r="X24" i="27" s="1"/>
  <c r="N24" i="27" a="1"/>
  <c r="N24" i="27" s="1"/>
  <c r="E24" i="27" a="1"/>
  <c r="E24" i="27" s="1"/>
  <c r="W24" i="27" a="1"/>
  <c r="W24" i="27" s="1"/>
  <c r="K24" i="27" a="1"/>
  <c r="K24" i="27" s="1"/>
  <c r="D24" i="27" a="1"/>
  <c r="D24" i="27" s="1"/>
  <c r="B16" i="27"/>
  <c r="B8" i="27"/>
  <c r="X8" i="27" a="1"/>
  <c r="X8" i="27" s="1"/>
  <c r="R8" i="27" a="1"/>
  <c r="R8" i="27" s="1"/>
  <c r="K8" i="27" a="1"/>
  <c r="K8" i="27" s="1"/>
  <c r="S8" i="27" s="1"/>
  <c r="F8" i="27" a="1"/>
  <c r="F8" i="27" s="1"/>
  <c r="N8" i="27" a="1"/>
  <c r="N8" i="27" s="1"/>
  <c r="E8" i="27" a="1"/>
  <c r="E8" i="27" s="1"/>
  <c r="W8" i="27" a="1"/>
  <c r="W8" i="27" s="1"/>
  <c r="M8" i="27" a="1"/>
  <c r="M8" i="27" s="1"/>
  <c r="D8" i="27" a="1"/>
  <c r="D8" i="27" s="1"/>
  <c r="V8" i="27" a="1"/>
  <c r="V8" i="27" s="1"/>
  <c r="J8" i="27" a="1"/>
  <c r="J8" i="27" s="1"/>
  <c r="C8" i="27" a="1"/>
  <c r="C8" i="27" s="1"/>
  <c r="U8" i="27" a="1"/>
  <c r="U8" i="27" s="1"/>
  <c r="I8" i="27" a="1"/>
  <c r="I8" i="27" s="1"/>
  <c r="Q8" i="27" a="1"/>
  <c r="Q8" i="27" s="1"/>
  <c r="G8" i="27" a="1"/>
  <c r="G8" i="27" s="1"/>
  <c r="B6" i="28"/>
  <c r="B14" i="28"/>
  <c r="X14" i="28" a="1"/>
  <c r="X14" i="28" s="1"/>
  <c r="W14" i="28" a="1"/>
  <c r="W14" i="28" s="1"/>
  <c r="N14" i="28" a="1"/>
  <c r="N14" i="28" s="1"/>
  <c r="F14" i="28" a="1"/>
  <c r="F14" i="28" s="1"/>
  <c r="C14" i="28" a="1"/>
  <c r="C14" i="28" s="1"/>
  <c r="M14" i="28" a="1"/>
  <c r="M14" i="28" s="1"/>
  <c r="R14" i="28" a="1"/>
  <c r="R14" i="28" s="1"/>
  <c r="G14" i="28" a="1"/>
  <c r="G14" i="28" s="1"/>
  <c r="Q14" i="28" a="1"/>
  <c r="Q14" i="28" s="1"/>
  <c r="K14" i="28" a="1"/>
  <c r="K14" i="28" s="1"/>
  <c r="V14" i="28" a="1"/>
  <c r="V14" i="28" s="1"/>
  <c r="D14" i="28" a="1"/>
  <c r="D14" i="28" s="1"/>
  <c r="U14" i="28" a="1"/>
  <c r="U14" i="28" s="1"/>
  <c r="J14" i="28" a="1"/>
  <c r="J14" i="28" s="1"/>
  <c r="I14" i="28" a="1"/>
  <c r="I14" i="28" s="1"/>
  <c r="E14" i="28" a="1"/>
  <c r="E14" i="28" s="1"/>
  <c r="B22" i="28"/>
  <c r="X22" i="28" a="1"/>
  <c r="X22" i="28" s="1"/>
  <c r="R22" i="28" a="1"/>
  <c r="R22" i="28" s="1"/>
  <c r="K22" i="28" a="1"/>
  <c r="K22" i="28" s="1"/>
  <c r="F22" i="28" a="1"/>
  <c r="F22" i="28" s="1"/>
  <c r="N22" i="28" a="1"/>
  <c r="N22" i="28" s="1"/>
  <c r="E22" i="28" a="1"/>
  <c r="E22" i="28" s="1"/>
  <c r="W22" i="28" a="1"/>
  <c r="W22" i="28" s="1"/>
  <c r="M22" i="28" a="1"/>
  <c r="M22" i="28" s="1"/>
  <c r="Q22" i="28" a="1"/>
  <c r="Q22" i="28" s="1"/>
  <c r="G22" i="28" a="1"/>
  <c r="G22" i="28" s="1"/>
  <c r="U22" i="28" a="1"/>
  <c r="U22" i="28" s="1"/>
  <c r="D22" i="28" a="1"/>
  <c r="D22" i="28" s="1"/>
  <c r="I22" i="28" a="1"/>
  <c r="I22" i="28" s="1"/>
  <c r="C22" i="28" a="1"/>
  <c r="C22" i="28" s="1"/>
  <c r="V22" i="28" a="1"/>
  <c r="V22" i="28" s="1"/>
  <c r="J22" i="28" a="1"/>
  <c r="J22" i="28" s="1"/>
  <c r="B30" i="28"/>
  <c r="X30" i="28" a="1"/>
  <c r="X30" i="28" s="1"/>
  <c r="R30" i="28" a="1"/>
  <c r="R30" i="28" s="1"/>
  <c r="K30" i="28" a="1"/>
  <c r="K30" i="28" s="1"/>
  <c r="F30" i="28" a="1"/>
  <c r="F30" i="28" s="1"/>
  <c r="N30" i="28" a="1"/>
  <c r="N30" i="28" s="1"/>
  <c r="E30" i="28" a="1"/>
  <c r="E30" i="28" s="1"/>
  <c r="W30" i="28" a="1"/>
  <c r="W30" i="28" s="1"/>
  <c r="M30" i="28" a="1"/>
  <c r="M30" i="28" s="1"/>
  <c r="Q30" i="28" a="1"/>
  <c r="Q30" i="28" s="1"/>
  <c r="G30" i="28" a="1"/>
  <c r="G30" i="28" s="1"/>
  <c r="J30" i="28" a="1"/>
  <c r="J30" i="28" s="1"/>
  <c r="C30" i="28" a="1"/>
  <c r="C30" i="28" s="1"/>
  <c r="V30" i="28" a="1"/>
  <c r="V30" i="28" s="1"/>
  <c r="U30" i="28" a="1"/>
  <c r="U30" i="28" s="1"/>
  <c r="I30" i="28" a="1"/>
  <c r="I30" i="28" s="1"/>
  <c r="D30" i="28" a="1"/>
  <c r="D30" i="28" s="1"/>
  <c r="O53" i="14"/>
  <c r="O57" i="14"/>
  <c r="O61" i="14"/>
  <c r="O65" i="14"/>
  <c r="O69" i="14"/>
  <c r="O73" i="14"/>
  <c r="O45" i="14"/>
  <c r="O42" i="14"/>
  <c r="O44" i="14"/>
  <c r="B13" i="27"/>
  <c r="B11" i="27"/>
  <c r="X11" i="27" a="1"/>
  <c r="X11" i="27" s="1"/>
  <c r="R11" i="27" a="1"/>
  <c r="R11" i="27" s="1"/>
  <c r="K11" i="27" a="1"/>
  <c r="K11" i="27" s="1"/>
  <c r="S11" i="27" s="1"/>
  <c r="F11" i="27" a="1"/>
  <c r="F11" i="27" s="1"/>
  <c r="J11" i="27" a="1"/>
  <c r="J11" i="27" s="1"/>
  <c r="C11" i="27" a="1"/>
  <c r="C11" i="27" s="1"/>
  <c r="U11" i="27" a="1"/>
  <c r="U11" i="27" s="1"/>
  <c r="I11" i="27" a="1"/>
  <c r="I11" i="27" s="1"/>
  <c r="Q11" i="27" a="1"/>
  <c r="Q11" i="27" s="1"/>
  <c r="G11" i="27" a="1"/>
  <c r="G11" i="27" s="1"/>
  <c r="N11" i="27" a="1"/>
  <c r="N11" i="27" s="1"/>
  <c r="E11" i="27" a="1"/>
  <c r="E11" i="27" s="1"/>
  <c r="W11" i="27" a="1"/>
  <c r="W11" i="27" s="1"/>
  <c r="M11" i="27" a="1"/>
  <c r="M11" i="27" s="1"/>
  <c r="D11" i="27" a="1"/>
  <c r="D11" i="27" s="1"/>
  <c r="V11" i="27" a="1"/>
  <c r="V11" i="27" s="1"/>
  <c r="B33" i="27"/>
  <c r="V33" i="27" a="1"/>
  <c r="V33" i="27" s="1"/>
  <c r="N33" i="27" a="1"/>
  <c r="N33" i="27" s="1"/>
  <c r="I33" i="27" a="1"/>
  <c r="I33" i="27" s="1"/>
  <c r="D33" i="27" a="1"/>
  <c r="D33" i="27" s="1"/>
  <c r="G33" i="27" a="1"/>
  <c r="G33" i="27" s="1"/>
  <c r="R33" i="27" a="1"/>
  <c r="R33" i="27" s="1"/>
  <c r="J33" i="27" a="1"/>
  <c r="J33" i="27" s="1"/>
  <c r="C33" i="27" a="1"/>
  <c r="C33" i="27" s="1"/>
  <c r="M33" i="27" a="1"/>
  <c r="M33" i="27" s="1"/>
  <c r="X33" i="27" a="1"/>
  <c r="X33" i="27" s="1"/>
  <c r="K33" i="27" a="1"/>
  <c r="K33" i="27" s="1"/>
  <c r="W33" i="27" a="1"/>
  <c r="W33" i="27" s="1"/>
  <c r="F33" i="27" a="1"/>
  <c r="F33" i="27" s="1"/>
  <c r="U33" i="27" a="1"/>
  <c r="U33" i="27" s="1"/>
  <c r="Q33" i="27" a="1"/>
  <c r="Q33" i="27" s="1"/>
  <c r="E33" i="27" a="1"/>
  <c r="E33" i="27" s="1"/>
  <c r="B17" i="27"/>
  <c r="V17" i="27" a="1"/>
  <c r="V17" i="27" s="1"/>
  <c r="N17" i="27" a="1"/>
  <c r="N17" i="27" s="1"/>
  <c r="I17" i="27" a="1"/>
  <c r="I17" i="27" s="1"/>
  <c r="D17" i="27" a="1"/>
  <c r="D17" i="27" s="1"/>
  <c r="U17" i="27" a="1"/>
  <c r="U17" i="27" s="1"/>
  <c r="M17" i="27" a="1"/>
  <c r="M17" i="27" s="1"/>
  <c r="G17" i="27" a="1"/>
  <c r="G17" i="27" s="1"/>
  <c r="C17" i="27" a="1"/>
  <c r="C17" i="27" s="1"/>
  <c r="X17" i="27" a="1"/>
  <c r="X17" i="27" s="1"/>
  <c r="R17" i="27" a="1"/>
  <c r="R17" i="27" s="1"/>
  <c r="K17" i="27" a="1"/>
  <c r="K17" i="27" s="1"/>
  <c r="F17" i="27" a="1"/>
  <c r="F17" i="27" s="1"/>
  <c r="W17" i="27" a="1"/>
  <c r="W17" i="27" s="1"/>
  <c r="Q17" i="27" a="1"/>
  <c r="Q17" i="27" s="1"/>
  <c r="J17" i="27" a="1"/>
  <c r="J17" i="27" s="1"/>
  <c r="E17" i="27" a="1"/>
  <c r="E17" i="27" s="1"/>
  <c r="B13" i="28"/>
  <c r="W13" i="28" a="1"/>
  <c r="W13" i="28" s="1"/>
  <c r="R13" i="28" a="1"/>
  <c r="R13" i="28" s="1"/>
  <c r="K13" i="28" a="1"/>
  <c r="K13" i="28" s="1"/>
  <c r="F13" i="28" a="1"/>
  <c r="F13" i="28" s="1"/>
  <c r="I13" i="28" a="1"/>
  <c r="I13" i="28" s="1"/>
  <c r="C13" i="28" a="1"/>
  <c r="C13" i="28" s="1"/>
  <c r="V13" i="28" a="1"/>
  <c r="V13" i="28" s="1"/>
  <c r="E13" i="28" a="1"/>
  <c r="E13" i="28" s="1"/>
  <c r="U13" i="28" a="1"/>
  <c r="U13" i="28" s="1"/>
  <c r="D13" i="28" a="1"/>
  <c r="D13" i="28" s="1"/>
  <c r="G13" i="28" a="1"/>
  <c r="G13" i="28" s="1"/>
  <c r="M13" i="28" a="1"/>
  <c r="M13" i="28" s="1"/>
  <c r="X13" i="28" a="1"/>
  <c r="X13" i="28" s="1"/>
  <c r="J13" i="28" a="1"/>
  <c r="J13" i="28" s="1"/>
  <c r="Q13" i="28" a="1"/>
  <c r="Q13" i="28" s="1"/>
  <c r="N13" i="28" a="1"/>
  <c r="N13" i="28" s="1"/>
  <c r="B32" i="27"/>
  <c r="V32" i="27" a="1"/>
  <c r="V32" i="27" s="1"/>
  <c r="N32" i="27" a="1"/>
  <c r="N32" i="27" s="1"/>
  <c r="I32" i="27" a="1"/>
  <c r="I32" i="27" s="1"/>
  <c r="D32" i="27" a="1"/>
  <c r="D32" i="27" s="1"/>
  <c r="G32" i="27" a="1"/>
  <c r="G32" i="27" s="1"/>
  <c r="R32" i="27" a="1"/>
  <c r="R32" i="27" s="1"/>
  <c r="J32" i="27" a="1"/>
  <c r="J32" i="27" s="1"/>
  <c r="C32" i="27" a="1"/>
  <c r="C32" i="27" s="1"/>
  <c r="M32" i="27" a="1"/>
  <c r="M32" i="27" s="1"/>
  <c r="X32" i="27" a="1"/>
  <c r="X32" i="27" s="1"/>
  <c r="K32" i="27" a="1"/>
  <c r="K32" i="27" s="1"/>
  <c r="W32" i="27" a="1"/>
  <c r="W32" i="27" s="1"/>
  <c r="F32" i="27" a="1"/>
  <c r="F32" i="27" s="1"/>
  <c r="U32" i="27" a="1"/>
  <c r="U32" i="27" s="1"/>
  <c r="Q32" i="27" a="1"/>
  <c r="Q32" i="27" s="1"/>
  <c r="E32" i="27" a="1"/>
  <c r="E32" i="27" s="1"/>
  <c r="B31" i="27"/>
  <c r="V31" i="27" a="1"/>
  <c r="V31" i="27" s="1"/>
  <c r="N31" i="27" a="1"/>
  <c r="N31" i="27" s="1"/>
  <c r="I31" i="27" a="1"/>
  <c r="I31" i="27" s="1"/>
  <c r="D31" i="27" a="1"/>
  <c r="D31" i="27" s="1"/>
  <c r="G31" i="27" a="1"/>
  <c r="G31" i="27" s="1"/>
  <c r="R31" i="27" a="1"/>
  <c r="R31" i="27" s="1"/>
  <c r="J31" i="27" a="1"/>
  <c r="J31" i="27" s="1"/>
  <c r="C31" i="27" a="1"/>
  <c r="C31" i="27" s="1"/>
  <c r="X31" i="27" a="1"/>
  <c r="X31" i="27" s="1"/>
  <c r="K31" i="27" a="1"/>
  <c r="K31" i="27" s="1"/>
  <c r="W31" i="27" a="1"/>
  <c r="W31" i="27" s="1"/>
  <c r="F31" i="27" a="1"/>
  <c r="F31" i="27" s="1"/>
  <c r="U31" i="27" a="1"/>
  <c r="U31" i="27" s="1"/>
  <c r="Q31" i="27" a="1"/>
  <c r="Q31" i="27" s="1"/>
  <c r="E31" i="27" a="1"/>
  <c r="E31" i="27" s="1"/>
  <c r="M31" i="27" a="1"/>
  <c r="M31" i="27" s="1"/>
  <c r="B23" i="27"/>
  <c r="U23" i="27" a="1"/>
  <c r="U23" i="27" s="1"/>
  <c r="M23" i="27" a="1"/>
  <c r="M23" i="27" s="1"/>
  <c r="G23" i="27" a="1"/>
  <c r="G23" i="27" s="1"/>
  <c r="C23" i="27" a="1"/>
  <c r="C23" i="27" s="1"/>
  <c r="F23" i="27" a="1"/>
  <c r="F23" i="27" s="1"/>
  <c r="X23" i="27" a="1"/>
  <c r="X23" i="27" s="1"/>
  <c r="N23" i="27" a="1"/>
  <c r="N23" i="27" s="1"/>
  <c r="E23" i="27" a="1"/>
  <c r="E23" i="27" s="1"/>
  <c r="W23" i="27" a="1"/>
  <c r="W23" i="27" s="1"/>
  <c r="K23" i="27" a="1"/>
  <c r="K23" i="27" s="1"/>
  <c r="D23" i="27" a="1"/>
  <c r="D23" i="27" s="1"/>
  <c r="V23" i="27" a="1"/>
  <c r="V23" i="27" s="1"/>
  <c r="J23" i="27" a="1"/>
  <c r="J23" i="27" s="1"/>
  <c r="R23" i="27" a="1"/>
  <c r="R23" i="27" s="1"/>
  <c r="I23" i="27" a="1"/>
  <c r="I23" i="27" s="1"/>
  <c r="Q23" i="27" a="1"/>
  <c r="Q23" i="27" s="1"/>
  <c r="B15" i="27"/>
  <c r="B7" i="28"/>
  <c r="B15" i="28"/>
  <c r="X15" i="28" a="1"/>
  <c r="X15" i="28" s="1"/>
  <c r="R15" i="28" a="1"/>
  <c r="R15" i="28" s="1"/>
  <c r="K15" i="28" a="1"/>
  <c r="K15" i="28" s="1"/>
  <c r="F15" i="28" a="1"/>
  <c r="F15" i="28" s="1"/>
  <c r="U15" i="28" a="1"/>
  <c r="U15" i="28" s="1"/>
  <c r="I15" i="28" a="1"/>
  <c r="I15" i="28" s="1"/>
  <c r="D15" i="28" a="1"/>
  <c r="D15" i="28" s="1"/>
  <c r="Q15" i="28" a="1"/>
  <c r="Q15" i="28" s="1"/>
  <c r="G15" i="28" a="1"/>
  <c r="G15" i="28" s="1"/>
  <c r="W15" i="28" a="1"/>
  <c r="W15" i="28" s="1"/>
  <c r="M15" i="28" a="1"/>
  <c r="M15" i="28" s="1"/>
  <c r="V15" i="28" a="1"/>
  <c r="V15" i="28" s="1"/>
  <c r="C15" i="28" a="1"/>
  <c r="C15" i="28" s="1"/>
  <c r="N15" i="28" a="1"/>
  <c r="N15" i="28" s="1"/>
  <c r="J15" i="28" a="1"/>
  <c r="J15" i="28" s="1"/>
  <c r="E15" i="28" a="1"/>
  <c r="E15" i="28" s="1"/>
  <c r="B23" i="28"/>
  <c r="X23" i="28" a="1"/>
  <c r="X23" i="28" s="1"/>
  <c r="R23" i="28" a="1"/>
  <c r="R23" i="28" s="1"/>
  <c r="K23" i="28" a="1"/>
  <c r="K23" i="28" s="1"/>
  <c r="F23" i="28" a="1"/>
  <c r="F23" i="28" s="1"/>
  <c r="U23" i="28" a="1"/>
  <c r="U23" i="28" s="1"/>
  <c r="I23" i="28" a="1"/>
  <c r="I23" i="28" s="1"/>
  <c r="D23" i="28" a="1"/>
  <c r="D23" i="28" s="1"/>
  <c r="J23" i="28" a="1"/>
  <c r="J23" i="28" s="1"/>
  <c r="C23" i="28" a="1"/>
  <c r="C23" i="28" s="1"/>
  <c r="N23" i="28" a="1"/>
  <c r="N23" i="28" s="1"/>
  <c r="Q23" i="28" a="1"/>
  <c r="Q23" i="28" s="1"/>
  <c r="M23" i="28" a="1"/>
  <c r="M23" i="28" s="1"/>
  <c r="E23" i="28" a="1"/>
  <c r="E23" i="28" s="1"/>
  <c r="W23" i="28" a="1"/>
  <c r="W23" i="28" s="1"/>
  <c r="V23" i="28" a="1"/>
  <c r="V23" i="28" s="1"/>
  <c r="G23" i="28" a="1"/>
  <c r="G23" i="28" s="1"/>
  <c r="B31" i="28"/>
  <c r="X31" i="28" a="1"/>
  <c r="X31" i="28" s="1"/>
  <c r="R31" i="28" a="1"/>
  <c r="R31" i="28" s="1"/>
  <c r="K31" i="28" a="1"/>
  <c r="K31" i="28" s="1"/>
  <c r="F31" i="28" a="1"/>
  <c r="F31" i="28" s="1"/>
  <c r="U31" i="28" a="1"/>
  <c r="U31" i="28" s="1"/>
  <c r="I31" i="28" a="1"/>
  <c r="I31" i="28" s="1"/>
  <c r="D31" i="28" a="1"/>
  <c r="D31" i="28" s="1"/>
  <c r="Q31" i="28" a="1"/>
  <c r="Q31" i="28" s="1"/>
  <c r="G31" i="28" a="1"/>
  <c r="G31" i="28" s="1"/>
  <c r="W31" i="28" a="1"/>
  <c r="W31" i="28" s="1"/>
  <c r="V31" i="28" a="1"/>
  <c r="V31" i="28" s="1"/>
  <c r="N31" i="28" a="1"/>
  <c r="N31" i="28" s="1"/>
  <c r="M31" i="28" a="1"/>
  <c r="M31" i="28" s="1"/>
  <c r="J31" i="28" a="1"/>
  <c r="J31" i="28" s="1"/>
  <c r="E31" i="28" a="1"/>
  <c r="E31" i="28" s="1"/>
  <c r="C31" i="28" a="1"/>
  <c r="C31" i="28" s="1"/>
  <c r="B11" i="28"/>
  <c r="B25" i="27"/>
  <c r="U25" i="27" a="1"/>
  <c r="U25" i="27" s="1"/>
  <c r="M25" i="27" a="1"/>
  <c r="M25" i="27" s="1"/>
  <c r="G25" i="27" a="1"/>
  <c r="G25" i="27" s="1"/>
  <c r="C25" i="27" a="1"/>
  <c r="C25" i="27" s="1"/>
  <c r="F25" i="27" a="1"/>
  <c r="F25" i="27" s="1"/>
  <c r="X25" i="27" a="1"/>
  <c r="X25" i="27" s="1"/>
  <c r="N25" i="27" a="1"/>
  <c r="N25" i="27" s="1"/>
  <c r="E25" i="27" a="1"/>
  <c r="E25" i="27" s="1"/>
  <c r="W25" i="27" a="1"/>
  <c r="W25" i="27" s="1"/>
  <c r="K25" i="27" a="1"/>
  <c r="K25" i="27" s="1"/>
  <c r="D25" i="27" a="1"/>
  <c r="D25" i="27" s="1"/>
  <c r="V25" i="27" a="1"/>
  <c r="V25" i="27" s="1"/>
  <c r="J25" i="27" a="1"/>
  <c r="J25" i="27" s="1"/>
  <c r="R25" i="27" a="1"/>
  <c r="R25" i="27" s="1"/>
  <c r="I25" i="27" a="1"/>
  <c r="I25" i="27" s="1"/>
  <c r="Q25" i="27" a="1"/>
  <c r="Q25" i="27" s="1"/>
  <c r="B30" i="27"/>
  <c r="V30" i="27" a="1"/>
  <c r="V30" i="27" s="1"/>
  <c r="N30" i="27" a="1"/>
  <c r="N30" i="27" s="1"/>
  <c r="I30" i="27" a="1"/>
  <c r="I30" i="27" s="1"/>
  <c r="D30" i="27" a="1"/>
  <c r="D30" i="27" s="1"/>
  <c r="G30" i="27" a="1"/>
  <c r="G30" i="27" s="1"/>
  <c r="R30" i="27" a="1"/>
  <c r="R30" i="27" s="1"/>
  <c r="J30" i="27" a="1"/>
  <c r="J30" i="27" s="1"/>
  <c r="C30" i="27" a="1"/>
  <c r="C30" i="27" s="1"/>
  <c r="W30" i="27" a="1"/>
  <c r="W30" i="27" s="1"/>
  <c r="F30" i="27" a="1"/>
  <c r="F30" i="27" s="1"/>
  <c r="U30" i="27" a="1"/>
  <c r="U30" i="27" s="1"/>
  <c r="Q30" i="27" a="1"/>
  <c r="Q30" i="27" s="1"/>
  <c r="E30" i="27" a="1"/>
  <c r="E30" i="27" s="1"/>
  <c r="M30" i="27" a="1"/>
  <c r="M30" i="27" s="1"/>
  <c r="X30" i="27" a="1"/>
  <c r="X30" i="27" s="1"/>
  <c r="K30" i="27" a="1"/>
  <c r="K30" i="27" s="1"/>
  <c r="B22" i="27"/>
  <c r="U22" i="27" a="1"/>
  <c r="U22" i="27" s="1"/>
  <c r="M22" i="27" a="1"/>
  <c r="M22" i="27" s="1"/>
  <c r="G22" i="27" a="1"/>
  <c r="G22" i="27" s="1"/>
  <c r="V22" i="27" a="1"/>
  <c r="V22" i="27" s="1"/>
  <c r="J22" i="27" a="1"/>
  <c r="J22" i="27" s="1"/>
  <c r="D22" i="27" a="1"/>
  <c r="D22" i="27" s="1"/>
  <c r="R22" i="27" a="1"/>
  <c r="R22" i="27" s="1"/>
  <c r="I22" i="27" a="1"/>
  <c r="I22" i="27" s="1"/>
  <c r="Q22" i="27" a="1"/>
  <c r="Q22" i="27" s="1"/>
  <c r="C22" i="27" a="1"/>
  <c r="C22" i="27" s="1"/>
  <c r="X22" i="27" a="1"/>
  <c r="X22" i="27" s="1"/>
  <c r="N22" i="27" a="1"/>
  <c r="N22" i="27" s="1"/>
  <c r="F22" i="27" a="1"/>
  <c r="F22" i="27" s="1"/>
  <c r="W22" i="27" a="1"/>
  <c r="W22" i="27" s="1"/>
  <c r="K22" i="27" a="1"/>
  <c r="K22" i="27" s="1"/>
  <c r="E22" i="27" a="1"/>
  <c r="E22" i="27" s="1"/>
  <c r="B14" i="27"/>
  <c r="B6" i="27"/>
  <c r="B8" i="28"/>
  <c r="B16" i="28"/>
  <c r="X16" i="28" a="1"/>
  <c r="X16" i="28" s="1"/>
  <c r="R16" i="28" a="1"/>
  <c r="R16" i="28" s="1"/>
  <c r="K16" i="28" a="1"/>
  <c r="K16" i="28" s="1"/>
  <c r="F16" i="28" a="1"/>
  <c r="F16" i="28" s="1"/>
  <c r="N16" i="28" a="1"/>
  <c r="N16" i="28" s="1"/>
  <c r="E16" i="28" a="1"/>
  <c r="E16" i="28" s="1"/>
  <c r="W16" i="28" a="1"/>
  <c r="W16" i="28" s="1"/>
  <c r="M16" i="28" a="1"/>
  <c r="M16" i="28" s="1"/>
  <c r="Q16" i="28" a="1"/>
  <c r="Q16" i="28" s="1"/>
  <c r="G16" i="28" a="1"/>
  <c r="G16" i="28" s="1"/>
  <c r="J16" i="28" a="1"/>
  <c r="J16" i="28" s="1"/>
  <c r="V16" i="28" a="1"/>
  <c r="V16" i="28" s="1"/>
  <c r="U16" i="28" a="1"/>
  <c r="U16" i="28" s="1"/>
  <c r="I16" i="28" a="1"/>
  <c r="I16" i="28" s="1"/>
  <c r="D16" i="28" a="1"/>
  <c r="D16" i="28" s="1"/>
  <c r="C16" i="28" a="1"/>
  <c r="C16" i="28" s="1"/>
  <c r="B24" i="28"/>
  <c r="X24" i="28" a="1"/>
  <c r="X24" i="28" s="1"/>
  <c r="R24" i="28" a="1"/>
  <c r="R24" i="28" s="1"/>
  <c r="K24" i="28" a="1"/>
  <c r="K24" i="28" s="1"/>
  <c r="F24" i="28" a="1"/>
  <c r="F24" i="28" s="1"/>
  <c r="N24" i="28" a="1"/>
  <c r="N24" i="28" s="1"/>
  <c r="E24" i="28" a="1"/>
  <c r="E24" i="28" s="1"/>
  <c r="W24" i="28" a="1"/>
  <c r="W24" i="28" s="1"/>
  <c r="M24" i="28" a="1"/>
  <c r="M24" i="28" s="1"/>
  <c r="Q24" i="28" a="1"/>
  <c r="Q24" i="28" s="1"/>
  <c r="G24" i="28" a="1"/>
  <c r="G24" i="28" s="1"/>
  <c r="C24" i="28" a="1"/>
  <c r="C24" i="28" s="1"/>
  <c r="I24" i="28" a="1"/>
  <c r="I24" i="28" s="1"/>
  <c r="V24" i="28" a="1"/>
  <c r="V24" i="28" s="1"/>
  <c r="J24" i="28" a="1"/>
  <c r="J24" i="28" s="1"/>
  <c r="D24" i="28" a="1"/>
  <c r="D24" i="28" s="1"/>
  <c r="U24" i="28" a="1"/>
  <c r="U24" i="28" s="1"/>
  <c r="B32" i="28"/>
  <c r="X32" i="28" a="1"/>
  <c r="X32" i="28" s="1"/>
  <c r="R32" i="28" a="1"/>
  <c r="R32" i="28" s="1"/>
  <c r="K32" i="28" a="1"/>
  <c r="K32" i="28" s="1"/>
  <c r="F32" i="28" a="1"/>
  <c r="F32" i="28" s="1"/>
  <c r="N32" i="28" a="1"/>
  <c r="N32" i="28" s="1"/>
  <c r="E32" i="28" a="1"/>
  <c r="E32" i="28" s="1"/>
  <c r="W32" i="28" a="1"/>
  <c r="W32" i="28" s="1"/>
  <c r="M32" i="28" a="1"/>
  <c r="M32" i="28" s="1"/>
  <c r="Q32" i="28" a="1"/>
  <c r="Q32" i="28" s="1"/>
  <c r="G32" i="28" a="1"/>
  <c r="G32" i="28" s="1"/>
  <c r="V32" i="28" a="1"/>
  <c r="V32" i="28" s="1"/>
  <c r="U32" i="28" a="1"/>
  <c r="U32" i="28" s="1"/>
  <c r="J32" i="28" a="1"/>
  <c r="J32" i="28" s="1"/>
  <c r="I32" i="28" a="1"/>
  <c r="I32" i="28" s="1"/>
  <c r="D32" i="28" a="1"/>
  <c r="D32" i="28" s="1"/>
  <c r="C32" i="28" a="1"/>
  <c r="C32" i="28" s="1"/>
  <c r="AS78" i="14"/>
  <c r="O78" i="14"/>
  <c r="O80" i="14"/>
  <c r="J26" i="30"/>
  <c r="AS81" i="14"/>
  <c r="O12" i="14"/>
  <c r="O16" i="14"/>
  <c r="O24" i="14"/>
  <c r="O32" i="14"/>
  <c r="AS79" i="14"/>
  <c r="O79" i="14"/>
  <c r="O52" i="14"/>
  <c r="O54" i="14"/>
  <c r="O56" i="14"/>
  <c r="O58" i="14"/>
  <c r="O60" i="14"/>
  <c r="O62" i="14"/>
  <c r="O64" i="14"/>
  <c r="O66" i="14"/>
  <c r="O68" i="14"/>
  <c r="O70" i="14"/>
  <c r="O72" i="14"/>
  <c r="O74" i="14"/>
  <c r="O76" i="14"/>
  <c r="O41" i="14"/>
  <c r="O43" i="14"/>
  <c r="O51" i="14"/>
  <c r="O49" i="14"/>
  <c r="AN18" i="30"/>
  <c r="AH22" i="30"/>
  <c r="R18" i="30"/>
  <c r="AL22" i="30"/>
  <c r="F19" i="30"/>
  <c r="AN30" i="30"/>
  <c r="J18" i="30"/>
  <c r="J30" i="30"/>
  <c r="N30" i="30"/>
  <c r="AB26" i="30"/>
  <c r="AT19" i="30"/>
  <c r="AH19" i="30"/>
  <c r="Z19" i="30"/>
  <c r="J19" i="30"/>
  <c r="N19" i="30"/>
  <c r="R19" i="30"/>
  <c r="AB19" i="30"/>
  <c r="AP19" i="30"/>
  <c r="AT31" i="30"/>
  <c r="AP22" i="30"/>
  <c r="AT30" i="30"/>
  <c r="AB18" i="30"/>
  <c r="N34" i="30"/>
  <c r="F30" i="30"/>
  <c r="K2" i="25"/>
  <c r="N22" i="30"/>
  <c r="AH26" i="30"/>
  <c r="M12" i="25" a="1"/>
  <c r="M12" i="25" s="1"/>
  <c r="H20" i="30"/>
  <c r="AH35" i="30"/>
  <c r="L24" i="25" a="1"/>
  <c r="L24" i="25" s="1"/>
  <c r="AL33" i="30"/>
  <c r="AJ33" i="30"/>
  <c r="AP20" i="30"/>
  <c r="Z24" i="30"/>
  <c r="AR42" i="14" a="1"/>
  <c r="AR42" i="14" s="1"/>
  <c r="N19" i="14" a="1"/>
  <c r="N19" i="14" s="1"/>
  <c r="AR18" i="30"/>
  <c r="AL18" i="30"/>
  <c r="P22" i="30"/>
  <c r="AR33" i="30"/>
  <c r="N20" i="30"/>
  <c r="AH30" i="30"/>
  <c r="AJ30" i="30"/>
  <c r="AT24" i="30"/>
  <c r="B20" i="30"/>
  <c r="N24" i="30"/>
  <c r="X29" i="30"/>
  <c r="AP30" i="30"/>
  <c r="P29" i="30"/>
  <c r="AF24" i="30"/>
  <c r="AJ24" i="30"/>
  <c r="N62" i="14" a="1"/>
  <c r="N62" i="14" s="1"/>
  <c r="M64" i="14" a="1"/>
  <c r="M64" i="14" s="1"/>
  <c r="W64" i="14" s="1"/>
  <c r="M28" i="14" a="1"/>
  <c r="M28" i="14" s="1"/>
  <c r="Y28" i="14" s="1"/>
  <c r="K7" i="25" a="1"/>
  <c r="K7" i="25" s="1"/>
  <c r="Q7" i="25" s="1"/>
  <c r="AR20" i="30"/>
  <c r="AR24" i="30"/>
  <c r="AD20" i="30"/>
  <c r="R35" i="30"/>
  <c r="P28" i="30"/>
  <c r="L43" i="25" a="1"/>
  <c r="L43" i="25" s="1"/>
  <c r="M7" i="14" a="1"/>
  <c r="M7" i="14" s="1"/>
  <c r="Y7" i="14" s="1"/>
  <c r="AR17" i="14" a="1"/>
  <c r="AR17" i="14" s="1"/>
  <c r="AQ17" i="14" s="1"/>
  <c r="O81" i="14"/>
  <c r="J31" i="25" a="1"/>
  <c r="J31" i="25" s="1"/>
  <c r="O46" i="14"/>
  <c r="AN20" i="30"/>
  <c r="AH20" i="30"/>
  <c r="AT35" i="30"/>
  <c r="AR29" i="30"/>
  <c r="AN35" i="30"/>
  <c r="L20" i="30"/>
  <c r="R31" i="30"/>
  <c r="V24" i="30"/>
  <c r="AB29" i="30"/>
  <c r="F24" i="30"/>
  <c r="AQ24" i="14"/>
  <c r="AJ20" i="30"/>
  <c r="M15" i="14" a="1"/>
  <c r="M15" i="14" s="1"/>
  <c r="AP15" i="14" s="1"/>
  <c r="N31" i="14" a="1"/>
  <c r="N31" i="14" s="1"/>
  <c r="AR35" i="14" a="1"/>
  <c r="AR35" i="14" s="1"/>
  <c r="AQ35" i="14" s="1"/>
  <c r="AR80" i="14" a="1"/>
  <c r="AR80" i="14" s="1"/>
  <c r="M37" i="14" a="1"/>
  <c r="M37" i="14" s="1"/>
  <c r="Y37" i="14" s="1"/>
  <c r="I18" i="25" a="1"/>
  <c r="I18" i="25" s="1"/>
  <c r="I42" i="25" a="1"/>
  <c r="I42" i="25" s="1"/>
  <c r="R20" i="30"/>
  <c r="F20" i="30"/>
  <c r="AT28" i="30"/>
  <c r="AR49" i="14" a="1"/>
  <c r="AR49" i="14" s="1"/>
  <c r="B24" i="30"/>
  <c r="R28" i="30"/>
  <c r="AH24" i="30"/>
  <c r="D29" i="30"/>
  <c r="I22" i="25" a="1"/>
  <c r="I22" i="25" s="1"/>
  <c r="AU22" i="25" s="1" a="1"/>
  <c r="AU22" i="25" s="1"/>
  <c r="K11" i="25" a="1"/>
  <c r="K11" i="25" s="1"/>
  <c r="R11" i="25" s="1"/>
  <c r="I6" i="25" a="1"/>
  <c r="I6" i="25" s="1"/>
  <c r="J33" i="25" a="1"/>
  <c r="J33" i="25" s="1"/>
  <c r="I44" i="25" a="1"/>
  <c r="I44" i="25" s="1"/>
  <c r="AU44" i="25" s="1" a="1"/>
  <c r="AU44" i="25" s="1"/>
  <c r="L30" i="25" a="1"/>
  <c r="L30" i="25" s="1"/>
  <c r="F17" i="30"/>
  <c r="R21" i="30"/>
  <c r="AF21" i="30"/>
  <c r="AN29" i="30"/>
  <c r="T29" i="30"/>
  <c r="X25" i="30"/>
  <c r="L29" i="30"/>
  <c r="N78" i="14" a="1"/>
  <c r="N78" i="14" s="1"/>
  <c r="AR10" i="14" a="1"/>
  <c r="AR10" i="14" s="1"/>
  <c r="AQ10" i="14" s="1"/>
  <c r="N80" i="14" a="1"/>
  <c r="N80" i="14" s="1"/>
  <c r="M8" i="14" a="1"/>
  <c r="M8" i="14" s="1"/>
  <c r="Y8" i="14" s="1"/>
  <c r="M20" i="25" a="1"/>
  <c r="M20" i="25" s="1"/>
  <c r="K15" i="25" a="1"/>
  <c r="K15" i="25" s="1"/>
  <c r="Q15" i="25" s="1"/>
  <c r="I10" i="25" a="1"/>
  <c r="I10" i="25" s="1"/>
  <c r="I27" i="25" a="1"/>
  <c r="I27" i="25" s="1"/>
  <c r="N37" i="25" a="1"/>
  <c r="N37" i="25" s="1"/>
  <c r="O37" i="25" s="1" a="1"/>
  <c r="O37" i="25" s="1"/>
  <c r="K33" i="25" a="1"/>
  <c r="K33" i="25" s="1"/>
  <c r="Q33" i="25" s="1"/>
  <c r="N42" i="14" a="1"/>
  <c r="N42" i="14" s="1"/>
  <c r="N63" i="14" a="1"/>
  <c r="N63" i="14" s="1"/>
  <c r="F18" i="30"/>
  <c r="V18" i="30"/>
  <c r="AJ18" i="30"/>
  <c r="AN22" i="30"/>
  <c r="AT26" i="30"/>
  <c r="AN26" i="30"/>
  <c r="N18" i="30"/>
  <c r="L18" i="30"/>
  <c r="R29" i="30"/>
  <c r="V29" i="30"/>
  <c r="T26" i="30"/>
  <c r="AD33" i="30"/>
  <c r="F26" i="30"/>
  <c r="L26" i="30"/>
  <c r="AR26" i="14" a="1"/>
  <c r="AR26" i="14" s="1"/>
  <c r="AQ26" i="14" s="1"/>
  <c r="M16" i="25" a="1"/>
  <c r="M16" i="25" s="1"/>
  <c r="AR78" i="14" a="1"/>
  <c r="AR78" i="14" s="1"/>
  <c r="N22" i="14" a="1"/>
  <c r="N22" i="14" s="1"/>
  <c r="K19" i="25" a="1"/>
  <c r="K19" i="25" s="1"/>
  <c r="Q19" i="25" s="1"/>
  <c r="I14" i="25" a="1"/>
  <c r="I14" i="25" s="1"/>
  <c r="M8" i="25" a="1"/>
  <c r="M8" i="25" s="1"/>
  <c r="I29" i="25" a="1"/>
  <c r="I29" i="25" s="1"/>
  <c r="N39" i="25" a="1"/>
  <c r="N39" i="25" s="1"/>
  <c r="O39" i="25" s="1" a="1"/>
  <c r="O39" i="25" s="1"/>
  <c r="K39" i="25" a="1"/>
  <c r="K39" i="25" s="1"/>
  <c r="R39" i="25" s="1"/>
  <c r="X18" i="30"/>
  <c r="T18" i="30"/>
  <c r="AF18" i="30"/>
  <c r="R22" i="30"/>
  <c r="D22" i="30"/>
  <c r="T22" i="30"/>
  <c r="AR26" i="30"/>
  <c r="AD22" i="30"/>
  <c r="AD29" i="30"/>
  <c r="AH33" i="30"/>
  <c r="L24" i="30"/>
  <c r="J24" i="30"/>
  <c r="AP24" i="30"/>
  <c r="AP17" i="30"/>
  <c r="P18" i="30"/>
  <c r="D18" i="30"/>
  <c r="H18" i="30"/>
  <c r="AH17" i="30"/>
  <c r="AT22" i="30"/>
  <c r="Z22" i="30"/>
  <c r="AT21" i="30"/>
  <c r="F22" i="30"/>
  <c r="H21" i="30"/>
  <c r="V22" i="30"/>
  <c r="AF22" i="30"/>
  <c r="T21" i="30"/>
  <c r="AD18" i="30"/>
  <c r="AB22" i="30"/>
  <c r="B33" i="30"/>
  <c r="N29" i="30"/>
  <c r="R33" i="30"/>
  <c r="R24" i="30"/>
  <c r="P24" i="30"/>
  <c r="T24" i="30"/>
  <c r="AD24" i="30"/>
  <c r="AB24" i="30"/>
  <c r="AH29" i="30"/>
  <c r="AF29" i="30"/>
  <c r="AL29" i="30"/>
  <c r="AJ29" i="30"/>
  <c r="L33" i="30"/>
  <c r="J29" i="30"/>
  <c r="H29" i="30"/>
  <c r="AR18" i="14" a="1"/>
  <c r="AR18" i="14" s="1"/>
  <c r="AQ18" i="14" s="1"/>
  <c r="M30" i="14" a="1"/>
  <c r="M30" i="14" s="1"/>
  <c r="W30" i="14" s="1"/>
  <c r="N36" i="14" a="1"/>
  <c r="N36" i="14" s="1"/>
  <c r="AP18" i="30"/>
  <c r="AT18" i="30"/>
  <c r="Z18" i="30"/>
  <c r="X17" i="30"/>
  <c r="V17" i="30"/>
  <c r="AL17" i="30"/>
  <c r="AH18" i="30"/>
  <c r="AR22" i="30"/>
  <c r="X22" i="30"/>
  <c r="AN21" i="30"/>
  <c r="J22" i="30"/>
  <c r="H22" i="30"/>
  <c r="AJ22" i="30"/>
  <c r="AT29" i="30"/>
  <c r="AN24" i="30"/>
  <c r="L22" i="30"/>
  <c r="B29" i="30"/>
  <c r="N28" i="30"/>
  <c r="T30" i="30"/>
  <c r="Z29" i="30"/>
  <c r="X24" i="30"/>
  <c r="AB30" i="30"/>
  <c r="AH28" i="30"/>
  <c r="AF28" i="30"/>
  <c r="AL24" i="30"/>
  <c r="F29" i="30"/>
  <c r="D24" i="30"/>
  <c r="R25" i="30"/>
  <c r="F27" i="30"/>
  <c r="AH27" i="30"/>
  <c r="R27" i="30"/>
  <c r="AN27" i="30"/>
  <c r="AT27" i="30"/>
  <c r="Z27" i="30"/>
  <c r="B27" i="30"/>
  <c r="H32" i="30"/>
  <c r="L32" i="30"/>
  <c r="X32" i="30"/>
  <c r="P32" i="30"/>
  <c r="N32" i="30"/>
  <c r="AN32" i="30"/>
  <c r="AT32" i="30"/>
  <c r="D32" i="30"/>
  <c r="AL32" i="30"/>
  <c r="AH32" i="30"/>
  <c r="R32" i="30"/>
  <c r="B32" i="30"/>
  <c r="AR32" i="30"/>
  <c r="AP32" i="30"/>
  <c r="J32" i="30"/>
  <c r="AJ32" i="30"/>
  <c r="AD32" i="30"/>
  <c r="T32" i="30"/>
  <c r="F32" i="30"/>
  <c r="AF32" i="30"/>
  <c r="Z32" i="30"/>
  <c r="AB32" i="30"/>
  <c r="AB14" i="30"/>
  <c r="AD14" i="30" s="1"/>
  <c r="L10" i="30"/>
  <c r="N10" i="30" s="1"/>
  <c r="AB10" i="30"/>
  <c r="AD10" i="30" s="1"/>
  <c r="A3" i="30"/>
  <c r="A3" i="27"/>
  <c r="L5" i="25" a="1"/>
  <c r="L5" i="25" s="1"/>
  <c r="AB7" i="30"/>
  <c r="AD7" i="30" s="1"/>
  <c r="L12" i="30"/>
  <c r="N12" i="30" s="1"/>
  <c r="L44" i="25" a="1"/>
  <c r="L44" i="25" s="1"/>
  <c r="AD44" i="25" s="1" a="1"/>
  <c r="AD44" i="25" s="1"/>
  <c r="L37" i="25" a="1"/>
  <c r="L37" i="25" s="1"/>
  <c r="L34" i="25" a="1"/>
  <c r="L34" i="25" s="1"/>
  <c r="L31" i="25" a="1"/>
  <c r="L31" i="25" s="1"/>
  <c r="L28" i="25" a="1"/>
  <c r="L28" i="25" s="1"/>
  <c r="L6" i="25" a="1"/>
  <c r="L6" i="25" s="1"/>
  <c r="L8" i="25" a="1"/>
  <c r="L8" i="25" s="1"/>
  <c r="L10" i="25" a="1"/>
  <c r="L10" i="25" s="1"/>
  <c r="L12" i="25" a="1"/>
  <c r="L12" i="25" s="1"/>
  <c r="L14" i="25" a="1"/>
  <c r="L14" i="25" s="1"/>
  <c r="L16" i="25" a="1"/>
  <c r="L16" i="25" s="1"/>
  <c r="L18" i="25" a="1"/>
  <c r="L18" i="25" s="1"/>
  <c r="L20" i="25" a="1"/>
  <c r="L20" i="25" s="1"/>
  <c r="L22" i="25" a="1"/>
  <c r="L22" i="25" s="1"/>
  <c r="AD22" i="25" s="1" a="1"/>
  <c r="AD22" i="25" s="1"/>
  <c r="L6" i="30"/>
  <c r="A3" i="28"/>
  <c r="L42" i="25" a="1"/>
  <c r="L42" i="25" s="1"/>
  <c r="L39" i="25" a="1"/>
  <c r="L39" i="25" s="1"/>
  <c r="L36" i="25" a="1"/>
  <c r="L36" i="25" s="1"/>
  <c r="L29" i="25" a="1"/>
  <c r="L29" i="25" s="1"/>
  <c r="L26" i="25" a="1"/>
  <c r="L26" i="25" s="1"/>
  <c r="L23" i="25" a="1"/>
  <c r="L23" i="25" s="1"/>
  <c r="L7" i="25" a="1"/>
  <c r="L7" i="25" s="1"/>
  <c r="L9" i="25" a="1"/>
  <c r="L9" i="25" s="1"/>
  <c r="L11" i="25" a="1"/>
  <c r="L11" i="25" s="1"/>
  <c r="L13" i="25" a="1"/>
  <c r="L13" i="25" s="1"/>
  <c r="L15" i="25" a="1"/>
  <c r="L15" i="25" s="1"/>
  <c r="L17" i="25" a="1"/>
  <c r="L17" i="25" s="1"/>
  <c r="L19" i="25" a="1"/>
  <c r="L19" i="25" s="1"/>
  <c r="L21" i="25" a="1"/>
  <c r="L21" i="25" s="1"/>
  <c r="AD21" i="25" s="1" a="1"/>
  <c r="AD21" i="25" s="1"/>
  <c r="AB11" i="30"/>
  <c r="AD11" i="30" s="1"/>
  <c r="L8" i="30"/>
  <c r="N8" i="30" s="1"/>
  <c r="L38" i="25" a="1"/>
  <c r="L38" i="25" s="1"/>
  <c r="L32" i="25" a="1"/>
  <c r="L32" i="25" s="1"/>
  <c r="L25" i="25" a="1"/>
  <c r="L25" i="25" s="1"/>
  <c r="L41" i="25" a="1"/>
  <c r="L41" i="25" s="1"/>
  <c r="L35" i="25" a="1"/>
  <c r="L35" i="25" s="1"/>
  <c r="N82" i="14" a="1"/>
  <c r="N82" i="14" s="1"/>
  <c r="AQ82" i="14"/>
  <c r="O5" i="14"/>
  <c r="M49" i="14" a="1"/>
  <c r="M49" i="14" s="1"/>
  <c r="N52" i="14" a="1"/>
  <c r="N52" i="14" s="1"/>
  <c r="M53" i="14" a="1"/>
  <c r="M53" i="14" s="1"/>
  <c r="M55" i="14" a="1"/>
  <c r="M55" i="14" s="1"/>
  <c r="M57" i="14" a="1"/>
  <c r="M57" i="14" s="1"/>
  <c r="M59" i="14" a="1"/>
  <c r="M59" i="14" s="1"/>
  <c r="M61" i="14" a="1"/>
  <c r="M61" i="14" s="1"/>
  <c r="M63" i="14" a="1"/>
  <c r="M63" i="14" s="1"/>
  <c r="M65" i="14" a="1"/>
  <c r="M65" i="14" s="1"/>
  <c r="N66" i="14" a="1"/>
  <c r="N66" i="14" s="1"/>
  <c r="M69" i="14" a="1"/>
  <c r="M69" i="14" s="1"/>
  <c r="N70" i="14" a="1"/>
  <c r="N70" i="14" s="1"/>
  <c r="N71" i="14" a="1"/>
  <c r="N71" i="14" s="1"/>
  <c r="N72" i="14" a="1"/>
  <c r="N72" i="14" s="1"/>
  <c r="N73" i="14" a="1"/>
  <c r="N73" i="14" s="1"/>
  <c r="N74" i="14" a="1"/>
  <c r="N74" i="14" s="1"/>
  <c r="N76" i="14" a="1"/>
  <c r="N76" i="14" s="1"/>
  <c r="N45" i="14" a="1"/>
  <c r="N45" i="14" s="1"/>
  <c r="N46" i="14" a="1"/>
  <c r="N46" i="14" s="1"/>
  <c r="N51" i="14" a="1"/>
  <c r="N51" i="14" s="1"/>
  <c r="M44" i="25" a="1"/>
  <c r="M44" i="25" s="1"/>
  <c r="M36" i="25" a="1"/>
  <c r="M36" i="25" s="1"/>
  <c r="M29" i="25" a="1"/>
  <c r="M29" i="25" s="1"/>
  <c r="M23" i="25" a="1"/>
  <c r="M23" i="25" s="1"/>
  <c r="M5" i="14" a="1"/>
  <c r="M5" i="14" s="1"/>
  <c r="Z5" i="14" s="1"/>
  <c r="M52" i="14" a="1"/>
  <c r="M52" i="14" s="1"/>
  <c r="N54" i="14" a="1"/>
  <c r="N54" i="14" s="1"/>
  <c r="M72" i="14" a="1"/>
  <c r="M72" i="14" s="1"/>
  <c r="M73" i="14" a="1"/>
  <c r="M73" i="14" s="1"/>
  <c r="M75" i="14" a="1"/>
  <c r="M75" i="14" s="1"/>
  <c r="M76" i="14" a="1"/>
  <c r="M76" i="14" s="1"/>
  <c r="M45" i="14" a="1"/>
  <c r="M45" i="14" s="1"/>
  <c r="M47" i="14" a="1"/>
  <c r="M47" i="14" s="1"/>
  <c r="M41" i="14" a="1"/>
  <c r="M41" i="14" s="1"/>
  <c r="M43" i="14" a="1"/>
  <c r="M43" i="14" s="1"/>
  <c r="M50" i="14" a="1"/>
  <c r="M50" i="14" s="1"/>
  <c r="AR50" i="14" a="1"/>
  <c r="AR50" i="14" s="1"/>
  <c r="M44" i="14" a="1"/>
  <c r="M44" i="14" s="1"/>
  <c r="M39" i="25" a="1"/>
  <c r="M39" i="25" s="1"/>
  <c r="M31" i="25" a="1"/>
  <c r="M31" i="25" s="1"/>
  <c r="M26" i="25" a="1"/>
  <c r="M26" i="25" s="1"/>
  <c r="M82" i="14" a="1"/>
  <c r="M82" i="14" s="1"/>
  <c r="N56" i="14" a="1"/>
  <c r="N56" i="14" s="1"/>
  <c r="M58" i="14" a="1"/>
  <c r="M58" i="14" s="1"/>
  <c r="N61" i="14" a="1"/>
  <c r="N61" i="14" s="1"/>
  <c r="N64" i="14" a="1"/>
  <c r="N64" i="14" s="1"/>
  <c r="M66" i="14" a="1"/>
  <c r="M66" i="14" s="1"/>
  <c r="N67" i="14" a="1"/>
  <c r="N67" i="14" s="1"/>
  <c r="N47" i="14" a="1"/>
  <c r="N47" i="14" s="1"/>
  <c r="M42" i="14" a="1"/>
  <c r="M42" i="14" s="1"/>
  <c r="N43" i="14" a="1"/>
  <c r="N43" i="14" s="1"/>
  <c r="M51" i="14" a="1"/>
  <c r="M51" i="14" s="1"/>
  <c r="M34" i="25" a="1"/>
  <c r="M34" i="25" s="1"/>
  <c r="K43" i="25" a="1"/>
  <c r="K43" i="25" s="1"/>
  <c r="R43" i="25" s="1"/>
  <c r="K40" i="25" a="1"/>
  <c r="K40" i="25" s="1"/>
  <c r="Q40" i="25" s="1"/>
  <c r="K37" i="25" a="1"/>
  <c r="K37" i="25" s="1"/>
  <c r="R37" i="25" s="1"/>
  <c r="K34" i="25" a="1"/>
  <c r="K34" i="25" s="1"/>
  <c r="Q34" i="25" s="1"/>
  <c r="K27" i="25" a="1"/>
  <c r="K27" i="25" s="1"/>
  <c r="R27" i="25" s="1"/>
  <c r="K24" i="25" a="1"/>
  <c r="K24" i="25" s="1"/>
  <c r="R24" i="25" s="1"/>
  <c r="J44" i="25" a="1"/>
  <c r="J44" i="25" s="1"/>
  <c r="J43" i="25" a="1"/>
  <c r="J43" i="25" s="1"/>
  <c r="I41" i="25" a="1"/>
  <c r="I41" i="25" s="1"/>
  <c r="I40" i="25" a="1"/>
  <c r="I40" i="25" s="1"/>
  <c r="I39" i="25" a="1"/>
  <c r="I39" i="25" s="1"/>
  <c r="I38" i="25" a="1"/>
  <c r="I38" i="25" s="1"/>
  <c r="N35" i="25" a="1"/>
  <c r="N35" i="25" s="1"/>
  <c r="O35" i="25" s="1" a="1"/>
  <c r="O35" i="25" s="1"/>
  <c r="N34" i="25" a="1"/>
  <c r="N34" i="25" s="1"/>
  <c r="O34" i="25" s="1" a="1"/>
  <c r="O34" i="25" s="1"/>
  <c r="N33" i="25" a="1"/>
  <c r="N33" i="25" s="1"/>
  <c r="O33" i="25" s="1" a="1"/>
  <c r="O33" i="25" s="1"/>
  <c r="N32" i="25" a="1"/>
  <c r="N32" i="25" s="1"/>
  <c r="O32" i="25" s="1" a="1"/>
  <c r="O32" i="25" s="1"/>
  <c r="J30" i="25" a="1"/>
  <c r="J30" i="25" s="1"/>
  <c r="J29" i="25" a="1"/>
  <c r="J29" i="25" s="1"/>
  <c r="J28" i="25" a="1"/>
  <c r="J28" i="25" s="1"/>
  <c r="J27" i="25" a="1"/>
  <c r="J27" i="25" s="1"/>
  <c r="I25" i="25" a="1"/>
  <c r="I25" i="25" s="1"/>
  <c r="I24" i="25" a="1"/>
  <c r="I24" i="25" s="1"/>
  <c r="I23" i="25" a="1"/>
  <c r="I23" i="25" s="1"/>
  <c r="J7" i="25" a="1"/>
  <c r="J7" i="25" s="1"/>
  <c r="N7" i="25" a="1"/>
  <c r="N7" i="25" s="1"/>
  <c r="O7" i="25" s="1" a="1"/>
  <c r="O7" i="25" s="1"/>
  <c r="J9" i="25" a="1"/>
  <c r="J9" i="25" s="1"/>
  <c r="N9" i="25" a="1"/>
  <c r="N9" i="25" s="1"/>
  <c r="O9" i="25" s="1" a="1"/>
  <c r="O9" i="25" s="1"/>
  <c r="J11" i="25" a="1"/>
  <c r="J11" i="25" s="1"/>
  <c r="N11" i="25" a="1"/>
  <c r="N11" i="25" s="1"/>
  <c r="O11" i="25" s="1" a="1"/>
  <c r="O11" i="25" s="1"/>
  <c r="J13" i="25" a="1"/>
  <c r="J13" i="25" s="1"/>
  <c r="N13" i="25" a="1"/>
  <c r="N13" i="25" s="1"/>
  <c r="O13" i="25" s="1" a="1"/>
  <c r="O13" i="25" s="1"/>
  <c r="J15" i="25" a="1"/>
  <c r="J15" i="25" s="1"/>
  <c r="N15" i="25" a="1"/>
  <c r="N15" i="25" s="1"/>
  <c r="O15" i="25" s="1" a="1"/>
  <c r="O15" i="25" s="1"/>
  <c r="J17" i="25" a="1"/>
  <c r="J17" i="25" s="1"/>
  <c r="N17" i="25" a="1"/>
  <c r="N17" i="25" s="1"/>
  <c r="O17" i="25" s="1" a="1"/>
  <c r="O17" i="25" s="1"/>
  <c r="J19" i="25" a="1"/>
  <c r="J19" i="25" s="1"/>
  <c r="N19" i="25" a="1"/>
  <c r="N19" i="25" s="1"/>
  <c r="O19" i="25" s="1" a="1"/>
  <c r="O19" i="25" s="1"/>
  <c r="J21" i="25" a="1"/>
  <c r="J21" i="25" s="1"/>
  <c r="N21" i="25" a="1"/>
  <c r="N21" i="25" s="1"/>
  <c r="O21" i="25" s="1" a="1"/>
  <c r="O21" i="25" s="1"/>
  <c r="M81" i="14" a="1"/>
  <c r="M81" i="14" s="1"/>
  <c r="AQ77" i="14"/>
  <c r="M79" i="14" a="1"/>
  <c r="M79" i="14" s="1"/>
  <c r="X79" i="14" s="1"/>
  <c r="AR81" i="14" a="1"/>
  <c r="AR81" i="14" s="1"/>
  <c r="N57" i="14" a="1"/>
  <c r="N57" i="14" s="1"/>
  <c r="N60" i="14" a="1"/>
  <c r="N60" i="14" s="1"/>
  <c r="M62" i="14" a="1"/>
  <c r="M62" i="14" s="1"/>
  <c r="N65" i="14" a="1"/>
  <c r="N65" i="14" s="1"/>
  <c r="M68" i="14" a="1"/>
  <c r="M68" i="14" s="1"/>
  <c r="M71" i="14" a="1"/>
  <c r="M71" i="14" s="1"/>
  <c r="M46" i="14" a="1"/>
  <c r="M46" i="14" s="1"/>
  <c r="N41" i="14" a="1"/>
  <c r="N41" i="14" s="1"/>
  <c r="N50" i="14" a="1"/>
  <c r="N50" i="14" s="1"/>
  <c r="N44" i="14" a="1"/>
  <c r="N44" i="14" s="1"/>
  <c r="M42" i="25" a="1"/>
  <c r="M42" i="25" s="1"/>
  <c r="M28" i="25" a="1"/>
  <c r="M28" i="25" s="1"/>
  <c r="K42" i="25" a="1"/>
  <c r="K42" i="25" s="1"/>
  <c r="Q42" i="25" s="1"/>
  <c r="K35" i="25" a="1"/>
  <c r="K35" i="25" s="1"/>
  <c r="Q35" i="25" s="1"/>
  <c r="K32" i="25" a="1"/>
  <c r="K32" i="25" s="1"/>
  <c r="R32" i="25" s="1"/>
  <c r="K29" i="25" a="1"/>
  <c r="K29" i="25" s="1"/>
  <c r="R29" i="25" s="1"/>
  <c r="K26" i="25" a="1"/>
  <c r="K26" i="25" s="1"/>
  <c r="Q26" i="25" s="1"/>
  <c r="N43" i="25" a="1"/>
  <c r="N43" i="25" s="1"/>
  <c r="O43" i="25" s="1" a="1"/>
  <c r="O43" i="25" s="1"/>
  <c r="N42" i="25" a="1"/>
  <c r="N42" i="25" s="1"/>
  <c r="O42" i="25" s="1" a="1"/>
  <c r="O42" i="25" s="1"/>
  <c r="N41" i="25" a="1"/>
  <c r="N41" i="25" s="1"/>
  <c r="O41" i="25" s="1" a="1"/>
  <c r="O41" i="25" s="1"/>
  <c r="N40" i="25" a="1"/>
  <c r="N40" i="25" s="1"/>
  <c r="O40" i="25" s="1" a="1"/>
  <c r="O40" i="25" s="1"/>
  <c r="J38" i="25" a="1"/>
  <c r="J38" i="25" s="1"/>
  <c r="J37" i="25" a="1"/>
  <c r="J37" i="25" s="1"/>
  <c r="J36" i="25" a="1"/>
  <c r="J36" i="25" s="1"/>
  <c r="J35" i="25" a="1"/>
  <c r="J35" i="25" s="1"/>
  <c r="I33" i="25" a="1"/>
  <c r="I33" i="25" s="1"/>
  <c r="AU33" i="25" s="1" a="1"/>
  <c r="AU33" i="25" s="1"/>
  <c r="I32" i="25" a="1"/>
  <c r="I32" i="25" s="1"/>
  <c r="I31" i="25" a="1"/>
  <c r="I31" i="25" s="1"/>
  <c r="I30" i="25" a="1"/>
  <c r="I30" i="25" s="1"/>
  <c r="N27" i="25" a="1"/>
  <c r="N27" i="25" s="1"/>
  <c r="O27" i="25" s="1" a="1"/>
  <c r="O27" i="25" s="1"/>
  <c r="N26" i="25" a="1"/>
  <c r="N26" i="25" s="1"/>
  <c r="O26" i="25" s="1" a="1"/>
  <c r="O26" i="25" s="1"/>
  <c r="N25" i="25" a="1"/>
  <c r="N25" i="25" s="1"/>
  <c r="O25" i="25" s="1" a="1"/>
  <c r="O25" i="25" s="1"/>
  <c r="N24" i="25" a="1"/>
  <c r="N24" i="25" s="1"/>
  <c r="O24" i="25" s="1" a="1"/>
  <c r="O24" i="25" s="1"/>
  <c r="J6" i="25" a="1"/>
  <c r="J6" i="25" s="1"/>
  <c r="N6" i="25" a="1"/>
  <c r="N6" i="25" s="1"/>
  <c r="O6" i="25" s="1" a="1"/>
  <c r="O6" i="25" s="1"/>
  <c r="J8" i="25" a="1"/>
  <c r="J8" i="25" s="1"/>
  <c r="N8" i="25" a="1"/>
  <c r="N8" i="25" s="1"/>
  <c r="O8" i="25" s="1" a="1"/>
  <c r="O8" i="25" s="1"/>
  <c r="J10" i="25" a="1"/>
  <c r="J10" i="25" s="1"/>
  <c r="N10" i="25" a="1"/>
  <c r="N10" i="25" s="1"/>
  <c r="O10" i="25" s="1" a="1"/>
  <c r="O10" i="25" s="1"/>
  <c r="J12" i="25" a="1"/>
  <c r="J12" i="25" s="1"/>
  <c r="N12" i="25" a="1"/>
  <c r="N12" i="25" s="1"/>
  <c r="O12" i="25" s="1" a="1"/>
  <c r="O12" i="25" s="1"/>
  <c r="J14" i="25" a="1"/>
  <c r="J14" i="25" s="1"/>
  <c r="N14" i="25" a="1"/>
  <c r="N14" i="25" s="1"/>
  <c r="O14" i="25" s="1" a="1"/>
  <c r="O14" i="25" s="1"/>
  <c r="J16" i="25" a="1"/>
  <c r="J16" i="25" s="1"/>
  <c r="N16" i="25" a="1"/>
  <c r="N16" i="25" s="1"/>
  <c r="O16" i="25" s="1" a="1"/>
  <c r="O16" i="25" s="1"/>
  <c r="J18" i="25" a="1"/>
  <c r="J18" i="25" s="1"/>
  <c r="N18" i="25" a="1"/>
  <c r="N18" i="25" s="1"/>
  <c r="O18" i="25" s="1" a="1"/>
  <c r="O18" i="25" s="1"/>
  <c r="J20" i="25" a="1"/>
  <c r="J20" i="25" s="1"/>
  <c r="N20" i="25" a="1"/>
  <c r="N20" i="25" s="1"/>
  <c r="O20" i="25" s="1" a="1"/>
  <c r="O20" i="25" s="1"/>
  <c r="J22" i="25" a="1"/>
  <c r="J22" i="25" s="1"/>
  <c r="N22" i="25" a="1"/>
  <c r="N22" i="25" s="1"/>
  <c r="O22" i="25" s="1" a="1"/>
  <c r="O22" i="25" s="1"/>
  <c r="N53" i="14" a="1"/>
  <c r="N53" i="14" s="1"/>
  <c r="M54" i="14" a="1"/>
  <c r="M54" i="14" s="1"/>
  <c r="N59" i="14" a="1"/>
  <c r="N59" i="14" s="1"/>
  <c r="N68" i="14" a="1"/>
  <c r="N68" i="14" s="1"/>
  <c r="M70" i="14" a="1"/>
  <c r="M70" i="14" s="1"/>
  <c r="N75" i="14" a="1"/>
  <c r="N75" i="14" s="1"/>
  <c r="M25" i="25" a="1"/>
  <c r="M25" i="25" s="1"/>
  <c r="K41" i="25" a="1"/>
  <c r="K41" i="25" s="1"/>
  <c r="Q41" i="25" s="1"/>
  <c r="K28" i="25" a="1"/>
  <c r="K28" i="25" s="1"/>
  <c r="R28" i="25" s="1"/>
  <c r="N44" i="25" a="1"/>
  <c r="N44" i="25" s="1"/>
  <c r="O44" i="25" s="1" a="1"/>
  <c r="O44" i="25" s="1"/>
  <c r="J42" i="25" a="1"/>
  <c r="J42" i="25" s="1"/>
  <c r="J40" i="25" a="1"/>
  <c r="J40" i="25" s="1"/>
  <c r="I36" i="25" a="1"/>
  <c r="I36" i="25" s="1"/>
  <c r="I34" i="25" a="1"/>
  <c r="I34" i="25" s="1"/>
  <c r="N31" i="25" a="1"/>
  <c r="N31" i="25" s="1"/>
  <c r="O31" i="25" s="1" a="1"/>
  <c r="O31" i="25" s="1"/>
  <c r="N29" i="25" a="1"/>
  <c r="N29" i="25" s="1"/>
  <c r="O29" i="25" s="1" a="1"/>
  <c r="O29" i="25" s="1"/>
  <c r="J25" i="25" a="1"/>
  <c r="J25" i="25" s="1"/>
  <c r="J23" i="25" a="1"/>
  <c r="J23" i="25" s="1"/>
  <c r="I7" i="25" a="1"/>
  <c r="I7" i="25" s="1"/>
  <c r="K8" i="25" a="1"/>
  <c r="K8" i="25" s="1"/>
  <c r="R8" i="25" s="1"/>
  <c r="M9" i="25" a="1"/>
  <c r="M9" i="25" s="1"/>
  <c r="I11" i="25" a="1"/>
  <c r="I11" i="25" s="1"/>
  <c r="K12" i="25" a="1"/>
  <c r="K12" i="25" s="1"/>
  <c r="R12" i="25" s="1"/>
  <c r="M13" i="25" a="1"/>
  <c r="M13" i="25" s="1"/>
  <c r="I15" i="25" a="1"/>
  <c r="I15" i="25" s="1"/>
  <c r="K16" i="25" a="1"/>
  <c r="K16" i="25" s="1"/>
  <c r="Q16" i="25" s="1"/>
  <c r="M17" i="25" a="1"/>
  <c r="M17" i="25" s="1"/>
  <c r="I19" i="25" a="1"/>
  <c r="I19" i="25" s="1"/>
  <c r="K20" i="25" a="1"/>
  <c r="K20" i="25" s="1"/>
  <c r="Q20" i="25" s="1"/>
  <c r="M21" i="25" a="1"/>
  <c r="M21" i="25" s="1"/>
  <c r="N81" i="14" a="1"/>
  <c r="N81" i="14" s="1"/>
  <c r="AR79" i="14" a="1"/>
  <c r="AR79" i="14" s="1"/>
  <c r="AQ12" i="14"/>
  <c r="J5" i="25" a="1"/>
  <c r="J5" i="25" s="1"/>
  <c r="N58" i="14" a="1"/>
  <c r="N58" i="14" s="1"/>
  <c r="M60" i="14" a="1"/>
  <c r="M60" i="14" s="1"/>
  <c r="M67" i="14" a="1"/>
  <c r="M67" i="14" s="1"/>
  <c r="N69" i="14" a="1"/>
  <c r="N69" i="14" s="1"/>
  <c r="M74" i="14" a="1"/>
  <c r="M74" i="14" s="1"/>
  <c r="M37" i="25" a="1"/>
  <c r="M37" i="25" s="1"/>
  <c r="K44" i="25" a="1"/>
  <c r="K44" i="25" s="1"/>
  <c r="R44" i="25" s="1"/>
  <c r="K38" i="25" a="1"/>
  <c r="K38" i="25" s="1"/>
  <c r="Q38" i="25" s="1"/>
  <c r="K31" i="25" a="1"/>
  <c r="K31" i="25" s="1"/>
  <c r="Q31" i="25" s="1"/>
  <c r="K25" i="25" a="1"/>
  <c r="K25" i="25" s="1"/>
  <c r="R25" i="25" s="1"/>
  <c r="J41" i="25" a="1"/>
  <c r="J41" i="25" s="1"/>
  <c r="J39" i="25" a="1"/>
  <c r="J39" i="25" s="1"/>
  <c r="I37" i="25" a="1"/>
  <c r="I37" i="25" s="1"/>
  <c r="I35" i="25" a="1"/>
  <c r="I35" i="25" s="1"/>
  <c r="N30" i="25" a="1"/>
  <c r="N30" i="25" s="1"/>
  <c r="O30" i="25" s="1" a="1"/>
  <c r="O30" i="25" s="1"/>
  <c r="N28" i="25" a="1"/>
  <c r="N28" i="25" s="1"/>
  <c r="O28" i="25" s="1" a="1"/>
  <c r="O28" i="25" s="1"/>
  <c r="J26" i="25" a="1"/>
  <c r="J26" i="25" s="1"/>
  <c r="J24" i="25" a="1"/>
  <c r="J24" i="25" s="1"/>
  <c r="K6" i="25" a="1"/>
  <c r="K6" i="25" s="1"/>
  <c r="Q6" i="25" s="1"/>
  <c r="M7" i="25" a="1"/>
  <c r="M7" i="25" s="1"/>
  <c r="I9" i="25" a="1"/>
  <c r="I9" i="25" s="1"/>
  <c r="K10" i="25" a="1"/>
  <c r="K10" i="25" s="1"/>
  <c r="R10" i="25" s="1"/>
  <c r="M11" i="25" a="1"/>
  <c r="M11" i="25" s="1"/>
  <c r="I13" i="25" a="1"/>
  <c r="I13" i="25" s="1"/>
  <c r="K14" i="25" a="1"/>
  <c r="K14" i="25" s="1"/>
  <c r="Q14" i="25" s="1"/>
  <c r="M15" i="25" a="1"/>
  <c r="M15" i="25" s="1"/>
  <c r="I17" i="25" a="1"/>
  <c r="I17" i="25" s="1"/>
  <c r="K18" i="25" a="1"/>
  <c r="K18" i="25" s="1"/>
  <c r="Q18" i="25" s="1"/>
  <c r="M19" i="25" a="1"/>
  <c r="M19" i="25" s="1"/>
  <c r="I21" i="25" a="1"/>
  <c r="I21" i="25" s="1"/>
  <c r="AU21" i="25" s="1" a="1"/>
  <c r="AU21" i="25" s="1"/>
  <c r="K22" i="25" a="1"/>
  <c r="K22" i="25" s="1"/>
  <c r="Q22" i="25" s="1"/>
  <c r="M80" i="14" a="1"/>
  <c r="M80" i="14" s="1"/>
  <c r="AH80" i="14" s="1"/>
  <c r="AR7" i="14" a="1"/>
  <c r="AR7" i="14" s="1"/>
  <c r="AQ7" i="14" s="1"/>
  <c r="N7" i="14" a="1"/>
  <c r="N7" i="14" s="1"/>
  <c r="N9" i="14" a="1"/>
  <c r="N9" i="14" s="1"/>
  <c r="M9" i="14" a="1"/>
  <c r="M9" i="14" s="1"/>
  <c r="O9" i="14"/>
  <c r="AR9" i="14" a="1"/>
  <c r="AR9" i="14" s="1"/>
  <c r="AQ9" i="14" s="1"/>
  <c r="AR11" i="14" a="1"/>
  <c r="AR11" i="14" s="1"/>
  <c r="AQ11" i="14" s="1"/>
  <c r="O11" i="14"/>
  <c r="M11" i="14" a="1"/>
  <c r="M11" i="14" s="1"/>
  <c r="Z11" i="14" s="1"/>
  <c r="N13" i="14" a="1"/>
  <c r="N13" i="14" s="1"/>
  <c r="M13" i="14" a="1"/>
  <c r="M13" i="14" s="1"/>
  <c r="O13" i="14"/>
  <c r="AR13" i="14" a="1"/>
  <c r="AR13" i="14" s="1"/>
  <c r="AQ13" i="14" s="1"/>
  <c r="AR15" i="14" a="1"/>
  <c r="AR15" i="14" s="1"/>
  <c r="AQ15" i="14" s="1"/>
  <c r="N15" i="14" a="1"/>
  <c r="N15" i="14" s="1"/>
  <c r="M17" i="14" a="1"/>
  <c r="M17" i="14" s="1"/>
  <c r="X17" i="14" s="1"/>
  <c r="O17" i="14"/>
  <c r="N17" i="14" a="1"/>
  <c r="N17" i="14" s="1"/>
  <c r="AR19" i="14" a="1"/>
  <c r="AR19" i="14" s="1"/>
  <c r="AQ19" i="14" s="1"/>
  <c r="M19" i="14" a="1"/>
  <c r="M19" i="14" s="1"/>
  <c r="AH19" i="14" s="1"/>
  <c r="O19" i="14"/>
  <c r="N21" i="14" a="1"/>
  <c r="N21" i="14" s="1"/>
  <c r="M21" i="14" a="1"/>
  <c r="M21" i="14" s="1"/>
  <c r="O21" i="14"/>
  <c r="AR21" i="14" a="1"/>
  <c r="AR21" i="14" s="1"/>
  <c r="AQ21" i="14" s="1"/>
  <c r="AR23" i="14" a="1"/>
  <c r="AR23" i="14" s="1"/>
  <c r="AQ23" i="14" s="1"/>
  <c r="N23" i="14" a="1"/>
  <c r="N23" i="14" s="1"/>
  <c r="M25" i="14" a="1"/>
  <c r="M25" i="14" s="1"/>
  <c r="AH25" i="14" s="1"/>
  <c r="O25" i="14"/>
  <c r="N25" i="14" a="1"/>
  <c r="N25" i="14" s="1"/>
  <c r="AR27" i="14" a="1"/>
  <c r="AR27" i="14" s="1"/>
  <c r="AQ27" i="14" s="1"/>
  <c r="O27" i="14"/>
  <c r="M27" i="14" a="1"/>
  <c r="M27" i="14" s="1"/>
  <c r="AH27" i="14" s="1"/>
  <c r="N29" i="14" a="1"/>
  <c r="N29" i="14" s="1"/>
  <c r="M29" i="14" a="1"/>
  <c r="M29" i="14" s="1"/>
  <c r="O29" i="14"/>
  <c r="AR29" i="14" a="1"/>
  <c r="AR29" i="14" s="1"/>
  <c r="AQ29" i="14" s="1"/>
  <c r="M31" i="14" a="1"/>
  <c r="M31" i="14" s="1"/>
  <c r="AH31" i="14" s="1"/>
  <c r="O31" i="14"/>
  <c r="AR31" i="14" a="1"/>
  <c r="AR31" i="14" s="1"/>
  <c r="AQ31" i="14" s="1"/>
  <c r="N33" i="14" a="1"/>
  <c r="N33" i="14" s="1"/>
  <c r="AR33" i="14" a="1"/>
  <c r="AR33" i="14" s="1"/>
  <c r="AQ33" i="14" s="1"/>
  <c r="M33" i="14" a="1"/>
  <c r="M33" i="14" s="1"/>
  <c r="O35" i="14"/>
  <c r="M35" i="14" a="1"/>
  <c r="M35" i="14" s="1"/>
  <c r="N35" i="14" a="1"/>
  <c r="N35" i="14" s="1"/>
  <c r="AR37" i="14" a="1"/>
  <c r="AR37" i="14" s="1"/>
  <c r="AQ37" i="14" s="1"/>
  <c r="N37" i="14" a="1"/>
  <c r="N37" i="14" s="1"/>
  <c r="O37" i="14"/>
  <c r="AR39" i="14" a="1"/>
  <c r="AR39" i="14" s="1"/>
  <c r="AQ39" i="14" s="1"/>
  <c r="N39" i="14" a="1"/>
  <c r="N39" i="14" s="1"/>
  <c r="O39" i="14"/>
  <c r="N77" i="14" a="1"/>
  <c r="N77" i="14" s="1"/>
  <c r="M77" i="14" a="1"/>
  <c r="M77" i="14" s="1"/>
  <c r="Y77" i="14" s="1"/>
  <c r="AR77" i="14" a="1"/>
  <c r="AR77" i="14" s="1"/>
  <c r="M48" i="14" a="1"/>
  <c r="M48" i="14" s="1"/>
  <c r="O48" i="14"/>
  <c r="N48" i="14" a="1"/>
  <c r="N48" i="14" s="1"/>
  <c r="AQ62" i="14"/>
  <c r="AQ49" i="14"/>
  <c r="M39" i="14" a="1"/>
  <c r="M39" i="14" s="1"/>
  <c r="Z39" i="14" s="1"/>
  <c r="O33" i="14"/>
  <c r="N27" i="14" a="1"/>
  <c r="N27" i="14" s="1"/>
  <c r="O15" i="14"/>
  <c r="O7" i="14"/>
  <c r="M22" i="25" a="1"/>
  <c r="M22" i="25" s="1"/>
  <c r="I20" i="25" a="1"/>
  <c r="I20" i="25" s="1"/>
  <c r="K17" i="25" a="1"/>
  <c r="K17" i="25" s="1"/>
  <c r="R17" i="25" s="1"/>
  <c r="M14" i="25" a="1"/>
  <c r="M14" i="25" s="1"/>
  <c r="I12" i="25" a="1"/>
  <c r="I12" i="25" s="1"/>
  <c r="K9" i="25" a="1"/>
  <c r="K9" i="25" s="1"/>
  <c r="R9" i="25" s="1"/>
  <c r="M6" i="25" a="1"/>
  <c r="M6" i="25" s="1"/>
  <c r="I26" i="25" a="1"/>
  <c r="I26" i="25" s="1"/>
  <c r="J34" i="25" a="1"/>
  <c r="J34" i="25" s="1"/>
  <c r="N38" i="25" a="1"/>
  <c r="N38" i="25" s="1"/>
  <c r="O38" i="25" s="1" a="1"/>
  <c r="O38" i="25" s="1"/>
  <c r="I43" i="25" a="1"/>
  <c r="I43" i="25" s="1"/>
  <c r="K30" i="25" a="1"/>
  <c r="K30" i="25" s="1"/>
  <c r="R30" i="25" s="1"/>
  <c r="L33" i="25" a="1"/>
  <c r="L33" i="25" s="1"/>
  <c r="AD33" i="25" s="1" a="1"/>
  <c r="AD33" i="25" s="1"/>
  <c r="M30" i="25" a="1"/>
  <c r="M30" i="25" s="1"/>
  <c r="N55" i="14" a="1"/>
  <c r="N55" i="14" s="1"/>
  <c r="N49" i="14" a="1"/>
  <c r="N49" i="14" s="1"/>
  <c r="N5" i="14" a="1"/>
  <c r="N5" i="14" s="1"/>
  <c r="L25" i="30"/>
  <c r="AF25" i="30"/>
  <c r="B25" i="30"/>
  <c r="AT25" i="30"/>
  <c r="F25" i="30"/>
  <c r="AD25" i="30"/>
  <c r="N25" i="30"/>
  <c r="AN25" i="30"/>
  <c r="AP25" i="30"/>
  <c r="J25" i="30"/>
  <c r="D25" i="30"/>
  <c r="Z25" i="30"/>
  <c r="T25" i="30"/>
  <c r="P25" i="30"/>
  <c r="AR25" i="30"/>
  <c r="H25" i="30"/>
  <c r="AL25" i="30"/>
  <c r="AH25" i="30"/>
  <c r="AB25" i="30"/>
  <c r="AJ25" i="30"/>
  <c r="H34" i="30"/>
  <c r="L34" i="30"/>
  <c r="AJ34" i="30"/>
  <c r="Z34" i="30"/>
  <c r="R34" i="30"/>
  <c r="AT34" i="30"/>
  <c r="AP34" i="30"/>
  <c r="AH34" i="30"/>
  <c r="AB34" i="30"/>
  <c r="J34" i="30"/>
  <c r="AN34" i="30"/>
  <c r="AR34" i="30"/>
  <c r="F34" i="30"/>
  <c r="N6" i="14" a="1"/>
  <c r="N6" i="14" s="1"/>
  <c r="AR6" i="14" a="1"/>
  <c r="AR6" i="14" s="1"/>
  <c r="AQ6" i="14" s="1"/>
  <c r="M6" i="14" a="1"/>
  <c r="M6" i="14" s="1"/>
  <c r="AH6" i="14" s="1"/>
  <c r="AR8" i="14" a="1"/>
  <c r="AR8" i="14" s="1"/>
  <c r="AQ8" i="14" s="1"/>
  <c r="N8" i="14" a="1"/>
  <c r="N8" i="14" s="1"/>
  <c r="O8" i="14"/>
  <c r="O10" i="14"/>
  <c r="M10" i="14" a="1"/>
  <c r="M10" i="14" s="1"/>
  <c r="N10" i="14" a="1"/>
  <c r="N10" i="14" s="1"/>
  <c r="AB15" i="30"/>
  <c r="AD15" i="30" s="1"/>
  <c r="N12" i="14" a="1"/>
  <c r="N12" i="14" s="1"/>
  <c r="AR12" i="14" a="1"/>
  <c r="AR12" i="14" s="1"/>
  <c r="M12" i="14" a="1"/>
  <c r="M12" i="14" s="1"/>
  <c r="AH12" i="14" s="1"/>
  <c r="M14" i="14" a="1"/>
  <c r="M14" i="14" s="1"/>
  <c r="Y14" i="14" s="1"/>
  <c r="O14" i="14"/>
  <c r="AR14" i="14" a="1"/>
  <c r="AR14" i="14" s="1"/>
  <c r="AQ14" i="14" s="1"/>
  <c r="N16" i="14" a="1"/>
  <c r="N16" i="14" s="1"/>
  <c r="AR16" i="14" a="1"/>
  <c r="AR16" i="14" s="1"/>
  <c r="AQ16" i="14" s="1"/>
  <c r="M16" i="14" a="1"/>
  <c r="M16" i="14" s="1"/>
  <c r="O18" i="14"/>
  <c r="M18" i="14" a="1"/>
  <c r="M18" i="14" s="1"/>
  <c r="AH18" i="14" s="1"/>
  <c r="N18" i="14" a="1"/>
  <c r="N18" i="14" s="1"/>
  <c r="AR20" i="14" a="1"/>
  <c r="AR20" i="14" s="1"/>
  <c r="AQ20" i="14" s="1"/>
  <c r="N20" i="14" a="1"/>
  <c r="N20" i="14" s="1"/>
  <c r="O20" i="14"/>
  <c r="M22" i="14" a="1"/>
  <c r="M22" i="14" s="1"/>
  <c r="AH22" i="14" s="1"/>
  <c r="O22" i="14"/>
  <c r="AR22" i="14" a="1"/>
  <c r="AR22" i="14" s="1"/>
  <c r="AQ22" i="14" s="1"/>
  <c r="N24" i="14" a="1"/>
  <c r="N24" i="14" s="1"/>
  <c r="AR24" i="14" a="1"/>
  <c r="AR24" i="14" s="1"/>
  <c r="M24" i="14" a="1"/>
  <c r="M24" i="14" s="1"/>
  <c r="O26" i="14"/>
  <c r="M26" i="14" a="1"/>
  <c r="M26" i="14" s="1"/>
  <c r="AH26" i="14" s="1"/>
  <c r="N26" i="14" a="1"/>
  <c r="N26" i="14" s="1"/>
  <c r="AR28" i="14" a="1"/>
  <c r="AR28" i="14" s="1"/>
  <c r="AQ28" i="14" s="1"/>
  <c r="N28" i="14" a="1"/>
  <c r="N28" i="14" s="1"/>
  <c r="O28" i="14"/>
  <c r="AR30" i="14" a="1"/>
  <c r="AR30" i="14" s="1"/>
  <c r="AQ30" i="14" s="1"/>
  <c r="N30" i="14" a="1"/>
  <c r="N30" i="14" s="1"/>
  <c r="O30" i="14"/>
  <c r="AR32" i="14" a="1"/>
  <c r="AR32" i="14" s="1"/>
  <c r="AQ32" i="14" s="1"/>
  <c r="N32" i="14" a="1"/>
  <c r="N32" i="14" s="1"/>
  <c r="M34" i="14" a="1"/>
  <c r="M34" i="14" s="1"/>
  <c r="Y34" i="14" s="1"/>
  <c r="O34" i="14"/>
  <c r="N34" i="14" a="1"/>
  <c r="N34" i="14" s="1"/>
  <c r="AR36" i="14" a="1"/>
  <c r="AR36" i="14" s="1"/>
  <c r="AQ36" i="14" s="1"/>
  <c r="O36" i="14"/>
  <c r="M36" i="14" a="1"/>
  <c r="M36" i="14" s="1"/>
  <c r="AH36" i="14" s="1"/>
  <c r="N38" i="14" a="1"/>
  <c r="N38" i="14" s="1"/>
  <c r="M38" i="14" a="1"/>
  <c r="M38" i="14" s="1"/>
  <c r="O38" i="14"/>
  <c r="AR38" i="14" a="1"/>
  <c r="AR38" i="14" s="1"/>
  <c r="AQ38" i="14" s="1"/>
  <c r="AR40" i="14" a="1"/>
  <c r="AR40" i="14" s="1"/>
  <c r="AQ40" i="14" s="1"/>
  <c r="O40" i="14"/>
  <c r="M40" i="14" a="1"/>
  <c r="M40" i="14" s="1"/>
  <c r="AP40" i="14" s="1"/>
  <c r="N79" i="14" a="1"/>
  <c r="N79" i="14" s="1"/>
  <c r="M78" i="14" a="1"/>
  <c r="M78" i="14" s="1"/>
  <c r="N40" i="14" a="1"/>
  <c r="N40" i="14" s="1"/>
  <c r="AR34" i="14" a="1"/>
  <c r="AR34" i="14" s="1"/>
  <c r="AQ34" i="14" s="1"/>
  <c r="M32" i="14" a="1"/>
  <c r="M32" i="14" s="1"/>
  <c r="AH32" i="14" s="1"/>
  <c r="AR25" i="14" a="1"/>
  <c r="AR25" i="14" s="1"/>
  <c r="AQ25" i="14" s="1"/>
  <c r="M23" i="14" a="1"/>
  <c r="M23" i="14" s="1"/>
  <c r="M20" i="14" a="1"/>
  <c r="M20" i="14" s="1"/>
  <c r="AP20" i="14" s="1"/>
  <c r="N14" i="14" a="1"/>
  <c r="N14" i="14" s="1"/>
  <c r="N11" i="14" a="1"/>
  <c r="N11" i="14" s="1"/>
  <c r="O6" i="14"/>
  <c r="K21" i="25" a="1"/>
  <c r="K21" i="25" s="1"/>
  <c r="Q21" i="25" s="1"/>
  <c r="M18" i="25" a="1"/>
  <c r="M18" i="25" s="1"/>
  <c r="I16" i="25" a="1"/>
  <c r="I16" i="25" s="1"/>
  <c r="K13" i="25" a="1"/>
  <c r="K13" i="25" s="1"/>
  <c r="Q13" i="25" s="1"/>
  <c r="M10" i="25" a="1"/>
  <c r="M10" i="25" s="1"/>
  <c r="I8" i="25" a="1"/>
  <c r="I8" i="25" s="1"/>
  <c r="N23" i="25" a="1"/>
  <c r="N23" i="25" s="1"/>
  <c r="O23" i="25" s="1" a="1"/>
  <c r="O23" i="25" s="1"/>
  <c r="I28" i="25" a="1"/>
  <c r="I28" i="25" s="1"/>
  <c r="J32" i="25" a="1"/>
  <c r="J32" i="25" s="1"/>
  <c r="N36" i="25" a="1"/>
  <c r="N36" i="25" s="1"/>
  <c r="O36" i="25" s="1" a="1"/>
  <c r="O36" i="25" s="1"/>
  <c r="K23" i="25" a="1"/>
  <c r="K23" i="25" s="1"/>
  <c r="Q23" i="25" s="1"/>
  <c r="K36" i="25" a="1"/>
  <c r="K36" i="25" s="1"/>
  <c r="R36" i="25" s="1"/>
  <c r="L27" i="25" a="1"/>
  <c r="L27" i="25" s="1"/>
  <c r="L40" i="25" a="1"/>
  <c r="L40" i="25" s="1"/>
  <c r="M56" i="14" a="1"/>
  <c r="M56" i="14" s="1"/>
  <c r="B7" i="30"/>
  <c r="L7" i="30"/>
  <c r="N7" i="30" s="1"/>
  <c r="L11" i="30"/>
  <c r="N11" i="30" s="1"/>
  <c r="L15" i="30"/>
  <c r="N15" i="30" s="1"/>
  <c r="AJ19" i="30"/>
  <c r="H19" i="30"/>
  <c r="P19" i="30"/>
  <c r="AR19" i="30"/>
  <c r="L19" i="30"/>
  <c r="AD19" i="30"/>
  <c r="AL19" i="30"/>
  <c r="T19" i="30"/>
  <c r="X19" i="30"/>
  <c r="B19" i="30"/>
  <c r="AF19" i="30"/>
  <c r="D19" i="30"/>
  <c r="AN19" i="30"/>
  <c r="AP28" i="30"/>
  <c r="J28" i="30"/>
  <c r="D28" i="30"/>
  <c r="AB28" i="30"/>
  <c r="AD28" i="30"/>
  <c r="T28" i="30"/>
  <c r="V28" i="30"/>
  <c r="AN28" i="30"/>
  <c r="AR28" i="30"/>
  <c r="L28" i="30"/>
  <c r="Z28" i="30"/>
  <c r="H28" i="30"/>
  <c r="F28" i="30"/>
  <c r="AL28" i="30"/>
  <c r="X28" i="30"/>
  <c r="B28" i="30"/>
  <c r="AP33" i="30"/>
  <c r="J33" i="30"/>
  <c r="AF33" i="30"/>
  <c r="AB33" i="30"/>
  <c r="T33" i="30"/>
  <c r="H33" i="30"/>
  <c r="X33" i="30"/>
  <c r="Z33" i="30"/>
  <c r="V33" i="30"/>
  <c r="N33" i="30"/>
  <c r="D33" i="30"/>
  <c r="F33" i="30"/>
  <c r="AN33" i="30"/>
  <c r="AT33" i="30"/>
  <c r="AJ17" i="30"/>
  <c r="H17" i="30"/>
  <c r="P17" i="30"/>
  <c r="AR17" i="30"/>
  <c r="T17" i="30"/>
  <c r="R17" i="30"/>
  <c r="AF17" i="30"/>
  <c r="J17" i="30"/>
  <c r="D17" i="30"/>
  <c r="Z17" i="30"/>
  <c r="AT17" i="30"/>
  <c r="AN17" i="30"/>
  <c r="AL21" i="30"/>
  <c r="D21" i="30"/>
  <c r="X21" i="30"/>
  <c r="AR21" i="30"/>
  <c r="AJ21" i="30"/>
  <c r="V21" i="30"/>
  <c r="F21" i="30"/>
  <c r="Z21" i="30"/>
  <c r="AH21" i="30"/>
  <c r="J21" i="30"/>
  <c r="P21" i="30"/>
  <c r="AP21" i="30"/>
  <c r="F31" i="30"/>
  <c r="AH31" i="30"/>
  <c r="B31" i="30"/>
  <c r="Z31" i="30"/>
  <c r="B8" i="30"/>
  <c r="B16" i="30"/>
  <c r="L16" i="30"/>
  <c r="N16" i="30" s="1"/>
  <c r="V20" i="30"/>
  <c r="J20" i="30"/>
  <c r="Z20" i="30"/>
  <c r="P20" i="30"/>
  <c r="K5" i="25" a="1"/>
  <c r="K5" i="25" s="1"/>
  <c r="R5" i="25" s="1"/>
  <c r="X20" i="30"/>
  <c r="AT20" i="30"/>
  <c r="D20" i="30"/>
  <c r="AF20" i="30"/>
  <c r="T20" i="30"/>
  <c r="AB20" i="30"/>
  <c r="H26" i="30"/>
  <c r="AP26" i="30"/>
  <c r="Z26" i="30"/>
  <c r="R26" i="30"/>
  <c r="N26" i="30"/>
  <c r="H30" i="30"/>
  <c r="Z30" i="30"/>
  <c r="R30" i="30"/>
  <c r="AR30" i="30"/>
  <c r="AB6" i="30"/>
  <c r="AP23" i="30"/>
  <c r="J23" i="30"/>
  <c r="AJ23" i="30"/>
  <c r="AB23" i="30"/>
  <c r="T23" i="30"/>
  <c r="N23" i="30"/>
  <c r="AR23" i="30"/>
  <c r="H23" i="30"/>
  <c r="L23" i="30"/>
  <c r="AL23" i="30"/>
  <c r="AD23" i="30"/>
  <c r="V23" i="30"/>
  <c r="D23" i="30"/>
  <c r="AF23" i="30"/>
  <c r="X23" i="30"/>
  <c r="P23" i="30"/>
  <c r="AT23" i="30"/>
  <c r="F23" i="30"/>
  <c r="Z23" i="30"/>
  <c r="B23" i="30"/>
  <c r="AH23" i="30"/>
  <c r="AN23" i="30"/>
  <c r="R23" i="30"/>
  <c r="AR5" i="14" a="1"/>
  <c r="AR5" i="14" s="1"/>
  <c r="AQ5" i="14" s="1"/>
  <c r="AR48" i="14" a="1"/>
  <c r="AR48" i="14" s="1"/>
  <c r="AQ48" i="14" s="1"/>
  <c r="AR55" i="14" a="1"/>
  <c r="AR55" i="14" s="1"/>
  <c r="AR59" i="14" a="1"/>
  <c r="AR59" i="14" s="1"/>
  <c r="AR63" i="14" a="1"/>
  <c r="AR63" i="14" s="1"/>
  <c r="M5" i="25" a="1"/>
  <c r="M5" i="25" s="1"/>
  <c r="AR82" i="14" a="1"/>
  <c r="AR82" i="14" s="1"/>
  <c r="AR52" i="14" a="1"/>
  <c r="AR52" i="14" s="1"/>
  <c r="AR54" i="14" a="1"/>
  <c r="AR54" i="14" s="1"/>
  <c r="AR57" i="14" a="1"/>
  <c r="AR57" i="14" s="1"/>
  <c r="AR61" i="14" a="1"/>
  <c r="AR61" i="14" s="1"/>
  <c r="AR65" i="14" a="1"/>
  <c r="AR65" i="14" s="1"/>
  <c r="AR69" i="14" a="1"/>
  <c r="AR69" i="14" s="1"/>
  <c r="AR74" i="14" a="1"/>
  <c r="AR74" i="14" s="1"/>
  <c r="AR46" i="14" a="1"/>
  <c r="AR46" i="14" s="1"/>
  <c r="AR43" i="14" a="1"/>
  <c r="AR43" i="14" s="1"/>
  <c r="AR44" i="14" a="1"/>
  <c r="AR44" i="14" s="1"/>
  <c r="AR53" i="14" a="1"/>
  <c r="AR53" i="14" s="1"/>
  <c r="AR56" i="14" a="1"/>
  <c r="AR56" i="14" s="1"/>
  <c r="AR60" i="14" a="1"/>
  <c r="AR60" i="14" s="1"/>
  <c r="AR64" i="14" a="1"/>
  <c r="AR64" i="14" s="1"/>
  <c r="AR66" i="14" a="1"/>
  <c r="AR66" i="14" s="1"/>
  <c r="AR68" i="14" a="1"/>
  <c r="AR68" i="14" s="1"/>
  <c r="AR70" i="14" a="1"/>
  <c r="AR70" i="14" s="1"/>
  <c r="AR73" i="14" a="1"/>
  <c r="AR73" i="14" s="1"/>
  <c r="AR75" i="14" a="1"/>
  <c r="AR75" i="14" s="1"/>
  <c r="AR45" i="14" a="1"/>
  <c r="AR45" i="14" s="1"/>
  <c r="AR47" i="14" a="1"/>
  <c r="AR47" i="14" s="1"/>
  <c r="AR51" i="14" a="1"/>
  <c r="AR51" i="14" s="1"/>
  <c r="M41" i="25" a="1"/>
  <c r="M41" i="25" s="1"/>
  <c r="M38" i="25" a="1"/>
  <c r="M38" i="25" s="1"/>
  <c r="M33" i="25" a="1"/>
  <c r="M33" i="25" s="1"/>
  <c r="AR67" i="14" a="1"/>
  <c r="AR67" i="14" s="1"/>
  <c r="AR71" i="14" a="1"/>
  <c r="AR71" i="14" s="1"/>
  <c r="AR72" i="14" a="1"/>
  <c r="AR72" i="14" s="1"/>
  <c r="AR76" i="14" a="1"/>
  <c r="AR76" i="14" s="1"/>
  <c r="AR41" i="14" a="1"/>
  <c r="AR41" i="14" s="1"/>
  <c r="M43" i="25" a="1"/>
  <c r="M43" i="25" s="1"/>
  <c r="M40" i="25" a="1"/>
  <c r="M40" i="25" s="1"/>
  <c r="M35" i="25" a="1"/>
  <c r="M35" i="25" s="1"/>
  <c r="M32" i="25" a="1"/>
  <c r="M32" i="25" s="1"/>
  <c r="M27" i="25" a="1"/>
  <c r="M27" i="25" s="1"/>
  <c r="M24" i="25" a="1"/>
  <c r="M24" i="25" s="1"/>
  <c r="AR58" i="14" a="1"/>
  <c r="AR58" i="14" s="1"/>
  <c r="AR62" i="14" a="1"/>
  <c r="AR62" i="14" s="1"/>
  <c r="L14" i="30"/>
  <c r="N14" i="30" s="1"/>
  <c r="AB8" i="30"/>
  <c r="AD8" i="30" s="1"/>
  <c r="B35" i="30"/>
  <c r="AP27" i="30"/>
  <c r="J27" i="30"/>
  <c r="AJ27" i="30"/>
  <c r="AB27" i="30"/>
  <c r="T27" i="30"/>
  <c r="N27" i="30"/>
  <c r="AR27" i="30"/>
  <c r="H27" i="30"/>
  <c r="L27" i="30"/>
  <c r="AL27" i="30"/>
  <c r="AD27" i="30"/>
  <c r="V27" i="30"/>
  <c r="D27" i="30"/>
  <c r="AF27" i="30"/>
  <c r="X27" i="30"/>
  <c r="P27" i="30"/>
  <c r="B7" i="27"/>
  <c r="Z35" i="30"/>
  <c r="B9" i="30"/>
  <c r="AB9" i="30"/>
  <c r="AD9" i="30" s="1"/>
  <c r="L9" i="30"/>
  <c r="N9" i="30" s="1"/>
  <c r="B13" i="30"/>
  <c r="AB13" i="30"/>
  <c r="AD13" i="30" s="1"/>
  <c r="L13" i="30"/>
  <c r="N13" i="30" s="1"/>
  <c r="B17" i="30"/>
  <c r="AB17" i="30"/>
  <c r="L17" i="30"/>
  <c r="AD17" i="30"/>
  <c r="B21" i="30"/>
  <c r="AB21" i="30"/>
  <c r="L21" i="30"/>
  <c r="AD21" i="30"/>
  <c r="AP31" i="30"/>
  <c r="J31" i="30"/>
  <c r="AJ31" i="30"/>
  <c r="AB31" i="30"/>
  <c r="T31" i="30"/>
  <c r="N31" i="30"/>
  <c r="AR31" i="30"/>
  <c r="H31" i="30"/>
  <c r="L31" i="30"/>
  <c r="AL31" i="30"/>
  <c r="AD31" i="30"/>
  <c r="V31" i="30"/>
  <c r="D31" i="30"/>
  <c r="AF31" i="30"/>
  <c r="X31" i="30"/>
  <c r="P31" i="30"/>
  <c r="N5" i="25" a="1"/>
  <c r="N5" i="25" s="1"/>
  <c r="O5" i="25" s="1" a="1"/>
  <c r="O5" i="25" s="1"/>
  <c r="I5" i="25" a="1"/>
  <c r="I5" i="25" s="1"/>
  <c r="AP35" i="30"/>
  <c r="J35" i="30"/>
  <c r="AJ35" i="30"/>
  <c r="AB35" i="30"/>
  <c r="T35" i="30"/>
  <c r="N35" i="30"/>
  <c r="AR35" i="30"/>
  <c r="H35" i="30"/>
  <c r="L35" i="30"/>
  <c r="AL35" i="30"/>
  <c r="AD35" i="30"/>
  <c r="V35" i="30"/>
  <c r="D35" i="30"/>
  <c r="AF35" i="30"/>
  <c r="X35" i="30"/>
  <c r="P35" i="30"/>
  <c r="AB16" i="30"/>
  <c r="AD16" i="30" s="1"/>
  <c r="AB12" i="30"/>
  <c r="AD12" i="30" s="1"/>
  <c r="B34" i="30"/>
  <c r="B30" i="30"/>
  <c r="B26" i="30"/>
  <c r="B6" i="30"/>
  <c r="P34" i="30"/>
  <c r="P30" i="30"/>
  <c r="P26" i="30"/>
  <c r="X34" i="30"/>
  <c r="X30" i="30"/>
  <c r="X26" i="30"/>
  <c r="AF34" i="30"/>
  <c r="AF30" i="30"/>
  <c r="AF26" i="30"/>
  <c r="V34" i="30"/>
  <c r="V30" i="30"/>
  <c r="V26" i="30"/>
  <c r="AD34" i="30"/>
  <c r="AD30" i="30"/>
  <c r="AD26" i="30"/>
  <c r="AL34" i="30"/>
  <c r="AL30" i="30"/>
  <c r="AL26" i="30"/>
  <c r="D34" i="30"/>
  <c r="D30" i="30"/>
  <c r="D26" i="30"/>
  <c r="Y12" i="28"/>
  <c r="T12" i="28"/>
  <c r="S12" i="28"/>
  <c r="P12" i="28"/>
  <c r="O12" i="28"/>
  <c r="L12" i="28"/>
  <c r="H12" i="28"/>
  <c r="Y13" i="28"/>
  <c r="T13" i="28"/>
  <c r="S13" i="28"/>
  <c r="P13" i="28"/>
  <c r="O13" i="28"/>
  <c r="L13" i="28"/>
  <c r="H13" i="28"/>
  <c r="Y14" i="28"/>
  <c r="T14" i="28"/>
  <c r="S14" i="28"/>
  <c r="P14" i="28"/>
  <c r="O14" i="28"/>
  <c r="L14" i="28"/>
  <c r="H14" i="28"/>
  <c r="Y15" i="28"/>
  <c r="T15" i="28"/>
  <c r="S15" i="28"/>
  <c r="P15" i="28"/>
  <c r="O15" i="28"/>
  <c r="L15" i="28"/>
  <c r="H15" i="28"/>
  <c r="Y16" i="28"/>
  <c r="T16" i="28"/>
  <c r="S16" i="28"/>
  <c r="P16" i="28"/>
  <c r="O16" i="28"/>
  <c r="L16" i="28"/>
  <c r="H16" i="28"/>
  <c r="Y17" i="28"/>
  <c r="T17" i="28"/>
  <c r="S17" i="28"/>
  <c r="P17" i="28"/>
  <c r="O17" i="28"/>
  <c r="L17" i="28"/>
  <c r="H17" i="28"/>
  <c r="Y18" i="28"/>
  <c r="T18" i="28"/>
  <c r="S18" i="28"/>
  <c r="P18" i="28"/>
  <c r="O18" i="28"/>
  <c r="L18" i="28"/>
  <c r="H18" i="28"/>
  <c r="Y19" i="28"/>
  <c r="T19" i="28"/>
  <c r="S19" i="28"/>
  <c r="P19" i="28"/>
  <c r="O19" i="28"/>
  <c r="L19" i="28"/>
  <c r="H19" i="28"/>
  <c r="Y20" i="28"/>
  <c r="T20" i="28"/>
  <c r="S20" i="28"/>
  <c r="P20" i="28"/>
  <c r="O20" i="28"/>
  <c r="L20" i="28"/>
  <c r="H20" i="28"/>
  <c r="Y21" i="28"/>
  <c r="T21" i="28"/>
  <c r="S21" i="28"/>
  <c r="P21" i="28"/>
  <c r="O21" i="28"/>
  <c r="L21" i="28"/>
  <c r="H21" i="28"/>
  <c r="Y22" i="28"/>
  <c r="T22" i="28"/>
  <c r="S22" i="28"/>
  <c r="P22" i="28"/>
  <c r="O22" i="28"/>
  <c r="L22" i="28"/>
  <c r="H22" i="28"/>
  <c r="Y23" i="28"/>
  <c r="T23" i="28"/>
  <c r="S23" i="28"/>
  <c r="P23" i="28"/>
  <c r="O23" i="28"/>
  <c r="L23" i="28"/>
  <c r="H23" i="28"/>
  <c r="Y24" i="28"/>
  <c r="T24" i="28"/>
  <c r="S24" i="28"/>
  <c r="P24" i="28"/>
  <c r="O24" i="28"/>
  <c r="L24" i="28"/>
  <c r="H24" i="28"/>
  <c r="Y25" i="28"/>
  <c r="T25" i="28"/>
  <c r="S25" i="28"/>
  <c r="P25" i="28"/>
  <c r="O25" i="28"/>
  <c r="L25" i="28"/>
  <c r="H25" i="28"/>
  <c r="Y26" i="28"/>
  <c r="T26" i="28"/>
  <c r="S26" i="28"/>
  <c r="P26" i="28"/>
  <c r="O26" i="28"/>
  <c r="L26" i="28"/>
  <c r="H26" i="28"/>
  <c r="Y27" i="28"/>
  <c r="T27" i="28"/>
  <c r="S27" i="28"/>
  <c r="P27" i="28"/>
  <c r="O27" i="28"/>
  <c r="L27" i="28"/>
  <c r="H27" i="28"/>
  <c r="Y28" i="28"/>
  <c r="T28" i="28"/>
  <c r="S28" i="28"/>
  <c r="P28" i="28"/>
  <c r="O28" i="28"/>
  <c r="L28" i="28"/>
  <c r="H28" i="28"/>
  <c r="Y29" i="28"/>
  <c r="T29" i="28"/>
  <c r="S29" i="28"/>
  <c r="P29" i="28"/>
  <c r="O29" i="28"/>
  <c r="L29" i="28"/>
  <c r="H29" i="28"/>
  <c r="Y30" i="28"/>
  <c r="T30" i="28"/>
  <c r="S30" i="28"/>
  <c r="P30" i="28"/>
  <c r="O30" i="28"/>
  <c r="L30" i="28"/>
  <c r="H30" i="28"/>
  <c r="Y31" i="28"/>
  <c r="T31" i="28"/>
  <c r="S31" i="28"/>
  <c r="P31" i="28"/>
  <c r="O31" i="28"/>
  <c r="L31" i="28"/>
  <c r="H31" i="28"/>
  <c r="Y32" i="28"/>
  <c r="T32" i="28"/>
  <c r="S32" i="28"/>
  <c r="P32" i="28"/>
  <c r="O32" i="28"/>
  <c r="L32" i="28"/>
  <c r="H32" i="28"/>
  <c r="Y33" i="28"/>
  <c r="T33" i="28"/>
  <c r="S33" i="28"/>
  <c r="P33" i="28"/>
  <c r="O33" i="28"/>
  <c r="L33" i="28"/>
  <c r="H33" i="28"/>
  <c r="Y34" i="28"/>
  <c r="T34" i="28"/>
  <c r="S34" i="28"/>
  <c r="P34" i="28"/>
  <c r="O34" i="28"/>
  <c r="L34" i="28"/>
  <c r="H34" i="28"/>
  <c r="Y35" i="27"/>
  <c r="T35" i="27"/>
  <c r="S35" i="27"/>
  <c r="P35" i="27"/>
  <c r="O35" i="27"/>
  <c r="L35" i="27"/>
  <c r="H35" i="27"/>
  <c r="Y34" i="27"/>
  <c r="T34" i="27"/>
  <c r="S34" i="27"/>
  <c r="P34" i="27"/>
  <c r="O34" i="27"/>
  <c r="L34" i="27"/>
  <c r="H34" i="27"/>
  <c r="Y33" i="27"/>
  <c r="T33" i="27"/>
  <c r="S33" i="27"/>
  <c r="P33" i="27"/>
  <c r="O33" i="27"/>
  <c r="L33" i="27"/>
  <c r="H33" i="27"/>
  <c r="Y32" i="27"/>
  <c r="T32" i="27"/>
  <c r="S32" i="27"/>
  <c r="P32" i="27"/>
  <c r="O32" i="27"/>
  <c r="L32" i="27"/>
  <c r="H32" i="27"/>
  <c r="Y31" i="27"/>
  <c r="T31" i="27"/>
  <c r="S31" i="27"/>
  <c r="P31" i="27"/>
  <c r="O31" i="27"/>
  <c r="L31" i="27"/>
  <c r="H31" i="27"/>
  <c r="Y30" i="27"/>
  <c r="T30" i="27"/>
  <c r="S30" i="27"/>
  <c r="P30" i="27"/>
  <c r="O30" i="27"/>
  <c r="L30" i="27"/>
  <c r="H30" i="27"/>
  <c r="Y29" i="27"/>
  <c r="T29" i="27"/>
  <c r="S29" i="27"/>
  <c r="P29" i="27"/>
  <c r="O29" i="27"/>
  <c r="L29" i="27"/>
  <c r="H29" i="27"/>
  <c r="Y28" i="27"/>
  <c r="T28" i="27"/>
  <c r="S28" i="27"/>
  <c r="P28" i="27"/>
  <c r="O28" i="27"/>
  <c r="L28" i="27"/>
  <c r="H28" i="27"/>
  <c r="Y27" i="27"/>
  <c r="T27" i="27"/>
  <c r="S27" i="27"/>
  <c r="P27" i="27"/>
  <c r="O27" i="27"/>
  <c r="L27" i="27"/>
  <c r="H27" i="27"/>
  <c r="Y26" i="27"/>
  <c r="T26" i="27"/>
  <c r="S26" i="27"/>
  <c r="P26" i="27"/>
  <c r="O26" i="27"/>
  <c r="L26" i="27"/>
  <c r="H26" i="27"/>
  <c r="Y25" i="27"/>
  <c r="T25" i="27"/>
  <c r="S25" i="27"/>
  <c r="P25" i="27"/>
  <c r="O25" i="27"/>
  <c r="L25" i="27"/>
  <c r="H25" i="27"/>
  <c r="Y24" i="27"/>
  <c r="T24" i="27"/>
  <c r="S24" i="27"/>
  <c r="P24" i="27"/>
  <c r="O24" i="27"/>
  <c r="L24" i="27"/>
  <c r="H24" i="27"/>
  <c r="Y23" i="27"/>
  <c r="T23" i="27"/>
  <c r="S23" i="27"/>
  <c r="P23" i="27"/>
  <c r="O23" i="27"/>
  <c r="L23" i="27"/>
  <c r="H23" i="27"/>
  <c r="Y22" i="27"/>
  <c r="T22" i="27"/>
  <c r="S22" i="27"/>
  <c r="P22" i="27"/>
  <c r="O22" i="27"/>
  <c r="L22" i="27"/>
  <c r="H22" i="27"/>
  <c r="Y21" i="27"/>
  <c r="T21" i="27"/>
  <c r="S21" i="27"/>
  <c r="P21" i="27"/>
  <c r="O21" i="27"/>
  <c r="L21" i="27"/>
  <c r="H21" i="27"/>
  <c r="Y20" i="27"/>
  <c r="T20" i="27"/>
  <c r="S20" i="27"/>
  <c r="P20" i="27"/>
  <c r="O20" i="27"/>
  <c r="L20" i="27"/>
  <c r="H20" i="27"/>
  <c r="Y19" i="27"/>
  <c r="T19" i="27"/>
  <c r="S19" i="27"/>
  <c r="P19" i="27"/>
  <c r="O19" i="27"/>
  <c r="L19" i="27"/>
  <c r="H19" i="27"/>
  <c r="Y18" i="27"/>
  <c r="T18" i="27"/>
  <c r="S18" i="27"/>
  <c r="P18" i="27"/>
  <c r="O18" i="27"/>
  <c r="L18" i="27"/>
  <c r="H18" i="27"/>
  <c r="Y17" i="27"/>
  <c r="T17" i="27"/>
  <c r="S17" i="27"/>
  <c r="P17" i="27"/>
  <c r="O17" i="27"/>
  <c r="L17" i="27"/>
  <c r="H17" i="27"/>
  <c r="AO77" i="14" a="1"/>
  <c r="AO77" i="14" s="1"/>
  <c r="AO49" i="14" a="1"/>
  <c r="AO49" i="14" s="1"/>
  <c r="AD49" i="14" s="1" a="1"/>
  <c r="AD49" i="14" s="1"/>
  <c r="AO82" i="14" a="1"/>
  <c r="AO82" i="14" s="1"/>
  <c r="AQ5" i="25"/>
  <c r="AQ6" i="25"/>
  <c r="AQ7" i="25"/>
  <c r="AQ8" i="25"/>
  <c r="AQ9" i="25"/>
  <c r="AQ10" i="25"/>
  <c r="AQ11" i="25"/>
  <c r="AQ12" i="25"/>
  <c r="AQ13" i="25"/>
  <c r="AQ14" i="25"/>
  <c r="AQ15" i="25"/>
  <c r="AQ17" i="25"/>
  <c r="AQ18" i="25"/>
  <c r="AQ19" i="25"/>
  <c r="AQ20" i="25"/>
  <c r="AQ21" i="25"/>
  <c r="AQ22" i="25"/>
  <c r="AQ23" i="25"/>
  <c r="AQ24" i="25"/>
  <c r="AQ25" i="25"/>
  <c r="AQ26" i="25"/>
  <c r="AQ27" i="25"/>
  <c r="AQ28" i="25"/>
  <c r="AQ29" i="25"/>
  <c r="AQ30" i="25"/>
  <c r="AQ31" i="25"/>
  <c r="AQ32" i="25"/>
  <c r="AQ33" i="25"/>
  <c r="AQ34" i="25"/>
  <c r="AQ35" i="25"/>
  <c r="AQ36" i="25"/>
  <c r="AQ37" i="25"/>
  <c r="AQ38" i="25"/>
  <c r="AQ39" i="25"/>
  <c r="AQ40" i="25"/>
  <c r="AQ41" i="25"/>
  <c r="AQ42" i="25"/>
  <c r="V13" i="27" s="1" a="1"/>
  <c r="V13" i="27" s="1"/>
  <c r="AQ44" i="25"/>
  <c r="AP21" i="25"/>
  <c r="AP22" i="25"/>
  <c r="AP33" i="25"/>
  <c r="AP44" i="25"/>
  <c r="AU5" i="14" a="1"/>
  <c r="AU5" i="14" s="1"/>
  <c r="AT5" i="14" s="1" a="1"/>
  <c r="AT5" i="14" s="1"/>
  <c r="AU6" i="14" a="1"/>
  <c r="AU6" i="14" s="1"/>
  <c r="AT6" i="14" s="1" a="1"/>
  <c r="AT6" i="14" s="1"/>
  <c r="AU7" i="14" a="1"/>
  <c r="AU7" i="14" s="1"/>
  <c r="AT7" i="14" s="1" a="1"/>
  <c r="AT7" i="14" s="1"/>
  <c r="AU8" i="14" a="1"/>
  <c r="AU8" i="14" s="1"/>
  <c r="AT8" i="14" s="1" a="1"/>
  <c r="AT8" i="14" s="1"/>
  <c r="AU9" i="14" a="1"/>
  <c r="AU9" i="14" s="1"/>
  <c r="AT9" i="14" s="1" a="1"/>
  <c r="AT9" i="14" s="1"/>
  <c r="AU10" i="14" a="1"/>
  <c r="AU10" i="14" s="1"/>
  <c r="AT10" i="14" s="1" a="1"/>
  <c r="AT10" i="14" s="1"/>
  <c r="AU11" i="14" a="1"/>
  <c r="AU11" i="14" s="1"/>
  <c r="AT11" i="14" s="1" a="1"/>
  <c r="AT11" i="14" s="1"/>
  <c r="AU12" i="14" a="1"/>
  <c r="AU12" i="14" s="1"/>
  <c r="AU13" i="14" a="1"/>
  <c r="AU13" i="14" s="1"/>
  <c r="AT13" i="14" s="1" a="1"/>
  <c r="AT13" i="14" s="1"/>
  <c r="AU14" i="14" a="1"/>
  <c r="AU14" i="14" s="1"/>
  <c r="AT14" i="14" s="1" a="1"/>
  <c r="AT14" i="14" s="1"/>
  <c r="AU15" i="14" a="1"/>
  <c r="AU15" i="14" s="1"/>
  <c r="AT15" i="14" s="1" a="1"/>
  <c r="AT15" i="14" s="1"/>
  <c r="AU16" i="14" a="1"/>
  <c r="AU16" i="14" s="1"/>
  <c r="AT16" i="14" s="1" a="1"/>
  <c r="AT16" i="14" s="1"/>
  <c r="AU17" i="14" a="1"/>
  <c r="AU17" i="14" s="1"/>
  <c r="AT17" i="14" s="1" a="1"/>
  <c r="AT17" i="14" s="1"/>
  <c r="AU18" i="14" a="1"/>
  <c r="AU18" i="14" s="1"/>
  <c r="AT18" i="14" s="1" a="1"/>
  <c r="AT18" i="14" s="1"/>
  <c r="AU19" i="14" a="1"/>
  <c r="AU19" i="14" s="1"/>
  <c r="AT19" i="14" s="1" a="1"/>
  <c r="AT19" i="14" s="1"/>
  <c r="AU20" i="14" a="1"/>
  <c r="AU20" i="14" s="1"/>
  <c r="AT20" i="14" s="1" a="1"/>
  <c r="AT20" i="14" s="1"/>
  <c r="AU21" i="14" a="1"/>
  <c r="AU21" i="14" s="1"/>
  <c r="AT21" i="14" s="1" a="1"/>
  <c r="AT21" i="14" s="1"/>
  <c r="AU22" i="14" a="1"/>
  <c r="AU22" i="14" s="1"/>
  <c r="AT22" i="14" s="1" a="1"/>
  <c r="AT22" i="14" s="1"/>
  <c r="AU23" i="14" a="1"/>
  <c r="AU23" i="14" s="1"/>
  <c r="AT23" i="14" s="1" a="1"/>
  <c r="AT23" i="14" s="1"/>
  <c r="AU24" i="14" a="1"/>
  <c r="AU24" i="14" s="1"/>
  <c r="AU25" i="14" a="1"/>
  <c r="AU25" i="14" s="1"/>
  <c r="AT25" i="14" s="1" a="1"/>
  <c r="AT25" i="14" s="1"/>
  <c r="AU26" i="14" a="1"/>
  <c r="AU26" i="14" s="1"/>
  <c r="AT26" i="14" s="1" a="1"/>
  <c r="AT26" i="14" s="1"/>
  <c r="AU27" i="14" a="1"/>
  <c r="AU27" i="14" s="1"/>
  <c r="AT27" i="14" s="1" a="1"/>
  <c r="AT27" i="14" s="1"/>
  <c r="AU28" i="14" a="1"/>
  <c r="AU28" i="14" s="1"/>
  <c r="AT28" i="14" s="1" a="1"/>
  <c r="AT28" i="14" s="1"/>
  <c r="AU29" i="14" a="1"/>
  <c r="AU29" i="14" s="1"/>
  <c r="AT29" i="14" s="1" a="1"/>
  <c r="AT29" i="14" s="1"/>
  <c r="AU30" i="14" a="1"/>
  <c r="AU30" i="14" s="1"/>
  <c r="AT30" i="14" s="1" a="1"/>
  <c r="AT30" i="14" s="1"/>
  <c r="AU31" i="14" a="1"/>
  <c r="AU31" i="14" s="1"/>
  <c r="AT31" i="14" s="1" a="1"/>
  <c r="AT31" i="14" s="1"/>
  <c r="AU32" i="14" a="1"/>
  <c r="AU32" i="14" s="1"/>
  <c r="AT32" i="14" s="1" a="1"/>
  <c r="AT32" i="14" s="1"/>
  <c r="AU33" i="14" a="1"/>
  <c r="AU33" i="14" s="1"/>
  <c r="AT33" i="14" s="1" a="1"/>
  <c r="AT33" i="14" s="1"/>
  <c r="AU34" i="14" a="1"/>
  <c r="AU34" i="14" s="1"/>
  <c r="AT34" i="14" s="1" a="1"/>
  <c r="AT34" i="14" s="1"/>
  <c r="AU35" i="14" a="1"/>
  <c r="AU35" i="14" s="1"/>
  <c r="AT35" i="14" s="1" a="1"/>
  <c r="AT35" i="14" s="1"/>
  <c r="AU36" i="14" a="1"/>
  <c r="AU36" i="14" s="1"/>
  <c r="AT36" i="14" s="1" a="1"/>
  <c r="AT36" i="14" s="1"/>
  <c r="AU37" i="14" a="1"/>
  <c r="AU37" i="14" s="1"/>
  <c r="AT37" i="14" s="1" a="1"/>
  <c r="AT37" i="14" s="1"/>
  <c r="AU38" i="14" a="1"/>
  <c r="AU38" i="14" s="1"/>
  <c r="AT38" i="14" s="1" a="1"/>
  <c r="AT38" i="14" s="1"/>
  <c r="AU39" i="14" a="1"/>
  <c r="AU39" i="14" s="1"/>
  <c r="AT39" i="14" s="1" a="1"/>
  <c r="AT39" i="14" s="1"/>
  <c r="AU40" i="14" a="1"/>
  <c r="AU40" i="14" s="1"/>
  <c r="AT40" i="14" s="1" a="1"/>
  <c r="AT40" i="14" s="1"/>
  <c r="AU77" i="14" a="1"/>
  <c r="AU77" i="14" s="1"/>
  <c r="AU49" i="14" a="1"/>
  <c r="AU49" i="14" s="1"/>
  <c r="AU82" i="14" a="1"/>
  <c r="AU82" i="14" s="1"/>
  <c r="AI5" i="25"/>
  <c r="AI6" i="25"/>
  <c r="AI7" i="25"/>
  <c r="AI8" i="25"/>
  <c r="AI9" i="25"/>
  <c r="AI10" i="25"/>
  <c r="AI11" i="25"/>
  <c r="AI12" i="25"/>
  <c r="AI13" i="25"/>
  <c r="AI14" i="25"/>
  <c r="AI15" i="25"/>
  <c r="AI17" i="25"/>
  <c r="AI18" i="25"/>
  <c r="AI19" i="25"/>
  <c r="AI20" i="25"/>
  <c r="AI21" i="25"/>
  <c r="AI22" i="25"/>
  <c r="AI23" i="25"/>
  <c r="AI24" i="25"/>
  <c r="AI25" i="25"/>
  <c r="AI26" i="25"/>
  <c r="AI27" i="25"/>
  <c r="AI28" i="25"/>
  <c r="AI29" i="25"/>
  <c r="AI30" i="25"/>
  <c r="AI31" i="25"/>
  <c r="AI32" i="25"/>
  <c r="AI33" i="25"/>
  <c r="AI34" i="25"/>
  <c r="AI35" i="25"/>
  <c r="AI36" i="25"/>
  <c r="AI37" i="25"/>
  <c r="AI38" i="25"/>
  <c r="AI39" i="25"/>
  <c r="AI40" i="25"/>
  <c r="AI41" i="25"/>
  <c r="AI42" i="25"/>
  <c r="N13" i="27" s="1" a="1"/>
  <c r="N13" i="27" s="1"/>
  <c r="AI44" i="25"/>
  <c r="AH21" i="25"/>
  <c r="AH22" i="25"/>
  <c r="AH33" i="25"/>
  <c r="AH44" i="25"/>
  <c r="AB21" i="25"/>
  <c r="AB22" i="25"/>
  <c r="AB33" i="25"/>
  <c r="AB44" i="25"/>
  <c r="AA5" i="25"/>
  <c r="AA6" i="25"/>
  <c r="AA7" i="25"/>
  <c r="AA8" i="25"/>
  <c r="AA9" i="25"/>
  <c r="AA10" i="25"/>
  <c r="AA11" i="25"/>
  <c r="AA12" i="25"/>
  <c r="AA13" i="25"/>
  <c r="AA14" i="25"/>
  <c r="AA15" i="25"/>
  <c r="AA17" i="25"/>
  <c r="AA18" i="25"/>
  <c r="AA19" i="25"/>
  <c r="AA20" i="25"/>
  <c r="AA21" i="25"/>
  <c r="AA22" i="25"/>
  <c r="AA23" i="25"/>
  <c r="AA24" i="25"/>
  <c r="AA25" i="25"/>
  <c r="AA26" i="25"/>
  <c r="AA27" i="25"/>
  <c r="AA28" i="25"/>
  <c r="AA29" i="25"/>
  <c r="AA30" i="25"/>
  <c r="AA31" i="25"/>
  <c r="AA32" i="25"/>
  <c r="AA33" i="25"/>
  <c r="AA34" i="25"/>
  <c r="AA35" i="25"/>
  <c r="AA36" i="25"/>
  <c r="AA37" i="25"/>
  <c r="AA38" i="25"/>
  <c r="AA39" i="25"/>
  <c r="AA40" i="25"/>
  <c r="AA41" i="25"/>
  <c r="AA42" i="25"/>
  <c r="F13" i="27" s="1" a="1"/>
  <c r="F13" i="27" s="1"/>
  <c r="AA44" i="25"/>
  <c r="Z21" i="25"/>
  <c r="Z22" i="25"/>
  <c r="Z33" i="25"/>
  <c r="Z44" i="25"/>
  <c r="Y5" i="25"/>
  <c r="Y6" i="25"/>
  <c r="Y7" i="25"/>
  <c r="Y8" i="25"/>
  <c r="Y9" i="25"/>
  <c r="Y10" i="25"/>
  <c r="Y11" i="25"/>
  <c r="Y12" i="25"/>
  <c r="Y13" i="25"/>
  <c r="Y14" i="25"/>
  <c r="Y15" i="25"/>
  <c r="Y16" i="25"/>
  <c r="Y17" i="25"/>
  <c r="Y18" i="25"/>
  <c r="Y19" i="25"/>
  <c r="Y20" i="25"/>
  <c r="Y21" i="25"/>
  <c r="Y22" i="25"/>
  <c r="Y23" i="25"/>
  <c r="Y24" i="25"/>
  <c r="Y25" i="25"/>
  <c r="Y26" i="25"/>
  <c r="Y27" i="25"/>
  <c r="Y28" i="25"/>
  <c r="Y29" i="25"/>
  <c r="Y30" i="25"/>
  <c r="Y31" i="25"/>
  <c r="Y32" i="25"/>
  <c r="Y33" i="25"/>
  <c r="Y34" i="25"/>
  <c r="Y35" i="25"/>
  <c r="Y36" i="25"/>
  <c r="Y37" i="25"/>
  <c r="Y38" i="25"/>
  <c r="Y39" i="25"/>
  <c r="Y40" i="25"/>
  <c r="Y41" i="25"/>
  <c r="Y42" i="25"/>
  <c r="D13" i="27" s="1" a="1"/>
  <c r="D13" i="27" s="1"/>
  <c r="Y43" i="25"/>
  <c r="Y44" i="25"/>
  <c r="AD6" i="30" l="1"/>
  <c r="AD3" i="30" s="1" a="1"/>
  <c r="AD3" i="30" s="1"/>
  <c r="AB3" i="30" a="1"/>
  <c r="AB3" i="30" s="1"/>
  <c r="N6" i="30"/>
  <c r="N3" i="30" s="1" a="1"/>
  <c r="N3" i="30" s="1"/>
  <c r="L3" i="30" a="1"/>
  <c r="L3" i="30" s="1"/>
  <c r="V6" i="28" a="1"/>
  <c r="V6" i="28" s="1"/>
  <c r="D6" i="27" a="1"/>
  <c r="D6" i="27" s="1"/>
  <c r="Y2" i="25" a="1"/>
  <c r="Y2" i="25" s="1"/>
  <c r="N6" i="27" a="1"/>
  <c r="N6" i="27" s="1"/>
  <c r="F6" i="28" a="1"/>
  <c r="F6" i="28" s="1"/>
  <c r="P67" i="14"/>
  <c r="Q67" i="14" s="1"/>
  <c r="R67" i="14" s="1"/>
  <c r="P71" i="14"/>
  <c r="Q71" i="14" s="1"/>
  <c r="R71" i="14" s="1"/>
  <c r="P55" i="14"/>
  <c r="Q55" i="14" s="1"/>
  <c r="AQ55" i="14" s="1"/>
  <c r="AT9" i="25" s="1"/>
  <c r="P59" i="14"/>
  <c r="P82" i="14"/>
  <c r="Q82" i="14" s="1"/>
  <c r="R82" i="14" s="1"/>
  <c r="P53" i="14"/>
  <c r="Q53" i="14" s="1"/>
  <c r="P44" i="14"/>
  <c r="Q44" i="14" s="1"/>
  <c r="R44" i="14" s="1"/>
  <c r="P69" i="14"/>
  <c r="Q69" i="14" s="1"/>
  <c r="R69" i="14" s="1"/>
  <c r="P42" i="14"/>
  <c r="Q42" i="14" s="1"/>
  <c r="AQ42" i="14" s="1"/>
  <c r="AT38" i="25" s="1"/>
  <c r="P63" i="14"/>
  <c r="Q63" i="14" s="1"/>
  <c r="AQ63" i="14" s="1"/>
  <c r="AT17" i="25" s="1"/>
  <c r="P45" i="14"/>
  <c r="Q45" i="14" s="1"/>
  <c r="P26" i="25" a="1"/>
  <c r="P26" i="25" s="1"/>
  <c r="S26" i="25" s="1"/>
  <c r="P38" i="25" a="1"/>
  <c r="P38" i="25" s="1"/>
  <c r="S38" i="25" s="1"/>
  <c r="P57" i="14"/>
  <c r="Q57" i="14" s="1"/>
  <c r="R57" i="14" s="1"/>
  <c r="V14" i="27" a="1"/>
  <c r="V14" i="27" s="1"/>
  <c r="P75" i="14"/>
  <c r="Q75" i="14" s="1"/>
  <c r="AQ75" i="14" s="1"/>
  <c r="AT31" i="25" s="1"/>
  <c r="P35" i="25" a="1"/>
  <c r="P35" i="25" s="1"/>
  <c r="S35" i="25" s="1"/>
  <c r="P28" i="25" a="1"/>
  <c r="P28" i="25" s="1"/>
  <c r="S28" i="25" s="1"/>
  <c r="G16" i="25" a="1"/>
  <c r="G16" i="25" s="1"/>
  <c r="P16" i="25" a="1"/>
  <c r="P16" i="25" s="1"/>
  <c r="G36" i="25" a="1"/>
  <c r="G36" i="25" s="1"/>
  <c r="P36" i="25" a="1"/>
  <c r="P36" i="25" s="1"/>
  <c r="S36" i="25" s="1"/>
  <c r="G19" i="25" a="1"/>
  <c r="G19" i="25" s="1"/>
  <c r="P19" i="25" a="1"/>
  <c r="P19" i="25" s="1"/>
  <c r="S19" i="25" s="1"/>
  <c r="P50" i="14"/>
  <c r="Q50" i="14" s="1"/>
  <c r="R50" i="14" s="1"/>
  <c r="P39" i="25" a="1"/>
  <c r="P39" i="25" s="1"/>
  <c r="S39" i="25" s="1"/>
  <c r="P22" i="25" a="1"/>
  <c r="P22" i="25" s="1"/>
  <c r="S22" i="25" s="1"/>
  <c r="G21" i="25" a="1"/>
  <c r="G21" i="25" s="1"/>
  <c r="P21" i="25" a="1"/>
  <c r="P21" i="25" s="1"/>
  <c r="S21" i="25" s="1"/>
  <c r="G7" i="25" a="1"/>
  <c r="G7" i="25" s="1"/>
  <c r="P7" i="25" a="1"/>
  <c r="P7" i="25" s="1"/>
  <c r="S7" i="25" s="1"/>
  <c r="P40" i="25" a="1"/>
  <c r="P40" i="25" s="1"/>
  <c r="S40" i="25" s="1"/>
  <c r="P42" i="25" a="1"/>
  <c r="P42" i="25" s="1"/>
  <c r="S42" i="25" s="1"/>
  <c r="G9" i="25" a="1"/>
  <c r="G9" i="25" s="1"/>
  <c r="P9" i="25" a="1"/>
  <c r="P9" i="25" s="1"/>
  <c r="S9" i="25" s="1"/>
  <c r="G37" i="25" a="1"/>
  <c r="G37" i="25" s="1"/>
  <c r="P37" i="25" a="1"/>
  <c r="P37" i="25" s="1"/>
  <c r="S37" i="25" s="1"/>
  <c r="P41" i="25" a="1"/>
  <c r="P41" i="25" s="1"/>
  <c r="S41" i="25" s="1"/>
  <c r="P29" i="25" a="1"/>
  <c r="P29" i="25" s="1"/>
  <c r="S29" i="25" s="1"/>
  <c r="P18" i="25" a="1"/>
  <c r="P18" i="25" s="1"/>
  <c r="S18" i="25" s="1"/>
  <c r="G13" i="25" a="1"/>
  <c r="G13" i="25" s="1"/>
  <c r="P13" i="25" a="1"/>
  <c r="P13" i="25" s="1"/>
  <c r="S13" i="25" s="1"/>
  <c r="G15" i="25" a="1"/>
  <c r="G15" i="25" s="1"/>
  <c r="P15" i="25" a="1"/>
  <c r="P15" i="25" s="1"/>
  <c r="S15" i="25" s="1"/>
  <c r="G8" i="25" a="1"/>
  <c r="G8" i="25" s="1"/>
  <c r="P8" i="25" a="1"/>
  <c r="P8" i="25" s="1"/>
  <c r="S8" i="25" s="1"/>
  <c r="G12" i="25" a="1"/>
  <c r="G12" i="25" s="1"/>
  <c r="P12" i="25" a="1"/>
  <c r="P12" i="25" s="1"/>
  <c r="S12" i="25" s="1"/>
  <c r="G17" i="25" a="1"/>
  <c r="G17" i="25" s="1"/>
  <c r="P17" i="25" a="1"/>
  <c r="P17" i="25" s="1"/>
  <c r="S17" i="25" s="1"/>
  <c r="G30" i="25" a="1"/>
  <c r="G30" i="25" s="1"/>
  <c r="P30" i="25" a="1"/>
  <c r="P30" i="25" s="1"/>
  <c r="P23" i="25" a="1"/>
  <c r="P23" i="25" s="1"/>
  <c r="S23" i="25" s="1"/>
  <c r="P14" i="25" a="1"/>
  <c r="P14" i="25" s="1"/>
  <c r="S14" i="25" s="1"/>
  <c r="P27" i="25" a="1"/>
  <c r="P27" i="25" s="1"/>
  <c r="S27" i="25" s="1"/>
  <c r="P44" i="25" a="1"/>
  <c r="P44" i="25" s="1"/>
  <c r="S44" i="25" s="1"/>
  <c r="G20" i="25" a="1"/>
  <c r="G20" i="25" s="1"/>
  <c r="P20" i="25" a="1"/>
  <c r="P20" i="25" s="1"/>
  <c r="S20" i="25" s="1"/>
  <c r="G33" i="25" a="1"/>
  <c r="G33" i="25" s="1"/>
  <c r="P33" i="25" a="1"/>
  <c r="P33" i="25" s="1"/>
  <c r="S33" i="25" s="1"/>
  <c r="N14" i="27" a="1"/>
  <c r="N14" i="27" s="1"/>
  <c r="G31" i="25" a="1"/>
  <c r="G31" i="25" s="1"/>
  <c r="P31" i="25" a="1"/>
  <c r="P31" i="25" s="1"/>
  <c r="S31" i="25" s="1"/>
  <c r="P65" i="14"/>
  <c r="Q65" i="14" s="1"/>
  <c r="R65" i="14" s="1"/>
  <c r="P24" i="25" a="1"/>
  <c r="P24" i="25" s="1"/>
  <c r="S24" i="25" s="1"/>
  <c r="P10" i="25" a="1"/>
  <c r="P10" i="25" s="1"/>
  <c r="S10" i="25" s="1"/>
  <c r="G43" i="25" a="1"/>
  <c r="G43" i="25" s="1"/>
  <c r="P43" i="25" a="1"/>
  <c r="P43" i="25" s="1"/>
  <c r="S43" i="25" s="1"/>
  <c r="G11" i="25" a="1"/>
  <c r="G11" i="25" s="1"/>
  <c r="P11" i="25" a="1"/>
  <c r="P11" i="25" s="1"/>
  <c r="S11" i="25" s="1"/>
  <c r="P34" i="25" a="1"/>
  <c r="P34" i="25" s="1"/>
  <c r="S34" i="25" s="1"/>
  <c r="P32" i="25" a="1"/>
  <c r="P32" i="25" s="1"/>
  <c r="S32" i="25" s="1"/>
  <c r="P25" i="25" a="1"/>
  <c r="P25" i="25" s="1"/>
  <c r="S25" i="25" s="1"/>
  <c r="P6" i="25" a="1"/>
  <c r="P6" i="25" s="1"/>
  <c r="S6" i="25" s="1"/>
  <c r="G35" i="25" a="1"/>
  <c r="G35" i="25" s="1"/>
  <c r="G28" i="25" a="1"/>
  <c r="G28" i="25" s="1"/>
  <c r="N10" i="28" a="1"/>
  <c r="N10" i="28" s="1"/>
  <c r="P61" i="14"/>
  <c r="Q61" i="14" s="1"/>
  <c r="AQ61" i="14" s="1"/>
  <c r="AT15" i="25" s="1"/>
  <c r="D10" i="28" a="1"/>
  <c r="D10" i="28" s="1"/>
  <c r="N9" i="27" a="1"/>
  <c r="N9" i="27" s="1"/>
  <c r="G34" i="25" a="1"/>
  <c r="G34" i="25" s="1"/>
  <c r="G32" i="25" a="1"/>
  <c r="G32" i="25" s="1"/>
  <c r="G25" i="25" a="1"/>
  <c r="G25" i="25" s="1"/>
  <c r="G6" i="25" a="1"/>
  <c r="G6" i="25" s="1"/>
  <c r="V9" i="27" a="1"/>
  <c r="V9" i="27" s="1"/>
  <c r="D7" i="28" a="1"/>
  <c r="D7" i="28" s="1"/>
  <c r="G38" i="25" a="1"/>
  <c r="G38" i="25" s="1"/>
  <c r="P47" i="14"/>
  <c r="Q47" i="14" s="1"/>
  <c r="AQ47" i="14" s="1"/>
  <c r="AT36" i="25" s="1"/>
  <c r="F6" i="27" a="1"/>
  <c r="F6" i="27" s="1"/>
  <c r="D8" i="28" a="1"/>
  <c r="D8" i="28" s="1"/>
  <c r="F9" i="28" a="1"/>
  <c r="F9" i="28" s="1"/>
  <c r="N12" i="27" a="1"/>
  <c r="N12" i="27" s="1"/>
  <c r="D11" i="28" a="1"/>
  <c r="D11" i="28" s="1"/>
  <c r="V8" i="28" a="1"/>
  <c r="V8" i="28" s="1"/>
  <c r="P77" i="14"/>
  <c r="Q77" i="14" s="1"/>
  <c r="R77" i="14" s="1"/>
  <c r="G39" i="25" a="1"/>
  <c r="G39" i="25" s="1"/>
  <c r="G22" i="25" a="1"/>
  <c r="G22" i="25" s="1"/>
  <c r="D15" i="27" a="1"/>
  <c r="D15" i="27" s="1"/>
  <c r="F12" i="27" a="1"/>
  <c r="F12" i="27" s="1"/>
  <c r="G26" i="25" a="1"/>
  <c r="G26" i="25" s="1"/>
  <c r="G40" i="25" a="1"/>
  <c r="G40" i="25" s="1"/>
  <c r="G42" i="25" a="1"/>
  <c r="G42" i="25" s="1"/>
  <c r="D16" i="27" a="1"/>
  <c r="D16" i="27" s="1"/>
  <c r="F9" i="27" a="1"/>
  <c r="F9" i="27" s="1"/>
  <c r="G41" i="25" a="1"/>
  <c r="G41" i="25" s="1"/>
  <c r="G29" i="25" a="1"/>
  <c r="G29" i="25" s="1"/>
  <c r="G18" i="25" a="1"/>
  <c r="G18" i="25" s="1"/>
  <c r="D9" i="28" a="1"/>
  <c r="D9" i="28" s="1"/>
  <c r="V15" i="27" a="1"/>
  <c r="V15" i="27" s="1"/>
  <c r="D9" i="27" a="1"/>
  <c r="D9" i="27" s="1"/>
  <c r="F10" i="28" a="1"/>
  <c r="F10" i="28" s="1"/>
  <c r="G23" i="25" a="1"/>
  <c r="G23" i="25" s="1"/>
  <c r="P73" i="14"/>
  <c r="Q73" i="14" s="1"/>
  <c r="R73" i="14" s="1"/>
  <c r="G14" i="25" a="1"/>
  <c r="G14" i="25" s="1"/>
  <c r="G27" i="25" a="1"/>
  <c r="G27" i="25" s="1"/>
  <c r="G44" i="25" a="1"/>
  <c r="G44" i="25" s="1"/>
  <c r="G24" i="25" a="1"/>
  <c r="G24" i="25" s="1"/>
  <c r="G10" i="25" a="1"/>
  <c r="G10" i="25" s="1"/>
  <c r="X25" i="25"/>
  <c r="AD25" i="25" s="1" a="1"/>
  <c r="AD25" i="25" s="1"/>
  <c r="X43" i="25"/>
  <c r="AD43" i="25" s="1" a="1"/>
  <c r="AD43" i="25" s="1"/>
  <c r="G5" i="25" a="1"/>
  <c r="G5" i="25" s="1"/>
  <c r="P5" i="25" a="1"/>
  <c r="P5" i="25" s="1"/>
  <c r="S5" i="25" s="1"/>
  <c r="P23" i="14"/>
  <c r="Q23" i="14" s="1"/>
  <c r="R23" i="14" s="1"/>
  <c r="V6" i="25"/>
  <c r="T6" i="25" s="1"/>
  <c r="X32" i="25"/>
  <c r="AD32" i="25" s="1" a="1"/>
  <c r="AD32" i="25" s="1"/>
  <c r="X13" i="25"/>
  <c r="AD13" i="25" s="1" a="1"/>
  <c r="AD13" i="25" s="1"/>
  <c r="X39" i="25"/>
  <c r="AD39" i="25" s="1" a="1"/>
  <c r="AD39" i="25" s="1"/>
  <c r="X14" i="25"/>
  <c r="AD14" i="25" s="1" a="1"/>
  <c r="AD14" i="25" s="1"/>
  <c r="X37" i="25"/>
  <c r="AD37" i="25" s="1" a="1"/>
  <c r="AD37" i="25" s="1"/>
  <c r="D14" i="27" a="1"/>
  <c r="D14" i="27" s="1"/>
  <c r="F14" i="27" a="1"/>
  <c r="F14" i="27" s="1"/>
  <c r="N15" i="27" a="1"/>
  <c r="N15" i="27" s="1"/>
  <c r="V12" i="27" a="1"/>
  <c r="V12" i="27" s="1"/>
  <c r="D6" i="28" a="1"/>
  <c r="D6" i="28" s="1"/>
  <c r="S16" i="25"/>
  <c r="X38" i="25"/>
  <c r="AD38" i="25" s="1" a="1"/>
  <c r="AD38" i="25" s="1"/>
  <c r="X11" i="25"/>
  <c r="AD11" i="25" s="1" a="1"/>
  <c r="AD11" i="25" s="1"/>
  <c r="X42" i="25"/>
  <c r="C13" i="27" s="1" a="1"/>
  <c r="C13" i="27" s="1"/>
  <c r="X12" i="25"/>
  <c r="AD12" i="25" s="1" a="1"/>
  <c r="AD12" i="25" s="1"/>
  <c r="X24" i="25"/>
  <c r="AD24" i="25" s="1" a="1"/>
  <c r="AD24" i="25" s="1"/>
  <c r="V6" i="27" a="1"/>
  <c r="V6" i="27" s="1"/>
  <c r="N6" i="28" a="1"/>
  <c r="N6" i="28" s="1"/>
  <c r="V10" i="28" a="1"/>
  <c r="V10" i="28" s="1"/>
  <c r="D12" i="27" a="1"/>
  <c r="D12" i="27" s="1"/>
  <c r="V9" i="28" a="1"/>
  <c r="V9" i="28" s="1"/>
  <c r="X15" i="25"/>
  <c r="AD15" i="25" s="1" a="1"/>
  <c r="AD15" i="25" s="1"/>
  <c r="X9" i="25"/>
  <c r="AD9" i="25" s="1" a="1"/>
  <c r="AD9" i="25" s="1"/>
  <c r="X10" i="25"/>
  <c r="AD10" i="25" s="1" a="1"/>
  <c r="AD10" i="25" s="1"/>
  <c r="N8" i="28" a="1"/>
  <c r="N8" i="28" s="1"/>
  <c r="D7" i="27" a="1"/>
  <c r="D7" i="27" s="1"/>
  <c r="X7" i="25"/>
  <c r="AD7" i="25" s="1" a="1"/>
  <c r="AD7" i="25" s="1"/>
  <c r="X8" i="25"/>
  <c r="AD8" i="25" s="1" a="1"/>
  <c r="AD8" i="25" s="1"/>
  <c r="X16" i="25"/>
  <c r="AD16" i="25" s="1" a="1"/>
  <c r="AD16" i="25" s="1"/>
  <c r="X21" i="25"/>
  <c r="X23" i="25"/>
  <c r="AD23" i="25" s="1" a="1"/>
  <c r="AD23" i="25" s="1"/>
  <c r="X22" i="25"/>
  <c r="X6" i="25"/>
  <c r="AD6" i="25" s="1" a="1"/>
  <c r="AD6" i="25" s="1"/>
  <c r="X5" i="25"/>
  <c r="AD5" i="25" a="1"/>
  <c r="AD5" i="25" s="1"/>
  <c r="N9" i="28" a="1"/>
  <c r="N9" i="28" s="1"/>
  <c r="X27" i="25"/>
  <c r="AD27" i="25" s="1" a="1"/>
  <c r="AD27" i="25" s="1"/>
  <c r="X34" i="25"/>
  <c r="AD34" i="25" s="1" a="1"/>
  <c r="AD34" i="25" s="1"/>
  <c r="X35" i="25"/>
  <c r="AD35" i="25" s="1" a="1"/>
  <c r="AD35" i="25" s="1"/>
  <c r="X19" i="25"/>
  <c r="AD19" i="25" s="1" a="1"/>
  <c r="AD19" i="25" s="1"/>
  <c r="X26" i="25"/>
  <c r="AD26" i="25" s="1" a="1"/>
  <c r="AD26" i="25" s="1"/>
  <c r="X20" i="25"/>
  <c r="AD20" i="25" s="1" a="1"/>
  <c r="AD20" i="25" s="1"/>
  <c r="X28" i="25"/>
  <c r="AD28" i="25" s="1" a="1"/>
  <c r="AD28" i="25" s="1"/>
  <c r="X30" i="25"/>
  <c r="AD30" i="25" s="1" a="1"/>
  <c r="AD30" i="25" s="1"/>
  <c r="F15" i="27" a="1"/>
  <c r="F15" i="27" s="1"/>
  <c r="X36" i="25"/>
  <c r="AD36" i="25" s="1" a="1"/>
  <c r="AD36" i="25" s="1"/>
  <c r="X40" i="25"/>
  <c r="AD40" i="25" s="1" a="1"/>
  <c r="AD40" i="25" s="1"/>
  <c r="X33" i="25"/>
  <c r="X41" i="25"/>
  <c r="AD41" i="25" s="1" a="1"/>
  <c r="AD41" i="25" s="1"/>
  <c r="X17" i="25"/>
  <c r="AD17" i="25" s="1" a="1"/>
  <c r="AD17" i="25" s="1"/>
  <c r="X29" i="25"/>
  <c r="AD29" i="25" s="1" a="1"/>
  <c r="AD29" i="25" s="1"/>
  <c r="X18" i="25"/>
  <c r="AD18" i="25" s="1" a="1"/>
  <c r="AD18" i="25" s="1"/>
  <c r="X31" i="25"/>
  <c r="AD31" i="25" s="1" a="1"/>
  <c r="AD31" i="25" s="1"/>
  <c r="F8" i="28" a="1"/>
  <c r="F8" i="28" s="1"/>
  <c r="P80" i="14"/>
  <c r="Q80" i="14" s="1"/>
  <c r="AQ80" i="14" s="1"/>
  <c r="AT33" i="25" s="1"/>
  <c r="P78" i="14"/>
  <c r="Q78" i="14" s="1"/>
  <c r="AQ78" i="14" s="1"/>
  <c r="AT44" i="25" s="1"/>
  <c r="AO40" i="14" a="1"/>
  <c r="AO40" i="14" s="1"/>
  <c r="R19" i="25"/>
  <c r="P70" i="14"/>
  <c r="Q70" i="14" s="1"/>
  <c r="R70" i="14" s="1"/>
  <c r="AK70" i="14" s="1"/>
  <c r="P64" i="14"/>
  <c r="Q64" i="14" s="1"/>
  <c r="R64" i="14" s="1"/>
  <c r="AK64" i="14" s="1"/>
  <c r="P66" i="14"/>
  <c r="Q66" i="14" s="1"/>
  <c r="R66" i="14" s="1"/>
  <c r="AK66" i="14" s="1"/>
  <c r="P68" i="14"/>
  <c r="Q68" i="14" s="1"/>
  <c r="R68" i="14" s="1"/>
  <c r="AK68" i="14" s="1"/>
  <c r="P79" i="14"/>
  <c r="Q79" i="14" s="1"/>
  <c r="AQ79" i="14" s="1"/>
  <c r="AT21" i="25" s="1"/>
  <c r="AP7" i="14"/>
  <c r="Y15" i="14"/>
  <c r="Q24" i="25"/>
  <c r="R7" i="25"/>
  <c r="P24" i="14"/>
  <c r="Q24" i="14" s="1"/>
  <c r="R24" i="14" s="1"/>
  <c r="AK24" i="14" s="1"/>
  <c r="P32" i="14"/>
  <c r="R32" i="14" s="1"/>
  <c r="AK32" i="14" s="1"/>
  <c r="P12" i="14"/>
  <c r="Q12" i="14" s="1"/>
  <c r="P51" i="14"/>
  <c r="Q51" i="14" s="1"/>
  <c r="R51" i="14" s="1"/>
  <c r="AK51" i="14" s="1"/>
  <c r="P74" i="14"/>
  <c r="Q74" i="14" s="1"/>
  <c r="R74" i="14" s="1"/>
  <c r="AK74" i="14" s="1"/>
  <c r="W7" i="14"/>
  <c r="P16" i="14"/>
  <c r="Q16" i="14" s="1"/>
  <c r="R16" i="14" s="1"/>
  <c r="AK16" i="14" s="1"/>
  <c r="P58" i="14"/>
  <c r="Q58" i="14" s="1"/>
  <c r="R58" i="14" s="1"/>
  <c r="AK58" i="14" s="1"/>
  <c r="AH28" i="14"/>
  <c r="P43" i="14"/>
  <c r="Q43" i="14" s="1"/>
  <c r="R43" i="14" s="1"/>
  <c r="AK43" i="14" s="1"/>
  <c r="P56" i="14"/>
  <c r="Q56" i="14" s="1"/>
  <c r="R56" i="14" s="1"/>
  <c r="AK56" i="14" s="1"/>
  <c r="P72" i="14"/>
  <c r="Q72" i="14" s="1"/>
  <c r="R72" i="14" s="1"/>
  <c r="AK72" i="14" s="1"/>
  <c r="R40" i="25"/>
  <c r="P54" i="14"/>
  <c r="Q54" i="14" s="1"/>
  <c r="R54" i="14" s="1"/>
  <c r="P41" i="14"/>
  <c r="Q41" i="14" s="1"/>
  <c r="R41" i="14" s="1"/>
  <c r="AK41" i="14" s="1"/>
  <c r="P62" i="14"/>
  <c r="Q62" i="14" s="1"/>
  <c r="R62" i="14" s="1"/>
  <c r="AK62" i="14" s="1"/>
  <c r="P49" i="14"/>
  <c r="Q49" i="14" s="1"/>
  <c r="P52" i="14"/>
  <c r="Q52" i="14" s="1"/>
  <c r="AQ52" i="14" s="1"/>
  <c r="AT6" i="25" s="1"/>
  <c r="P76" i="14"/>
  <c r="Q76" i="14" s="1"/>
  <c r="R76" i="14" s="1"/>
  <c r="AK76" i="14" s="1"/>
  <c r="P60" i="14"/>
  <c r="Q60" i="14" s="1"/>
  <c r="R60" i="14" s="1"/>
  <c r="AK60" i="14" s="1"/>
  <c r="AO20" i="14" a="1"/>
  <c r="AO20" i="14" s="1"/>
  <c r="R33" i="25"/>
  <c r="R15" i="25"/>
  <c r="AH30" i="14"/>
  <c r="X30" i="14"/>
  <c r="Y30" i="14"/>
  <c r="R42" i="25"/>
  <c r="W21" i="25"/>
  <c r="X44" i="25"/>
  <c r="Q11" i="25"/>
  <c r="R21" i="25"/>
  <c r="R20" i="25"/>
  <c r="P31" i="14"/>
  <c r="Q31" i="14" s="1"/>
  <c r="R31" i="14" s="1"/>
  <c r="AK31" i="14" s="1"/>
  <c r="Q37" i="25"/>
  <c r="V21" i="25"/>
  <c r="T21" i="25" s="1"/>
  <c r="R26" i="25"/>
  <c r="Q8" i="25"/>
  <c r="W8" i="25"/>
  <c r="R41" i="25"/>
  <c r="Q39" i="25"/>
  <c r="Q10" i="25"/>
  <c r="Q30" i="25"/>
  <c r="Q25" i="25"/>
  <c r="AH79" i="14"/>
  <c r="W16" i="25"/>
  <c r="U33" i="25"/>
  <c r="Z79" i="14"/>
  <c r="X25" i="14"/>
  <c r="U13" i="25"/>
  <c r="W18" i="25"/>
  <c r="R18" i="25"/>
  <c r="R38" i="25"/>
  <c r="Q9" i="25"/>
  <c r="Q29" i="25"/>
  <c r="Q12" i="25"/>
  <c r="AH37" i="14"/>
  <c r="P5" i="14"/>
  <c r="Q5" i="14" s="1"/>
  <c r="Y64" i="14"/>
  <c r="W22" i="25"/>
  <c r="P36" i="14"/>
  <c r="Q36" i="14" s="1"/>
  <c r="R36" i="14" s="1"/>
  <c r="AK36" i="14" s="1"/>
  <c r="R31" i="25"/>
  <c r="AT16" i="25"/>
  <c r="AH14" i="14"/>
  <c r="X7" i="14"/>
  <c r="W28" i="25"/>
  <c r="P46" i="14"/>
  <c r="Q46" i="14" s="1"/>
  <c r="R46" i="14" s="1"/>
  <c r="AK46" i="14" s="1"/>
  <c r="V27" i="25"/>
  <c r="T27" i="25" s="1"/>
  <c r="P40" i="14"/>
  <c r="Q40" i="14" s="1"/>
  <c r="R40" i="14" s="1"/>
  <c r="X64" i="14"/>
  <c r="AH64" i="14"/>
  <c r="P39" i="14"/>
  <c r="Q39" i="14" s="1"/>
  <c r="R39" i="14" s="1"/>
  <c r="AH34" i="14"/>
  <c r="Q5" i="25"/>
  <c r="V42" i="25"/>
  <c r="T42" i="25" s="1"/>
  <c r="R35" i="25"/>
  <c r="Q28" i="25"/>
  <c r="P19" i="14"/>
  <c r="Q19" i="14" s="1"/>
  <c r="R34" i="25"/>
  <c r="Y22" i="14"/>
  <c r="Z30" i="14"/>
  <c r="AA30" i="14" s="1"/>
  <c r="U41" i="25"/>
  <c r="AP30" i="14"/>
  <c r="W20" i="14"/>
  <c r="Z40" i="14"/>
  <c r="W29" i="25"/>
  <c r="Q44" i="25"/>
  <c r="R23" i="25"/>
  <c r="Q17" i="25"/>
  <c r="X37" i="14"/>
  <c r="Z32" i="14"/>
  <c r="W32" i="14"/>
  <c r="P8" i="14"/>
  <c r="Q8" i="14" s="1"/>
  <c r="R8" i="14" s="1"/>
  <c r="W37" i="14"/>
  <c r="Y6" i="14"/>
  <c r="Z37" i="14"/>
  <c r="V23" i="25"/>
  <c r="T23" i="25" s="1"/>
  <c r="AP32" i="14"/>
  <c r="P11" i="14"/>
  <c r="R11" i="14" s="1"/>
  <c r="AP37" i="14"/>
  <c r="U25" i="25"/>
  <c r="S30" i="25"/>
  <c r="AO15" i="14" a="1"/>
  <c r="AO15" i="14" s="1"/>
  <c r="AT43" i="25"/>
  <c r="R16" i="25"/>
  <c r="W28" i="14"/>
  <c r="Z15" i="14"/>
  <c r="X28" i="14"/>
  <c r="W15" i="14"/>
  <c r="Q43" i="25"/>
  <c r="Q27" i="25"/>
  <c r="R6" i="25"/>
  <c r="Y5" i="14"/>
  <c r="V19" i="25"/>
  <c r="T19" i="25" s="1"/>
  <c r="AP28" i="14"/>
  <c r="AH15" i="14"/>
  <c r="X15" i="14"/>
  <c r="AB15" i="14" s="1" a="1"/>
  <c r="AB15" i="14" s="1"/>
  <c r="P81" i="14"/>
  <c r="Q81" i="14" s="1"/>
  <c r="AQ81" i="14" s="1"/>
  <c r="AT22" i="25" s="1"/>
  <c r="Z28" i="14"/>
  <c r="W27" i="25"/>
  <c r="U44" i="25"/>
  <c r="V22" i="25"/>
  <c r="T22" i="25" s="1"/>
  <c r="Q32" i="25"/>
  <c r="R22" i="25"/>
  <c r="Z7" i="14"/>
  <c r="P22" i="14"/>
  <c r="Q22" i="14" s="1"/>
  <c r="AH7" i="14"/>
  <c r="AH5" i="14"/>
  <c r="V39" i="25"/>
  <c r="T39" i="25" s="1"/>
  <c r="AP8" i="14"/>
  <c r="W44" i="25"/>
  <c r="W12" i="25"/>
  <c r="W12" i="14"/>
  <c r="W40" i="14"/>
  <c r="V10" i="25"/>
  <c r="T10" i="25" s="1"/>
  <c r="U27" i="25"/>
  <c r="P37" i="14"/>
  <c r="Q37" i="14" s="1"/>
  <c r="P33" i="14"/>
  <c r="Q33" i="14" s="1"/>
  <c r="P29" i="14"/>
  <c r="Q29" i="14" s="1"/>
  <c r="P13" i="14"/>
  <c r="R13" i="14" s="1"/>
  <c r="P9" i="14"/>
  <c r="Q9" i="14" s="1"/>
  <c r="R9" i="14" s="1"/>
  <c r="Z8" i="14"/>
  <c r="Q36" i="25"/>
  <c r="R13" i="25"/>
  <c r="X5" i="14"/>
  <c r="W8" i="14"/>
  <c r="AP12" i="14"/>
  <c r="AH40" i="14"/>
  <c r="U6" i="25"/>
  <c r="X8" i="14"/>
  <c r="U14" i="25"/>
  <c r="P48" i="14"/>
  <c r="Q48" i="14" s="1"/>
  <c r="P35" i="14"/>
  <c r="P25" i="14"/>
  <c r="Q25" i="14" s="1"/>
  <c r="AH8" i="14"/>
  <c r="U19" i="25"/>
  <c r="U42" i="25"/>
  <c r="P34" i="14"/>
  <c r="Q34" i="14" s="1"/>
  <c r="P30" i="14"/>
  <c r="Q30" i="14" s="1"/>
  <c r="R30" i="14" s="1"/>
  <c r="AK30" i="14" s="1"/>
  <c r="P28" i="14"/>
  <c r="Q28" i="14" s="1"/>
  <c r="P20" i="14"/>
  <c r="AT5" i="25"/>
  <c r="W35" i="14"/>
  <c r="X35" i="14"/>
  <c r="AP35" i="14"/>
  <c r="AH35" i="14"/>
  <c r="Z35" i="14"/>
  <c r="Y35" i="14"/>
  <c r="V37" i="25"/>
  <c r="T37" i="25" s="1"/>
  <c r="W37" i="25"/>
  <c r="U37" i="25"/>
  <c r="AH74" i="14"/>
  <c r="X74" i="14"/>
  <c r="W74" i="14"/>
  <c r="Y74" i="14"/>
  <c r="R14" i="25"/>
  <c r="Y31" i="14"/>
  <c r="W31" i="14"/>
  <c r="AP31" i="14"/>
  <c r="X31" i="14"/>
  <c r="Z31" i="14"/>
  <c r="U20" i="25"/>
  <c r="W20" i="25"/>
  <c r="V20" i="25"/>
  <c r="T20" i="25" s="1"/>
  <c r="AP39" i="14"/>
  <c r="X39" i="14"/>
  <c r="W39" i="14"/>
  <c r="AA39" i="14" s="1"/>
  <c r="Y39" i="14"/>
  <c r="AH39" i="14"/>
  <c r="Z80" i="14"/>
  <c r="W80" i="14"/>
  <c r="AP80" i="14"/>
  <c r="X80" i="14"/>
  <c r="Y80" i="14"/>
  <c r="V9" i="25"/>
  <c r="T9" i="25" s="1"/>
  <c r="U9" i="25"/>
  <c r="W9" i="25"/>
  <c r="X23" i="14"/>
  <c r="AP23" i="14"/>
  <c r="Y23" i="14"/>
  <c r="W23" i="14"/>
  <c r="AH23" i="14"/>
  <c r="Z23" i="14"/>
  <c r="X36" i="14"/>
  <c r="Y36" i="14"/>
  <c r="Z36" i="14"/>
  <c r="AP36" i="14"/>
  <c r="W36" i="14"/>
  <c r="W26" i="14"/>
  <c r="Z26" i="14"/>
  <c r="X26" i="14"/>
  <c r="AP26" i="14"/>
  <c r="Y26" i="14"/>
  <c r="X18" i="14"/>
  <c r="AP18" i="14"/>
  <c r="Z18" i="14"/>
  <c r="W18" i="14"/>
  <c r="Y18" i="14"/>
  <c r="AH10" i="14"/>
  <c r="Z10" i="14"/>
  <c r="W10" i="14"/>
  <c r="Y10" i="14"/>
  <c r="X10" i="14"/>
  <c r="AP10" i="14"/>
  <c r="U15" i="25"/>
  <c r="W15" i="25"/>
  <c r="V15" i="25"/>
  <c r="T15" i="25" s="1"/>
  <c r="U36" i="25"/>
  <c r="V36" i="25"/>
  <c r="T36" i="25" s="1"/>
  <c r="W36" i="25"/>
  <c r="AH70" i="14"/>
  <c r="Y70" i="14"/>
  <c r="W70" i="14"/>
  <c r="X70" i="14"/>
  <c r="V28" i="25"/>
  <c r="U28" i="25"/>
  <c r="AH78" i="14"/>
  <c r="Z78" i="14"/>
  <c r="X78" i="14"/>
  <c r="AP78" i="14"/>
  <c r="Y78" i="14"/>
  <c r="W78" i="14"/>
  <c r="AH38" i="14"/>
  <c r="X38" i="14"/>
  <c r="Z38" i="14"/>
  <c r="Y38" i="14"/>
  <c r="AP38" i="14"/>
  <c r="W38" i="14"/>
  <c r="Z22" i="14"/>
  <c r="W22" i="14"/>
  <c r="AP22" i="14"/>
  <c r="X22" i="14"/>
  <c r="AP14" i="14"/>
  <c r="X14" i="14"/>
  <c r="W14" i="14"/>
  <c r="Z14" i="14"/>
  <c r="P6" i="14"/>
  <c r="U12" i="25"/>
  <c r="V12" i="25"/>
  <c r="T12" i="25" s="1"/>
  <c r="W77" i="14"/>
  <c r="AA43" i="25" s="1"/>
  <c r="X77" i="14"/>
  <c r="AP27" i="14"/>
  <c r="X27" i="14"/>
  <c r="W27" i="14"/>
  <c r="Y27" i="14"/>
  <c r="AH21" i="14"/>
  <c r="Z21" i="14"/>
  <c r="X21" i="14"/>
  <c r="AP21" i="14"/>
  <c r="Y21" i="14"/>
  <c r="W21" i="14"/>
  <c r="W19" i="14"/>
  <c r="Y19" i="14"/>
  <c r="X19" i="14"/>
  <c r="AP19" i="14"/>
  <c r="AH17" i="14"/>
  <c r="Z17" i="14"/>
  <c r="W17" i="14"/>
  <c r="AP17" i="14"/>
  <c r="Y17" i="14"/>
  <c r="AH11" i="14"/>
  <c r="X11" i="14"/>
  <c r="AP11" i="14"/>
  <c r="Y11" i="14"/>
  <c r="W11" i="14"/>
  <c r="AA11" i="14" s="1"/>
  <c r="P7" i="14"/>
  <c r="V13" i="25"/>
  <c r="W13" i="25"/>
  <c r="W19" i="25"/>
  <c r="V30" i="25"/>
  <c r="T30" i="25" s="1"/>
  <c r="W30" i="25"/>
  <c r="U30" i="25"/>
  <c r="AH68" i="14"/>
  <c r="X68" i="14"/>
  <c r="Y68" i="14"/>
  <c r="W68" i="14"/>
  <c r="AP79" i="14"/>
  <c r="AB79" i="14" s="1" a="1"/>
  <c r="AB79" i="14" s="1"/>
  <c r="W79" i="14"/>
  <c r="Y79" i="14"/>
  <c r="U23" i="25"/>
  <c r="W23" i="25"/>
  <c r="W39" i="25"/>
  <c r="U39" i="25"/>
  <c r="AH51" i="14"/>
  <c r="W51" i="14"/>
  <c r="X51" i="14"/>
  <c r="Y51" i="14"/>
  <c r="AH58" i="14"/>
  <c r="X58" i="14"/>
  <c r="Y58" i="14"/>
  <c r="W58" i="14"/>
  <c r="AH43" i="14"/>
  <c r="Y43" i="14"/>
  <c r="W43" i="14"/>
  <c r="X43" i="14"/>
  <c r="AH76" i="14"/>
  <c r="Y76" i="14"/>
  <c r="X76" i="14"/>
  <c r="W76" i="14"/>
  <c r="AH69" i="14"/>
  <c r="Y69" i="14"/>
  <c r="X69" i="14"/>
  <c r="W69" i="14"/>
  <c r="AH61" i="14"/>
  <c r="X61" i="14"/>
  <c r="Y61" i="14"/>
  <c r="W61" i="14"/>
  <c r="AH53" i="14"/>
  <c r="Y53" i="14"/>
  <c r="W53" i="14"/>
  <c r="X53" i="14"/>
  <c r="AH49" i="14"/>
  <c r="Y49" i="14"/>
  <c r="W49" i="14"/>
  <c r="X49" i="14"/>
  <c r="V29" i="25"/>
  <c r="T29" i="25" s="1"/>
  <c r="Z19" i="14"/>
  <c r="Z27" i="14"/>
  <c r="AH56" i="14"/>
  <c r="X56" i="14"/>
  <c r="Y56" i="14"/>
  <c r="W56" i="14"/>
  <c r="AW16" i="25"/>
  <c r="V16" i="25"/>
  <c r="T16" i="25" s="1"/>
  <c r="U16" i="25"/>
  <c r="P14" i="14"/>
  <c r="Q14" i="14" s="1"/>
  <c r="R14" i="14" s="1"/>
  <c r="AK14" i="14" s="1"/>
  <c r="X32" i="14"/>
  <c r="Y32" i="14"/>
  <c r="P38" i="14"/>
  <c r="AP34" i="14"/>
  <c r="X34" i="14"/>
  <c r="W34" i="14"/>
  <c r="Z34" i="14"/>
  <c r="W6" i="14"/>
  <c r="Z6" i="14"/>
  <c r="X6" i="14"/>
  <c r="AP6" i="14"/>
  <c r="V14" i="25"/>
  <c r="T14" i="25" s="1"/>
  <c r="W26" i="25"/>
  <c r="U26" i="25"/>
  <c r="V26" i="25"/>
  <c r="T26" i="25" s="1"/>
  <c r="P27" i="14"/>
  <c r="AH33" i="14"/>
  <c r="AP33" i="14"/>
  <c r="W33" i="14"/>
  <c r="Y33" i="14"/>
  <c r="X33" i="14"/>
  <c r="Z33" i="14"/>
  <c r="P21" i="14"/>
  <c r="P15" i="14"/>
  <c r="V17" i="25"/>
  <c r="T17" i="25" s="1"/>
  <c r="U17" i="25"/>
  <c r="W17" i="25"/>
  <c r="AH67" i="14"/>
  <c r="X67" i="14"/>
  <c r="Y67" i="14"/>
  <c r="W67" i="14"/>
  <c r="U7" i="25"/>
  <c r="V7" i="25"/>
  <c r="T7" i="25" s="1"/>
  <c r="W7" i="25"/>
  <c r="Q59" i="14"/>
  <c r="V31" i="25"/>
  <c r="T31" i="25" s="1"/>
  <c r="W31" i="25"/>
  <c r="U31" i="25"/>
  <c r="W24" i="25"/>
  <c r="U24" i="25"/>
  <c r="V24" i="25"/>
  <c r="T24" i="25" s="1"/>
  <c r="V40" i="25"/>
  <c r="T40" i="25" s="1"/>
  <c r="W40" i="25"/>
  <c r="U40" i="25"/>
  <c r="AH66" i="14"/>
  <c r="X66" i="14"/>
  <c r="Y66" i="14"/>
  <c r="W66" i="14"/>
  <c r="W82" i="14"/>
  <c r="AA16" i="25" s="1"/>
  <c r="F7" i="28" s="1" a="1"/>
  <c r="F7" i="28" s="1"/>
  <c r="X82" i="14"/>
  <c r="Y82" i="14"/>
  <c r="AH44" i="14"/>
  <c r="W44" i="14"/>
  <c r="Y44" i="14"/>
  <c r="X44" i="14"/>
  <c r="AH41" i="14"/>
  <c r="W41" i="14"/>
  <c r="Y41" i="14"/>
  <c r="X41" i="14"/>
  <c r="AH75" i="14"/>
  <c r="X75" i="14"/>
  <c r="Y75" i="14"/>
  <c r="W75" i="14"/>
  <c r="AH52" i="14"/>
  <c r="Y52" i="14"/>
  <c r="W52" i="14"/>
  <c r="X52" i="14"/>
  <c r="AH59" i="14"/>
  <c r="X59" i="14"/>
  <c r="Y59" i="14"/>
  <c r="W59" i="14"/>
  <c r="U29" i="25"/>
  <c r="U8" i="25"/>
  <c r="V8" i="25"/>
  <c r="T8" i="25" s="1"/>
  <c r="AH20" i="14"/>
  <c r="Y20" i="14"/>
  <c r="X20" i="14"/>
  <c r="AB20" i="14" s="1" a="1"/>
  <c r="AB20" i="14" s="1"/>
  <c r="Z20" i="14"/>
  <c r="X40" i="14"/>
  <c r="AB40" i="14" s="1" a="1"/>
  <c r="AB40" i="14" s="1"/>
  <c r="Y40" i="14"/>
  <c r="P26" i="14"/>
  <c r="AH24" i="14"/>
  <c r="Z24" i="14"/>
  <c r="X24" i="14"/>
  <c r="AP24" i="14"/>
  <c r="Y24" i="14"/>
  <c r="W24" i="14"/>
  <c r="P18" i="14"/>
  <c r="AH16" i="14"/>
  <c r="AP16" i="14"/>
  <c r="W16" i="14"/>
  <c r="X16" i="14"/>
  <c r="Z16" i="14"/>
  <c r="Y16" i="14"/>
  <c r="X12" i="14"/>
  <c r="Z12" i="14"/>
  <c r="Y12" i="14"/>
  <c r="P10" i="14"/>
  <c r="V43" i="25"/>
  <c r="T43" i="25" s="1"/>
  <c r="AW43" i="25"/>
  <c r="AX43" i="25" s="1" a="1"/>
  <c r="AX43" i="25" s="1"/>
  <c r="W43" i="25"/>
  <c r="U43" i="25"/>
  <c r="AH48" i="14"/>
  <c r="Y48" i="14"/>
  <c r="Z48" i="14" s="1"/>
  <c r="AH5" i="25" s="1"/>
  <c r="X48" i="14"/>
  <c r="W48" i="14"/>
  <c r="AH29" i="14"/>
  <c r="Y29" i="14"/>
  <c r="AP29" i="14"/>
  <c r="W29" i="14"/>
  <c r="Z29" i="14"/>
  <c r="X29" i="14"/>
  <c r="Y25" i="14"/>
  <c r="AP25" i="14"/>
  <c r="Z25" i="14"/>
  <c r="W25" i="14"/>
  <c r="P17" i="14"/>
  <c r="AH13" i="14"/>
  <c r="AP13" i="14"/>
  <c r="W13" i="14"/>
  <c r="X13" i="14"/>
  <c r="Z13" i="14"/>
  <c r="Y13" i="14"/>
  <c r="AH9" i="14"/>
  <c r="X9" i="14"/>
  <c r="W9" i="14"/>
  <c r="AP9" i="14"/>
  <c r="Z9" i="14"/>
  <c r="Y9" i="14"/>
  <c r="U21" i="25"/>
  <c r="V35" i="25"/>
  <c r="T35" i="25" s="1"/>
  <c r="W35" i="25"/>
  <c r="U35" i="25"/>
  <c r="AH60" i="14"/>
  <c r="X60" i="14"/>
  <c r="Y60" i="14"/>
  <c r="W60" i="14"/>
  <c r="U11" i="25"/>
  <c r="V11" i="25"/>
  <c r="T11" i="25" s="1"/>
  <c r="W11" i="25"/>
  <c r="V34" i="25"/>
  <c r="T34" i="25" s="1"/>
  <c r="W34" i="25"/>
  <c r="U34" i="25"/>
  <c r="V44" i="25"/>
  <c r="T44" i="25" s="1"/>
  <c r="AH54" i="14"/>
  <c r="Y54" i="14"/>
  <c r="W54" i="14"/>
  <c r="X54" i="14"/>
  <c r="U22" i="25"/>
  <c r="U18" i="25"/>
  <c r="W6" i="25"/>
  <c r="V32" i="25"/>
  <c r="T32" i="25" s="1"/>
  <c r="U32" i="25"/>
  <c r="W32" i="25"/>
  <c r="W42" i="25"/>
  <c r="AH46" i="14"/>
  <c r="Y46" i="14"/>
  <c r="W46" i="14"/>
  <c r="X46" i="14"/>
  <c r="AH62" i="14"/>
  <c r="X62" i="14"/>
  <c r="Y62" i="14"/>
  <c r="W62" i="14"/>
  <c r="W25" i="25"/>
  <c r="V25" i="25"/>
  <c r="T25" i="25" s="1"/>
  <c r="W41" i="25"/>
  <c r="V41" i="25"/>
  <c r="T41" i="25" s="1"/>
  <c r="AH42" i="14"/>
  <c r="X42" i="14"/>
  <c r="Y42" i="14"/>
  <c r="W42" i="14"/>
  <c r="AH47" i="14"/>
  <c r="X47" i="14"/>
  <c r="W47" i="14"/>
  <c r="Y47" i="14"/>
  <c r="AH73" i="14"/>
  <c r="W73" i="14"/>
  <c r="X73" i="14"/>
  <c r="Y73" i="14"/>
  <c r="AP5" i="14"/>
  <c r="W5" i="14"/>
  <c r="AA5" i="14" s="1"/>
  <c r="AH65" i="14"/>
  <c r="X65" i="14"/>
  <c r="Y65" i="14"/>
  <c r="W65" i="14"/>
  <c r="AH57" i="14"/>
  <c r="X57" i="14"/>
  <c r="Y57" i="14"/>
  <c r="W57" i="14"/>
  <c r="W10" i="25"/>
  <c r="V18" i="25"/>
  <c r="T18" i="25" s="1"/>
  <c r="W14" i="25"/>
  <c r="V33" i="25"/>
  <c r="T33" i="25" s="1"/>
  <c r="W33" i="25"/>
  <c r="AH71" i="14"/>
  <c r="W71" i="14"/>
  <c r="Y71" i="14"/>
  <c r="X71" i="14"/>
  <c r="AH81" i="14"/>
  <c r="X81" i="14"/>
  <c r="AP81" i="14"/>
  <c r="Y81" i="14"/>
  <c r="W81" i="14"/>
  <c r="Z81" i="14"/>
  <c r="W38" i="25"/>
  <c r="U38" i="25"/>
  <c r="V38" i="25"/>
  <c r="T38" i="25" s="1"/>
  <c r="AH50" i="14"/>
  <c r="W50" i="14"/>
  <c r="Y50" i="14"/>
  <c r="X50" i="14"/>
  <c r="AH45" i="14"/>
  <c r="X45" i="14"/>
  <c r="Y45" i="14"/>
  <c r="W45" i="14"/>
  <c r="AH72" i="14"/>
  <c r="W72" i="14"/>
  <c r="Y72" i="14"/>
  <c r="X72" i="14"/>
  <c r="AH63" i="14"/>
  <c r="X63" i="14"/>
  <c r="Y63" i="14"/>
  <c r="W63" i="14"/>
  <c r="AH55" i="14"/>
  <c r="X55" i="14"/>
  <c r="Y55" i="14"/>
  <c r="W55" i="14"/>
  <c r="U10" i="25"/>
  <c r="AS39" i="14"/>
  <c r="AS35" i="14"/>
  <c r="AS72" i="14"/>
  <c r="AS68" i="14"/>
  <c r="AS61" i="14"/>
  <c r="AS57" i="14"/>
  <c r="AS15" i="14"/>
  <c r="AS46" i="14"/>
  <c r="AS5" i="14"/>
  <c r="AS51" i="14"/>
  <c r="AS73" i="14"/>
  <c r="AS71" i="14"/>
  <c r="AS67" i="14"/>
  <c r="AS62" i="14"/>
  <c r="AS58" i="14"/>
  <c r="AS54" i="14"/>
  <c r="AS49" i="14"/>
  <c r="AS45" i="14"/>
  <c r="H8" i="27"/>
  <c r="H10" i="27"/>
  <c r="H11" i="27"/>
  <c r="AS66" i="14"/>
  <c r="AS65" i="14"/>
  <c r="AS31" i="14"/>
  <c r="AS27" i="14"/>
  <c r="AS23" i="14"/>
  <c r="AS19" i="14"/>
  <c r="AS53" i="14"/>
  <c r="AS48" i="14"/>
  <c r="AL48" i="14"/>
  <c r="AS43" i="14"/>
  <c r="AS38" i="14"/>
  <c r="AS34" i="14"/>
  <c r="AS30" i="14"/>
  <c r="AS26" i="14"/>
  <c r="AS60" i="14"/>
  <c r="AS56" i="14"/>
  <c r="AS52" i="14"/>
  <c r="AS8" i="14"/>
  <c r="AS75" i="14"/>
  <c r="AS33" i="14"/>
  <c r="AS29" i="14"/>
  <c r="AS63" i="14"/>
  <c r="AS21" i="14"/>
  <c r="AS17" i="14"/>
  <c r="AS13" i="14"/>
  <c r="AL11" i="14"/>
  <c r="AS11" i="14"/>
  <c r="AS7" i="14"/>
  <c r="AS76" i="14"/>
  <c r="AS36" i="14"/>
  <c r="AS44" i="14"/>
  <c r="AS69" i="14"/>
  <c r="AS24" i="14"/>
  <c r="AS22" i="14"/>
  <c r="AS18" i="14"/>
  <c r="AS14" i="14"/>
  <c r="AS47" i="14"/>
  <c r="AS42" i="14"/>
  <c r="V5" i="25"/>
  <c r="T5" i="25" s="1"/>
  <c r="W5" i="25"/>
  <c r="U5" i="25"/>
  <c r="L8" i="27"/>
  <c r="O8" i="27" s="1"/>
  <c r="Y8" i="27"/>
  <c r="L10" i="27"/>
  <c r="O10" i="27" s="1"/>
  <c r="Y10" i="27"/>
  <c r="L11" i="27"/>
  <c r="O11" i="27" s="1"/>
  <c r="Y11" i="27"/>
  <c r="AS37" i="14"/>
  <c r="AS64" i="14"/>
  <c r="AS70" i="14"/>
  <c r="AS25" i="14"/>
  <c r="AS59" i="14"/>
  <c r="AS55" i="14"/>
  <c r="AS50" i="14"/>
  <c r="AS9" i="14"/>
  <c r="AS41" i="14"/>
  <c r="AS40" i="14"/>
  <c r="AS74" i="14"/>
  <c r="AS32" i="14"/>
  <c r="AS28" i="14"/>
  <c r="AS20" i="14"/>
  <c r="AS16" i="14"/>
  <c r="AS12" i="14"/>
  <c r="AS10" i="14"/>
  <c r="AS6" i="14"/>
  <c r="T8" i="27"/>
  <c r="T10" i="27"/>
  <c r="T11" i="27"/>
  <c r="AR16" i="25"/>
  <c r="AR43" i="25"/>
  <c r="D3" i="28" l="1" a="1"/>
  <c r="D3" i="28" s="1"/>
  <c r="D3" i="27" a="1"/>
  <c r="D3" i="27" s="1"/>
  <c r="R42" i="14"/>
  <c r="AK42" i="14" s="1"/>
  <c r="AA2" i="25" a="1"/>
  <c r="AA2" i="25" s="1"/>
  <c r="X2" i="25" a="1"/>
  <c r="X2" i="25" s="1"/>
  <c r="R63" i="14"/>
  <c r="AK63" i="14" s="1"/>
  <c r="AB80" i="14" a="1"/>
  <c r="AB80" i="14" s="1"/>
  <c r="AC80" i="14" s="1"/>
  <c r="AE80" i="14" s="1"/>
  <c r="AB78" i="14" a="1"/>
  <c r="AB78" i="14" s="1"/>
  <c r="AC78" i="14" s="1"/>
  <c r="AE78" i="14" s="1"/>
  <c r="AB29" i="14" a="1"/>
  <c r="AB29" i="14" s="1"/>
  <c r="AB17" i="14" a="1"/>
  <c r="AB17" i="14" s="1"/>
  <c r="AC17" i="14" s="1"/>
  <c r="AE17" i="14" s="1"/>
  <c r="AB38" i="14" a="1"/>
  <c r="AB38" i="14" s="1"/>
  <c r="AC38" i="14" s="1"/>
  <c r="AE38" i="14" s="1"/>
  <c r="AB10" i="14" a="1"/>
  <c r="AB10" i="14" s="1"/>
  <c r="AC10" i="14" s="1"/>
  <c r="AE10" i="14" s="1"/>
  <c r="AB39" i="14" a="1"/>
  <c r="AB39" i="14" s="1"/>
  <c r="AC39" i="14" s="1"/>
  <c r="AE39" i="14" s="1"/>
  <c r="AB24" i="14" a="1"/>
  <c r="AB24" i="14" s="1"/>
  <c r="AC24" i="14" s="1"/>
  <c r="AE24" i="14" s="1"/>
  <c r="AB27" i="14" a="1"/>
  <c r="AB27" i="14" s="1"/>
  <c r="AC27" i="14" s="1"/>
  <c r="AE27" i="14" s="1"/>
  <c r="AB18" i="14" a="1"/>
  <c r="AB18" i="14" s="1"/>
  <c r="AC18" i="14" s="1"/>
  <c r="AE18" i="14" s="1"/>
  <c r="AB36" i="14" a="1"/>
  <c r="AB36" i="14" s="1"/>
  <c r="AC36" i="14" s="1"/>
  <c r="AE36" i="14" s="1"/>
  <c r="AB23" i="14" a="1"/>
  <c r="AB23" i="14" s="1"/>
  <c r="AC23" i="14" s="1"/>
  <c r="AE23" i="14" s="1"/>
  <c r="AB7" i="14" a="1"/>
  <c r="AB7" i="14" s="1"/>
  <c r="AC7" i="14" s="1"/>
  <c r="AE7" i="14" s="1"/>
  <c r="AB12" i="14" a="1"/>
  <c r="AB12" i="14" s="1"/>
  <c r="AC12" i="14" s="1"/>
  <c r="AE12" i="14" s="1"/>
  <c r="AB28" i="14" a="1"/>
  <c r="AB28" i="14" s="1"/>
  <c r="AC28" i="14" s="1"/>
  <c r="AE28" i="14" s="1"/>
  <c r="AB37" i="14" a="1"/>
  <c r="AB37" i="14" s="1"/>
  <c r="AC37" i="14" s="1"/>
  <c r="AE37" i="14" s="1"/>
  <c r="AB13" i="14" a="1"/>
  <c r="AB13" i="14" s="1"/>
  <c r="AC13" i="14" s="1"/>
  <c r="AE13" i="14" s="1"/>
  <c r="AB30" i="14" a="1"/>
  <c r="AB30" i="14" s="1"/>
  <c r="AC30" i="14" s="1"/>
  <c r="AE30" i="14" s="1"/>
  <c r="AB21" i="14" a="1"/>
  <c r="AB21" i="14" s="1"/>
  <c r="AC21" i="14" s="1"/>
  <c r="AE21" i="14" s="1"/>
  <c r="AB34" i="14" a="1"/>
  <c r="AB34" i="14" s="1"/>
  <c r="AC34" i="14" s="1"/>
  <c r="AE34" i="14" s="1"/>
  <c r="AB8" i="14" a="1"/>
  <c r="AB8" i="14" s="1"/>
  <c r="AC8" i="14" s="1"/>
  <c r="AE8" i="14" s="1"/>
  <c r="AB14" i="14" a="1"/>
  <c r="AB14" i="14" s="1"/>
  <c r="AC14" i="14" s="1"/>
  <c r="AE14" i="14" s="1"/>
  <c r="AB25" i="14" a="1"/>
  <c r="AB25" i="14" s="1"/>
  <c r="AC25" i="14" s="1"/>
  <c r="AE25" i="14" s="1"/>
  <c r="AB81" i="14" a="1"/>
  <c r="AB81" i="14" s="1"/>
  <c r="AC81" i="14" s="1"/>
  <c r="AE81" i="14" s="1"/>
  <c r="AB16" i="14" a="1"/>
  <c r="AB16" i="14" s="1"/>
  <c r="AC16" i="14" s="1"/>
  <c r="AE16" i="14" s="1"/>
  <c r="AB6" i="14" a="1"/>
  <c r="AB6" i="14" s="1"/>
  <c r="AC6" i="14" s="1"/>
  <c r="AE6" i="14" s="1"/>
  <c r="AB11" i="14" a="1"/>
  <c r="AB11" i="14" s="1"/>
  <c r="AC11" i="14" s="1"/>
  <c r="AE11" i="14" s="1"/>
  <c r="AB19" i="14" a="1"/>
  <c r="AB19" i="14" s="1"/>
  <c r="AC19" i="14" s="1"/>
  <c r="AE19" i="14" s="1"/>
  <c r="AB22" i="14" a="1"/>
  <c r="AB22" i="14" s="1"/>
  <c r="AC22" i="14" s="1"/>
  <c r="AE22" i="14" s="1"/>
  <c r="AB26" i="14" a="1"/>
  <c r="AB26" i="14" s="1"/>
  <c r="AC26" i="14" s="1"/>
  <c r="AE26" i="14" s="1"/>
  <c r="AB33" i="14" a="1"/>
  <c r="AB33" i="14" s="1"/>
  <c r="AC33" i="14" s="1"/>
  <c r="AE33" i="14" s="1"/>
  <c r="AB35" i="14" a="1"/>
  <c r="AB35" i="14" s="1"/>
  <c r="AC35" i="14" s="1"/>
  <c r="AE35" i="14" s="1"/>
  <c r="AB32" i="14" a="1"/>
  <c r="AB32" i="14" s="1"/>
  <c r="AC32" i="14" s="1"/>
  <c r="AE32" i="14" s="1"/>
  <c r="AB9" i="14" a="1"/>
  <c r="AB9" i="14" s="1"/>
  <c r="AC9" i="14" s="1"/>
  <c r="AE9" i="14" s="1"/>
  <c r="AB31" i="14" a="1"/>
  <c r="AB31" i="14" s="1"/>
  <c r="AC31" i="14" s="1"/>
  <c r="AE31" i="14" s="1"/>
  <c r="AD42" i="25" a="1"/>
  <c r="AD42" i="25" s="1"/>
  <c r="I13" i="27" s="1" a="1"/>
  <c r="I13" i="27" s="1"/>
  <c r="I9" i="27" a="1"/>
  <c r="I9" i="27" s="1"/>
  <c r="I12" i="27" a="1"/>
  <c r="I12" i="27" s="1"/>
  <c r="I15" i="27" a="1"/>
  <c r="I15" i="27" s="1"/>
  <c r="I10" i="28" a="1"/>
  <c r="I10" i="28" s="1"/>
  <c r="AO32" i="14" a="1"/>
  <c r="AO32" i="14" s="1"/>
  <c r="C7" i="27" a="1"/>
  <c r="C7" i="27" s="1"/>
  <c r="C7" i="28" a="1"/>
  <c r="C7" i="28" s="1"/>
  <c r="AO5" i="14" a="1"/>
  <c r="AO5" i="14" s="1"/>
  <c r="AB5" i="14" a="1"/>
  <c r="AB5" i="14" s="1"/>
  <c r="AC5" i="14" s="1"/>
  <c r="AE5" i="14" s="1"/>
  <c r="AO29" i="14" a="1"/>
  <c r="AO29" i="14" s="1"/>
  <c r="AO12" i="14" a="1"/>
  <c r="AO12" i="14" s="1"/>
  <c r="AU43" i="25" s="1" a="1"/>
  <c r="AU43" i="25" s="1"/>
  <c r="I7" i="28" a="1"/>
  <c r="I7" i="28" s="1"/>
  <c r="I7" i="27" a="1"/>
  <c r="I7" i="27" s="1"/>
  <c r="AO24" i="14" a="1"/>
  <c r="AO24" i="14" s="1"/>
  <c r="AO17" i="14" a="1"/>
  <c r="AO17" i="14" s="1"/>
  <c r="AO38" i="14" a="1"/>
  <c r="AO38" i="14" s="1"/>
  <c r="AD38" i="14" s="1" a="1"/>
  <c r="AD38" i="14" s="1"/>
  <c r="AO10" i="14" a="1"/>
  <c r="AO10" i="14" s="1"/>
  <c r="AO31" i="14" a="1"/>
  <c r="AO31" i="14" s="1"/>
  <c r="AO7" i="14" a="1"/>
  <c r="AO7" i="14" s="1"/>
  <c r="I14" i="27" a="1"/>
  <c r="I14" i="27" s="1"/>
  <c r="I9" i="28" a="1"/>
  <c r="I9" i="28" s="1"/>
  <c r="C10" i="28" a="1"/>
  <c r="C10" i="28" s="1"/>
  <c r="C15" i="27" a="1"/>
  <c r="C15" i="27" s="1"/>
  <c r="I16" i="27" a="1"/>
  <c r="I16" i="27" s="1"/>
  <c r="I11" i="28" a="1"/>
  <c r="I11" i="28" s="1"/>
  <c r="F7" i="27" a="1"/>
  <c r="F7" i="27" s="1"/>
  <c r="AO9" i="14" a="1"/>
  <c r="AO9" i="14" s="1"/>
  <c r="AO13" i="14" a="1"/>
  <c r="AO13" i="14" s="1"/>
  <c r="AD13" i="14" s="1" a="1"/>
  <c r="AD13" i="14" s="1"/>
  <c r="AO35" i="14" a="1"/>
  <c r="AO35" i="14" s="1"/>
  <c r="AD35" i="14" s="1" a="1"/>
  <c r="AD35" i="14" s="1"/>
  <c r="AO27" i="14" a="1"/>
  <c r="AO27" i="14" s="1"/>
  <c r="AO18" i="14" a="1"/>
  <c r="AO18" i="14" s="1"/>
  <c r="AO36" i="14" a="1"/>
  <c r="AO36" i="14" s="1"/>
  <c r="AO23" i="14" a="1"/>
  <c r="AO23" i="14" s="1"/>
  <c r="AD23" i="14" s="1" a="1"/>
  <c r="AD23" i="14" s="1"/>
  <c r="AO39" i="14" a="1"/>
  <c r="AO39" i="14" s="1"/>
  <c r="C14" i="27" a="1"/>
  <c r="C14" i="27" s="1"/>
  <c r="C9" i="28" a="1"/>
  <c r="C9" i="28" s="1"/>
  <c r="C16" i="27" a="1"/>
  <c r="C16" i="27" s="1"/>
  <c r="C11" i="28" a="1"/>
  <c r="C11" i="28" s="1"/>
  <c r="AO33" i="14" a="1"/>
  <c r="AO33" i="14" s="1"/>
  <c r="AO21" i="14" a="1"/>
  <c r="AO21" i="14" s="1"/>
  <c r="AO14" i="14" a="1"/>
  <c r="AO14" i="14" s="1"/>
  <c r="AD14" i="14" s="1" a="1"/>
  <c r="AD14" i="14" s="1"/>
  <c r="C9" i="27" a="1"/>
  <c r="C9" i="27" s="1"/>
  <c r="C12" i="27" a="1"/>
  <c r="C12" i="27" s="1"/>
  <c r="C8" i="28" a="1"/>
  <c r="C8" i="28" s="1"/>
  <c r="AO16" i="14" a="1"/>
  <c r="AO16" i="14" s="1"/>
  <c r="AO34" i="14" a="1"/>
  <c r="AO34" i="14" s="1"/>
  <c r="AD34" i="14" s="1" a="1"/>
  <c r="AD34" i="14" s="1"/>
  <c r="F16" i="27" a="1"/>
  <c r="F16" i="27" s="1"/>
  <c r="F11" i="28" a="1"/>
  <c r="F11" i="28" s="1"/>
  <c r="F3" i="28" s="1" a="1"/>
  <c r="F3" i="28" s="1"/>
  <c r="I6" i="27" a="1"/>
  <c r="I6" i="27" s="1"/>
  <c r="I6" i="28" a="1"/>
  <c r="I6" i="28" s="1"/>
  <c r="AO25" i="14" a="1"/>
  <c r="AO25" i="14" s="1"/>
  <c r="M6" i="28" a="1"/>
  <c r="M6" i="28" s="1"/>
  <c r="M6" i="27" a="1"/>
  <c r="M6" i="27" s="1"/>
  <c r="AO6" i="14" a="1"/>
  <c r="AO6" i="14" s="1"/>
  <c r="AO11" i="14" a="1"/>
  <c r="AO11" i="14" s="1"/>
  <c r="AO19" i="14" a="1"/>
  <c r="AO19" i="14" s="1"/>
  <c r="AO22" i="14" a="1"/>
  <c r="AO22" i="14" s="1"/>
  <c r="AD22" i="14" s="1" a="1"/>
  <c r="AD22" i="14" s="1"/>
  <c r="AO26" i="14" a="1"/>
  <c r="AO26" i="14" s="1"/>
  <c r="AO30" i="14" a="1"/>
  <c r="AO30" i="14" s="1"/>
  <c r="C6" i="28" a="1"/>
  <c r="C6" i="28" s="1"/>
  <c r="C6" i="27" a="1"/>
  <c r="C6" i="27" s="1"/>
  <c r="R80" i="14"/>
  <c r="AL80" i="14" s="1"/>
  <c r="AD40" i="14" a="1"/>
  <c r="AD40" i="14" s="1"/>
  <c r="AY15" i="25"/>
  <c r="AL70" i="14"/>
  <c r="AL64" i="14"/>
  <c r="AQ64" i="14"/>
  <c r="AT18" i="25" s="1"/>
  <c r="AQ70" i="14"/>
  <c r="AT26" i="25" s="1"/>
  <c r="AL66" i="14"/>
  <c r="AQ66" i="14"/>
  <c r="AT20" i="25" s="1"/>
  <c r="AL68" i="14"/>
  <c r="AQ68" i="14"/>
  <c r="AT24" i="25" s="1"/>
  <c r="Q32" i="14"/>
  <c r="AL24" i="14"/>
  <c r="AE5" i="25"/>
  <c r="AA78" i="14"/>
  <c r="AL56" i="14"/>
  <c r="R12" i="14"/>
  <c r="AK12" i="14" s="1"/>
  <c r="AG28" i="25"/>
  <c r="AL74" i="14"/>
  <c r="AY33" i="25"/>
  <c r="AA8" i="14"/>
  <c r="AG30" i="25"/>
  <c r="AQ56" i="14"/>
  <c r="AT10" i="25" s="1"/>
  <c r="AQ74" i="14"/>
  <c r="AT30" i="25" s="1"/>
  <c r="AL58" i="14"/>
  <c r="AQ58" i="14"/>
  <c r="AT12" i="25" s="1"/>
  <c r="AL41" i="14"/>
  <c r="AA7" i="14"/>
  <c r="AQ76" i="14"/>
  <c r="AT32" i="25" s="1"/>
  <c r="R49" i="14"/>
  <c r="AK49" i="14" s="1"/>
  <c r="AL43" i="14"/>
  <c r="AL72" i="14"/>
  <c r="AL62" i="14"/>
  <c r="AQ72" i="14"/>
  <c r="AT28" i="25" s="1"/>
  <c r="AL76" i="14"/>
  <c r="AQ43" i="14"/>
  <c r="AT39" i="25" s="1"/>
  <c r="AQ41" i="14"/>
  <c r="AD20" i="14" a="1"/>
  <c r="AD20" i="14" s="1"/>
  <c r="AA24" i="14"/>
  <c r="AL60" i="14"/>
  <c r="AQ60" i="14"/>
  <c r="AT14" i="25" s="1"/>
  <c r="AY9" i="25"/>
  <c r="AY35" i="25"/>
  <c r="AL31" i="14"/>
  <c r="AA21" i="14"/>
  <c r="AY22" i="25"/>
  <c r="BA21" i="25"/>
  <c r="BB21" i="25" s="1"/>
  <c r="AY42" i="25"/>
  <c r="AY17" i="25"/>
  <c r="AL46" i="14"/>
  <c r="BA15" i="25"/>
  <c r="BB15" i="25" s="1"/>
  <c r="AL30" i="14"/>
  <c r="AY18" i="25"/>
  <c r="AA79" i="14"/>
  <c r="AY28" i="25"/>
  <c r="AY27" i="25"/>
  <c r="AY23" i="25"/>
  <c r="AA37" i="14"/>
  <c r="R22" i="14"/>
  <c r="AK22" i="14" s="1"/>
  <c r="AG14" i="25" s="1"/>
  <c r="AY20" i="25"/>
  <c r="AY13" i="25"/>
  <c r="AY34" i="25"/>
  <c r="AY39" i="25"/>
  <c r="AL32" i="14"/>
  <c r="BA27" i="25"/>
  <c r="AS16" i="25"/>
  <c r="AY44" i="25"/>
  <c r="BA9" i="25"/>
  <c r="R5" i="14"/>
  <c r="AK5" i="14" s="1"/>
  <c r="AP64" i="14"/>
  <c r="AU64" i="14" s="1" a="1"/>
  <c r="AU64" i="14" s="1"/>
  <c r="AT64" i="14" s="1" a="1"/>
  <c r="AT64" i="14" s="1"/>
  <c r="BA26" i="25"/>
  <c r="BB26" i="25" s="1"/>
  <c r="R37" i="14"/>
  <c r="AK37" i="14" s="1"/>
  <c r="AY14" i="25"/>
  <c r="AY8" i="25"/>
  <c r="AY26" i="25"/>
  <c r="BA17" i="25"/>
  <c r="BB17" i="25" s="1"/>
  <c r="AY24" i="25"/>
  <c r="AY19" i="25"/>
  <c r="AY41" i="25"/>
  <c r="BA42" i="25"/>
  <c r="AA40" i="14"/>
  <c r="AY10" i="25"/>
  <c r="BA22" i="25"/>
  <c r="BB22" i="25" s="1"/>
  <c r="AC40" i="14"/>
  <c r="AE40" i="14" s="1"/>
  <c r="AY36" i="25"/>
  <c r="BA20" i="25"/>
  <c r="BB20" i="25" s="1"/>
  <c r="Z64" i="14"/>
  <c r="AA32" i="14"/>
  <c r="AQ71" i="14"/>
  <c r="AT27" i="25" s="1"/>
  <c r="R48" i="14"/>
  <c r="BA6" i="25"/>
  <c r="BB6" i="25" s="1"/>
  <c r="Q13" i="14"/>
  <c r="AQ46" i="14"/>
  <c r="AT35" i="25" s="1"/>
  <c r="AY6" i="25"/>
  <c r="Z77" i="14"/>
  <c r="AA77" i="14" s="1"/>
  <c r="BA19" i="25"/>
  <c r="BB19" i="25" s="1"/>
  <c r="AS43" i="25"/>
  <c r="AQ54" i="14"/>
  <c r="AT8" i="25" s="1"/>
  <c r="AY30" i="25"/>
  <c r="AY21" i="25"/>
  <c r="AY12" i="25"/>
  <c r="AK77" i="14"/>
  <c r="AY5" i="25"/>
  <c r="AL42" i="14"/>
  <c r="AY43" i="25"/>
  <c r="BA31" i="25"/>
  <c r="BA16" i="25"/>
  <c r="BB16" i="25" s="1"/>
  <c r="BA10" i="25"/>
  <c r="AL14" i="14"/>
  <c r="AL51" i="14"/>
  <c r="AY38" i="25"/>
  <c r="R19" i="14"/>
  <c r="AL19" i="14" s="1"/>
  <c r="AK13" i="14"/>
  <c r="AL13" i="14"/>
  <c r="AK23" i="14"/>
  <c r="AL23" i="14"/>
  <c r="AS77" i="14"/>
  <c r="AY11" i="25"/>
  <c r="AY40" i="25"/>
  <c r="AY16" i="25"/>
  <c r="R28" i="14"/>
  <c r="AL28" i="14" s="1"/>
  <c r="BA8" i="25"/>
  <c r="BB8" i="25" s="1"/>
  <c r="BA12" i="25"/>
  <c r="BB12" i="25" s="1"/>
  <c r="AY31" i="25"/>
  <c r="AY7" i="25"/>
  <c r="Q20" i="14"/>
  <c r="R20" i="14" s="1"/>
  <c r="R29" i="14"/>
  <c r="AK29" i="14" s="1"/>
  <c r="AG26" i="25" s="1"/>
  <c r="AP53" i="14"/>
  <c r="AB53" i="14" s="1" a="1"/>
  <c r="AB53" i="14" s="1"/>
  <c r="AP51" i="14"/>
  <c r="AU51" i="14" s="1" a="1"/>
  <c r="AU51" i="14" s="1"/>
  <c r="AT51" i="14" s="1" a="1"/>
  <c r="AT51" i="14" s="1"/>
  <c r="AA17" i="14"/>
  <c r="AP55" i="14"/>
  <c r="AB55" i="14" s="1" a="1"/>
  <c r="AB55" i="14" s="1"/>
  <c r="AP59" i="14"/>
  <c r="AU59" i="14" s="1" a="1"/>
  <c r="AU59" i="14" s="1"/>
  <c r="AT59" i="14" s="1" a="1"/>
  <c r="AT59" i="14" s="1"/>
  <c r="AC15" i="14"/>
  <c r="AE15" i="14" s="1"/>
  <c r="R79" i="14"/>
  <c r="AL79" i="14" s="1"/>
  <c r="BA14" i="25"/>
  <c r="BB14" i="25" s="1"/>
  <c r="AA25" i="14"/>
  <c r="AY29" i="25"/>
  <c r="Q11" i="14"/>
  <c r="BA7" i="25"/>
  <c r="BB7" i="25" s="1"/>
  <c r="AP65" i="14"/>
  <c r="AB65" i="14" s="1" a="1"/>
  <c r="AB65" i="14" s="1"/>
  <c r="AP42" i="14"/>
  <c r="AB42" i="14" s="1" a="1"/>
  <c r="AB42" i="14" s="1"/>
  <c r="AQ69" i="14"/>
  <c r="AT25" i="25" s="1"/>
  <c r="AP52" i="14"/>
  <c r="AU52" i="14" s="1" a="1"/>
  <c r="AU52" i="14" s="1"/>
  <c r="AT52" i="14" s="1" a="1"/>
  <c r="AT52" i="14" s="1"/>
  <c r="AP41" i="14"/>
  <c r="AU41" i="14" s="1" a="1"/>
  <c r="AU41" i="14" s="1"/>
  <c r="AT41" i="14" s="1" a="1"/>
  <c r="AT41" i="14" s="1"/>
  <c r="AP67" i="14"/>
  <c r="AU67" i="14" s="1" a="1"/>
  <c r="AU67" i="14" s="1"/>
  <c r="AT67" i="14" s="1" a="1"/>
  <c r="AT67" i="14" s="1"/>
  <c r="Z53" i="14"/>
  <c r="AH7" i="25" s="1"/>
  <c r="AL77" i="14"/>
  <c r="AY25" i="25"/>
  <c r="BA23" i="25"/>
  <c r="BB23" i="25" s="1"/>
  <c r="AA28" i="14"/>
  <c r="AQ73" i="14"/>
  <c r="AT29" i="25" s="1"/>
  <c r="AO37" i="14" a="1"/>
  <c r="AO37" i="14" s="1"/>
  <c r="R34" i="14"/>
  <c r="AL34" i="14" s="1"/>
  <c r="AA15" i="14"/>
  <c r="AD15" i="14" a="1"/>
  <c r="AD15" i="14" s="1"/>
  <c r="AP82" i="14"/>
  <c r="P11" i="27"/>
  <c r="Z72" i="14"/>
  <c r="AA72" i="14" s="1"/>
  <c r="AP45" i="14"/>
  <c r="AO45" i="14" s="1" a="1"/>
  <c r="AO45" i="14" s="1"/>
  <c r="AP47" i="14"/>
  <c r="AU47" i="14" s="1" a="1"/>
  <c r="AU47" i="14" s="1"/>
  <c r="AT47" i="14" s="1" a="1"/>
  <c r="AT47" i="14" s="1"/>
  <c r="Z42" i="14"/>
  <c r="AH38" i="25" s="1"/>
  <c r="R75" i="14"/>
  <c r="AL75" i="14" s="1"/>
  <c r="AA29" i="14"/>
  <c r="AO28" i="14" a="1"/>
  <c r="AO28" i="14" s="1"/>
  <c r="BA18" i="25"/>
  <c r="BB18" i="25" s="1"/>
  <c r="P10" i="27"/>
  <c r="AP77" i="14"/>
  <c r="Z54" i="14"/>
  <c r="AA54" i="14" s="1"/>
  <c r="AQ44" i="14"/>
  <c r="AT42" i="25" s="1"/>
  <c r="Z59" i="14"/>
  <c r="AH13" i="25" s="1"/>
  <c r="BA39" i="25"/>
  <c r="AK8" i="14"/>
  <c r="AL8" i="14"/>
  <c r="AK40" i="14"/>
  <c r="AG32" i="25" s="1"/>
  <c r="AL40" i="14"/>
  <c r="AK50" i="14"/>
  <c r="AL50" i="14"/>
  <c r="AK39" i="14"/>
  <c r="AG20" i="25" s="1"/>
  <c r="AL39" i="14"/>
  <c r="AK9" i="14"/>
  <c r="AG35" i="25" s="1"/>
  <c r="AL9" i="14"/>
  <c r="AJ5" i="25"/>
  <c r="AO8" i="14" a="1"/>
  <c r="AO8" i="14" s="1"/>
  <c r="AL16" i="14"/>
  <c r="AL82" i="14"/>
  <c r="AL36" i="14"/>
  <c r="R25" i="14"/>
  <c r="AA36" i="14"/>
  <c r="R33" i="14"/>
  <c r="AL33" i="14" s="1"/>
  <c r="Q35" i="14"/>
  <c r="R35" i="14" s="1"/>
  <c r="BA11" i="25"/>
  <c r="BB11" i="25" s="1"/>
  <c r="AP72" i="14"/>
  <c r="AB72" i="14" s="1" a="1"/>
  <c r="AB72" i="14" s="1"/>
  <c r="BA30" i="25"/>
  <c r="BB30" i="25" s="1"/>
  <c r="AC20" i="14"/>
  <c r="AE20" i="14" s="1"/>
  <c r="AS82" i="14"/>
  <c r="Z57" i="14"/>
  <c r="AH11" i="25" s="1"/>
  <c r="AP54" i="14"/>
  <c r="AB54" i="14" s="1" a="1"/>
  <c r="AB54" i="14" s="1"/>
  <c r="AA12" i="14"/>
  <c r="Z82" i="14"/>
  <c r="AI16" i="25" s="1"/>
  <c r="Z67" i="14"/>
  <c r="AH23" i="25" s="1"/>
  <c r="AP43" i="14"/>
  <c r="AB43" i="14" s="1" a="1"/>
  <c r="AB43" i="14" s="1"/>
  <c r="AA10" i="14"/>
  <c r="AA18" i="14"/>
  <c r="Z63" i="14"/>
  <c r="AH17" i="25" s="1"/>
  <c r="AP71" i="14"/>
  <c r="AO71" i="14" s="1" a="1"/>
  <c r="AO71" i="14" s="1"/>
  <c r="AQ50" i="14"/>
  <c r="AT40" i="25" s="1"/>
  <c r="AQ67" i="14"/>
  <c r="AT23" i="25" s="1"/>
  <c r="AD18" i="14" a="1"/>
  <c r="AD18" i="14" s="1"/>
  <c r="AK67" i="14"/>
  <c r="AL67" i="14"/>
  <c r="AK44" i="14"/>
  <c r="AG42" i="25" s="1"/>
  <c r="AL44" i="14"/>
  <c r="AK73" i="14"/>
  <c r="AL73" i="14"/>
  <c r="BA33" i="25"/>
  <c r="BB33" i="25" s="1"/>
  <c r="BA36" i="25"/>
  <c r="R78" i="14"/>
  <c r="AP75" i="14"/>
  <c r="AO75" i="14" s="1" a="1"/>
  <c r="AO75" i="14" s="1"/>
  <c r="AP56" i="14"/>
  <c r="AU56" i="14" s="1" a="1"/>
  <c r="AU56" i="14" s="1"/>
  <c r="AT56" i="14" s="1" a="1"/>
  <c r="AT56" i="14" s="1"/>
  <c r="AQ57" i="14"/>
  <c r="AT11" i="25" s="1"/>
  <c r="AP49" i="14"/>
  <c r="AP63" i="14"/>
  <c r="AB63" i="14" s="1" a="1"/>
  <c r="AB63" i="14" s="1"/>
  <c r="Z71" i="14"/>
  <c r="AH27" i="25" s="1"/>
  <c r="AA16" i="14"/>
  <c r="AA33" i="14"/>
  <c r="AA26" i="14"/>
  <c r="AA23" i="14"/>
  <c r="AP50" i="14"/>
  <c r="AU50" i="14" s="1" a="1"/>
  <c r="AU50" i="14" s="1"/>
  <c r="AT50" i="14" s="1" a="1"/>
  <c r="AT50" i="14" s="1"/>
  <c r="R61" i="14"/>
  <c r="AK61" i="14" s="1"/>
  <c r="AP57" i="14"/>
  <c r="AB57" i="14" s="1" a="1"/>
  <c r="AB57" i="14" s="1"/>
  <c r="AP62" i="14"/>
  <c r="AO62" i="14" s="1" a="1"/>
  <c r="AO62" i="14" s="1"/>
  <c r="Z46" i="14"/>
  <c r="AH35" i="25" s="1"/>
  <c r="R52" i="14"/>
  <c r="AK52" i="14" s="1"/>
  <c r="AG6" i="25" s="1"/>
  <c r="AK82" i="14"/>
  <c r="AG16" i="25" s="1"/>
  <c r="Z51" i="14"/>
  <c r="AA80" i="14"/>
  <c r="AO43" i="14" a="1"/>
  <c r="AO43" i="14" s="1"/>
  <c r="AK54" i="14"/>
  <c r="AG8" i="25" s="1"/>
  <c r="AL54" i="14"/>
  <c r="Z76" i="14"/>
  <c r="AH32" i="25" s="1"/>
  <c r="AP76" i="14"/>
  <c r="AB76" i="14" s="1" a="1"/>
  <c r="AB76" i="14" s="1"/>
  <c r="AF9" i="30"/>
  <c r="AH9" i="30" s="1"/>
  <c r="Z73" i="14"/>
  <c r="AP73" i="14"/>
  <c r="AB73" i="14" s="1" a="1"/>
  <c r="AB73" i="14" s="1"/>
  <c r="Q18" i="14"/>
  <c r="R18" i="14" s="1"/>
  <c r="Z41" i="14"/>
  <c r="AP44" i="14"/>
  <c r="AO44" i="14" s="1" a="1"/>
  <c r="AO44" i="14" s="1"/>
  <c r="AK65" i="14"/>
  <c r="AL65" i="14"/>
  <c r="Q15" i="14"/>
  <c r="R15" i="14" s="1"/>
  <c r="Q27" i="14"/>
  <c r="R27" i="14" s="1"/>
  <c r="AO73" i="14" a="1"/>
  <c r="AO73" i="14" s="1"/>
  <c r="Z61" i="14"/>
  <c r="AP61" i="14"/>
  <c r="AU61" i="14" s="1" a="1"/>
  <c r="AU61" i="14" s="1"/>
  <c r="AT61" i="14" s="1" a="1"/>
  <c r="AT61" i="14" s="1"/>
  <c r="AP68" i="14"/>
  <c r="AB68" i="14" s="1" a="1"/>
  <c r="AB68" i="14" s="1"/>
  <c r="AK69" i="14"/>
  <c r="AL69" i="14"/>
  <c r="T13" i="25"/>
  <c r="BA13" i="25"/>
  <c r="BB13" i="25" s="1"/>
  <c r="AO55" i="14" a="1"/>
  <c r="AO55" i="14" s="1"/>
  <c r="Q6" i="14"/>
  <c r="R6" i="14"/>
  <c r="AO52" i="14" a="1"/>
  <c r="AO52" i="14" s="1"/>
  <c r="T28" i="25"/>
  <c r="BA28" i="25"/>
  <c r="AP70" i="14"/>
  <c r="AB70" i="14" s="1" a="1"/>
  <c r="AB70" i="14" s="1"/>
  <c r="Z70" i="14"/>
  <c r="AH26" i="25" s="1"/>
  <c r="AO80" i="14" a="1"/>
  <c r="AO80" i="14" s="1"/>
  <c r="AU80" i="14" a="1"/>
  <c r="AU80" i="14" s="1"/>
  <c r="AT80" i="14" s="1" a="1"/>
  <c r="AT80" i="14" s="1"/>
  <c r="Z74" i="14"/>
  <c r="AP74" i="14"/>
  <c r="AB74" i="14" s="1" a="1"/>
  <c r="AB74" i="14" s="1"/>
  <c r="AY37" i="25"/>
  <c r="BA37" i="25"/>
  <c r="AO65" i="14" a="1"/>
  <c r="AO65" i="14" s="1"/>
  <c r="Z69" i="14"/>
  <c r="AH25" i="25" s="1"/>
  <c r="AP69" i="14"/>
  <c r="AO69" i="14" s="1" a="1"/>
  <c r="AO69" i="14" s="1"/>
  <c r="AF16" i="30"/>
  <c r="AH16" i="30" s="1"/>
  <c r="Z55" i="14"/>
  <c r="AP46" i="14"/>
  <c r="AB46" i="14" s="1" a="1"/>
  <c r="AB46" i="14" s="1"/>
  <c r="Z60" i="14"/>
  <c r="AH14" i="25" s="1"/>
  <c r="AP60" i="14"/>
  <c r="AO60" i="14" s="1" a="1"/>
  <c r="AO60" i="14" s="1"/>
  <c r="AA9" i="14"/>
  <c r="AF8" i="30"/>
  <c r="AH8" i="30" s="1"/>
  <c r="AF13" i="30"/>
  <c r="AH13" i="30" s="1"/>
  <c r="AF7" i="30"/>
  <c r="AH7" i="30" s="1"/>
  <c r="AF14" i="30"/>
  <c r="AH14" i="30" s="1"/>
  <c r="AF10" i="30"/>
  <c r="AH10" i="30" s="1"/>
  <c r="AF15" i="30"/>
  <c r="AH15" i="30" s="1"/>
  <c r="AF12" i="30"/>
  <c r="AH12" i="30" s="1"/>
  <c r="AF6" i="30"/>
  <c r="AF11" i="30"/>
  <c r="AH11" i="30" s="1"/>
  <c r="AO63" i="14" a="1"/>
  <c r="AO63" i="14" s="1"/>
  <c r="AD63" i="14" s="1" a="1"/>
  <c r="AD63" i="14" s="1"/>
  <c r="AA48" i="14"/>
  <c r="AP48" i="14"/>
  <c r="AO48" i="14" s="1" a="1"/>
  <c r="AO48" i="14" s="1"/>
  <c r="AD48" i="14" s="1" a="1"/>
  <c r="AD48" i="14" s="1"/>
  <c r="AQ45" i="14"/>
  <c r="R45" i="14"/>
  <c r="AQ59" i="14"/>
  <c r="AT13" i="25" s="1"/>
  <c r="R59" i="14"/>
  <c r="Z49" i="14"/>
  <c r="AP58" i="14"/>
  <c r="AB58" i="14" s="1" a="1"/>
  <c r="AB58" i="14" s="1"/>
  <c r="Z58" i="14"/>
  <c r="AA58" i="14" s="1"/>
  <c r="R53" i="14"/>
  <c r="AQ53" i="14"/>
  <c r="AT7" i="25" s="1"/>
  <c r="AK71" i="14"/>
  <c r="AG27" i="25" s="1"/>
  <c r="AL71" i="14"/>
  <c r="Z50" i="14"/>
  <c r="AH40" i="25" s="1"/>
  <c r="Z65" i="14"/>
  <c r="AH19" i="25" s="1"/>
  <c r="Z66" i="14"/>
  <c r="AH20" i="25" s="1"/>
  <c r="AP66" i="14"/>
  <c r="AO66" i="14" s="1" a="1"/>
  <c r="AO66" i="14" s="1"/>
  <c r="AK57" i="14"/>
  <c r="AL57" i="14"/>
  <c r="AA13" i="14"/>
  <c r="Q10" i="14"/>
  <c r="R10" i="14" s="1"/>
  <c r="AO54" i="14" a="1"/>
  <c r="AO54" i="14" s="1"/>
  <c r="AD54" i="14" s="1" a="1"/>
  <c r="AD54" i="14" s="1"/>
  <c r="AQ51" i="14"/>
  <c r="AT41" i="25" s="1"/>
  <c r="Z44" i="14"/>
  <c r="AH42" i="25" s="1"/>
  <c r="M13" i="27" s="1" a="1"/>
  <c r="M13" i="27" s="1"/>
  <c r="AO64" i="14" a="1"/>
  <c r="AO64" i="14" s="1"/>
  <c r="AD64" i="14" s="1" a="1"/>
  <c r="AD64" i="14" s="1"/>
  <c r="AO42" i="14" a="1"/>
  <c r="AO42" i="14" s="1"/>
  <c r="AD42" i="14" s="1" a="1"/>
  <c r="AD42" i="14" s="1"/>
  <c r="AA34" i="14"/>
  <c r="AO59" i="14" a="1"/>
  <c r="AO59" i="14" s="1"/>
  <c r="AD59" i="14" s="1" a="1"/>
  <c r="AD59" i="14" s="1"/>
  <c r="AA14" i="14"/>
  <c r="AO51" i="14" a="1"/>
  <c r="AO51" i="14" s="1"/>
  <c r="AD51" i="14" s="1" a="1"/>
  <c r="AD51" i="14" s="1"/>
  <c r="AO56" i="14" a="1"/>
  <c r="AO56" i="14" s="1"/>
  <c r="BA25" i="25"/>
  <c r="BA41" i="25"/>
  <c r="BA38" i="25"/>
  <c r="BA44" i="25"/>
  <c r="AA35" i="14"/>
  <c r="P8" i="27"/>
  <c r="Z45" i="14"/>
  <c r="AA45" i="14" s="1"/>
  <c r="R47" i="14"/>
  <c r="AO81" i="14" a="1"/>
  <c r="AO81" i="14" s="1"/>
  <c r="AU81" i="14" a="1"/>
  <c r="AU81" i="14" s="1"/>
  <c r="AT81" i="14" s="1" a="1"/>
  <c r="AT81" i="14" s="1"/>
  <c r="AO41" i="14" a="1"/>
  <c r="AO41" i="14" s="1"/>
  <c r="R55" i="14"/>
  <c r="Q26" i="14"/>
  <c r="R26" i="14" s="1"/>
  <c r="Z56" i="14"/>
  <c r="AA27" i="14"/>
  <c r="Z43" i="14"/>
  <c r="AH39" i="25" s="1"/>
  <c r="AA19" i="14"/>
  <c r="AA22" i="14"/>
  <c r="BA29" i="25"/>
  <c r="BA43" i="25"/>
  <c r="BA40" i="25"/>
  <c r="AA31" i="14"/>
  <c r="AQ65" i="14"/>
  <c r="AT19" i="25" s="1"/>
  <c r="BA34" i="25"/>
  <c r="AA81" i="14"/>
  <c r="Z47" i="14"/>
  <c r="Z62" i="14"/>
  <c r="Q17" i="14"/>
  <c r="R17" i="14" s="1"/>
  <c r="AC29" i="14"/>
  <c r="AE29" i="14" s="1"/>
  <c r="AA20" i="14"/>
  <c r="Z52" i="14"/>
  <c r="Z75" i="14"/>
  <c r="R81" i="14"/>
  <c r="Q21" i="14"/>
  <c r="R21" i="14" s="1"/>
  <c r="AA6" i="14"/>
  <c r="Q38" i="14"/>
  <c r="R38" i="14" s="1"/>
  <c r="AU79" i="14" a="1"/>
  <c r="AU79" i="14" s="1"/>
  <c r="AT79" i="14" s="1" a="1"/>
  <c r="AT79" i="14" s="1"/>
  <c r="AO79" i="14" a="1"/>
  <c r="AO79" i="14" s="1"/>
  <c r="AC79" i="14"/>
  <c r="AE79" i="14" s="1"/>
  <c r="Z68" i="14"/>
  <c r="Q7" i="14"/>
  <c r="R7" i="14"/>
  <c r="AA38" i="14"/>
  <c r="AU78" i="14" a="1"/>
  <c r="AU78" i="14" s="1"/>
  <c r="AT78" i="14" s="1" a="1"/>
  <c r="AT78" i="14" s="1"/>
  <c r="AO78" i="14" a="1"/>
  <c r="AO78" i="14" s="1"/>
  <c r="AO47" i="14" a="1"/>
  <c r="AO47" i="14" s="1"/>
  <c r="AO67" i="14" a="1"/>
  <c r="AO67" i="14" s="1"/>
  <c r="AD67" i="14" s="1" a="1"/>
  <c r="AD67" i="14" s="1"/>
  <c r="AO74" i="14" a="1"/>
  <c r="AO74" i="14" s="1"/>
  <c r="AY32" i="25"/>
  <c r="BA32" i="25"/>
  <c r="AO72" i="14" a="1"/>
  <c r="AO72" i="14" s="1"/>
  <c r="BA35" i="25"/>
  <c r="BA24" i="25"/>
  <c r="BA5" i="25"/>
  <c r="AF3" i="30" l="1" a="1"/>
  <c r="AF3" i="30" s="1"/>
  <c r="C3" i="28" a="1"/>
  <c r="C3" i="28" s="1"/>
  <c r="F3" i="27" a="1"/>
  <c r="F3" i="27" s="1"/>
  <c r="AL63" i="14"/>
  <c r="I3" i="27" a="1"/>
  <c r="I3" i="27" s="1"/>
  <c r="C3" i="27" a="1"/>
  <c r="C3" i="27" s="1"/>
  <c r="AT37" i="25"/>
  <c r="AQ3" i="14" a="1"/>
  <c r="AQ3" i="14" s="1"/>
  <c r="AG37" i="25"/>
  <c r="BA2" i="25" a="1"/>
  <c r="BA2" i="25" s="1"/>
  <c r="AY2" i="25" a="1"/>
  <c r="AY2" i="25" s="1"/>
  <c r="AD2" i="25" a="1"/>
  <c r="AD2" i="25" s="1"/>
  <c r="AN71" i="14" a="1"/>
  <c r="AN71" i="14" s="1"/>
  <c r="AN69" i="14" a="1"/>
  <c r="AN69" i="14" s="1"/>
  <c r="AN54" i="14" a="1"/>
  <c r="AN54" i="14" s="1"/>
  <c r="AM54" i="14" s="1" a="1"/>
  <c r="AM54" i="14" s="1"/>
  <c r="AN40" i="14" a="1"/>
  <c r="AN40" i="14" s="1"/>
  <c r="AM40" i="14" s="1" a="1"/>
  <c r="AM40" i="14" s="1"/>
  <c r="AN13" i="14" a="1"/>
  <c r="AN13" i="14" s="1"/>
  <c r="AM13" i="14" s="1" a="1"/>
  <c r="AM13" i="14" s="1"/>
  <c r="AN82" i="14" a="1"/>
  <c r="AN82" i="14" s="1"/>
  <c r="AM82" i="14" s="1" a="1"/>
  <c r="AM82" i="14" s="1"/>
  <c r="AN72" i="14" a="1"/>
  <c r="AN72" i="14" s="1"/>
  <c r="AN73" i="14" a="1"/>
  <c r="AN73" i="14" s="1"/>
  <c r="AN28" i="14" a="1"/>
  <c r="AN28" i="14" s="1"/>
  <c r="AM28" i="14" s="1" a="1"/>
  <c r="AM28" i="14" s="1"/>
  <c r="AN30" i="14" a="1"/>
  <c r="AN30" i="14" s="1"/>
  <c r="AM30" i="14" s="1" a="1"/>
  <c r="AM30" i="14" s="1"/>
  <c r="AN24" i="14" a="1"/>
  <c r="AN24" i="14" s="1"/>
  <c r="AM24" i="14" s="1" a="1"/>
  <c r="AM24" i="14" s="1"/>
  <c r="AN64" i="14" a="1"/>
  <c r="AN64" i="14" s="1"/>
  <c r="AN23" i="14" a="1"/>
  <c r="AN23" i="14" s="1"/>
  <c r="AM23" i="14" s="1" a="1"/>
  <c r="AM23" i="14" s="1"/>
  <c r="AN66" i="14" a="1"/>
  <c r="AN66" i="14" s="1"/>
  <c r="AN16" i="14" a="1"/>
  <c r="AN16" i="14" s="1"/>
  <c r="AM16" i="14" s="1" a="1"/>
  <c r="AM16" i="14" s="1"/>
  <c r="AN33" i="14" a="1"/>
  <c r="AN33" i="14" s="1"/>
  <c r="AM33" i="14" s="1" a="1"/>
  <c r="AM33" i="14" s="1"/>
  <c r="AN9" i="14" a="1"/>
  <c r="AN9" i="14" s="1"/>
  <c r="AM9" i="14" s="1" a="1"/>
  <c r="AM9" i="14" s="1"/>
  <c r="AN8" i="14" a="1"/>
  <c r="AN8" i="14" s="1"/>
  <c r="AM8" i="14" s="1" a="1"/>
  <c r="AM8" i="14" s="1"/>
  <c r="AN19" i="14" a="1"/>
  <c r="AN19" i="14" s="1"/>
  <c r="AM19" i="14" s="1" a="1"/>
  <c r="AM19" i="14" s="1"/>
  <c r="AN31" i="14" a="1"/>
  <c r="AN31" i="14" s="1"/>
  <c r="AM31" i="14" s="1" a="1"/>
  <c r="AM31" i="14" s="1"/>
  <c r="AN44" i="14" a="1"/>
  <c r="AN44" i="14" s="1"/>
  <c r="AN79" i="14" a="1"/>
  <c r="AN79" i="14" s="1"/>
  <c r="AN74" i="14" a="1"/>
  <c r="AN74" i="14" s="1"/>
  <c r="AN39" i="14" a="1"/>
  <c r="AN39" i="14" s="1"/>
  <c r="AM39" i="14" s="1" a="1"/>
  <c r="AM39" i="14" s="1"/>
  <c r="AN34" i="14" a="1"/>
  <c r="AN34" i="14" s="1"/>
  <c r="AM34" i="14" s="1" a="1"/>
  <c r="AM34" i="14" s="1"/>
  <c r="AN36" i="14" a="1"/>
  <c r="AN36" i="14" s="1"/>
  <c r="AM36" i="14" s="1" a="1"/>
  <c r="AM36" i="14" s="1"/>
  <c r="AN77" i="14" a="1"/>
  <c r="AN77" i="14" s="1"/>
  <c r="AM77" i="14" s="1" a="1"/>
  <c r="AM77" i="14" s="1"/>
  <c r="AN14" i="14" a="1"/>
  <c r="AN14" i="14" s="1"/>
  <c r="AM14" i="14" s="1" a="1"/>
  <c r="AM14" i="14" s="1"/>
  <c r="AN32" i="14" a="1"/>
  <c r="AN32" i="14" s="1"/>
  <c r="AM32" i="14" s="1" a="1"/>
  <c r="AM32" i="14" s="1"/>
  <c r="AN62" i="14" a="1"/>
  <c r="AN62" i="14" s="1"/>
  <c r="AN80" i="14" a="1"/>
  <c r="AN80" i="14" s="1"/>
  <c r="AD12" i="14" a="1"/>
  <c r="AD12" i="14" s="1"/>
  <c r="AB61" i="14" a="1"/>
  <c r="AB61" i="14" s="1"/>
  <c r="AC61" i="14" s="1"/>
  <c r="AB51" i="14" a="1"/>
  <c r="AB51" i="14" s="1"/>
  <c r="AC51" i="14" s="1"/>
  <c r="AB77" i="14" a="1"/>
  <c r="AB77" i="14" s="1"/>
  <c r="AC77" i="14" s="1"/>
  <c r="AD77" i="14" s="1" a="1"/>
  <c r="AD77" i="14" s="1"/>
  <c r="AB44" i="14" a="1"/>
  <c r="AB44" i="14" s="1"/>
  <c r="AC44" i="14" s="1"/>
  <c r="AB60" i="14" a="1"/>
  <c r="AB60" i="14" s="1"/>
  <c r="AC60" i="14" s="1"/>
  <c r="AB50" i="14" a="1"/>
  <c r="AB50" i="14" s="1"/>
  <c r="AC50" i="14" s="1"/>
  <c r="AB75" i="14" a="1"/>
  <c r="AB75" i="14" s="1"/>
  <c r="AC75" i="14" s="1"/>
  <c r="AB47" i="14" a="1"/>
  <c r="AB47" i="14" s="1"/>
  <c r="AC47" i="14" s="1"/>
  <c r="AB82" i="14" a="1"/>
  <c r="AB82" i="14" s="1"/>
  <c r="AC82" i="14" s="1"/>
  <c r="AD82" i="14" s="1" a="1"/>
  <c r="AD82" i="14" s="1"/>
  <c r="AB48" i="14" a="1"/>
  <c r="AB48" i="14" s="1"/>
  <c r="AC48" i="14" s="1"/>
  <c r="AB59" i="14" a="1"/>
  <c r="AB59" i="14" s="1"/>
  <c r="AC59" i="14" s="1"/>
  <c r="AB69" i="14" a="1"/>
  <c r="AB69" i="14" s="1"/>
  <c r="AC69" i="14" s="1"/>
  <c r="AB62" i="14" a="1"/>
  <c r="AB62" i="14" s="1"/>
  <c r="AC62" i="14" s="1"/>
  <c r="AB64" i="14" a="1"/>
  <c r="AB64" i="14" s="1"/>
  <c r="AC64" i="14" s="1"/>
  <c r="AB71" i="14" a="1"/>
  <c r="AB71" i="14" s="1"/>
  <c r="AC71" i="14" s="1"/>
  <c r="AB49" i="14" a="1"/>
  <c r="AB49" i="14" s="1"/>
  <c r="AC49" i="14" s="1"/>
  <c r="AB41" i="14" a="1"/>
  <c r="AB41" i="14" s="1"/>
  <c r="AC41" i="14" s="1"/>
  <c r="AB67" i="14" a="1"/>
  <c r="AB67" i="14" s="1"/>
  <c r="AC67" i="14" s="1"/>
  <c r="AB52" i="14" a="1"/>
  <c r="AB52" i="14" s="1"/>
  <c r="AC52" i="14" s="1"/>
  <c r="AB56" i="14" a="1"/>
  <c r="AB56" i="14" s="1"/>
  <c r="AC56" i="14" s="1"/>
  <c r="AB45" i="14" a="1"/>
  <c r="AB45" i="14" s="1"/>
  <c r="AC45" i="14" s="1"/>
  <c r="AB66" i="14" a="1"/>
  <c r="AB66" i="14" s="1"/>
  <c r="AC66" i="14" s="1"/>
  <c r="AU27" i="25" a="1"/>
  <c r="AU27" i="25" s="1"/>
  <c r="AU18" i="25" a="1"/>
  <c r="AU18" i="25" s="1"/>
  <c r="AU28" i="25" a="1"/>
  <c r="AU28" i="25" s="1"/>
  <c r="AU16" i="25" a="1"/>
  <c r="AU16" i="25" s="1"/>
  <c r="AU31" i="25" a="1"/>
  <c r="AU31" i="25" s="1"/>
  <c r="AD33" i="14" a="1"/>
  <c r="AD33" i="14" s="1"/>
  <c r="AU19" i="25" a="1"/>
  <c r="AU19" i="25" s="1"/>
  <c r="AD26" i="14" a="1"/>
  <c r="AD26" i="14" s="1"/>
  <c r="AU23" i="25" a="1"/>
  <c r="AU23" i="25" s="1"/>
  <c r="AD6" i="14" a="1"/>
  <c r="AD6" i="14" s="1"/>
  <c r="AU38" i="25" a="1"/>
  <c r="AU38" i="25" s="1"/>
  <c r="AD36" i="14" a="1"/>
  <c r="AD36" i="14" s="1"/>
  <c r="AU30" i="25" a="1"/>
  <c r="AU30" i="25" s="1"/>
  <c r="AD10" i="14" a="1"/>
  <c r="AD10" i="14" s="1"/>
  <c r="AU36" i="25" a="1"/>
  <c r="AU36" i="25" s="1"/>
  <c r="AU37" i="25" a="1"/>
  <c r="AU37" i="25" s="1"/>
  <c r="AD31" i="14" a="1"/>
  <c r="AD31" i="14" s="1"/>
  <c r="AU14" i="25" a="1"/>
  <c r="AU14" i="25" s="1"/>
  <c r="AU29" i="25" a="1"/>
  <c r="AU29" i="25" s="1"/>
  <c r="AU6" i="25" a="1"/>
  <c r="AU6" i="25" s="1"/>
  <c r="AU10" i="25" a="1"/>
  <c r="AU10" i="25" s="1"/>
  <c r="AU41" i="25" a="1"/>
  <c r="AU41" i="25" s="1"/>
  <c r="AU25" i="25" a="1"/>
  <c r="AU25" i="25" s="1"/>
  <c r="AD9" i="14" a="1"/>
  <c r="AD9" i="14" s="1"/>
  <c r="AD24" i="14" a="1"/>
  <c r="AD24" i="14" s="1"/>
  <c r="AD30" i="14" a="1"/>
  <c r="AD30" i="14" s="1"/>
  <c r="AD19" i="14" a="1"/>
  <c r="AD19" i="14" s="1"/>
  <c r="AD25" i="14" a="1"/>
  <c r="AD25" i="14" s="1"/>
  <c r="AU17" i="25" a="1"/>
  <c r="AU17" i="25" s="1"/>
  <c r="AD16" i="14" a="1"/>
  <c r="AD16" i="14" s="1"/>
  <c r="AU8" i="25" a="1"/>
  <c r="AU8" i="25" s="1"/>
  <c r="AD21" i="14" a="1"/>
  <c r="AD21" i="14" s="1"/>
  <c r="AU13" i="25" a="1"/>
  <c r="AU13" i="25" s="1"/>
  <c r="AU20" i="25" a="1"/>
  <c r="AU20" i="25" s="1"/>
  <c r="AD27" i="14" a="1"/>
  <c r="AD27" i="14" s="1"/>
  <c r="AD7" i="14" a="1"/>
  <c r="AD7" i="14" s="1"/>
  <c r="AU39" i="25" a="1"/>
  <c r="AU39" i="25" s="1"/>
  <c r="AD17" i="14" a="1"/>
  <c r="AD17" i="14" s="1"/>
  <c r="AU9" i="25" a="1"/>
  <c r="AU9" i="25" s="1"/>
  <c r="AU42" i="25" a="1"/>
  <c r="AU42" i="25" s="1"/>
  <c r="AU34" i="25" a="1"/>
  <c r="AU34" i="25" s="1"/>
  <c r="AD29" i="14" a="1"/>
  <c r="AD29" i="14" s="1"/>
  <c r="I8" i="28" a="1"/>
  <c r="I8" i="28" s="1"/>
  <c r="I3" i="28" s="1" a="1"/>
  <c r="I3" i="28" s="1"/>
  <c r="AO76" i="14" a="1"/>
  <c r="AO76" i="14" s="1"/>
  <c r="AU32" i="25" s="1" a="1"/>
  <c r="AU32" i="25" s="1"/>
  <c r="AC76" i="14"/>
  <c r="AD8" i="14" a="1"/>
  <c r="AD8" i="14" s="1"/>
  <c r="AR6" i="25"/>
  <c r="AD39" i="14" a="1"/>
  <c r="AD39" i="14" s="1"/>
  <c r="AD5" i="14" a="1"/>
  <c r="AD5" i="14" s="1"/>
  <c r="AF5" i="25"/>
  <c r="J6" i="28" a="1"/>
  <c r="J6" i="28" s="1"/>
  <c r="J6" i="27" a="1"/>
  <c r="J6" i="27" s="1"/>
  <c r="AD11" i="14" a="1"/>
  <c r="AD11" i="14" s="1"/>
  <c r="AU5" i="25" a="1"/>
  <c r="AU5" i="25" s="1"/>
  <c r="AR33" i="25"/>
  <c r="AS33" i="25" s="1"/>
  <c r="AD28" i="14" a="1"/>
  <c r="AD28" i="14" s="1"/>
  <c r="AR44" i="25"/>
  <c r="AR15" i="25"/>
  <c r="AS15" i="25" s="1"/>
  <c r="AR21" i="25"/>
  <c r="AS21" i="25" s="1"/>
  <c r="AR22" i="25"/>
  <c r="AS22" i="25" s="1"/>
  <c r="AR36" i="25"/>
  <c r="AS36" i="25" s="1"/>
  <c r="AD32" i="14" a="1"/>
  <c r="AD32" i="14" s="1"/>
  <c r="AR41" i="25"/>
  <c r="AS41" i="25" s="1"/>
  <c r="AO58" i="14" a="1"/>
  <c r="AO58" i="14" s="1"/>
  <c r="AU12" i="25" s="1" a="1"/>
  <c r="AU12" i="25" s="1"/>
  <c r="AC58" i="14"/>
  <c r="AO53" i="14" a="1"/>
  <c r="AO53" i="14" s="1"/>
  <c r="AU7" i="25" s="1" a="1"/>
  <c r="AU7" i="25" s="1"/>
  <c r="AC53" i="14"/>
  <c r="AR40" i="25"/>
  <c r="AD37" i="14" a="1"/>
  <c r="AD37" i="14" s="1"/>
  <c r="N7" i="28" a="1"/>
  <c r="N7" i="28" s="1"/>
  <c r="N7" i="27" a="1"/>
  <c r="N7" i="27" s="1"/>
  <c r="AR10" i="25"/>
  <c r="AS10" i="25" s="1"/>
  <c r="AR23" i="25"/>
  <c r="AS23" i="25" s="1"/>
  <c r="AR13" i="25"/>
  <c r="AS13" i="25" s="1"/>
  <c r="AR18" i="25"/>
  <c r="AS18" i="25" s="1"/>
  <c r="AK28" i="14"/>
  <c r="AG25" i="25" s="1"/>
  <c r="AJ25" i="25" s="1"/>
  <c r="AK80" i="14"/>
  <c r="AG33" i="25" s="1"/>
  <c r="AJ33" i="25" s="1"/>
  <c r="AO61" i="14" a="1"/>
  <c r="AO61" i="14" s="1"/>
  <c r="AD61" i="14" s="1" a="1"/>
  <c r="AD61" i="14" s="1"/>
  <c r="AL12" i="14"/>
  <c r="AO50" i="14" a="1"/>
  <c r="AO50" i="14" s="1"/>
  <c r="AD50" i="14" s="1" a="1"/>
  <c r="AD50" i="14" s="1"/>
  <c r="BC33" i="25"/>
  <c r="AG43" i="25"/>
  <c r="AL49" i="14"/>
  <c r="AJ14" i="25"/>
  <c r="BC22" i="25"/>
  <c r="AZ9" i="25"/>
  <c r="AD71" i="14" a="1"/>
  <c r="AD71" i="14" s="1"/>
  <c r="AO57" i="14" a="1"/>
  <c r="AO57" i="14" s="1"/>
  <c r="AD57" i="14" s="1" a="1"/>
  <c r="AD57" i="14" s="1"/>
  <c r="AO70" i="14" a="1"/>
  <c r="AO70" i="14" s="1"/>
  <c r="AD70" i="14" s="1" a="1"/>
  <c r="AD70" i="14" s="1"/>
  <c r="AD55" i="14" a="1"/>
  <c r="AD55" i="14" s="1"/>
  <c r="AD72" i="14" a="1"/>
  <c r="AD72" i="14" s="1"/>
  <c r="AD47" i="14" a="1"/>
  <c r="AD47" i="14" s="1"/>
  <c r="AD65" i="14" a="1"/>
  <c r="AD65" i="14" s="1"/>
  <c r="AO68" i="14" a="1"/>
  <c r="AO68" i="14" s="1"/>
  <c r="AD68" i="14" s="1" a="1"/>
  <c r="AD68" i="14" s="1"/>
  <c r="AZ42" i="25"/>
  <c r="AZ10" i="25"/>
  <c r="AZ6" i="25"/>
  <c r="AU48" i="14" a="1"/>
  <c r="AU48" i="14" s="1"/>
  <c r="AT48" i="14" s="1" a="1"/>
  <c r="AT48" i="14" s="1"/>
  <c r="AU73" i="14" a="1"/>
  <c r="AU73" i="14" s="1"/>
  <c r="AT73" i="14" s="1" a="1"/>
  <c r="AT73" i="14" s="1"/>
  <c r="AK79" i="14"/>
  <c r="AG21" i="25" s="1"/>
  <c r="AJ21" i="25" s="1"/>
  <c r="AZ21" i="25"/>
  <c r="AU57" i="14" a="1"/>
  <c r="AU57" i="14" s="1"/>
  <c r="AT57" i="14" s="1" a="1"/>
  <c r="AT57" i="14" s="1"/>
  <c r="AZ15" i="25"/>
  <c r="BB42" i="25"/>
  <c r="AL5" i="14"/>
  <c r="AN5" i="14" s="1" a="1"/>
  <c r="AN5" i="14" s="1"/>
  <c r="AM5" i="14" s="1" a="1"/>
  <c r="AM5" i="14" s="1"/>
  <c r="AZ20" i="25"/>
  <c r="AU63" i="14" a="1"/>
  <c r="AU63" i="14" s="1"/>
  <c r="AT63" i="14" s="1" a="1"/>
  <c r="AT63" i="14" s="1"/>
  <c r="AZ11" i="25"/>
  <c r="AZ14" i="25"/>
  <c r="AI43" i="25"/>
  <c r="AI2" i="25" s="1" a="1"/>
  <c r="AI2" i="25" s="1"/>
  <c r="AU68" i="14" a="1"/>
  <c r="AU68" i="14" s="1"/>
  <c r="AT68" i="14" s="1" a="1"/>
  <c r="AT68" i="14" s="1"/>
  <c r="AU45" i="14" a="1"/>
  <c r="AU45" i="14" s="1"/>
  <c r="AT45" i="14" s="1" a="1"/>
  <c r="AT45" i="14" s="1"/>
  <c r="AZ7" i="25"/>
  <c r="AU62" i="14" a="1"/>
  <c r="AU62" i="14" s="1"/>
  <c r="BB10" i="25"/>
  <c r="AL22" i="14"/>
  <c r="AZ12" i="25"/>
  <c r="AA59" i="14"/>
  <c r="AG40" i="25"/>
  <c r="AJ40" i="25" s="1"/>
  <c r="AC68" i="14"/>
  <c r="AU70" i="14" a="1"/>
  <c r="AU70" i="14" s="1"/>
  <c r="AT70" i="14" s="1" a="1"/>
  <c r="AT70" i="14" s="1"/>
  <c r="AZ39" i="25"/>
  <c r="AZ26" i="25"/>
  <c r="AZ27" i="25"/>
  <c r="AU54" i="14" a="1"/>
  <c r="AU54" i="14" s="1"/>
  <c r="AT54" i="14" s="1" a="1"/>
  <c r="AT54" i="14" s="1"/>
  <c r="AA76" i="14"/>
  <c r="AZ31" i="25"/>
  <c r="BB31" i="25"/>
  <c r="AL29" i="14"/>
  <c r="AZ13" i="25"/>
  <c r="BB27" i="25"/>
  <c r="AU72" i="14" a="1"/>
  <c r="AU72" i="14" s="1"/>
  <c r="AT72" i="14" s="1" a="1"/>
  <c r="AT72" i="14" s="1"/>
  <c r="AA53" i="14"/>
  <c r="AA67" i="14"/>
  <c r="AK75" i="14"/>
  <c r="AG31" i="25" s="1"/>
  <c r="AC72" i="14"/>
  <c r="AK34" i="14"/>
  <c r="AG29" i="25" s="1"/>
  <c r="AU75" i="14" a="1"/>
  <c r="AU75" i="14" s="1"/>
  <c r="AT75" i="14" s="1" a="1"/>
  <c r="AT75" i="14" s="1"/>
  <c r="AA70" i="14"/>
  <c r="AZ18" i="25"/>
  <c r="AU76" i="14" a="1"/>
  <c r="AU76" i="14" s="1"/>
  <c r="AT76" i="14" s="1" a="1"/>
  <c r="AT76" i="14" s="1"/>
  <c r="AC70" i="14"/>
  <c r="AZ8" i="25"/>
  <c r="AZ17" i="25"/>
  <c r="AU71" i="14" a="1"/>
  <c r="AU71" i="14" s="1"/>
  <c r="AT71" i="14" s="1" a="1"/>
  <c r="AT71" i="14" s="1"/>
  <c r="BB9" i="25"/>
  <c r="AU44" i="14" a="1"/>
  <c r="AU44" i="14" s="1"/>
  <c r="AT44" i="14" s="1" a="1"/>
  <c r="AT44" i="14" s="1"/>
  <c r="AC57" i="14"/>
  <c r="AA57" i="14"/>
  <c r="AZ19" i="25"/>
  <c r="AU53" i="14" a="1"/>
  <c r="AU53" i="14" s="1"/>
  <c r="AT53" i="14" s="1" a="1"/>
  <c r="AT53" i="14" s="1"/>
  <c r="AA42" i="14"/>
  <c r="AL37" i="14"/>
  <c r="AG15" i="25"/>
  <c r="AC55" i="14"/>
  <c r="AA66" i="14"/>
  <c r="AD80" i="14" a="1"/>
  <c r="AD80" i="14" s="1"/>
  <c r="AZ16" i="25"/>
  <c r="AU55" i="14" a="1"/>
  <c r="AU55" i="14" s="1"/>
  <c r="AT55" i="14" s="1" a="1"/>
  <c r="AT55" i="14" s="1"/>
  <c r="AA63" i="14"/>
  <c r="AZ22" i="25"/>
  <c r="AU58" i="14" a="1"/>
  <c r="AU58" i="14" s="1"/>
  <c r="AT58" i="14" s="1" a="1"/>
  <c r="AT58" i="14" s="1"/>
  <c r="BE16" i="25"/>
  <c r="AU65" i="14" a="1"/>
  <c r="AU65" i="14" s="1"/>
  <c r="AT65" i="14" s="1" a="1"/>
  <c r="AT65" i="14" s="1"/>
  <c r="AC63" i="14"/>
  <c r="AA60" i="14"/>
  <c r="AA64" i="14"/>
  <c r="AH18" i="25"/>
  <c r="AJ27" i="25"/>
  <c r="AK33" i="14"/>
  <c r="AG18" i="25" s="1"/>
  <c r="AZ23" i="25"/>
  <c r="AK19" i="14"/>
  <c r="AG11" i="25" s="1"/>
  <c r="AC54" i="14"/>
  <c r="AH8" i="25"/>
  <c r="AJ8" i="25" s="1"/>
  <c r="AK20" i="14"/>
  <c r="AG12" i="25" s="1"/>
  <c r="AL20" i="14"/>
  <c r="AA71" i="14"/>
  <c r="AZ33" i="25"/>
  <c r="AC42" i="14"/>
  <c r="AA50" i="14"/>
  <c r="T15" i="30"/>
  <c r="V15" i="30" s="1"/>
  <c r="AL61" i="14"/>
  <c r="BB39" i="25"/>
  <c r="AU69" i="14" a="1"/>
  <c r="AU69" i="14" s="1"/>
  <c r="AT69" i="14" s="1" a="1"/>
  <c r="AT69" i="14" s="1"/>
  <c r="AU74" i="14" a="1"/>
  <c r="AU74" i="14" s="1"/>
  <c r="AT74" i="14" s="1" a="1"/>
  <c r="AT74" i="14" s="1"/>
  <c r="AU42" i="14" a="1"/>
  <c r="AU42" i="14" s="1"/>
  <c r="AT42" i="14" s="1" a="1"/>
  <c r="AT42" i="14" s="1"/>
  <c r="T9" i="30"/>
  <c r="V9" i="30" s="1"/>
  <c r="AA82" i="14"/>
  <c r="AH6" i="30"/>
  <c r="AH3" i="30" s="1" a="1"/>
  <c r="AH3" i="30" s="1"/>
  <c r="T7" i="30"/>
  <c r="V7" i="30" s="1"/>
  <c r="AU43" i="14" a="1"/>
  <c r="AU43" i="14" s="1"/>
  <c r="AT43" i="14" s="1" a="1"/>
  <c r="AT43" i="14" s="1"/>
  <c r="AZ30" i="25"/>
  <c r="AL52" i="14"/>
  <c r="AN52" i="14" s="1" a="1"/>
  <c r="AN52" i="14" s="1"/>
  <c r="AH28" i="25"/>
  <c r="AJ28" i="25" s="1"/>
  <c r="T6" i="30"/>
  <c r="AC65" i="14"/>
  <c r="AA68" i="14"/>
  <c r="AH24" i="25"/>
  <c r="AD75" i="14" a="1"/>
  <c r="AD75" i="14" s="1"/>
  <c r="AH31" i="25"/>
  <c r="AA62" i="14"/>
  <c r="AH16" i="25"/>
  <c r="AJ16" i="25" s="1"/>
  <c r="AD45" i="14" a="1"/>
  <c r="AD45" i="14" s="1"/>
  <c r="AH34" i="25"/>
  <c r="AJ42" i="25"/>
  <c r="AC46" i="14"/>
  <c r="AA55" i="14"/>
  <c r="AH9" i="25"/>
  <c r="AK25" i="14"/>
  <c r="AG17" i="25" s="1"/>
  <c r="AJ17" i="25" s="1"/>
  <c r="AL25" i="14"/>
  <c r="AN63" i="14" s="1" a="1"/>
  <c r="AN63" i="14" s="1"/>
  <c r="AA49" i="14"/>
  <c r="AH43" i="25"/>
  <c r="AA46" i="14"/>
  <c r="AA41" i="14"/>
  <c r="AH37" i="25"/>
  <c r="AA73" i="14"/>
  <c r="AH29" i="25"/>
  <c r="AK35" i="14"/>
  <c r="AG19" i="25" s="1"/>
  <c r="AJ19" i="25" s="1"/>
  <c r="AL35" i="14"/>
  <c r="AJ20" i="25"/>
  <c r="AJ32" i="25"/>
  <c r="AD52" i="14" a="1"/>
  <c r="AD52" i="14" s="1"/>
  <c r="AH6" i="25"/>
  <c r="AA47" i="14"/>
  <c r="AH36" i="25"/>
  <c r="AU66" i="14" a="1"/>
  <c r="AU66" i="14" s="1"/>
  <c r="AT66" i="14" s="1" a="1"/>
  <c r="AT66" i="14" s="1"/>
  <c r="AA65" i="14"/>
  <c r="AA69" i="14"/>
  <c r="AA56" i="14"/>
  <c r="AH10" i="25"/>
  <c r="AH12" i="25"/>
  <c r="AA74" i="14"/>
  <c r="AH30" i="25"/>
  <c r="AJ30" i="25" s="1"/>
  <c r="AA61" i="14"/>
  <c r="AH15" i="25"/>
  <c r="AA51" i="14"/>
  <c r="AH41" i="25"/>
  <c r="M9" i="28" s="1" a="1"/>
  <c r="M9" i="28" s="1"/>
  <c r="AJ35" i="25"/>
  <c r="AD81" i="14" a="1"/>
  <c r="AD81" i="14" s="1"/>
  <c r="AD62" i="14" a="1"/>
  <c r="AD62" i="14" s="1"/>
  <c r="AL78" i="14"/>
  <c r="AN78" i="14" s="1" a="1"/>
  <c r="AN78" i="14" s="1"/>
  <c r="AK78" i="14"/>
  <c r="AG44" i="25" s="1"/>
  <c r="AJ44" i="25" s="1"/>
  <c r="BB36" i="25"/>
  <c r="AZ36" i="25"/>
  <c r="AD60" i="14" a="1"/>
  <c r="AD60" i="14" s="1"/>
  <c r="BB35" i="25"/>
  <c r="AZ35" i="25"/>
  <c r="AK15" i="14"/>
  <c r="AL15" i="14"/>
  <c r="AJ6" i="30"/>
  <c r="AJ16" i="30"/>
  <c r="AL16" i="30" s="1"/>
  <c r="AJ8" i="30"/>
  <c r="AL8" i="30" s="1"/>
  <c r="AU46" i="14" a="1"/>
  <c r="AU46" i="14" s="1"/>
  <c r="AT46" i="14" s="1" a="1"/>
  <c r="AT46" i="14" s="1"/>
  <c r="AJ13" i="30"/>
  <c r="AL13" i="30" s="1"/>
  <c r="BB41" i="25"/>
  <c r="AZ41" i="25"/>
  <c r="AD44" i="14" a="1"/>
  <c r="AD44" i="14" s="1"/>
  <c r="AK10" i="14"/>
  <c r="AL10" i="14"/>
  <c r="AK27" i="14"/>
  <c r="AG24" i="25" s="1"/>
  <c r="AL27" i="14"/>
  <c r="BB32" i="25"/>
  <c r="AZ32" i="25"/>
  <c r="AK7" i="14"/>
  <c r="AG39" i="25" s="1"/>
  <c r="AJ39" i="25" s="1"/>
  <c r="AL7" i="14"/>
  <c r="AN43" i="14" s="1" a="1"/>
  <c r="AN43" i="14" s="1"/>
  <c r="AA52" i="14"/>
  <c r="T12" i="30"/>
  <c r="V12" i="30" s="1"/>
  <c r="AJ26" i="25"/>
  <c r="T13" i="30"/>
  <c r="V13" i="30" s="1"/>
  <c r="T14" i="30"/>
  <c r="V14" i="30" s="1"/>
  <c r="T10" i="30"/>
  <c r="V10" i="30" s="1"/>
  <c r="AC74" i="14"/>
  <c r="AJ14" i="30"/>
  <c r="AL14" i="30" s="1"/>
  <c r="AU60" i="14" a="1"/>
  <c r="AU60" i="14" s="1"/>
  <c r="AT60" i="14" s="1" a="1"/>
  <c r="AT60" i="14" s="1"/>
  <c r="T16" i="30"/>
  <c r="V16" i="30" s="1"/>
  <c r="AJ9" i="30"/>
  <c r="AL9" i="30" s="1"/>
  <c r="AJ10" i="30"/>
  <c r="AL10" i="30" s="1"/>
  <c r="AC73" i="14"/>
  <c r="T11" i="30"/>
  <c r="V11" i="30" s="1"/>
  <c r="BB24" i="25"/>
  <c r="AZ24" i="25"/>
  <c r="AD56" i="14" a="1"/>
  <c r="AD56" i="14" s="1"/>
  <c r="BC44" i="25"/>
  <c r="AK38" i="14"/>
  <c r="AG41" i="25" s="1"/>
  <c r="AL38" i="14"/>
  <c r="AK17" i="14"/>
  <c r="AL17" i="14"/>
  <c r="BB34" i="25"/>
  <c r="AZ34" i="25"/>
  <c r="BB40" i="25"/>
  <c r="AZ40" i="25"/>
  <c r="AD78" i="14" a="1"/>
  <c r="AD78" i="14" s="1"/>
  <c r="AO46" i="14" a="1"/>
  <c r="AO46" i="14" s="1"/>
  <c r="AN46" i="14" s="1" a="1"/>
  <c r="AN46" i="14" s="1"/>
  <c r="AK47" i="14"/>
  <c r="AL47" i="14"/>
  <c r="BB44" i="25"/>
  <c r="AZ44" i="25"/>
  <c r="BB25" i="25"/>
  <c r="AZ25" i="25"/>
  <c r="AA75" i="14"/>
  <c r="AK45" i="14"/>
  <c r="AG34" i="25" s="1"/>
  <c r="AL45" i="14"/>
  <c r="AN45" i="14" s="1" a="1"/>
  <c r="AN45" i="14" s="1"/>
  <c r="AD69" i="14" a="1"/>
  <c r="AD69" i="14" s="1"/>
  <c r="BB28" i="25"/>
  <c r="AZ28" i="25"/>
  <c r="AD41" i="14" a="1"/>
  <c r="AD41" i="14" s="1"/>
  <c r="AC43" i="14"/>
  <c r="BC21" i="25"/>
  <c r="AD79" i="14" a="1"/>
  <c r="AD79" i="14" s="1"/>
  <c r="AK21" i="14"/>
  <c r="AL21" i="14"/>
  <c r="BB43" i="25"/>
  <c r="BF43" i="25" s="1"/>
  <c r="BE43" i="25"/>
  <c r="AZ43" i="25"/>
  <c r="BB38" i="25"/>
  <c r="AZ38" i="25"/>
  <c r="AD66" i="14" a="1"/>
  <c r="AD66" i="14" s="1"/>
  <c r="AT34" i="25"/>
  <c r="T8" i="30"/>
  <c r="V8" i="30" s="1"/>
  <c r="AJ15" i="30"/>
  <c r="AL15" i="30" s="1"/>
  <c r="AJ11" i="30"/>
  <c r="AL11" i="30" s="1"/>
  <c r="AJ7" i="30"/>
  <c r="AL7" i="30" s="1"/>
  <c r="AJ12" i="30"/>
  <c r="AL12" i="30" s="1"/>
  <c r="AD73" i="14" a="1"/>
  <c r="AD73" i="14" s="1"/>
  <c r="AK81" i="14"/>
  <c r="AG22" i="25" s="1"/>
  <c r="AL81" i="14"/>
  <c r="AN81" i="14" s="1" a="1"/>
  <c r="AN81" i="14" s="1"/>
  <c r="BB29" i="25"/>
  <c r="AZ29" i="25"/>
  <c r="AA43" i="14"/>
  <c r="AD43" i="14" a="1"/>
  <c r="AD43" i="14" s="1"/>
  <c r="AK26" i="14"/>
  <c r="AG23" i="25" s="1"/>
  <c r="AJ23" i="25" s="1"/>
  <c r="AL26" i="14"/>
  <c r="AN67" i="14" s="1" a="1"/>
  <c r="AN67" i="14" s="1"/>
  <c r="AK55" i="14"/>
  <c r="AL55" i="14"/>
  <c r="AD74" i="14" a="1"/>
  <c r="AD74" i="14" s="1"/>
  <c r="AK53" i="14"/>
  <c r="AL53" i="14"/>
  <c r="AK59" i="14"/>
  <c r="AL59" i="14"/>
  <c r="BB37" i="25"/>
  <c r="AZ37" i="25"/>
  <c r="AK6" i="14"/>
  <c r="AL6" i="14"/>
  <c r="AA44" i="14"/>
  <c r="AK18" i="14"/>
  <c r="AG10" i="25" s="1"/>
  <c r="AL18" i="14"/>
  <c r="AN56" i="14" s="1" a="1"/>
  <c r="AN56" i="14" s="1"/>
  <c r="BB5" i="25"/>
  <c r="AZ5" i="25"/>
  <c r="AR37" i="25"/>
  <c r="AN5" i="25"/>
  <c r="V6" i="30" l="1"/>
  <c r="V3" i="30" s="1" a="1"/>
  <c r="V3" i="30" s="1"/>
  <c r="T3" i="30" a="1"/>
  <c r="T3" i="30" s="1"/>
  <c r="AL6" i="30"/>
  <c r="AL3" i="30" s="1" a="1"/>
  <c r="AL3" i="30" s="1"/>
  <c r="AJ3" i="30" a="1"/>
  <c r="AJ3" i="30" s="1"/>
  <c r="AT2" i="25" a="1"/>
  <c r="AT2" i="25" s="1"/>
  <c r="AT3" i="14" a="1"/>
  <c r="AT3" i="14" s="1"/>
  <c r="AK3" i="14" a="1"/>
  <c r="AK3" i="14" s="1"/>
  <c r="AZ2" i="25" a="1"/>
  <c r="AZ2" i="25" s="1"/>
  <c r="BB2" i="25" a="1"/>
  <c r="BB2" i="25" s="1"/>
  <c r="AH2" i="25" a="1"/>
  <c r="AH2" i="25" s="1"/>
  <c r="AN61" i="14" a="1"/>
  <c r="AN61" i="14" s="1"/>
  <c r="AM61" i="14" s="1" a="1"/>
  <c r="AM61" i="14" s="1"/>
  <c r="AE15" i="25" s="1"/>
  <c r="AF15" i="25" s="1"/>
  <c r="AN15" i="25" s="1"/>
  <c r="AN68" i="14" a="1"/>
  <c r="AN68" i="14" s="1"/>
  <c r="AM68" i="14" s="1" a="1"/>
  <c r="AM68" i="14" s="1"/>
  <c r="AD58" i="14" a="1"/>
  <c r="AD58" i="14" s="1"/>
  <c r="AN53" i="14" a="1"/>
  <c r="AN53" i="14" s="1"/>
  <c r="AM53" i="14" s="1" a="1"/>
  <c r="AM53" i="14" s="1"/>
  <c r="AN59" i="14" a="1"/>
  <c r="AN59" i="14" s="1"/>
  <c r="AN55" i="14" a="1"/>
  <c r="AN55" i="14" s="1"/>
  <c r="AE8" i="25"/>
  <c r="AF8" i="25" s="1"/>
  <c r="AN8" i="25" s="1"/>
  <c r="AN47" i="14" a="1"/>
  <c r="AN47" i="14" s="1"/>
  <c r="AN20" i="14" a="1"/>
  <c r="AN20" i="14" s="1"/>
  <c r="AM20" i="14" s="1" a="1"/>
  <c r="AM20" i="14" s="1"/>
  <c r="AN22" i="14" a="1"/>
  <c r="AN22" i="14" s="1"/>
  <c r="AM22" i="14" s="1" a="1"/>
  <c r="AM22" i="14" s="1"/>
  <c r="AN58" i="14" a="1"/>
  <c r="AN58" i="14" s="1"/>
  <c r="AN37" i="14" a="1"/>
  <c r="AN37" i="14" s="1"/>
  <c r="AM37" i="14" s="1" a="1"/>
  <c r="AM37" i="14" s="1"/>
  <c r="AN10" i="14" a="1"/>
  <c r="AN10" i="14" s="1"/>
  <c r="AM10" i="14" s="1" a="1"/>
  <c r="AM10" i="14" s="1"/>
  <c r="AN29" i="14" a="1"/>
  <c r="AN29" i="14" s="1"/>
  <c r="AM29" i="14" s="1" a="1"/>
  <c r="AM29" i="14" s="1"/>
  <c r="AN49" i="14" a="1"/>
  <c r="AN49" i="14" s="1"/>
  <c r="AN57" i="14" a="1"/>
  <c r="AN57" i="14" s="1"/>
  <c r="AN60" i="14" a="1"/>
  <c r="AN60" i="14" s="1"/>
  <c r="AN6" i="14" a="1"/>
  <c r="AN6" i="14" s="1"/>
  <c r="AM6" i="14" s="1" a="1"/>
  <c r="AM6" i="14" s="1"/>
  <c r="AN7" i="14" a="1"/>
  <c r="AN7" i="14" s="1"/>
  <c r="AM7" i="14" s="1" a="1"/>
  <c r="AM7" i="14" s="1"/>
  <c r="AN18" i="14" a="1"/>
  <c r="AN18" i="14" s="1"/>
  <c r="AM18" i="14" s="1" a="1"/>
  <c r="AM18" i="14" s="1"/>
  <c r="AN15" i="14" a="1"/>
  <c r="AN15" i="14" s="1"/>
  <c r="AM15" i="14" s="1" a="1"/>
  <c r="AM15" i="14" s="1"/>
  <c r="AN35" i="14" a="1"/>
  <c r="AN35" i="14" s="1"/>
  <c r="AM35" i="14" s="1" a="1"/>
  <c r="AM35" i="14" s="1"/>
  <c r="AN41" i="14" a="1"/>
  <c r="AN41" i="14" s="1"/>
  <c r="AN70" i="14" a="1"/>
  <c r="AN70" i="14" s="1"/>
  <c r="AN17" i="14" a="1"/>
  <c r="AN17" i="14" s="1"/>
  <c r="AM17" i="14" s="1" a="1"/>
  <c r="AM17" i="14" s="1"/>
  <c r="AN25" i="14" a="1"/>
  <c r="AN25" i="14" s="1"/>
  <c r="AM25" i="14" s="1" a="1"/>
  <c r="AM25" i="14" s="1"/>
  <c r="AN50" i="14" a="1"/>
  <c r="AN50" i="14" s="1"/>
  <c r="AN76" i="14" a="1"/>
  <c r="AN76" i="14" s="1"/>
  <c r="AN65" i="14" a="1"/>
  <c r="AN65" i="14" s="1"/>
  <c r="AN21" i="14" a="1"/>
  <c r="AN21" i="14" s="1"/>
  <c r="AM21" i="14" s="1" a="1"/>
  <c r="AM21" i="14" s="1"/>
  <c r="AN26" i="14" a="1"/>
  <c r="AN26" i="14" s="1"/>
  <c r="AM26" i="14" s="1" a="1"/>
  <c r="AM26" i="14" s="1"/>
  <c r="AN12" i="14" a="1"/>
  <c r="AN12" i="14" s="1"/>
  <c r="AM12" i="14" s="1" a="1"/>
  <c r="AM12" i="14" s="1"/>
  <c r="AM46" i="14" a="1"/>
  <c r="AM46" i="14" s="1"/>
  <c r="AE35" i="25" s="1"/>
  <c r="AN38" i="14" a="1"/>
  <c r="AN38" i="14" s="1"/>
  <c r="AM38" i="14" s="1" a="1"/>
  <c r="AM38" i="14" s="1"/>
  <c r="AN27" i="14" a="1"/>
  <c r="AN27" i="14" s="1"/>
  <c r="AM27" i="14" s="1" a="1"/>
  <c r="AM27" i="14" s="1"/>
  <c r="AN51" i="14" a="1"/>
  <c r="AN51" i="14" s="1"/>
  <c r="AM51" i="14" s="1" a="1"/>
  <c r="AM51" i="14" s="1"/>
  <c r="AN42" i="14" a="1"/>
  <c r="AN42" i="14" s="1"/>
  <c r="AM42" i="14" s="1" a="1"/>
  <c r="AM42" i="14" s="1"/>
  <c r="AN75" i="14" a="1"/>
  <c r="AN75" i="14" s="1"/>
  <c r="AM75" i="14" s="1" a="1"/>
  <c r="AM75" i="14" s="1"/>
  <c r="AM44" i="14" a="1"/>
  <c r="AM44" i="14" s="1"/>
  <c r="AE42" i="25" s="1"/>
  <c r="AM72" i="14" a="1"/>
  <c r="AM72" i="14" s="1"/>
  <c r="AE28" i="25" s="1"/>
  <c r="AF28" i="25" s="1"/>
  <c r="AN28" i="25" s="1"/>
  <c r="AM80" i="14" a="1"/>
  <c r="AM80" i="14" s="1"/>
  <c r="AE33" i="25" s="1"/>
  <c r="AF33" i="25" s="1"/>
  <c r="AN33" i="25" s="1"/>
  <c r="AM64" i="14" a="1"/>
  <c r="AM64" i="14" s="1"/>
  <c r="AE18" i="25" s="1"/>
  <c r="AF18" i="25" s="1"/>
  <c r="AN18" i="25" s="1"/>
  <c r="AM69" i="14" a="1"/>
  <c r="AM69" i="14" s="1"/>
  <c r="AE25" i="25" s="1"/>
  <c r="AF25" i="25" s="1"/>
  <c r="AN25" i="25" s="1"/>
  <c r="AM74" i="14" a="1"/>
  <c r="AM74" i="14" s="1"/>
  <c r="AE30" i="25" s="1"/>
  <c r="AF30" i="25" s="1"/>
  <c r="AN30" i="25" s="1"/>
  <c r="AM66" i="14" a="1"/>
  <c r="AM66" i="14" s="1"/>
  <c r="AE20" i="25" s="1"/>
  <c r="AF20" i="25" s="1"/>
  <c r="AN20" i="25" s="1"/>
  <c r="AM73" i="14" a="1"/>
  <c r="AM73" i="14" s="1"/>
  <c r="AE29" i="25" s="1"/>
  <c r="AF29" i="25" s="1"/>
  <c r="AN29" i="25" s="1"/>
  <c r="AM71" i="14" a="1"/>
  <c r="AM71" i="14" s="1"/>
  <c r="AE27" i="25" s="1"/>
  <c r="AF27" i="25" s="1"/>
  <c r="AN27" i="25" s="1"/>
  <c r="AM62" i="14" a="1"/>
  <c r="AM62" i="14" s="1"/>
  <c r="AE16" i="25" s="1"/>
  <c r="AF16" i="25" s="1"/>
  <c r="AN16" i="25" s="1"/>
  <c r="AM79" i="14" a="1"/>
  <c r="AM79" i="14" s="1"/>
  <c r="AE21" i="25" s="1"/>
  <c r="AF21" i="25" s="1"/>
  <c r="AN21" i="25" s="1"/>
  <c r="AU35" i="25" a="1"/>
  <c r="AU35" i="25" s="1"/>
  <c r="AU40" i="25" a="1"/>
  <c r="AU40" i="25" s="1"/>
  <c r="AU24" i="25" a="1"/>
  <c r="AU24" i="25" s="1"/>
  <c r="AU26" i="25" a="1"/>
  <c r="AU26" i="25" s="1"/>
  <c r="AU11" i="25" a="1"/>
  <c r="AU11" i="25" s="1"/>
  <c r="AU15" i="25" a="1"/>
  <c r="AU15" i="25" s="1"/>
  <c r="AD53" i="14" a="1"/>
  <c r="AD53" i="14" s="1"/>
  <c r="AD76" i="14" a="1"/>
  <c r="AD76" i="14" s="1"/>
  <c r="M9" i="27" a="1"/>
  <c r="M9" i="27" s="1"/>
  <c r="AS6" i="25"/>
  <c r="W14" i="27" a="1"/>
  <c r="W14" i="27" s="1"/>
  <c r="W9" i="28" a="1"/>
  <c r="W9" i="28" s="1"/>
  <c r="AS40" i="25"/>
  <c r="AR27" i="25"/>
  <c r="AS27" i="25" s="1"/>
  <c r="AM67" i="14" a="1"/>
  <c r="AM67" i="14" s="1"/>
  <c r="AR30" i="25"/>
  <c r="AS30" i="25" s="1"/>
  <c r="AR25" i="25"/>
  <c r="AS25" i="25" s="1"/>
  <c r="AR28" i="25"/>
  <c r="AS28" i="25" s="1"/>
  <c r="AR35" i="25"/>
  <c r="AS35" i="25" s="1"/>
  <c r="AR31" i="25"/>
  <c r="AS31" i="25" s="1"/>
  <c r="AR17" i="25"/>
  <c r="AS17" i="25" s="1"/>
  <c r="M14" i="27" a="1"/>
  <c r="M14" i="27" s="1"/>
  <c r="K6" i="28" a="1"/>
  <c r="K6" i="28" s="1"/>
  <c r="K6" i="27" a="1"/>
  <c r="K6" i="27" s="1"/>
  <c r="AS44" i="25"/>
  <c r="W11" i="28" a="1"/>
  <c r="W11" i="28" s="1"/>
  <c r="W16" i="27" a="1"/>
  <c r="W16" i="27" s="1"/>
  <c r="AR19" i="25"/>
  <c r="AS19" i="25" s="1"/>
  <c r="AR14" i="25"/>
  <c r="AS14" i="25" s="1"/>
  <c r="AR7" i="25"/>
  <c r="AR29" i="25"/>
  <c r="AS29" i="25" s="1"/>
  <c r="AR20" i="25"/>
  <c r="AS20" i="25" s="1"/>
  <c r="AR9" i="25"/>
  <c r="AS9" i="25" s="1"/>
  <c r="M7" i="27" a="1"/>
  <c r="M7" i="27" s="1"/>
  <c r="M7" i="28" a="1"/>
  <c r="M7" i="28" s="1"/>
  <c r="M8" i="28" a="1"/>
  <c r="M8" i="28" s="1"/>
  <c r="M12" i="27" a="1"/>
  <c r="M12" i="27" s="1"/>
  <c r="AR8" i="25"/>
  <c r="AS8" i="25" s="1"/>
  <c r="AR34" i="25"/>
  <c r="AR5" i="25"/>
  <c r="AM56" i="14" a="1"/>
  <c r="AM56" i="14" s="1"/>
  <c r="AR26" i="25"/>
  <c r="AS26" i="25" s="1"/>
  <c r="AR39" i="25"/>
  <c r="AS39" i="25" s="1"/>
  <c r="AR12" i="25"/>
  <c r="AS12" i="25" s="1"/>
  <c r="AR24" i="25"/>
  <c r="AM43" i="14" a="1"/>
  <c r="AM43" i="14" s="1"/>
  <c r="M16" i="27" a="1"/>
  <c r="M16" i="27" s="1"/>
  <c r="M11" i="28" a="1"/>
  <c r="M11" i="28" s="1"/>
  <c r="M10" i="28" a="1"/>
  <c r="M10" i="28" s="1"/>
  <c r="M15" i="27" a="1"/>
  <c r="M15" i="27" s="1"/>
  <c r="AR38" i="25"/>
  <c r="AR42" i="25"/>
  <c r="W13" i="27" s="1" a="1"/>
  <c r="W13" i="27" s="1"/>
  <c r="AR32" i="25"/>
  <c r="AS32" i="25" s="1"/>
  <c r="N16" i="27" a="1"/>
  <c r="N16" i="27" s="1"/>
  <c r="N3" i="27" s="1" a="1"/>
  <c r="N3" i="27" s="1"/>
  <c r="N11" i="28" a="1"/>
  <c r="N11" i="28" s="1"/>
  <c r="N3" i="28" s="1" a="1"/>
  <c r="N3" i="28" s="1"/>
  <c r="AR11" i="25"/>
  <c r="AS11" i="25" s="1"/>
  <c r="AJ43" i="25"/>
  <c r="AJ18" i="25"/>
  <c r="AJ31" i="25"/>
  <c r="AJ15" i="25"/>
  <c r="AJ10" i="25"/>
  <c r="AJ41" i="25"/>
  <c r="AJ24" i="25"/>
  <c r="AJ12" i="25"/>
  <c r="AJ11" i="25"/>
  <c r="AG7" i="25"/>
  <c r="AJ34" i="25"/>
  <c r="AJ29" i="25"/>
  <c r="AJ6" i="25"/>
  <c r="AJ37" i="25"/>
  <c r="AG13" i="25"/>
  <c r="AJ13" i="25" s="1"/>
  <c r="AJ22" i="25"/>
  <c r="AG9" i="25"/>
  <c r="AJ9" i="25" s="1"/>
  <c r="AD46" i="14" a="1"/>
  <c r="AD46" i="14" s="1"/>
  <c r="AG38" i="25"/>
  <c r="AJ38" i="25" s="1"/>
  <c r="AG36" i="25"/>
  <c r="AS37" i="25"/>
  <c r="AF5" i="14"/>
  <c r="AG5" i="14" s="1"/>
  <c r="AF6" i="14"/>
  <c r="AG6" i="14" s="1"/>
  <c r="AF7" i="14"/>
  <c r="AG7" i="14" s="1"/>
  <c r="AF8" i="14"/>
  <c r="AG8" i="14" s="1"/>
  <c r="AF9" i="14"/>
  <c r="AG9" i="14" s="1"/>
  <c r="AF10" i="14"/>
  <c r="AG10" i="14" s="1"/>
  <c r="AF11" i="14"/>
  <c r="AG11" i="14" s="1"/>
  <c r="AF12" i="14"/>
  <c r="AG12" i="14" s="1"/>
  <c r="AF13" i="14"/>
  <c r="AG13" i="14" s="1"/>
  <c r="AF14" i="14"/>
  <c r="AG14" i="14" s="1"/>
  <c r="AF15" i="14"/>
  <c r="AG15" i="14" s="1"/>
  <c r="AF16" i="14"/>
  <c r="AG16" i="14" s="1"/>
  <c r="AF17" i="14"/>
  <c r="AG17" i="14" s="1"/>
  <c r="AF18" i="14"/>
  <c r="AG18" i="14" s="1"/>
  <c r="AF19" i="14"/>
  <c r="AG19" i="14" s="1"/>
  <c r="AF20" i="14"/>
  <c r="AG20" i="14" s="1"/>
  <c r="AF21" i="14"/>
  <c r="AG21" i="14" s="1"/>
  <c r="AF22" i="14"/>
  <c r="AG22" i="14" s="1"/>
  <c r="AF23" i="14"/>
  <c r="AG23" i="14" s="1"/>
  <c r="AF24" i="14"/>
  <c r="AG24" i="14" s="1"/>
  <c r="AF25" i="14"/>
  <c r="AG25" i="14" s="1"/>
  <c r="AF26" i="14"/>
  <c r="AG26" i="14" s="1"/>
  <c r="AF27" i="14"/>
  <c r="AG27" i="14" s="1"/>
  <c r="AF28" i="14"/>
  <c r="AG28" i="14" s="1"/>
  <c r="AF29" i="14"/>
  <c r="AG29" i="14" s="1"/>
  <c r="AF30" i="14"/>
  <c r="AG30" i="14" s="1"/>
  <c r="AF31" i="14"/>
  <c r="AG31" i="14" s="1"/>
  <c r="AF32" i="14"/>
  <c r="AG32" i="14" s="1"/>
  <c r="AF33" i="14"/>
  <c r="AG33" i="14" s="1"/>
  <c r="AF34" i="14"/>
  <c r="AG34" i="14" s="1"/>
  <c r="AF35" i="14"/>
  <c r="AG35" i="14" s="1"/>
  <c r="AF36" i="14"/>
  <c r="AG36" i="14" s="1"/>
  <c r="AF37" i="14"/>
  <c r="AG37" i="14" s="1"/>
  <c r="AF38" i="14"/>
  <c r="AG38" i="14" s="1"/>
  <c r="AF39" i="14"/>
  <c r="AG39" i="14" s="1"/>
  <c r="AF40" i="14"/>
  <c r="AG40" i="14" s="1"/>
  <c r="AF78" i="14"/>
  <c r="AG78" i="14" s="1"/>
  <c r="AF79" i="14"/>
  <c r="AG79" i="14" s="1"/>
  <c r="AF80" i="14"/>
  <c r="AG80" i="14" s="1"/>
  <c r="AF81" i="14"/>
  <c r="AG81" i="14" s="1"/>
  <c r="M3" i="28" l="1" a="1"/>
  <c r="M3" i="28" s="1"/>
  <c r="L6" i="28"/>
  <c r="M3" i="27" a="1"/>
  <c r="M3" i="27" s="1"/>
  <c r="L6" i="27"/>
  <c r="AU2" i="25" a="1"/>
  <c r="AU2" i="25" s="1"/>
  <c r="AG2" i="25" a="1"/>
  <c r="AG2" i="25" s="1"/>
  <c r="AR2" i="25" a="1"/>
  <c r="AR2" i="25" s="1"/>
  <c r="S6" i="27"/>
  <c r="AE7" i="25"/>
  <c r="AF7" i="25" s="1"/>
  <c r="AN7" i="25" s="1"/>
  <c r="AF42" i="25"/>
  <c r="J13" i="27" a="1"/>
  <c r="J13" i="27" s="1"/>
  <c r="AM57" i="14" a="1"/>
  <c r="AM57" i="14" s="1"/>
  <c r="AE11" i="25" s="1"/>
  <c r="AF11" i="25" s="1"/>
  <c r="AN11" i="25" s="1"/>
  <c r="AM47" i="14" a="1"/>
  <c r="AM47" i="14" s="1"/>
  <c r="AE36" i="25" s="1"/>
  <c r="AF36" i="25" s="1"/>
  <c r="AN36" i="25" s="1"/>
  <c r="AM76" i="14" a="1"/>
  <c r="AM76" i="14" s="1"/>
  <c r="AE32" i="25" s="1"/>
  <c r="AF32" i="25" s="1"/>
  <c r="AN32" i="25" s="1"/>
  <c r="AM41" i="14" a="1"/>
  <c r="AM41" i="14" s="1"/>
  <c r="AE37" i="25" s="1"/>
  <c r="AF37" i="25" s="1"/>
  <c r="AM50" i="14" a="1"/>
  <c r="AM50" i="14" s="1"/>
  <c r="AE40" i="25" s="1"/>
  <c r="AF40" i="25" s="1"/>
  <c r="AM52" i="14" a="1"/>
  <c r="AM52" i="14" s="1"/>
  <c r="AE6" i="25" s="1"/>
  <c r="AM58" i="14" a="1"/>
  <c r="AM58" i="14" s="1"/>
  <c r="AM70" i="14" a="1"/>
  <c r="AM70" i="14" s="1"/>
  <c r="AE26" i="25" s="1"/>
  <c r="AF26" i="25" s="1"/>
  <c r="AN26" i="25" s="1"/>
  <c r="AM60" i="14" a="1"/>
  <c r="AM60" i="14" s="1"/>
  <c r="AE14" i="25" s="1"/>
  <c r="AF14" i="25" s="1"/>
  <c r="AN14" i="25" s="1"/>
  <c r="AM49" i="14" a="1"/>
  <c r="AM49" i="14" s="1"/>
  <c r="AE43" i="25" s="1"/>
  <c r="AM78" i="14" a="1"/>
  <c r="AM78" i="14" s="1"/>
  <c r="AE44" i="25" s="1"/>
  <c r="AF44" i="25" s="1"/>
  <c r="AM59" i="14" a="1"/>
  <c r="AM59" i="14" s="1"/>
  <c r="AE13" i="25" s="1"/>
  <c r="AF13" i="25" s="1"/>
  <c r="AN13" i="25" s="1"/>
  <c r="AM65" i="14" a="1"/>
  <c r="AM65" i="14" s="1"/>
  <c r="AE19" i="25" s="1"/>
  <c r="AF19" i="25" s="1"/>
  <c r="AN19" i="25" s="1"/>
  <c r="AM45" i="14" a="1"/>
  <c r="AM45" i="14" s="1"/>
  <c r="AE34" i="25" s="1"/>
  <c r="AM81" i="14" a="1"/>
  <c r="AM81" i="14" s="1"/>
  <c r="AE22" i="25" s="1"/>
  <c r="AF22" i="25" s="1"/>
  <c r="AM63" i="14" a="1"/>
  <c r="AM63" i="14" s="1"/>
  <c r="AE17" i="25" s="1"/>
  <c r="AF17" i="25" s="1"/>
  <c r="AN17" i="25" s="1"/>
  <c r="AM55" i="14" a="1"/>
  <c r="AM55" i="14" s="1"/>
  <c r="AE9" i="25" s="1"/>
  <c r="AF9" i="25" s="1"/>
  <c r="AS42" i="25"/>
  <c r="X13" i="27" s="1" a="1"/>
  <c r="X13" i="27" s="1"/>
  <c r="Y13" i="27" s="1"/>
  <c r="AS24" i="25"/>
  <c r="X9" i="27" s="1" a="1"/>
  <c r="X9" i="27" s="1"/>
  <c r="W9" i="27" a="1"/>
  <c r="W9" i="27" s="1"/>
  <c r="W15" i="27" a="1"/>
  <c r="W15" i="27" s="1"/>
  <c r="W10" i="28" a="1"/>
  <c r="W10" i="28" s="1"/>
  <c r="AS34" i="25"/>
  <c r="AS38" i="25"/>
  <c r="X12" i="27" s="1" a="1"/>
  <c r="X12" i="27" s="1"/>
  <c r="W8" i="28" a="1"/>
  <c r="W8" i="28" s="1"/>
  <c r="W12" i="27" a="1"/>
  <c r="W12" i="27" s="1"/>
  <c r="AS7" i="25"/>
  <c r="X7" i="28" s="1" a="1"/>
  <c r="X7" i="28" s="1"/>
  <c r="W7" i="27" a="1"/>
  <c r="W7" i="27" s="1"/>
  <c r="W7" i="28" a="1"/>
  <c r="W7" i="28" s="1"/>
  <c r="X9" i="28" a="1"/>
  <c r="X9" i="28" s="1"/>
  <c r="Y9" i="28" s="1"/>
  <c r="X14" i="27" a="1"/>
  <c r="X14" i="27" s="1"/>
  <c r="Y14" i="27" s="1"/>
  <c r="S6" i="28"/>
  <c r="X11" i="28" a="1"/>
  <c r="X11" i="28" s="1"/>
  <c r="Y11" i="28" s="1"/>
  <c r="X16" i="27" a="1"/>
  <c r="X16" i="27" s="1"/>
  <c r="Y16" i="27" s="1"/>
  <c r="AS5" i="25"/>
  <c r="W6" i="28" a="1"/>
  <c r="W6" i="28" s="1"/>
  <c r="W6" i="27" a="1"/>
  <c r="W6" i="27" s="1"/>
  <c r="AE31" i="25"/>
  <c r="AF31" i="25" s="1"/>
  <c r="AN31" i="25" s="1"/>
  <c r="AE23" i="25"/>
  <c r="AJ7" i="25"/>
  <c r="AE41" i="25"/>
  <c r="AJ36" i="25"/>
  <c r="AF35" i="25"/>
  <c r="AE39" i="25"/>
  <c r="AF39" i="25" s="1"/>
  <c r="AN39" i="25" s="1"/>
  <c r="AE10" i="25"/>
  <c r="AE24" i="25"/>
  <c r="AF24" i="25" s="1"/>
  <c r="AN24" i="25" s="1"/>
  <c r="AE38" i="25"/>
  <c r="AL22" i="25"/>
  <c r="AO33" i="25"/>
  <c r="AL33" i="25"/>
  <c r="AO21" i="25"/>
  <c r="AL21" i="25"/>
  <c r="AL44" i="25"/>
  <c r="AE76" i="14"/>
  <c r="AI76" i="14" s="1" a="1"/>
  <c r="AI76" i="14" s="1"/>
  <c r="AE66" i="14"/>
  <c r="AI66" i="14" s="1" a="1"/>
  <c r="AI66" i="14" s="1"/>
  <c r="AE51" i="14"/>
  <c r="AI51" i="14" s="1" a="1"/>
  <c r="AI51" i="14" s="1"/>
  <c r="AE75" i="14"/>
  <c r="AI75" i="14" s="1" a="1"/>
  <c r="AI75" i="14" s="1"/>
  <c r="AE74" i="14"/>
  <c r="AI74" i="14" s="1" a="1"/>
  <c r="AI74" i="14" s="1"/>
  <c r="AE65" i="14"/>
  <c r="AI65" i="14" s="1" a="1"/>
  <c r="AI65" i="14" s="1"/>
  <c r="AE73" i="14"/>
  <c r="AI73" i="14" s="1" a="1"/>
  <c r="AI73" i="14" s="1"/>
  <c r="AE64" i="14"/>
  <c r="AI64" i="14" s="1" a="1"/>
  <c r="AI64" i="14" s="1"/>
  <c r="AE44" i="14"/>
  <c r="AI44" i="14" s="1" a="1"/>
  <c r="AI44" i="14" s="1"/>
  <c r="AE72" i="14"/>
  <c r="AI72" i="14" s="1" a="1"/>
  <c r="AI72" i="14" s="1"/>
  <c r="AE71" i="14"/>
  <c r="AI71" i="14" s="1" a="1"/>
  <c r="AI71" i="14" s="1"/>
  <c r="AE70" i="14"/>
  <c r="AI70" i="14" s="1" a="1"/>
  <c r="AI70" i="14" s="1"/>
  <c r="AE69" i="14"/>
  <c r="AI69" i="14" s="1" a="1"/>
  <c r="AI69" i="14" s="1"/>
  <c r="AE68" i="14"/>
  <c r="AI68" i="14" s="1" a="1"/>
  <c r="AI68" i="14" s="1"/>
  <c r="AE67" i="14"/>
  <c r="AI67" i="14" s="1" a="1"/>
  <c r="AI67" i="14" s="1"/>
  <c r="AE63" i="14"/>
  <c r="AI63" i="14" s="1" a="1"/>
  <c r="AI63" i="14" s="1"/>
  <c r="AE61" i="14"/>
  <c r="AI61" i="14" s="1" a="1"/>
  <c r="AI61" i="14" s="1"/>
  <c r="AE60" i="14"/>
  <c r="AI60" i="14" s="1" a="1"/>
  <c r="AI60" i="14" s="1"/>
  <c r="AE59" i="14"/>
  <c r="AI59" i="14" s="1" a="1"/>
  <c r="AI59" i="14" s="1"/>
  <c r="AE58" i="14"/>
  <c r="AI58" i="14" s="1" a="1"/>
  <c r="AI58" i="14" s="1"/>
  <c r="AE57" i="14"/>
  <c r="AI57" i="14" s="1" a="1"/>
  <c r="AI57" i="14" s="1"/>
  <c r="AE56" i="14"/>
  <c r="AI56" i="14" s="1" a="1"/>
  <c r="AI56" i="14" s="1"/>
  <c r="AE55" i="14"/>
  <c r="AI55" i="14" s="1" a="1"/>
  <c r="AI55" i="14" s="1"/>
  <c r="AE54" i="14"/>
  <c r="AI54" i="14" s="1" a="1"/>
  <c r="AI54" i="14" s="1"/>
  <c r="AE53" i="14"/>
  <c r="AI53" i="14" s="1" a="1"/>
  <c r="AI53" i="14" s="1"/>
  <c r="AE52" i="14"/>
  <c r="AI52" i="14" s="1" a="1"/>
  <c r="AI52" i="14" s="1"/>
  <c r="AE50" i="14"/>
  <c r="AI50" i="14" s="1" a="1"/>
  <c r="AI50" i="14" s="1"/>
  <c r="AE48" i="14"/>
  <c r="AI48" i="14" s="1" a="1"/>
  <c r="AI48" i="14" s="1"/>
  <c r="AE47" i="14"/>
  <c r="AI47" i="14" s="1" a="1"/>
  <c r="AI47" i="14" s="1"/>
  <c r="AE46" i="14"/>
  <c r="AI46" i="14" s="1" a="1"/>
  <c r="AI46" i="14" s="1"/>
  <c r="AE45" i="14"/>
  <c r="AI45" i="14" s="1" a="1"/>
  <c r="AI45" i="14" s="1"/>
  <c r="AE43" i="14"/>
  <c r="AI43" i="14" s="1" a="1"/>
  <c r="AI43" i="14" s="1"/>
  <c r="AE42" i="14"/>
  <c r="AI42" i="14" s="1" a="1"/>
  <c r="AI42" i="14" s="1"/>
  <c r="O6" i="28"/>
  <c r="O6" i="27"/>
  <c r="AE62" i="14"/>
  <c r="AI62" i="14" s="1" a="1"/>
  <c r="AI62" i="14" s="1"/>
  <c r="AX16" i="25" s="1" a="1"/>
  <c r="AX16" i="25" s="1"/>
  <c r="AE49" i="14"/>
  <c r="AI49" i="14" s="1" a="1"/>
  <c r="AI49" i="14" s="1"/>
  <c r="AE41" i="14"/>
  <c r="AI41" i="14" s="1" a="1"/>
  <c r="AI41" i="14" s="1"/>
  <c r="W3" i="28" l="1" a="1"/>
  <c r="W3" i="28" s="1"/>
  <c r="W3" i="27" a="1"/>
  <c r="W3" i="27" s="1"/>
  <c r="AJ2" i="25" a="1"/>
  <c r="AJ2" i="25" s="1"/>
  <c r="AM3" i="14" a="1"/>
  <c r="AM3" i="14" s="1"/>
  <c r="AS2" i="25" a="1"/>
  <c r="AS2" i="25" s="1"/>
  <c r="AF6" i="25"/>
  <c r="AN6" i="25" s="1"/>
  <c r="D9" i="30"/>
  <c r="F9" i="30" s="1"/>
  <c r="H12" i="30"/>
  <c r="J12" i="30" s="1"/>
  <c r="H8" i="30"/>
  <c r="J8" i="30" s="1"/>
  <c r="H10" i="30"/>
  <c r="J10" i="30" s="1"/>
  <c r="J9" i="28" a="1"/>
  <c r="J9" i="28" s="1"/>
  <c r="AF34" i="25"/>
  <c r="K10" i="28" s="1" a="1"/>
  <c r="K10" i="28" s="1"/>
  <c r="J15" i="27" a="1"/>
  <c r="J15" i="27" s="1"/>
  <c r="J10" i="28" a="1"/>
  <c r="J10" i="28" s="1"/>
  <c r="AF43" i="25"/>
  <c r="K11" i="28" s="1" a="1"/>
  <c r="K11" i="28" s="1"/>
  <c r="S11" i="28" s="1"/>
  <c r="J11" i="28" a="1"/>
  <c r="J11" i="28" s="1"/>
  <c r="J16" i="27" a="1"/>
  <c r="J16" i="27" s="1"/>
  <c r="AN22" i="25"/>
  <c r="AO22" i="25"/>
  <c r="AN44" i="25"/>
  <c r="AO44" i="25"/>
  <c r="D8" i="30"/>
  <c r="F8" i="30" s="1"/>
  <c r="D14" i="30"/>
  <c r="F14" i="30" s="1"/>
  <c r="AE12" i="25"/>
  <c r="AF12" i="25" s="1"/>
  <c r="AN12" i="25" s="1"/>
  <c r="H13" i="30"/>
  <c r="J13" i="30" s="1"/>
  <c r="D15" i="30"/>
  <c r="F15" i="30" s="1"/>
  <c r="H11" i="30"/>
  <c r="J11" i="30" s="1"/>
  <c r="H7" i="30"/>
  <c r="J7" i="30" s="1"/>
  <c r="H6" i="30"/>
  <c r="H14" i="30"/>
  <c r="J14" i="30" s="1"/>
  <c r="H9" i="30"/>
  <c r="J9" i="30" s="1"/>
  <c r="D12" i="30"/>
  <c r="F12" i="30" s="1"/>
  <c r="H15" i="30"/>
  <c r="J15" i="30" s="1"/>
  <c r="D10" i="30"/>
  <c r="F10" i="30" s="1"/>
  <c r="D11" i="30"/>
  <c r="F11" i="30" s="1"/>
  <c r="H16" i="30"/>
  <c r="J16" i="30" s="1"/>
  <c r="D6" i="30"/>
  <c r="D16" i="30"/>
  <c r="F16" i="30" s="1"/>
  <c r="D13" i="30"/>
  <c r="F13" i="30" s="1"/>
  <c r="D7" i="30"/>
  <c r="F7" i="30" s="1"/>
  <c r="K13" i="27" a="1"/>
  <c r="K13" i="27" s="1"/>
  <c r="AN42" i="25"/>
  <c r="X7" i="27" a="1"/>
  <c r="X7" i="27" s="1"/>
  <c r="Y7" i="27" s="1"/>
  <c r="Y9" i="27"/>
  <c r="J8" i="28" a="1"/>
  <c r="J8" i="28" s="1"/>
  <c r="Y7" i="28"/>
  <c r="AB14" i="25"/>
  <c r="Z15" i="25"/>
  <c r="Z39" i="25"/>
  <c r="AB18" i="25"/>
  <c r="Z29" i="25"/>
  <c r="AP6" i="25"/>
  <c r="AB17" i="25"/>
  <c r="Z35" i="25"/>
  <c r="Z24" i="25"/>
  <c r="AB19" i="25"/>
  <c r="X8" i="28" a="1"/>
  <c r="X8" i="28" s="1"/>
  <c r="Y8" i="28" s="1"/>
  <c r="AP28" i="25"/>
  <c r="Z7" i="25"/>
  <c r="Z8" i="25"/>
  <c r="AF23" i="25"/>
  <c r="K9" i="27" s="1" a="1"/>
  <c r="K9" i="27" s="1"/>
  <c r="J9" i="27" a="1"/>
  <c r="J9" i="27" s="1"/>
  <c r="Z23" i="25"/>
  <c r="AB10" i="25"/>
  <c r="AP43" i="25"/>
  <c r="AB36" i="25"/>
  <c r="Z11" i="25"/>
  <c r="AB25" i="25"/>
  <c r="Z30" i="25"/>
  <c r="J12" i="27" a="1"/>
  <c r="J12" i="27" s="1"/>
  <c r="Z38" i="25"/>
  <c r="Z32" i="25"/>
  <c r="AN40" i="25"/>
  <c r="AB34" i="25"/>
  <c r="AB12" i="25"/>
  <c r="AP26" i="25"/>
  <c r="AB31" i="25"/>
  <c r="Z20" i="25"/>
  <c r="AB42" i="25"/>
  <c r="X10" i="28" a="1"/>
  <c r="X10" i="28" s="1"/>
  <c r="Y10" i="28" s="1"/>
  <c r="X15" i="27" a="1"/>
  <c r="X15" i="27" s="1"/>
  <c r="Y15" i="27" s="1"/>
  <c r="AP40" i="25"/>
  <c r="AP13" i="25"/>
  <c r="AP27" i="25"/>
  <c r="Z41" i="25"/>
  <c r="AN37" i="25"/>
  <c r="J14" i="27" a="1"/>
  <c r="J14" i="27" s="1"/>
  <c r="X6" i="27" a="1"/>
  <c r="X6" i="27" s="1"/>
  <c r="X6" i="28" a="1"/>
  <c r="X6" i="28" s="1"/>
  <c r="AF41" i="25"/>
  <c r="K9" i="28" s="1" a="1"/>
  <c r="K9" i="28" s="1"/>
  <c r="Z17" i="25"/>
  <c r="AB15" i="25"/>
  <c r="Z14" i="25"/>
  <c r="Z18" i="25"/>
  <c r="Y12" i="27"/>
  <c r="AN9" i="25"/>
  <c r="AF38" i="25"/>
  <c r="K12" i="27" s="1" a="1"/>
  <c r="K12" i="27" s="1"/>
  <c r="AF10" i="25"/>
  <c r="AN35" i="25"/>
  <c r="AP37" i="25"/>
  <c r="AP39" i="25"/>
  <c r="AP35" i="25"/>
  <c r="AP8" i="25"/>
  <c r="AP11" i="25"/>
  <c r="AP12" i="25"/>
  <c r="AP14" i="25"/>
  <c r="AP15" i="25"/>
  <c r="AP17" i="25"/>
  <c r="AP24" i="25"/>
  <c r="AP18" i="25"/>
  <c r="AP29" i="25"/>
  <c r="AP16" i="25"/>
  <c r="AF48" i="14"/>
  <c r="AG48" i="14" s="1"/>
  <c r="AF55" i="14"/>
  <c r="AL9" i="25" s="1"/>
  <c r="Z37" i="25"/>
  <c r="AB37" i="25"/>
  <c r="Z16" i="25"/>
  <c r="AB16" i="25"/>
  <c r="AF49" i="14"/>
  <c r="AE77" i="14" s="1"/>
  <c r="AJ77" i="14" s="1"/>
  <c r="AQ43" i="25" s="1"/>
  <c r="AF76" i="14"/>
  <c r="AL32" i="25" s="1"/>
  <c r="AF75" i="14"/>
  <c r="AL31" i="25" s="1"/>
  <c r="AF74" i="14"/>
  <c r="AL30" i="25" s="1"/>
  <c r="AF73" i="14"/>
  <c r="AL29" i="25" s="1"/>
  <c r="AF72" i="14"/>
  <c r="AL28" i="25" s="1"/>
  <c r="AF71" i="14"/>
  <c r="AL27" i="25" s="1"/>
  <c r="AF70" i="14"/>
  <c r="AL26" i="25" s="1"/>
  <c r="AF69" i="14"/>
  <c r="AL25" i="25" s="1"/>
  <c r="AF68" i="14"/>
  <c r="AL24" i="25" s="1"/>
  <c r="AF67" i="14"/>
  <c r="AL23" i="25" s="1"/>
  <c r="AF66" i="14"/>
  <c r="AL20" i="25" s="1"/>
  <c r="AF65" i="14"/>
  <c r="AL19" i="25" s="1"/>
  <c r="AF64" i="14"/>
  <c r="AL18" i="25" s="1"/>
  <c r="AF63" i="14"/>
  <c r="AL17" i="25" s="1"/>
  <c r="AF61" i="14"/>
  <c r="AL15" i="25" s="1"/>
  <c r="AF60" i="14"/>
  <c r="AL14" i="25" s="1"/>
  <c r="AF59" i="14"/>
  <c r="AL13" i="25" s="1"/>
  <c r="AF58" i="14"/>
  <c r="AL12" i="25" s="1"/>
  <c r="AF57" i="14"/>
  <c r="AL11" i="25" s="1"/>
  <c r="AF56" i="14"/>
  <c r="AL10" i="25" s="1"/>
  <c r="AF54" i="14"/>
  <c r="AL8" i="25" s="1"/>
  <c r="AF53" i="14"/>
  <c r="AL7" i="25" s="1"/>
  <c r="AF52" i="14"/>
  <c r="AL6" i="25" s="1"/>
  <c r="AF51" i="14"/>
  <c r="AL41" i="25" s="1"/>
  <c r="AF50" i="14"/>
  <c r="AL40" i="25" s="1"/>
  <c r="AF47" i="14"/>
  <c r="AL36" i="25" s="1"/>
  <c r="AF46" i="14"/>
  <c r="AL35" i="25" s="1"/>
  <c r="AF45" i="14"/>
  <c r="AL34" i="25" s="1"/>
  <c r="AF44" i="14"/>
  <c r="AL42" i="25" s="1"/>
  <c r="Q13" i="27" s="1" a="1"/>
  <c r="Q13" i="27" s="1"/>
  <c r="AF43" i="14"/>
  <c r="AL39" i="25" s="1"/>
  <c r="AF42" i="14"/>
  <c r="AL38" i="25" s="1"/>
  <c r="AF62" i="14"/>
  <c r="AF41" i="14"/>
  <c r="AL37" i="25" s="1"/>
  <c r="F6" i="30" l="1"/>
  <c r="F3" i="30" s="1" a="1"/>
  <c r="F3" i="30" s="1"/>
  <c r="D3" i="30" a="1"/>
  <c r="D3" i="30" s="1"/>
  <c r="J6" i="30"/>
  <c r="J3" i="30" s="1" a="1"/>
  <c r="J3" i="30" s="1"/>
  <c r="H3" i="30" a="1"/>
  <c r="H3" i="30" s="1"/>
  <c r="J7" i="28" a="1"/>
  <c r="J7" i="28" s="1"/>
  <c r="J3" i="28" s="1" a="1"/>
  <c r="J3" i="28" s="1"/>
  <c r="K7" i="27" a="1"/>
  <c r="K7" i="27" s="1"/>
  <c r="Y6" i="28"/>
  <c r="Y3" i="28" s="1" a="1"/>
  <c r="Y3" i="28" s="1"/>
  <c r="X3" i="28" a="1"/>
  <c r="X3" i="28" s="1"/>
  <c r="X3" i="27" a="1"/>
  <c r="X3" i="27" s="1"/>
  <c r="AN43" i="25"/>
  <c r="AE2" i="25" a="1"/>
  <c r="AE2" i="25" s="1"/>
  <c r="AF2" i="25" a="1"/>
  <c r="AF2" i="25" s="1"/>
  <c r="K16" i="27" a="1"/>
  <c r="K16" i="27" s="1"/>
  <c r="S16" i="27" s="1"/>
  <c r="K15" i="27" a="1"/>
  <c r="K15" i="27" s="1"/>
  <c r="S15" i="27" s="1"/>
  <c r="AN34" i="25"/>
  <c r="S13" i="27"/>
  <c r="L13" i="27"/>
  <c r="O13" i="27" s="1"/>
  <c r="J7" i="27" a="1"/>
  <c r="J7" i="27" s="1"/>
  <c r="J3" i="27" s="1" a="1"/>
  <c r="J3" i="27" s="1"/>
  <c r="AP31" i="25"/>
  <c r="AB8" i="25"/>
  <c r="AB30" i="25"/>
  <c r="AB35" i="25"/>
  <c r="G10" i="28" s="1" a="1"/>
  <c r="G10" i="28" s="1"/>
  <c r="AP30" i="25"/>
  <c r="AN23" i="25"/>
  <c r="AB29" i="25"/>
  <c r="AB23" i="25"/>
  <c r="Z43" i="25"/>
  <c r="E16" i="27" s="1" a="1"/>
  <c r="E16" i="27" s="1"/>
  <c r="AB41" i="25"/>
  <c r="AP34" i="25"/>
  <c r="Z42" i="25"/>
  <c r="E13" i="27" s="1" a="1"/>
  <c r="E13" i="27" s="1"/>
  <c r="AH77" i="14"/>
  <c r="AB24" i="25"/>
  <c r="AP42" i="25"/>
  <c r="U13" i="27" s="1" a="1"/>
  <c r="U13" i="27" s="1"/>
  <c r="AP36" i="25"/>
  <c r="Z36" i="25"/>
  <c r="Z12" i="25"/>
  <c r="AB43" i="25"/>
  <c r="G11" i="28" s="1" a="1"/>
  <c r="G11" i="28" s="1"/>
  <c r="AP41" i="25"/>
  <c r="U9" i="28" s="1" a="1"/>
  <c r="U9" i="28" s="1"/>
  <c r="Z27" i="25"/>
  <c r="AB32" i="25"/>
  <c r="Z31" i="25"/>
  <c r="AB27" i="25"/>
  <c r="AP32" i="25"/>
  <c r="K8" i="28" a="1"/>
  <c r="K8" i="28" s="1"/>
  <c r="S8" i="28" s="1"/>
  <c r="AB26" i="25"/>
  <c r="Z26" i="25"/>
  <c r="Y6" i="27"/>
  <c r="Y3" i="27" s="1" a="1"/>
  <c r="Y3" i="27" s="1"/>
  <c r="U11" i="28" a="1"/>
  <c r="U11" i="28" s="1"/>
  <c r="U16" i="27" a="1"/>
  <c r="U16" i="27" s="1"/>
  <c r="AP25" i="25"/>
  <c r="Z10" i="25"/>
  <c r="AB7" i="25"/>
  <c r="Z19" i="25"/>
  <c r="Z6" i="25"/>
  <c r="E12" i="27" a="1"/>
  <c r="E12" i="27" s="1"/>
  <c r="AB38" i="25"/>
  <c r="AB20" i="25"/>
  <c r="AP10" i="25"/>
  <c r="AB6" i="25"/>
  <c r="Z34" i="25"/>
  <c r="AB39" i="25"/>
  <c r="Z13" i="25"/>
  <c r="AP19" i="25"/>
  <c r="Z25" i="25"/>
  <c r="AB13" i="25"/>
  <c r="AP23" i="25"/>
  <c r="AP38" i="25"/>
  <c r="U12" i="27" s="1" a="1"/>
  <c r="U12" i="27" s="1"/>
  <c r="L11" i="28"/>
  <c r="O11" i="28" s="1"/>
  <c r="AB11" i="25"/>
  <c r="Z40" i="25"/>
  <c r="K14" i="27" a="1"/>
  <c r="K14" i="27" s="1"/>
  <c r="S14" i="27" s="1"/>
  <c r="AB28" i="25"/>
  <c r="AP7" i="25"/>
  <c r="Z28" i="25"/>
  <c r="AB40" i="25"/>
  <c r="Q12" i="27" a="1"/>
  <c r="Q12" i="27" s="1"/>
  <c r="Q8" i="28" a="1"/>
  <c r="Q8" i="28" s="1"/>
  <c r="V11" i="28" a="1"/>
  <c r="V11" i="28" s="1"/>
  <c r="V16" i="27" a="1"/>
  <c r="V16" i="27" s="1"/>
  <c r="Q10" i="28" a="1"/>
  <c r="Q10" i="28" s="1"/>
  <c r="Q15" i="27" a="1"/>
  <c r="Q15" i="27" s="1"/>
  <c r="K7" i="28" a="1"/>
  <c r="K7" i="28" s="1"/>
  <c r="AP20" i="25"/>
  <c r="S9" i="28"/>
  <c r="Q9" i="28" a="1"/>
  <c r="Q9" i="28" s="1"/>
  <c r="Q14" i="27" a="1"/>
  <c r="Q14" i="27" s="1"/>
  <c r="Q9" i="27" a="1"/>
  <c r="Q9" i="27" s="1"/>
  <c r="G13" i="27" a="1"/>
  <c r="G13" i="27" s="1"/>
  <c r="AN41" i="25"/>
  <c r="AG49" i="14"/>
  <c r="AG55" i="14"/>
  <c r="S12" i="27"/>
  <c r="AN38" i="25"/>
  <c r="S10" i="28"/>
  <c r="L10" i="28"/>
  <c r="O10" i="28" s="1"/>
  <c r="AN10" i="25"/>
  <c r="S9" i="27"/>
  <c r="L9" i="27"/>
  <c r="O9" i="27" s="1"/>
  <c r="L9" i="28"/>
  <c r="O9" i="28" s="1"/>
  <c r="AF77" i="14"/>
  <c r="AG77" i="14" s="1"/>
  <c r="AP9" i="25"/>
  <c r="AO5" i="25"/>
  <c r="AL5" i="25"/>
  <c r="AP5" i="25"/>
  <c r="AG62" i="14"/>
  <c r="AG42" i="14"/>
  <c r="AG43" i="14"/>
  <c r="AG44" i="14"/>
  <c r="AG45" i="14"/>
  <c r="AG46" i="14"/>
  <c r="AG47" i="14"/>
  <c r="AG50" i="14"/>
  <c r="AG51" i="14"/>
  <c r="AG52" i="14"/>
  <c r="AG53" i="14"/>
  <c r="AG54" i="14"/>
  <c r="AG56" i="14"/>
  <c r="AG57" i="14"/>
  <c r="AG58" i="14"/>
  <c r="AG59" i="14"/>
  <c r="AG60" i="14"/>
  <c r="AG61" i="14"/>
  <c r="AG63" i="14"/>
  <c r="AG64" i="14"/>
  <c r="AG65" i="14"/>
  <c r="AG66" i="14"/>
  <c r="AG67" i="14"/>
  <c r="AG68" i="14"/>
  <c r="AG69" i="14"/>
  <c r="AG70" i="14"/>
  <c r="AG71" i="14"/>
  <c r="AG72" i="14"/>
  <c r="AG73" i="14"/>
  <c r="AG74" i="14"/>
  <c r="AG75" i="14"/>
  <c r="AG76" i="14"/>
  <c r="Z9" i="25"/>
  <c r="AB9" i="25"/>
  <c r="Z5" i="25"/>
  <c r="AB5" i="25"/>
  <c r="AG41" i="14"/>
  <c r="AE82" i="14"/>
  <c r="L15" i="27" l="1"/>
  <c r="O15" i="27" s="1"/>
  <c r="L7" i="28"/>
  <c r="K3" i="28" a="1"/>
  <c r="K3" i="28" s="1"/>
  <c r="K3" i="27" a="1"/>
  <c r="K3" i="27" s="1"/>
  <c r="Z2" i="25" a="1"/>
  <c r="Z2" i="25" s="1"/>
  <c r="AN2" i="25" a="1"/>
  <c r="AN2" i="25" s="1"/>
  <c r="AB2" i="25" a="1"/>
  <c r="AB2" i="25" s="1"/>
  <c r="AP2" i="25" a="1"/>
  <c r="AP2" i="25" s="1"/>
  <c r="L16" i="27"/>
  <c r="O16" i="27" s="1"/>
  <c r="E11" i="28" a="1"/>
  <c r="E11" i="28" s="1"/>
  <c r="H11" i="28" s="1"/>
  <c r="P11" i="28" s="1"/>
  <c r="L7" i="27"/>
  <c r="H13" i="27"/>
  <c r="P13" i="27" s="1"/>
  <c r="E8" i="28" a="1"/>
  <c r="E8" i="28" s="1"/>
  <c r="G15" i="27" a="1"/>
  <c r="G15" i="27" s="1"/>
  <c r="U15" i="27" a="1"/>
  <c r="U15" i="27" s="1"/>
  <c r="G8" i="28" a="1"/>
  <c r="G8" i="28" s="1"/>
  <c r="U10" i="28" a="1"/>
  <c r="U10" i="28" s="1"/>
  <c r="G12" i="27" a="1"/>
  <c r="G12" i="27" s="1"/>
  <c r="H12" i="27" s="1"/>
  <c r="U8" i="28" a="1"/>
  <c r="U8" i="28" s="1"/>
  <c r="G16" i="27" a="1"/>
  <c r="G16" i="27" s="1"/>
  <c r="H16" i="27" s="1"/>
  <c r="G9" i="27" a="1"/>
  <c r="G9" i="27" s="1"/>
  <c r="U14" i="27" a="1"/>
  <c r="U14" i="27" s="1"/>
  <c r="U9" i="27" a="1"/>
  <c r="U9" i="27" s="1"/>
  <c r="S7" i="28"/>
  <c r="S3" i="28" s="1" a="1"/>
  <c r="S3" i="28" s="1"/>
  <c r="U7" i="28" a="1"/>
  <c r="U7" i="28" s="1"/>
  <c r="E9" i="27" a="1"/>
  <c r="E9" i="27" s="1"/>
  <c r="U7" i="27" a="1"/>
  <c r="U7" i="27" s="1"/>
  <c r="U6" i="27" a="1"/>
  <c r="U6" i="27" s="1"/>
  <c r="U6" i="28" a="1"/>
  <c r="U6" i="28" s="1"/>
  <c r="E7" i="27" a="1"/>
  <c r="E7" i="27" s="1"/>
  <c r="E7" i="28" a="1"/>
  <c r="E7" i="28" s="1"/>
  <c r="G7" i="27" a="1"/>
  <c r="G7" i="27" s="1"/>
  <c r="G7" i="28" a="1"/>
  <c r="G7" i="28" s="1"/>
  <c r="Q6" i="27" a="1"/>
  <c r="Q6" i="27" s="1"/>
  <c r="Q6" i="28" a="1"/>
  <c r="Q6" i="28" s="1"/>
  <c r="G14" i="27" a="1"/>
  <c r="G14" i="27" s="1"/>
  <c r="G9" i="28" a="1"/>
  <c r="G9" i="28" s="1"/>
  <c r="E14" i="27" a="1"/>
  <c r="E14" i="27" s="1"/>
  <c r="E9" i="28" a="1"/>
  <c r="E9" i="28" s="1"/>
  <c r="G6" i="28" a="1"/>
  <c r="G6" i="28" s="1"/>
  <c r="G6" i="27" a="1"/>
  <c r="G6" i="27" s="1"/>
  <c r="E6" i="27" a="1"/>
  <c r="E6" i="27" s="1"/>
  <c r="E6" i="28" a="1"/>
  <c r="E6" i="28" s="1"/>
  <c r="E10" i="28" a="1"/>
  <c r="E10" i="28" s="1"/>
  <c r="H10" i="28" s="1"/>
  <c r="P10" i="28" s="1"/>
  <c r="E15" i="27" a="1"/>
  <c r="E15" i="27" s="1"/>
  <c r="L14" i="27"/>
  <c r="O14" i="27" s="1"/>
  <c r="L12" i="27"/>
  <c r="O12" i="27" s="1"/>
  <c r="AL43" i="25"/>
  <c r="S7" i="27"/>
  <c r="S3" i="27" s="1" a="1"/>
  <c r="S3" i="27" s="1"/>
  <c r="L8" i="28"/>
  <c r="AF82" i="14"/>
  <c r="AL16" i="25" s="1"/>
  <c r="AN16" i="30"/>
  <c r="AP16" i="30" s="1"/>
  <c r="AN15" i="30"/>
  <c r="AP15" i="30" s="1"/>
  <c r="AN14" i="30"/>
  <c r="AP14" i="30" s="1"/>
  <c r="AN13" i="30"/>
  <c r="AP13" i="30" s="1"/>
  <c r="AN12" i="30"/>
  <c r="AP12" i="30" s="1"/>
  <c r="AN11" i="30"/>
  <c r="AP11" i="30" s="1"/>
  <c r="AN10" i="30"/>
  <c r="AP10" i="30" s="1"/>
  <c r="AN9" i="30"/>
  <c r="AP9" i="30" s="1"/>
  <c r="AN8" i="30"/>
  <c r="AP8" i="30" s="1"/>
  <c r="AN7" i="30"/>
  <c r="AP7" i="30" s="1"/>
  <c r="AN6" i="30"/>
  <c r="AJ82" i="14"/>
  <c r="AQ16" i="25" s="1"/>
  <c r="AQ2" i="25" s="1" a="1"/>
  <c r="AQ2" i="25" s="1"/>
  <c r="AN3" i="30" l="1" a="1"/>
  <c r="AN3" i="30" s="1"/>
  <c r="G3" i="28" a="1"/>
  <c r="G3" i="28" s="1"/>
  <c r="U3" i="28" a="1"/>
  <c r="U3" i="28" s="1"/>
  <c r="E3" i="28" a="1"/>
  <c r="E3" i="28" s="1"/>
  <c r="O7" i="28"/>
  <c r="L3" i="28" a="1"/>
  <c r="L3" i="28" s="1"/>
  <c r="O7" i="27"/>
  <c r="O3" i="27" s="1" a="1"/>
  <c r="O3" i="27" s="1"/>
  <c r="L3" i="27" a="1"/>
  <c r="L3" i="27" s="1"/>
  <c r="E3" i="27" a="1"/>
  <c r="E3" i="27" s="1"/>
  <c r="G3" i="27" a="1"/>
  <c r="G3" i="27" s="1"/>
  <c r="U3" i="27" a="1"/>
  <c r="U3" i="27" s="1"/>
  <c r="AL2" i="25" a="1"/>
  <c r="AL2" i="25" s="1"/>
  <c r="P16" i="27"/>
  <c r="H15" i="27"/>
  <c r="P15" i="27" s="1"/>
  <c r="H8" i="28"/>
  <c r="H9" i="27"/>
  <c r="P9" i="27" s="1"/>
  <c r="H9" i="28"/>
  <c r="P9" i="28" s="1"/>
  <c r="H14" i="27"/>
  <c r="P14" i="27" s="1"/>
  <c r="Q16" i="27" a="1"/>
  <c r="Q16" i="27" s="1"/>
  <c r="Q11" i="28" a="1"/>
  <c r="Q11" i="28" s="1"/>
  <c r="Q7" i="28" a="1"/>
  <c r="Q7" i="28" s="1"/>
  <c r="Q7" i="27" a="1"/>
  <c r="Q7" i="27" s="1"/>
  <c r="V7" i="28" a="1"/>
  <c r="V7" i="28" s="1"/>
  <c r="V3" i="28" s="1" a="1"/>
  <c r="V3" i="28" s="1"/>
  <c r="V7" i="27" a="1"/>
  <c r="V7" i="27" s="1"/>
  <c r="V3" i="27" s="1" a="1"/>
  <c r="V3" i="27" s="1"/>
  <c r="P12" i="27"/>
  <c r="H7" i="27"/>
  <c r="H7" i="28"/>
  <c r="O8" i="28"/>
  <c r="AO32" i="25"/>
  <c r="AM32" i="25" s="1"/>
  <c r="AO20" i="25"/>
  <c r="AM20" i="25" s="1"/>
  <c r="AO41" i="25"/>
  <c r="AM41" i="25" s="1"/>
  <c r="AO31" i="25"/>
  <c r="AM31" i="25" s="1"/>
  <c r="AO30" i="25"/>
  <c r="AM30" i="25" s="1"/>
  <c r="AO19" i="25"/>
  <c r="AM19" i="25" s="1"/>
  <c r="AO29" i="25"/>
  <c r="AM29" i="25" s="1"/>
  <c r="AO18" i="25"/>
  <c r="AM18" i="25" s="1"/>
  <c r="AO42" i="25"/>
  <c r="AM42" i="25" s="1"/>
  <c r="AO28" i="25"/>
  <c r="AM28" i="25" s="1"/>
  <c r="AO27" i="25"/>
  <c r="AM27" i="25" s="1"/>
  <c r="AO26" i="25"/>
  <c r="AM26" i="25" s="1"/>
  <c r="AO25" i="25"/>
  <c r="AM25" i="25" s="1"/>
  <c r="AO24" i="25"/>
  <c r="AM24" i="25" s="1"/>
  <c r="AO23" i="25"/>
  <c r="AM23" i="25" s="1"/>
  <c r="AO17" i="25"/>
  <c r="AM17" i="25" s="1"/>
  <c r="AO16" i="25"/>
  <c r="AM16" i="25" s="1"/>
  <c r="AO15" i="25"/>
  <c r="AM15" i="25" s="1"/>
  <c r="AO14" i="25"/>
  <c r="AM14" i="25" s="1"/>
  <c r="AO13" i="25"/>
  <c r="AM13" i="25" s="1"/>
  <c r="AO12" i="25"/>
  <c r="AM12" i="25" s="1"/>
  <c r="AO11" i="25"/>
  <c r="AM11" i="25" s="1"/>
  <c r="AO10" i="25"/>
  <c r="AM10" i="25" s="1"/>
  <c r="AO9" i="25"/>
  <c r="AM9" i="25" s="1"/>
  <c r="AO8" i="25"/>
  <c r="AM8" i="25" s="1"/>
  <c r="AO7" i="25"/>
  <c r="AM7" i="25" s="1"/>
  <c r="AO6" i="25"/>
  <c r="AO40" i="25"/>
  <c r="AM40" i="25" s="1"/>
  <c r="AO43" i="25"/>
  <c r="AM43" i="25" s="1"/>
  <c r="AO36" i="25"/>
  <c r="AM36" i="25" s="1"/>
  <c r="AO35" i="25"/>
  <c r="AM35" i="25" s="1"/>
  <c r="AO34" i="25"/>
  <c r="AM34" i="25" s="1"/>
  <c r="AO39" i="25"/>
  <c r="AM39" i="25" s="1"/>
  <c r="AO38" i="25"/>
  <c r="AM38" i="25" s="1"/>
  <c r="AO37" i="25"/>
  <c r="AM37" i="25" s="1"/>
  <c r="AP6" i="30"/>
  <c r="AP3" i="30" s="1" a="1"/>
  <c r="AP3" i="30" s="1"/>
  <c r="AM44" i="25"/>
  <c r="AM21" i="25"/>
  <c r="AM22" i="25"/>
  <c r="AM33" i="25"/>
  <c r="AG82" i="14"/>
  <c r="P7" i="28" l="1"/>
  <c r="Q3" i="28" a="1"/>
  <c r="Q3" i="28" s="1"/>
  <c r="O3" i="28" a="1"/>
  <c r="O3" i="28" s="1"/>
  <c r="Q3" i="27" a="1"/>
  <c r="Q3" i="27" s="1"/>
  <c r="P7" i="27"/>
  <c r="AM6" i="25"/>
  <c r="R7" i="28" s="1" a="1"/>
  <c r="R7" i="28" s="1"/>
  <c r="T7" i="28" s="1"/>
  <c r="AO2" i="25" a="1"/>
  <c r="AO2" i="25" s="1"/>
  <c r="R15" i="27" a="1"/>
  <c r="R15" i="27" s="1"/>
  <c r="T15" i="27" s="1"/>
  <c r="R10" i="28" a="1"/>
  <c r="R10" i="28" s="1"/>
  <c r="T10" i="28" s="1"/>
  <c r="R9" i="27" a="1"/>
  <c r="R9" i="27" s="1"/>
  <c r="T9" i="27" s="1"/>
  <c r="R13" i="27" a="1"/>
  <c r="R13" i="27" s="1"/>
  <c r="T13" i="27" s="1"/>
  <c r="R11" i="28" a="1"/>
  <c r="R11" i="28" s="1"/>
  <c r="T11" i="28" s="1"/>
  <c r="R16" i="27" a="1"/>
  <c r="R16" i="27" s="1"/>
  <c r="T16" i="27" s="1"/>
  <c r="R12" i="27" a="1"/>
  <c r="R12" i="27" s="1"/>
  <c r="T12" i="27" s="1"/>
  <c r="R8" i="28" a="1"/>
  <c r="R8" i="28" s="1"/>
  <c r="T8" i="28" s="1"/>
  <c r="R9" i="28" a="1"/>
  <c r="R9" i="28" s="1"/>
  <c r="T9" i="28" s="1"/>
  <c r="R14" i="27" a="1"/>
  <c r="R14" i="27" s="1"/>
  <c r="T14" i="27" s="1"/>
  <c r="P8" i="28"/>
  <c r="AM5" i="25"/>
  <c r="AM2" i="25" l="1" a="1"/>
  <c r="AM2" i="25" s="1"/>
  <c r="R7" i="27" a="1"/>
  <c r="R7" i="27" s="1"/>
  <c r="T7" i="27" s="1"/>
  <c r="R6" i="28" a="1"/>
  <c r="R6" i="28" s="1"/>
  <c r="R3" i="28" s="1" a="1"/>
  <c r="R3" i="28" s="1"/>
  <c r="R6" i="27" a="1"/>
  <c r="R6" i="27" s="1"/>
  <c r="R3" i="27" l="1" a="1"/>
  <c r="R3" i="27" s="1"/>
  <c r="T6" i="28"/>
  <c r="T3" i="28" s="1" a="1"/>
  <c r="T3" i="28" s="1"/>
  <c r="T6" i="27"/>
  <c r="T3" i="27" s="1" a="1"/>
  <c r="T3" i="27" s="1"/>
  <c r="AH82" i="14"/>
  <c r="X16" i="30"/>
  <c r="Z16" i="30" s="1"/>
  <c r="P16" i="30"/>
  <c r="R16" i="30" s="1"/>
  <c r="X15" i="30"/>
  <c r="Z15" i="30" s="1"/>
  <c r="P15" i="30"/>
  <c r="R15" i="30" s="1"/>
  <c r="X14" i="30"/>
  <c r="Z14" i="30" s="1"/>
  <c r="P14" i="30"/>
  <c r="R14" i="30" s="1"/>
  <c r="X13" i="30"/>
  <c r="Z13" i="30" s="1"/>
  <c r="P13" i="30"/>
  <c r="R13" i="30" s="1"/>
  <c r="X12" i="30"/>
  <c r="Z12" i="30" s="1"/>
  <c r="P12" i="30"/>
  <c r="R12" i="30" s="1"/>
  <c r="X11" i="30"/>
  <c r="Z11" i="30" s="1"/>
  <c r="P11" i="30"/>
  <c r="R11" i="30" s="1"/>
  <c r="X10" i="30"/>
  <c r="Z10" i="30" s="1"/>
  <c r="P10" i="30"/>
  <c r="R10" i="30" s="1"/>
  <c r="X9" i="30"/>
  <c r="Z9" i="30" s="1"/>
  <c r="P9" i="30"/>
  <c r="R9" i="30" s="1"/>
  <c r="X8" i="30"/>
  <c r="Z8" i="30" s="1"/>
  <c r="P8" i="30"/>
  <c r="R8" i="30" s="1"/>
  <c r="X7" i="30"/>
  <c r="Z7" i="30" s="1"/>
  <c r="P7" i="30"/>
  <c r="R7" i="30" s="1"/>
  <c r="X6" i="30"/>
  <c r="P6" i="30"/>
  <c r="AW44" i="25"/>
  <c r="AX44" i="25" s="1" a="1"/>
  <c r="AX44" i="25" s="1"/>
  <c r="AC44" i="25"/>
  <c r="AK44" i="25" s="1"/>
  <c r="BC43" i="25"/>
  <c r="BD43" i="25" s="1"/>
  <c r="AV43" i="25"/>
  <c r="AC43" i="25"/>
  <c r="AK43" i="25" s="1"/>
  <c r="BC42" i="25"/>
  <c r="AW42" i="25"/>
  <c r="AX42" i="25" s="1" a="1"/>
  <c r="AX42" i="25" s="1"/>
  <c r="AC42" i="25"/>
  <c r="AK42" i="25" s="1"/>
  <c r="BC41" i="25"/>
  <c r="AW41" i="25"/>
  <c r="AX41" i="25" s="1" a="1"/>
  <c r="AX41" i="25" s="1"/>
  <c r="AC41" i="25"/>
  <c r="AK41" i="25" s="1"/>
  <c r="BC40" i="25"/>
  <c r="AW40" i="25"/>
  <c r="AX40" i="25" s="1" a="1"/>
  <c r="AX40" i="25" s="1"/>
  <c r="AC40" i="25"/>
  <c r="AK40" i="25" s="1"/>
  <c r="BC39" i="25"/>
  <c r="AW39" i="25"/>
  <c r="AX39" i="25" s="1" a="1"/>
  <c r="AX39" i="25" s="1"/>
  <c r="AC39" i="25"/>
  <c r="AK39" i="25" s="1"/>
  <c r="BC38" i="25"/>
  <c r="AW38" i="25"/>
  <c r="AX38" i="25" s="1" a="1"/>
  <c r="AX38" i="25" s="1"/>
  <c r="AC38" i="25"/>
  <c r="AK38" i="25" s="1"/>
  <c r="BC37" i="25"/>
  <c r="AW37" i="25"/>
  <c r="AX37" i="25" s="1" a="1"/>
  <c r="AX37" i="25" s="1"/>
  <c r="AC37" i="25"/>
  <c r="AK37" i="25" s="1"/>
  <c r="BC36" i="25"/>
  <c r="AW36" i="25"/>
  <c r="AX36" i="25" s="1" a="1"/>
  <c r="AX36" i="25" s="1"/>
  <c r="AC36" i="25"/>
  <c r="AK36" i="25" s="1"/>
  <c r="BC35" i="25"/>
  <c r="AW35" i="25"/>
  <c r="AX35" i="25" s="1" a="1"/>
  <c r="AX35" i="25" s="1"/>
  <c r="AC35" i="25"/>
  <c r="AK35" i="25" s="1"/>
  <c r="BC34" i="25"/>
  <c r="AW34" i="25"/>
  <c r="AX34" i="25" s="1" a="1"/>
  <c r="AX34" i="25" s="1"/>
  <c r="AC34" i="25"/>
  <c r="AK34" i="25" s="1"/>
  <c r="AW33" i="25"/>
  <c r="AX33" i="25" s="1" a="1"/>
  <c r="AX33" i="25" s="1"/>
  <c r="AC33" i="25"/>
  <c r="AK33" i="25" s="1"/>
  <c r="BC32" i="25"/>
  <c r="AW32" i="25"/>
  <c r="AX32" i="25" s="1" a="1"/>
  <c r="AX32" i="25" s="1"/>
  <c r="AC32" i="25"/>
  <c r="AK32" i="25" s="1"/>
  <c r="BC31" i="25"/>
  <c r="AW31" i="25"/>
  <c r="AX31" i="25" s="1" a="1"/>
  <c r="AX31" i="25" s="1"/>
  <c r="AC31" i="25"/>
  <c r="AK31" i="25" s="1"/>
  <c r="BC30" i="25"/>
  <c r="AW30" i="25"/>
  <c r="AX30" i="25" s="1" a="1"/>
  <c r="AX30" i="25" s="1"/>
  <c r="AC30" i="25"/>
  <c r="AK30" i="25" s="1"/>
  <c r="BC29" i="25"/>
  <c r="AW29" i="25"/>
  <c r="AX29" i="25" s="1" a="1"/>
  <c r="AX29" i="25" s="1"/>
  <c r="AC29" i="25"/>
  <c r="AK29" i="25" s="1"/>
  <c r="BC28" i="25"/>
  <c r="AW28" i="25"/>
  <c r="AX28" i="25" s="1" a="1"/>
  <c r="AX28" i="25" s="1"/>
  <c r="AC28" i="25"/>
  <c r="AK28" i="25" s="1"/>
  <c r="BC27" i="25"/>
  <c r="AW27" i="25"/>
  <c r="AX27" i="25" s="1" a="1"/>
  <c r="AX27" i="25" s="1"/>
  <c r="AC27" i="25"/>
  <c r="AK27" i="25" s="1"/>
  <c r="BC26" i="25"/>
  <c r="AW26" i="25"/>
  <c r="AX26" i="25" s="1" a="1"/>
  <c r="AX26" i="25" s="1"/>
  <c r="AC26" i="25"/>
  <c r="AK26" i="25" s="1"/>
  <c r="BC25" i="25"/>
  <c r="AW25" i="25"/>
  <c r="AX25" i="25" s="1" a="1"/>
  <c r="AX25" i="25" s="1"/>
  <c r="AC25" i="25"/>
  <c r="AK25" i="25" s="1"/>
  <c r="BC24" i="25"/>
  <c r="AW24" i="25"/>
  <c r="AX24" i="25" s="1" a="1"/>
  <c r="AX24" i="25" s="1"/>
  <c r="AC24" i="25"/>
  <c r="AK24" i="25" s="1"/>
  <c r="BC23" i="25"/>
  <c r="AW23" i="25"/>
  <c r="AX23" i="25" s="1" a="1"/>
  <c r="AX23" i="25" s="1"/>
  <c r="AC23" i="25"/>
  <c r="AK23" i="25" s="1"/>
  <c r="AW22" i="25"/>
  <c r="AX22" i="25" s="1" a="1"/>
  <c r="AX22" i="25" s="1"/>
  <c r="AC22" i="25"/>
  <c r="AK22" i="25" s="1"/>
  <c r="AW21" i="25"/>
  <c r="AX21" i="25" s="1" a="1"/>
  <c r="AX21" i="25" s="1"/>
  <c r="AC21" i="25"/>
  <c r="AK21" i="25" s="1"/>
  <c r="BC20" i="25"/>
  <c r="AW20" i="25"/>
  <c r="AX20" i="25" s="1" a="1"/>
  <c r="AX20" i="25" s="1"/>
  <c r="AC20" i="25"/>
  <c r="AK20" i="25" s="1"/>
  <c r="BC19" i="25"/>
  <c r="AW19" i="25"/>
  <c r="AX19" i="25" s="1" a="1"/>
  <c r="AX19" i="25" s="1"/>
  <c r="AC19" i="25"/>
  <c r="AK19" i="25" s="1"/>
  <c r="BC18" i="25"/>
  <c r="AW18" i="25"/>
  <c r="AX18" i="25" s="1" a="1"/>
  <c r="AX18" i="25" s="1"/>
  <c r="AC18" i="25"/>
  <c r="AK18" i="25" s="1"/>
  <c r="BC17" i="25"/>
  <c r="AW17" i="25"/>
  <c r="AX17" i="25" s="1" a="1"/>
  <c r="AX17" i="25" s="1"/>
  <c r="AC17" i="25"/>
  <c r="AK17" i="25" s="1"/>
  <c r="BF16" i="25"/>
  <c r="BC16" i="25"/>
  <c r="BD16" i="25" s="1"/>
  <c r="AV16" i="25"/>
  <c r="AC16" i="25"/>
  <c r="AK16" i="25" s="1"/>
  <c r="BC15" i="25"/>
  <c r="AW15" i="25"/>
  <c r="AX15" i="25" s="1" a="1"/>
  <c r="AX15" i="25" s="1"/>
  <c r="AC15" i="25"/>
  <c r="AK15" i="25" s="1"/>
  <c r="BC14" i="25"/>
  <c r="AW14" i="25"/>
  <c r="AX14" i="25" s="1" a="1"/>
  <c r="AX14" i="25" s="1"/>
  <c r="AC14" i="25"/>
  <c r="AK14" i="25" s="1"/>
  <c r="BC13" i="25"/>
  <c r="AW13" i="25"/>
  <c r="AX13" i="25" s="1" a="1"/>
  <c r="AX13" i="25" s="1"/>
  <c r="AC13" i="25"/>
  <c r="AK13" i="25" s="1"/>
  <c r="BC12" i="25"/>
  <c r="AW12" i="25"/>
  <c r="AX12" i="25" s="1" a="1"/>
  <c r="AX12" i="25" s="1"/>
  <c r="AC12" i="25"/>
  <c r="AK12" i="25" s="1"/>
  <c r="BC11" i="25"/>
  <c r="AW11" i="25"/>
  <c r="AX11" i="25" s="1" a="1"/>
  <c r="AX11" i="25" s="1"/>
  <c r="AC11" i="25"/>
  <c r="AK11" i="25" s="1"/>
  <c r="BC10" i="25"/>
  <c r="AW10" i="25"/>
  <c r="AX10" i="25" s="1" a="1"/>
  <c r="AX10" i="25" s="1"/>
  <c r="AC10" i="25"/>
  <c r="AK10" i="25" s="1"/>
  <c r="BC9" i="25"/>
  <c r="AW9" i="25"/>
  <c r="AX9" i="25" s="1" a="1"/>
  <c r="AX9" i="25" s="1"/>
  <c r="AC9" i="25"/>
  <c r="AK9" i="25" s="1"/>
  <c r="BC8" i="25"/>
  <c r="AW8" i="25"/>
  <c r="AX8" i="25" s="1" a="1"/>
  <c r="AX8" i="25" s="1"/>
  <c r="AC8" i="25"/>
  <c r="AK8" i="25" s="1"/>
  <c r="BC7" i="25"/>
  <c r="AW7" i="25"/>
  <c r="AX7" i="25" s="1" a="1"/>
  <c r="AX7" i="25" s="1"/>
  <c r="AC7" i="25"/>
  <c r="AK7" i="25" s="1"/>
  <c r="AC6" i="25"/>
  <c r="AK6" i="25" s="1"/>
  <c r="AW6" i="25"/>
  <c r="AX6" i="25" s="1" a="1"/>
  <c r="AX6" i="25" s="1"/>
  <c r="BC6" i="25"/>
  <c r="AW5" i="25"/>
  <c r="AC5" i="25"/>
  <c r="R6" i="30" l="1"/>
  <c r="R3" i="30" s="1" a="1"/>
  <c r="R3" i="30" s="1"/>
  <c r="P3" i="30" a="1"/>
  <c r="P3" i="30" s="1"/>
  <c r="Z6" i="30"/>
  <c r="Z3" i="30" s="1" a="1"/>
  <c r="Z3" i="30" s="1"/>
  <c r="X3" i="30" a="1"/>
  <c r="X3" i="30" s="1"/>
  <c r="AX5" i="25" a="1"/>
  <c r="AX5" i="25" s="1"/>
  <c r="AX2" i="25" s="1" a="1"/>
  <c r="AX2" i="25" s="1"/>
  <c r="AW2" i="25" a="1"/>
  <c r="AW2" i="25" s="1"/>
  <c r="BC2" i="25" a="1"/>
  <c r="BC2" i="25" s="1"/>
  <c r="AK5" i="25"/>
  <c r="AK2" i="25" s="1" a="1"/>
  <c r="AK2" i="25" s="1"/>
  <c r="AC2" i="25" a="1"/>
  <c r="AC2" i="25" s="1"/>
  <c r="AV5" i="25"/>
  <c r="BF7" i="25"/>
  <c r="BF8" i="25"/>
  <c r="BF9" i="25"/>
  <c r="BF10" i="25"/>
  <c r="BF11" i="25"/>
  <c r="BF12" i="25"/>
  <c r="BF13" i="25"/>
  <c r="BF14" i="25"/>
  <c r="BF15" i="25"/>
  <c r="BF17" i="25"/>
  <c r="BF18" i="25"/>
  <c r="BF19" i="25"/>
  <c r="BF20" i="25"/>
  <c r="BF21" i="25"/>
  <c r="BF22" i="25"/>
  <c r="BF23" i="25"/>
  <c r="BF24" i="25"/>
  <c r="BF26" i="25"/>
  <c r="BF27" i="25"/>
  <c r="BF28" i="25"/>
  <c r="BF29" i="25"/>
  <c r="BF30" i="25"/>
  <c r="BF31" i="25"/>
  <c r="BF32" i="25"/>
  <c r="BF33" i="25"/>
  <c r="BF34" i="25"/>
  <c r="BF35" i="25"/>
  <c r="BF36" i="25"/>
  <c r="BF37" i="25"/>
  <c r="BF38" i="25"/>
  <c r="BF39" i="25"/>
  <c r="BF40" i="25"/>
  <c r="BF41" i="25"/>
  <c r="BF42" i="25"/>
  <c r="BF44" i="25"/>
  <c r="AV6" i="25"/>
  <c r="BF6" i="25"/>
  <c r="BE6" i="25"/>
  <c r="BE7" i="25"/>
  <c r="BD7" i="25" s="1"/>
  <c r="AV7" i="25"/>
  <c r="BE8" i="25"/>
  <c r="BD8" i="25" s="1"/>
  <c r="AV8" i="25"/>
  <c r="BE9" i="25"/>
  <c r="BD9" i="25" s="1"/>
  <c r="AV9" i="25"/>
  <c r="BE10" i="25"/>
  <c r="BD10" i="25" s="1"/>
  <c r="AV10" i="25"/>
  <c r="BE11" i="25"/>
  <c r="BD11" i="25" s="1"/>
  <c r="AV11" i="25"/>
  <c r="BE12" i="25"/>
  <c r="BD12" i="25" s="1"/>
  <c r="AV12" i="25"/>
  <c r="BE13" i="25"/>
  <c r="BD13" i="25" s="1"/>
  <c r="AV13" i="25"/>
  <c r="BE14" i="25"/>
  <c r="BD14" i="25" s="1"/>
  <c r="AV14" i="25"/>
  <c r="BE15" i="25"/>
  <c r="BD15" i="25" s="1"/>
  <c r="AV15" i="25"/>
  <c r="BE17" i="25"/>
  <c r="BD17" i="25" s="1"/>
  <c r="AV17" i="25"/>
  <c r="BE18" i="25"/>
  <c r="BD18" i="25" s="1"/>
  <c r="AV18" i="25"/>
  <c r="BE19" i="25"/>
  <c r="BD19" i="25" s="1"/>
  <c r="AV19" i="25"/>
  <c r="BE20" i="25"/>
  <c r="BD20" i="25" s="1"/>
  <c r="AV20" i="25"/>
  <c r="BE21" i="25"/>
  <c r="BD21" i="25" s="1"/>
  <c r="AV21" i="25"/>
  <c r="BE22" i="25"/>
  <c r="BD22" i="25" s="1"/>
  <c r="AV22" i="25"/>
  <c r="BE23" i="25"/>
  <c r="BD23" i="25" s="1"/>
  <c r="AV23" i="25"/>
  <c r="BE24" i="25"/>
  <c r="BD24" i="25" s="1"/>
  <c r="AV24" i="25"/>
  <c r="BF25" i="25"/>
  <c r="AV25" i="25"/>
  <c r="BE25" i="25"/>
  <c r="BD25" i="25" s="1"/>
  <c r="BE26" i="25"/>
  <c r="BD26" i="25" s="1"/>
  <c r="AV26" i="25"/>
  <c r="BE27" i="25"/>
  <c r="BD27" i="25" s="1"/>
  <c r="AV27" i="25"/>
  <c r="BE28" i="25"/>
  <c r="BD28" i="25" s="1"/>
  <c r="AV28" i="25"/>
  <c r="BE29" i="25"/>
  <c r="BD29" i="25" s="1"/>
  <c r="AV29" i="25"/>
  <c r="BE30" i="25"/>
  <c r="BD30" i="25" s="1"/>
  <c r="AV30" i="25"/>
  <c r="BE31" i="25"/>
  <c r="BD31" i="25" s="1"/>
  <c r="AV31" i="25"/>
  <c r="BE32" i="25"/>
  <c r="BD32" i="25" s="1"/>
  <c r="AV32" i="25"/>
  <c r="BE33" i="25"/>
  <c r="BD33" i="25" s="1"/>
  <c r="AV33" i="25"/>
  <c r="BE34" i="25"/>
  <c r="BD34" i="25" s="1"/>
  <c r="AV34" i="25"/>
  <c r="BE35" i="25"/>
  <c r="BD35" i="25" s="1"/>
  <c r="AV35" i="25"/>
  <c r="BE36" i="25"/>
  <c r="BD36" i="25" s="1"/>
  <c r="AV36" i="25"/>
  <c r="BE37" i="25"/>
  <c r="BD37" i="25" s="1"/>
  <c r="AV37" i="25"/>
  <c r="BE38" i="25"/>
  <c r="BD38" i="25" s="1"/>
  <c r="AV38" i="25"/>
  <c r="BE39" i="25"/>
  <c r="BD39" i="25" s="1"/>
  <c r="AV39" i="25"/>
  <c r="BE40" i="25"/>
  <c r="BD40" i="25" s="1"/>
  <c r="AV40" i="25"/>
  <c r="BE41" i="25"/>
  <c r="BD41" i="25" s="1"/>
  <c r="AV41" i="25"/>
  <c r="BE42" i="25"/>
  <c r="BD42" i="25" s="1"/>
  <c r="AV42" i="25"/>
  <c r="BE44" i="25"/>
  <c r="BD44" i="25" s="1"/>
  <c r="AV44" i="25"/>
  <c r="BF2" i="25" l="1" a="1"/>
  <c r="BF2" i="25" s="1"/>
  <c r="AV2" i="25" a="1"/>
  <c r="AV2" i="25" s="1"/>
  <c r="BE2" i="25" a="1"/>
  <c r="BE2" i="25" s="1"/>
  <c r="H6" i="27"/>
  <c r="H3" i="27" s="1" a="1"/>
  <c r="H3" i="27" s="1"/>
  <c r="H6" i="28"/>
  <c r="H3" i="28" s="1" a="1"/>
  <c r="H3" i="28" s="1"/>
  <c r="BD6" i="25"/>
  <c r="BD2" i="25" s="1" a="1"/>
  <c r="BD2" i="25" s="1"/>
  <c r="AR16" i="30" l="1"/>
  <c r="AT16" i="30" s="1"/>
  <c r="AR15" i="30"/>
  <c r="AT15" i="30" s="1"/>
  <c r="AR14" i="30"/>
  <c r="AT14" i="30" s="1"/>
  <c r="AR13" i="30"/>
  <c r="AT13" i="30" s="1"/>
  <c r="AR12" i="30"/>
  <c r="AT12" i="30" s="1"/>
  <c r="AR11" i="30"/>
  <c r="AT11" i="30" s="1"/>
  <c r="AR10" i="30"/>
  <c r="AT10" i="30" s="1"/>
  <c r="AR9" i="30"/>
  <c r="AT9" i="30" s="1"/>
  <c r="AR8" i="30"/>
  <c r="AT8" i="30" s="1"/>
  <c r="AR7" i="30"/>
  <c r="AT7" i="30" s="1"/>
  <c r="AR6" i="30"/>
  <c r="P6" i="28"/>
  <c r="P3" i="28" s="1" a="1"/>
  <c r="P3" i="28" s="1"/>
  <c r="P6" i="27"/>
  <c r="P3" i="27" s="1" a="1"/>
  <c r="P3" i="27" s="1"/>
  <c r="AR3" i="30" l="1" a="1"/>
  <c r="AR3" i="30" s="1"/>
  <c r="AT6" i="30"/>
  <c r="AT3" i="30" s="1" a="1"/>
  <c r="AT3" i="3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<sst xmlns="http://schemas.openxmlformats.org/spreadsheetml/2006/main" count="1270" uniqueCount="648">
  <si>
    <t>The following sheets are included in this template:</t>
  </si>
  <si>
    <t>Example (Pty) Ltd</t>
  </si>
  <si>
    <t>If you experience any difficulty while using this template and you are not able to find the appropriate guidance in these instructions, please e-mail us at support@excel-skills.com for assistance. This template has been designed with flexibility in mind to ensure that it can be used in most business environments. If however you need an Excel based template that is customized specifically for your business requirements, please e-mail our Support function and provide a brief explanation of your requirements.</t>
  </si>
  <si>
    <t>Help &amp; Customization</t>
  </si>
  <si>
    <t>Supplier</t>
  </si>
  <si>
    <t>Description</t>
  </si>
  <si>
    <t>Instructions</t>
  </si>
  <si>
    <t>www.excel-skills.com</t>
  </si>
  <si>
    <t>Business Name</t>
  </si>
  <si>
    <t>Business Details</t>
  </si>
  <si>
    <t>Code</t>
  </si>
  <si>
    <t>Error Code</t>
  </si>
  <si>
    <t>Reason</t>
  </si>
  <si>
    <t>E1</t>
  </si>
  <si>
    <t>E2</t>
  </si>
  <si>
    <t>E3</t>
  </si>
  <si>
    <t>Input Error Codes</t>
  </si>
  <si>
    <t>Error Codes</t>
  </si>
  <si>
    <t>Asset Number</t>
  </si>
  <si>
    <t>Asset ID Number</t>
  </si>
  <si>
    <t>Class</t>
  </si>
  <si>
    <t>Category</t>
  </si>
  <si>
    <t>FF-00003</t>
  </si>
  <si>
    <t xml:space="preserve">Starrag -Triple Copy Mill </t>
  </si>
  <si>
    <t>Hydrovane 170 Air Compressor</t>
  </si>
  <si>
    <t>Kraft Vertical Bandsaw</t>
  </si>
  <si>
    <t>Churchill - RH8 Shaver</t>
  </si>
  <si>
    <t>V25 Machining centre x 1</t>
  </si>
  <si>
    <t>Supertech Grinder Mod G30A-50 x1</t>
  </si>
  <si>
    <t>Collet Chuck</t>
  </si>
  <si>
    <t>LTC-20B Cnc Turning Centre</t>
  </si>
  <si>
    <t>Leaderway 450 M/centre</t>
  </si>
  <si>
    <t>Supertec Cnc Angular Wheel Grinder</t>
  </si>
  <si>
    <t>Toyota FG 1.8 Ton Forklift</t>
  </si>
  <si>
    <t>IM4 Engraver</t>
  </si>
  <si>
    <t>Yun Shuen 4Hkv Std Milling Machine</t>
  </si>
  <si>
    <t>37KV Compressor</t>
  </si>
  <si>
    <t>ST Drill Sharp Slib8n 4-30</t>
  </si>
  <si>
    <t>Briquetting Press</t>
  </si>
  <si>
    <t>Colt Rodeo 3.0(1)</t>
  </si>
  <si>
    <t>Asset Classes</t>
  </si>
  <si>
    <t>PM</t>
  </si>
  <si>
    <t>CE</t>
  </si>
  <si>
    <t>OE</t>
  </si>
  <si>
    <t>FF</t>
  </si>
  <si>
    <t>MV</t>
  </si>
  <si>
    <t>Computer Equipment</t>
  </si>
  <si>
    <t>Office Equipment</t>
  </si>
  <si>
    <t>Motor Vehicles</t>
  </si>
  <si>
    <t>ZZ</t>
  </si>
  <si>
    <t>End of list</t>
  </si>
  <si>
    <t>Asset Categories</t>
  </si>
  <si>
    <t>Main Production Plant</t>
  </si>
  <si>
    <t>Secondary Plant</t>
  </si>
  <si>
    <t>Primary Equipment</t>
  </si>
  <si>
    <t>Secondary Equipment</t>
  </si>
  <si>
    <t>Small Assets</t>
  </si>
  <si>
    <t>IS-401</t>
  </si>
  <si>
    <t>IS-402</t>
  </si>
  <si>
    <t>IS-403</t>
  </si>
  <si>
    <t>IS-404</t>
  </si>
  <si>
    <t>IS-405</t>
  </si>
  <si>
    <t>IS-406</t>
  </si>
  <si>
    <t>IS-411</t>
  </si>
  <si>
    <t>IS-412</t>
  </si>
  <si>
    <t>IS-421</t>
  </si>
  <si>
    <t>IS-431</t>
  </si>
  <si>
    <t>IS-442</t>
  </si>
  <si>
    <t>BS-151</t>
  </si>
  <si>
    <t>BS-152</t>
  </si>
  <si>
    <t>BS-153</t>
  </si>
  <si>
    <t>BS-154</t>
  </si>
  <si>
    <t>BS-155</t>
  </si>
  <si>
    <t>BS-156</t>
  </si>
  <si>
    <t>BS-161</t>
  </si>
  <si>
    <t>BS-162</t>
  </si>
  <si>
    <t>BS-171</t>
  </si>
  <si>
    <t>BS-181</t>
  </si>
  <si>
    <t>BS-192</t>
  </si>
  <si>
    <t>ACQ</t>
  </si>
  <si>
    <t>Asset Transactions</t>
  </si>
  <si>
    <t>Transaction Date</t>
  </si>
  <si>
    <t>Transaction Type</t>
  </si>
  <si>
    <t>Document Number</t>
  </si>
  <si>
    <t>Amount</t>
  </si>
  <si>
    <t>Asset Set-up</t>
  </si>
  <si>
    <t>Template Set-up</t>
  </si>
  <si>
    <t>Lifetime in Years</t>
  </si>
  <si>
    <t>Transaction Date ID</t>
  </si>
  <si>
    <t>Previous Lifetime</t>
  </si>
  <si>
    <t>Furniture &amp; Fixtures</t>
  </si>
  <si>
    <t>Owned</t>
  </si>
  <si>
    <t>Asset Type</t>
  </si>
  <si>
    <t>Residual Value</t>
  </si>
  <si>
    <t>Proceeds on Sale</t>
  </si>
  <si>
    <t>Previous Deemed Cost</t>
  </si>
  <si>
    <t>Previous Residual Value</t>
  </si>
  <si>
    <t>Current Accum Depr</t>
  </si>
  <si>
    <t>Revaluation Surplus</t>
  </si>
  <si>
    <t>Impairment Value</t>
  </si>
  <si>
    <t>Previous Revaluation</t>
  </si>
  <si>
    <t>Accum Depr: Cost</t>
  </si>
  <si>
    <t>Accum Depr: Revaluation</t>
  </si>
  <si>
    <t>Asset Historical Cost</t>
  </si>
  <si>
    <t>Current Revaluation</t>
  </si>
  <si>
    <t>Previous Impairment</t>
  </si>
  <si>
    <t>Acquisition Date</t>
  </si>
  <si>
    <t>Disposal Date</t>
  </si>
  <si>
    <t>DIS</t>
  </si>
  <si>
    <t>Profit / (Loss) on Disposal</t>
  </si>
  <si>
    <t>Year-End Month</t>
  </si>
  <si>
    <t>Last Trn Date</t>
  </si>
  <si>
    <t>Review Date</t>
  </si>
  <si>
    <t>Opening Balance</t>
  </si>
  <si>
    <t>Additions</t>
  </si>
  <si>
    <t>Disposals</t>
  </si>
  <si>
    <t>Closing Balance</t>
  </si>
  <si>
    <t>Impairment</t>
  </si>
  <si>
    <t>Depreciation - Revaluation</t>
  </si>
  <si>
    <t>Depreciation - Cost</t>
  </si>
  <si>
    <t>Depreciation - Total</t>
  </si>
  <si>
    <t>Assets at Cost</t>
  </si>
  <si>
    <t>Accumulated Depreciation</t>
  </si>
  <si>
    <t>Closing Carrying Value</t>
  </si>
  <si>
    <t>Transaction Amount</t>
  </si>
  <si>
    <t>Revaluations</t>
  </si>
  <si>
    <t>Current Carrying Value</t>
  </si>
  <si>
    <t>Last PY Trn Date</t>
  </si>
  <si>
    <t>Historical Cost</t>
  </si>
  <si>
    <t>Previous Trn Date</t>
  </si>
  <si>
    <t>Depr YTD To Date</t>
  </si>
  <si>
    <t>Depr YTD From Date</t>
  </si>
  <si>
    <t>Next Trn Date</t>
  </si>
  <si>
    <t>Depr YTD Months</t>
  </si>
  <si>
    <t>YTD Total Depreciation</t>
  </si>
  <si>
    <t>YTD Cost Depreciation</t>
  </si>
  <si>
    <t>Depr: Cost by Transaction</t>
  </si>
  <si>
    <t>Depr End Date</t>
  </si>
  <si>
    <t>Current Trn Date</t>
  </si>
  <si>
    <t>YTD Total Depr at Cost</t>
  </si>
  <si>
    <t>Accum Depr at Cost PY</t>
  </si>
  <si>
    <t>Asset Category Summary</t>
  </si>
  <si>
    <t>MTD Total Depreciation</t>
  </si>
  <si>
    <t>MTD Total Depr at Cost</t>
  </si>
  <si>
    <t>Accum Depr Total at PM</t>
  </si>
  <si>
    <t>MTD Cost Depreciation</t>
  </si>
  <si>
    <t>Accum Depr Cost at PM</t>
  </si>
  <si>
    <t>Cost</t>
  </si>
  <si>
    <t>Revaluation</t>
  </si>
  <si>
    <t>Total</t>
  </si>
  <si>
    <t>Current Month Depreciation</t>
  </si>
  <si>
    <t>Proceeds on Disposal</t>
  </si>
  <si>
    <t>Impairment Write-Offs</t>
  </si>
  <si>
    <t>MTD From</t>
  </si>
  <si>
    <t>Asset Class Summary</t>
  </si>
  <si>
    <t>BS-101</t>
  </si>
  <si>
    <t>BS-102</t>
  </si>
  <si>
    <t>BS-103</t>
  </si>
  <si>
    <t>BS-104</t>
  </si>
  <si>
    <t>BS-105</t>
  </si>
  <si>
    <t>BS-106</t>
  </si>
  <si>
    <t>BS-111</t>
  </si>
  <si>
    <t>BS-112</t>
  </si>
  <si>
    <t>BS-121</t>
  </si>
  <si>
    <t>BS-131</t>
  </si>
  <si>
    <t>BS-142</t>
  </si>
  <si>
    <t>Journal Summary</t>
  </si>
  <si>
    <t>Acc Depr</t>
  </si>
  <si>
    <t>Revalue</t>
  </si>
  <si>
    <t>Depr</t>
  </si>
  <si>
    <t>Period</t>
  </si>
  <si>
    <t>Revaluations - Cost</t>
  </si>
  <si>
    <t>BS-801</t>
  </si>
  <si>
    <t>Revaluations - Accumulated Depreciation</t>
  </si>
  <si>
    <t>Cost - Impairment</t>
  </si>
  <si>
    <t>Profit</t>
  </si>
  <si>
    <t>IS-408</t>
  </si>
  <si>
    <t>Disposals - Cost</t>
  </si>
  <si>
    <t>Disposals - Proceeds</t>
  </si>
  <si>
    <t>Disposals - Accumulated Depreciation</t>
  </si>
  <si>
    <t>Depreciation on Historical Cost</t>
  </si>
  <si>
    <t>Depreciation on Revaluations</t>
  </si>
  <si>
    <t>Account</t>
  </si>
  <si>
    <t>IS-457</t>
  </si>
  <si>
    <t>Revaluation Reserve</t>
  </si>
  <si>
    <t>Disposals - Release Revaluation Reserve</t>
  </si>
  <si>
    <t>Accum Depr at PY Cost Bal</t>
  </si>
  <si>
    <t>Accum Depr: Rev &lt;PY</t>
  </si>
  <si>
    <t>Asset category does not exist.</t>
  </si>
  <si>
    <t>Current Lifetime</t>
  </si>
  <si>
    <t>Current Residual</t>
  </si>
  <si>
    <t>E4</t>
  </si>
  <si>
    <t>E5</t>
  </si>
  <si>
    <t>Duplicate asset additions recorded.</t>
  </si>
  <si>
    <t>E6</t>
  </si>
  <si>
    <t>E7</t>
  </si>
  <si>
    <t>Invalid asset lifetime for the selected transaction type.</t>
  </si>
  <si>
    <t>E8</t>
  </si>
  <si>
    <t>E9</t>
  </si>
  <si>
    <t>Invalid transaction amount for the selected transaction type.</t>
  </si>
  <si>
    <t>Invalid residual value for the selected transaction type.</t>
  </si>
  <si>
    <t>Invalid proceeds from disposal of asset.</t>
  </si>
  <si>
    <t>E10</t>
  </si>
  <si>
    <t>Asset acquisition not recorded.</t>
  </si>
  <si>
    <t>YTD From</t>
  </si>
  <si>
    <t>YTD To</t>
  </si>
  <si>
    <t>MTD To</t>
  </si>
  <si>
    <t>Active Lifetime</t>
  </si>
  <si>
    <t>Active Res Value</t>
  </si>
  <si>
    <t>Transaction type is blank or invalid.</t>
  </si>
  <si>
    <t>Tax Codes</t>
  </si>
  <si>
    <t>A</t>
  </si>
  <si>
    <t>B</t>
  </si>
  <si>
    <t>C</t>
  </si>
  <si>
    <t>D</t>
  </si>
  <si>
    <t>E</t>
  </si>
  <si>
    <t>F</t>
  </si>
  <si>
    <t>G</t>
  </si>
  <si>
    <t>H</t>
  </si>
  <si>
    <t>I</t>
  </si>
  <si>
    <t>J</t>
  </si>
  <si>
    <t>Year 5 %</t>
  </si>
  <si>
    <t>Year 4 %</t>
  </si>
  <si>
    <t>Year 3 %</t>
  </si>
  <si>
    <t>Year 2 %</t>
  </si>
  <si>
    <t>Year 1 %</t>
  </si>
  <si>
    <t>Plant &amp; Equipment - General</t>
  </si>
  <si>
    <t>Plant &amp; Equipment - Special</t>
  </si>
  <si>
    <t>Buildings</t>
  </si>
  <si>
    <t>Computer Equipment - Hardware</t>
  </si>
  <si>
    <t>Computer Equipment - Software</t>
  </si>
  <si>
    <t>App</t>
  </si>
  <si>
    <t>Yes</t>
  </si>
  <si>
    <t>No</t>
  </si>
  <si>
    <t>5Y Total</t>
  </si>
  <si>
    <t>Tax Code</t>
  </si>
  <si>
    <t>Current Tax %</t>
  </si>
  <si>
    <t>Tax Values</t>
  </si>
  <si>
    <t>AF</t>
  </si>
  <si>
    <t>Elapsed Months PY</t>
  </si>
  <si>
    <t>Elapsed Months CY</t>
  </si>
  <si>
    <t>E11</t>
  </si>
  <si>
    <t>Tax Code does not exist.</t>
  </si>
  <si>
    <t>Tax Cost</t>
  </si>
  <si>
    <t>Elapsed Months PM</t>
  </si>
  <si>
    <t>Deferred Taxation</t>
  </si>
  <si>
    <t>Def Tax IS</t>
  </si>
  <si>
    <t>Def Tax BS</t>
  </si>
  <si>
    <t>BS-750</t>
  </si>
  <si>
    <t>IS-610</t>
  </si>
  <si>
    <t>Income Tax %</t>
  </si>
  <si>
    <t>Last PM Trn Date</t>
  </si>
  <si>
    <t>Carrying Value at Historical Cost</t>
  </si>
  <si>
    <t>Leaderway V650 CNC</t>
  </si>
  <si>
    <t>Surface Grinder</t>
  </si>
  <si>
    <t>Pollard 8 Spindle</t>
  </si>
  <si>
    <t>Centre Bore</t>
  </si>
  <si>
    <t>RH8 Hobbing Machine (ex CME)</t>
  </si>
  <si>
    <t>YTD</t>
  </si>
  <si>
    <t>LB</t>
  </si>
  <si>
    <t>Land &amp; Buildings</t>
  </si>
  <si>
    <t>No Tax Allowance</t>
  </si>
  <si>
    <t>CHW01</t>
  </si>
  <si>
    <t>CSW01</t>
  </si>
  <si>
    <t>Computer Hardware</t>
  </si>
  <si>
    <t>Computer Software</t>
  </si>
  <si>
    <t>SMA01</t>
  </si>
  <si>
    <t>PPM01</t>
  </si>
  <si>
    <t>PPS02</t>
  </si>
  <si>
    <t>EQP01</t>
  </si>
  <si>
    <t>EQS01</t>
  </si>
  <si>
    <t>LBU01</t>
  </si>
  <si>
    <t>LB-00001</t>
  </si>
  <si>
    <t>Factory Land &amp; Buildings</t>
  </si>
  <si>
    <t>ABC Incorporated</t>
  </si>
  <si>
    <t>P/Agreement</t>
  </si>
  <si>
    <t>Plant &amp; Equipment</t>
  </si>
  <si>
    <t>PP-00001</t>
  </si>
  <si>
    <t>PP-00002</t>
  </si>
  <si>
    <t>PP-00003</t>
  </si>
  <si>
    <t>PP-00004</t>
  </si>
  <si>
    <t>PP-00005</t>
  </si>
  <si>
    <t>PP-00006</t>
  </si>
  <si>
    <t>PP-00007</t>
  </si>
  <si>
    <t>PP-00008</t>
  </si>
  <si>
    <t>PP-00009</t>
  </si>
  <si>
    <t>PP-00010</t>
  </si>
  <si>
    <t>PP-00011</t>
  </si>
  <si>
    <t>PP-00012</t>
  </si>
  <si>
    <t>Aquino V40 X 1 (Melda control)</t>
  </si>
  <si>
    <t>Aquino LTC-10 x 1</t>
  </si>
  <si>
    <t>Aquino V40 Cnc Mill</t>
  </si>
  <si>
    <t>Aquino T7 CNC Machine</t>
  </si>
  <si>
    <t>Aquino T7M</t>
  </si>
  <si>
    <t>PQ-00001</t>
  </si>
  <si>
    <t>PQ-00002</t>
  </si>
  <si>
    <t>PQ-00003</t>
  </si>
  <si>
    <t>PQ-00004</t>
  </si>
  <si>
    <t>PQ-00005</t>
  </si>
  <si>
    <t>PQ-00006</t>
  </si>
  <si>
    <t>Office Chairs (5)</t>
  </si>
  <si>
    <t>Office Desks (5)</t>
  </si>
  <si>
    <t>Dell Desktops (5)</t>
  </si>
  <si>
    <t>Dell Laptop</t>
  </si>
  <si>
    <t>OFE01</t>
  </si>
  <si>
    <t>FFX01</t>
  </si>
  <si>
    <t>MVH01</t>
  </si>
  <si>
    <t>OE-00001</t>
  </si>
  <si>
    <t>OE-00002</t>
  </si>
  <si>
    <t>FF-01</t>
  </si>
  <si>
    <t>FF-02</t>
  </si>
  <si>
    <t>FF-03</t>
  </si>
  <si>
    <t>Nashua Copier</t>
  </si>
  <si>
    <t>CH-01</t>
  </si>
  <si>
    <t>CH-02</t>
  </si>
  <si>
    <t>CH-03</t>
  </si>
  <si>
    <t>OE-01</t>
  </si>
  <si>
    <t>FF-00001</t>
  </si>
  <si>
    <t>FF-00002</t>
  </si>
  <si>
    <t>CH-00001</t>
  </si>
  <si>
    <t>CH-00002</t>
  </si>
  <si>
    <t>CH-00003</t>
  </si>
  <si>
    <t>CS-00001</t>
  </si>
  <si>
    <t>CS-01</t>
  </si>
  <si>
    <t>Accpac</t>
  </si>
  <si>
    <t>I983535</t>
  </si>
  <si>
    <t>MV-00001</t>
  </si>
  <si>
    <t>Leased</t>
  </si>
  <si>
    <t>PP-00013</t>
  </si>
  <si>
    <t>PP-00014</t>
  </si>
  <si>
    <t>PP-00015</t>
  </si>
  <si>
    <t>PP-00016</t>
  </si>
  <si>
    <t>PP-00017</t>
  </si>
  <si>
    <t>EQP Suppliers</t>
  </si>
  <si>
    <t>Toyota</t>
  </si>
  <si>
    <t>IN7736</t>
  </si>
  <si>
    <t>IN9937</t>
  </si>
  <si>
    <t>IN12663</t>
  </si>
  <si>
    <t>IN15776</t>
  </si>
  <si>
    <t>Sandmill</t>
  </si>
  <si>
    <t>PQ-00007</t>
  </si>
  <si>
    <t>PQ-00008</t>
  </si>
  <si>
    <t>PQ-00009</t>
  </si>
  <si>
    <t>PQ-00010</t>
  </si>
  <si>
    <t>PQ-00011</t>
  </si>
  <si>
    <t>2-09847</t>
  </si>
  <si>
    <t>IN7792</t>
  </si>
  <si>
    <t>IN9919</t>
  </si>
  <si>
    <t>IN12690</t>
  </si>
  <si>
    <t>IN15752</t>
  </si>
  <si>
    <t>IN17892</t>
  </si>
  <si>
    <t>MV-00002</t>
  </si>
  <si>
    <t>Toyota Hilux 3.0</t>
  </si>
  <si>
    <t>Lease2</t>
  </si>
  <si>
    <t>Lease1</t>
  </si>
  <si>
    <t>HP Laser Printer</t>
  </si>
  <si>
    <t>OE-02</t>
  </si>
  <si>
    <t>Nashua</t>
  </si>
  <si>
    <t>I99838</t>
  </si>
  <si>
    <t>Sale</t>
  </si>
  <si>
    <t>REV</t>
  </si>
  <si>
    <t>None</t>
  </si>
  <si>
    <t>QS Equipment</t>
  </si>
  <si>
    <t>© www.excel-skills.com</t>
  </si>
  <si>
    <t>Excel Skills | Fixed Assets Register Template</t>
  </si>
  <si>
    <t>Air conditioner Panasonic</t>
  </si>
  <si>
    <t>Microsoft Office 2010</t>
  </si>
  <si>
    <t>Note: This template only accommodates depreciation calculations on a straight line basis. If you therefore need to calculate depreciation on a reducing balance or other depreciation basis, the template will unfortunately not be suitable for your requirements.</t>
  </si>
  <si>
    <t>This comprehensive template enables users to compile a complete fixed assets register which incorporates an unlimited number of fixed asset classes and categories; facilitates recording additions, disposals, revaluations and impairments; automatically calculates monthly and year-to-date depreciation charges; calculates tax values based on user defined tax codes; calculates deferred tax balances and includes a comprehensive automated journal report. The template has been designed specifically for the requirements of IFRS but can also be used to compile a simple fixed asset register which is only based on historical costs.</t>
  </si>
  <si>
    <t>The template includes 6 default fixed asset classes which can be customized in the cell range from cell A13 to cell B18. The default asset class codes in column A and the default asset class descriptions in column B can be amended and you can add additional asset classes by simply inserting a new row between the first and last class codes, entering a new code for the asset class in column A and entering a description for the new class in column B.</t>
  </si>
  <si>
    <t>Note: All new asset classes must be inserted above the "ZZ" asset class code and a maximum of 30 asset classes can be accommodated in the template.</t>
  </si>
  <si>
    <t>The template includes 11 asset categories which can be customized in the cell range from cell A23 to cell K33. Each asset category contains a unique code in column A, is linked to an asset class in column B, contains a description in column C and contains an account number in each of the columns from column D to K.</t>
  </si>
  <si>
    <t>The asset category codes can be in any format but we suggest using a combination of letters and numbers as illustrated with the default category codes. Each category that is created will be included separately on the Category sheet and needs to be linked to one of the asset class codes in cells A13 to A18 by selecting the appropriate asset class code from the list box in column B. The asset categories are therefore in fact sub classes of the main asset classes that are included on the financial statements.</t>
  </si>
  <si>
    <t>The template includes 10 default tax codes in the cell range from cell A38 to J47 but you can add as many additional tax codes as required. The tax codes are used to calculate the tax allowances that can be claimed for each fixed asset and the tax values at the beginning and the end of each financial year. These tax balances are then used in order to calculate the deferred tax balances and charges for each financial year.</t>
  </si>
  <si>
    <t>A single alphabetical letter is used as the tax code in column A and a description for each tax code can be entered in column C. All the tax codes that are created on the Set-up sheet are available for selection in column F on the Assets sheet.</t>
  </si>
  <si>
    <t>Note: You can create additional tax codes by inserting a new row anywhere between the first and last rows, entering a new tax code in column A and specifying the appropriate annual tax percentages.</t>
  </si>
  <si>
    <t>Column B in the tax codes section contains a list box which enables users to specify whether appropriation needs to be applied in the tax allowance calculations for the particular tax code. If appropriation is applied (the "Yes" option is selected), it means that the tax allowance calculation will take the effect of partial years into account. If appropriation is not applicable (the "No" option is selected), the tax allowance will be based on a full year regardless of when an asset is acquired.</t>
  </si>
  <si>
    <t>Example: If a tax code is created for buildings and a tax allowance percentage of 2% is applicable, the year 1 to 5 tax percentages need to be entered as 2% and the year 5 percentage (which is 2%) will be applied to all the annual periods after year 5. This means that a tax allowance of 2% per year will be written off until the asset is fully written off after 50 years.</t>
  </si>
  <si>
    <t>Note: The 5Y Total and AF columns contain formulas which should be copied for all new tax codes that are added to the Set-up sheet. It is imperative that these formulas are copied for all new tax codes otherwise some of the tax calculations may not be accurate.</t>
  </si>
  <si>
    <t>The 5Y Total column contains the total percentage value of the tax allowance percentages that are entered in the Year 1 to 5 columns and will automatically be highlighted in red if the value exceeds 100%. The maximum percentage that can be written off on an asset is 100% - if you therefore specify tax allowances of more than 100%, only the tax allowances that make up the first 100% will be taken into account in determining the appropriate tax values of the asset. The AF column contains an appropriation value which is based on the selection in column B.</t>
  </si>
  <si>
    <t>The input error codes at the bottom of the Set-up sheet are included for information purposes only and provide users with a reason for the error codes that may be encountered when entering transactions on the Assets and Transact sheets. These error codes are covered in more detail in the Error Codes section of these instructions.</t>
  </si>
  <si>
    <t>A unique asset number must be created for each fixed asset on the Assets sheet. You can use any asset numbering convention but we strongly recommend using a combination of letters and numbers as illustrated in our example data. We have used an asset numbering convention which starts with two letters followed by a hyphen and five numbers. The letters can be used to distinguish between different asset categories or classes.</t>
  </si>
  <si>
    <t>All the columns with light blue column headings contain calculations which are based on the review date that is entered in cell E2. The date that is entered in this cell therefore determines which transactions are included in the asset balance and depreciation calculations. It is therefore imperative that you enter the correct date in this cell when reviewing the fixed asset register.</t>
  </si>
  <si>
    <t>Note: The review date makes it easy to roll the template forward or back for any subsequent or previous month and all the template calculations are updated automatically. You can therefore simply enter a new date in cell E2 and all the calculations on all the sheets in the template are automatically updated.</t>
  </si>
  <si>
    <t>The Assets sheet contains 52 calculated columns which all have light blue column headings. The calculations in these columns are all based on the transactions that are entered on the Transact sheet and some of the calculations are for information purposes only while others form an integral part of the fixed asset register. We'll now briefly cover the purpose of each calculated column:</t>
  </si>
  <si>
    <t>The following columns are included for information purposes only:</t>
  </si>
  <si>
    <t>Assets at Cost:</t>
  </si>
  <si>
    <t>Accumulated Depreciation:</t>
  </si>
  <si>
    <t>Revaluation Reserve:</t>
  </si>
  <si>
    <t>Total Net Carrying Value:</t>
  </si>
  <si>
    <t>Income Statement Items:</t>
  </si>
  <si>
    <t>Current Month Depreciation:</t>
  </si>
  <si>
    <t>Carrying Value at Historical Cost:</t>
  </si>
  <si>
    <t>Tax Values:</t>
  </si>
  <si>
    <t>Deferred Taxation:</t>
  </si>
  <si>
    <t>Note: All fixed assets must be added to the Assets sheet by assigning a unique asset code to the particular asset. The acquisition of the asset then needs to be recorded on the Transact sheet after which the appropriate values will be reflected on the Assets sheet. Users therefore need to create asset codes for all their assets and record acquisition transactions for all assets on the Transact sheet.</t>
  </si>
  <si>
    <t>The cell range from cell H2 to cell K2 displays the appropriate year-to-date (YTD) and month-to-date (MTD) from and to dates which are in effect based on the review date that is specified in cell E2. Note that all the template calculations are based on month end dates - even if you enter a review date that does not fall on a month end, the template calculations will still include all the transactions and depreciation calculations for the entire month.</t>
  </si>
  <si>
    <t>The YTD periods are determined based on the year-end period that is selected in cell C7 on the Set-up sheet. All the YTD asset balances and depreciation calculations will therefore be calculated automatically based on the review date and the year-end period that has been specified.</t>
  </si>
  <si>
    <t>Each individual fixed asset must be added to the Assets sheet by assigning an asset number to the fixed asset. The Assets sheet is in actual fact a comprehensive fixed asset register which contains all the individual assets that form part of the fixed assets register. All fixed asset transactions need to be recorded on the Transact sheet and the Category and Class sheets contains summaries of all the appropriate asset groups.</t>
  </si>
  <si>
    <t>We have also included totals above all the column headings that contain amounts. These totals have been calculated by using the SUBTOTAL function which means that if the data on the sheet is filtered, the totals that are calculated will only include the filtered records. The Filter feature can therefore be used to obtain totals based on the filter criteria that are specified by the user and also enables users to view the detailed fixed asset records that make up the summary totals on the Category and Class sheets.</t>
  </si>
  <si>
    <t>All the column headings on the Assets sheet contain a filter selection arrow. These selection arrows indicate that the Filter feature has been activated on the sheet. The Filter feature can be used to filter the data on the sheet in order to display only certain asset records on the sheet.</t>
  </si>
  <si>
    <t>Example: If you want to obtain the fixed asset register totals for all leased assets, you can simply click the selection arrow next to the Asset Type column heading and select the Leased option. The sheet will be filtered and only the leased assets will be visible on the sheet. The totals will also only include the leased assets.</t>
  </si>
  <si>
    <t>Example: If you want to view the detailed asset records that make up one of the category or class totals on the Category or Class sheets, simply click the filter selection arrow next to the Category or Class column headings (column E or column H) and select the appropriate category or class. The sheet will be filtered and only the asset records for the selected category or class will be visible on the sheet. The totals will also only include the appropriate amounts for the selected category or class.</t>
  </si>
  <si>
    <t>Recording Asset Transactions</t>
  </si>
  <si>
    <t>The following user input is required in the user input columns on the Transact sheet (the columns with yellow column headings):</t>
  </si>
  <si>
    <t>Note: Only one acquisition transaction can be recorded for each asset because an asset can only be acquired once. If an asset is scrapped (which is recorded as a disposal) and subsequently needs to be added back to the fixed asset register, a new asset number should be used for this purpose. The recording of duplicate asset acquisitions will result in an input error in the Error Code column and may also result in inaccurate template calculations.</t>
  </si>
  <si>
    <t>All the column headings on the Transact sheet contain a filter selection arrow. These selection arrows indicate that the Filter feature has been activated on the sheet. The Filter feature can be used to filter the data on the sheet in order to display only certain asset records on the sheet.</t>
  </si>
  <si>
    <t>Note: All the depreciation, accumulated depreciation, tax allowance and deferred tax calculations that form part of the fixed asset register are automated and you therefore do not need to record any transactions in order to record any of these amounts. Also note that all the automated calculations in this template are based on the review date that is specified on the Assets sheet. You can therefore roll the template forward for subsequent periods or back to previous periods by simply changing the review date on the Assets sheet.</t>
  </si>
  <si>
    <t>The following error codes may result from inaccurate input on the Assets and Transact sheets and will be displayed in the Error Code columns on the appropriate sheet. The heading of the affected input column will also be highlighted in orange in order to indicate that an error is present in the appropriate column:</t>
  </si>
  <si>
    <t>■ E1 - this error code means that a duplicate asset number has been created on the Assets sheet. If you delete the row that contains the duplicate asset number, the error is resolved.</t>
  </si>
  <si>
    <t>Duplicate asset number.</t>
  </si>
  <si>
    <t>Asset number does not exist.</t>
  </si>
  <si>
    <t>■ E5 - this error code means that more than one acquisition transaction has been recorded for the same asset. An asset can only be acquired once. If you therefore need to bring the asset back into the fixed asset register after perhaps recording a disposal transaction, a new asset number must be used.</t>
  </si>
  <si>
    <t>■ E7 - this error code means that an invalid lifetime has been recorded for the selected transaction type. All asset lifetimes should be recorded as positive values and a nil value needs to be entered for all disposal transactions. Note that you can also enter a nil value for acquisition or revaluation type transactions but this means that the asset will not be depreciated.</t>
  </si>
  <si>
    <t>■ E8 - this error code means that an invalid residual value has been recorded for the selected transaction type. All residual values should be recorded as positive values and a nil residual value needs to be entered for all disposal transactions. Note that the residual value of an asset can also not be greater than the transaction amount that is entered in column F.</t>
  </si>
  <si>
    <t>■ E9 - this error code means that an invalid proceeds on disposal amount has been recorded for the selected transaction type. All proceeds on disposal amounts should be recorded as positive values and you only need to record an amount in this column if a disposal type transaction is recorded. Note that the proceeds on the disposal of an asset can never be less than nil (even if a loss is made on the disposal of an asset) because the proceeds equal the amount that is received after selling the asset. A nil value may however need to be entered if an asset is scrapped without any compensation being received.</t>
  </si>
  <si>
    <t>■ E10 - this error code means that a revaluation or disposal type transaction has been recorded for the appropriate asset on the Transact sheet before an acquisition transaction has been recorded. The first step after adding an asset number to the Assets sheet should be to record an acquisition transaction for the asset on the Transact sheet even if the asset has been donated to the business (use a transaction amount of nil).</t>
  </si>
  <si>
    <t>■ E11 - this error code means that the tax code that needs to be selected in column F on the Assets sheet is blank or does not exist. Select a valid tax code from the list box in order to resolve the error. Note that all the tax codes that are recorded on the Set-up sheet are included in the list box.</t>
  </si>
  <si>
    <t>■ E2 - this error code means that the asset category that needs to be selected in column E on the Assets sheet is blank or does not exist. Select a valid asset category from the list box in order to resolve the error. Note that all the asset categories that are included on the Set-up sheet are included in the list box.</t>
  </si>
  <si>
    <t>■ E3 - this error code means that the asset number that needs to be selected in column C on the Transact sheet is blank or does not exist. Select a valid asset number from the list box in order to resolve the error. Note that all the asset numbers that are recorded on the Assets sheet are included in the list box.</t>
  </si>
  <si>
    <t>■ E4 - this error code means that the transaction type that needs to be selected in column B on the Transact sheet is blank or does not exist. Select a valid transaction type from the list box in order to resolve the error. Note that this error may also be displayed in you attempt to record a transaction for an asset that has been disposed of previously. Once a disposal is recorded for an asset (even if the asset has only been scrapped and not actually disposed of), any subsequent transactions need to be recorded by using a new asset number.</t>
  </si>
  <si>
    <t>Note: Input errors may result in inaccurate template calculations and it is therefore imperative that all errors are resolved before reviewing the fixed asset register balances and processing any general ledger journal entries.</t>
  </si>
  <si>
    <t>Calculation Methodology</t>
  </si>
  <si>
    <t>In this section of the instructions, we'll cover the calculation methodology that is applied in order to compile a fixed asset register with this template. We cover all the different types of transactions that are included in the template and we'll explain the reasoning behind how each type of transaction is incorporated into the template calculations.</t>
  </si>
  <si>
    <t>Note: Assets that are disposed of are not depreciated in the month of the disposal. This means that no depreciation is calculated for the month in which the asset is disposed of. This approach is followed in order to offset the calculation of depreciation from the first month of acquisition.</t>
  </si>
  <si>
    <t>If an asset has been revalued previously and a revaluation reserve still exists for the asset, the revaluation reserve is released against the profit or loss account. This means that the net effect will be that the profit or loss on disposal is calculated based on the historical cost of the asset and that no further adjustments are required in order to reflect the profit or loss on disposal net of any revaluations that may have been made to the asset.</t>
  </si>
  <si>
    <t>In terms of the automated journal report, the gross carrying value of the asset is credited against the cost account that is specified for the particular fixed asset category on the Set-up sheet and debited against the profit or loss account that is also specified on the Set-up sheet. The accumulated depreciation is debited against the accumulated depreciation account that is specified on the Set-up sheet and credited against the profit or loss account.</t>
  </si>
  <si>
    <t>Fixed asset additions are included in the fixed asset register in the month of the acquisition and also depreciated from the month of acquisition. All fixed asset additions need to be recorded as acquisition type transactions on the Transact sheet in order to include the assets in the fixed asset register. Acquisitions are usually recorded in the primary accounting system by allocating the addition to the appropriate fixed asset account and crediting the bank or accounts payable control account.</t>
  </si>
  <si>
    <t>For the purpose of our automated journal report, fixed asset additions are allocated to the fixed asset cost account that is specified for the appropriate fixed asset category on the Set-up sheet and credited against the Bank account.</t>
  </si>
  <si>
    <t>Fixed assets that are disposed of are removed from the fixed asset register in the month of the disposal. All disposals need to be recorded as disposal type transactions on the Transact sheet. The gross carrying value of the asset is deducted from the opening balance and the accumulated depreciation on the asset is deducted from the accumulated depreciation as at the end of the month before the disposal.</t>
  </si>
  <si>
    <t>Note: If an asset is scrapped, the asset can be removed from the fixed asset register by recording a disposal type transaction on the Transact sheet and entering a nil value in the Proceeds column (column I).</t>
  </si>
  <si>
    <t>When you revalue an asset, the previous cost (or gross carrying amount for assets that have been revalued previously) and the accumulated depreciation on the asset up to the month before the revaluation are written off to either a revaluation reserve account or an asset impairment account depending on whether a revaluation surplus or asset impairment results from the revaluation. This means that immediately after the revaluation, the asset will be reflected at the revalued amount with no accumulated depreciation.</t>
  </si>
  <si>
    <t>Note: All asset impairments are written off immediately to the income statement by allocating the impairment amount against the profit or loss for the period.</t>
  </si>
  <si>
    <t>The revaluation reserve account and the asset impairment account for each fixed asset category needs to be specified on the Set-up sheet. The revaluation reserve account should be a balance sheet account in the equity account group and the asset impairment account should be an income statement account.</t>
  </si>
  <si>
    <t>Example: An asset with a cost of 10,000 is acquired in December by a business with a February year-end. The tax code that is assigned to the asset is B which has "No" appropriation specified in column B and a tax percentage of 20% in year 1. A full year's tax allowance will therefore be written off in December (and each subsequent year) which means that the tax allowance for the first year would be 2,000.</t>
  </si>
  <si>
    <t>If the revaluation amount is greater than the net carrying value (historical cost or gross carrying value less accumulated depreciation), the revaluation results in a revaluation surplus which is allocated to a revaluation reserve account. If the sum of the revaluation amount and any revaluation reserve which may still exist for the asset is less than the net carrying value, the result of the revaluation is an asset impairment.</t>
  </si>
  <si>
    <t>Note: If the result of the revaluation transaction is a revaluation surplus but an asset impairment write-off has previously been allocated to the income statement for the particular asset, the previous asset impairment is reversed by allocating a credit to the income statement and the remainder of the revaluation surplus (if any) is allocated to the revaluation reserve account.</t>
  </si>
  <si>
    <t>In terms of the automated journal report, the difference between the previous gross carrying value (or historical cost) and the revaluation amount is adjusted against the asset cost account and the revaluation reserve account. The accumulated depreciation balance as at the date of revaluation is debited against the accumulated depreciation account and credited against the revaluation reserve account.</t>
  </si>
  <si>
    <t>The net result of these two journal entries will be that the asset cost account is adjusted to the revaluation amount, the accumulated depreciation is adjusted to a nil value and the revaluation surplus is credited to the revaluation reserve account (if the revaluation amount is greater than the previous net carrying value of the asset).</t>
  </si>
  <si>
    <t>Note: Revaluation surpluses are calculated based on the net carrying value of an asset which in turn is calculated by deducting the accumulated depreciation from the gross carrying value (or historical cost) of the asset in the "Assets at Cost" section on the fixed asset register. The amounts that are calculated in the Revaluation columns may therefore appear a bit confusing because the gross carrying value in the cost section may need to be reduced (shown as a negative amount) in order to adjust the gross carrying value to the revaluation amount but the net result of the revaluation (sum of the Revaluation columns in both the cost and accumulated depreciation sections) may still result in a revaluation surplus. This is because the accumulated depreciation (which is always a credit balance) is also allocated to the revaluation reserve account and also needs to be taken into account when reviewing the amounts in the Revaluation columns.</t>
  </si>
  <si>
    <t>The net result of these two journal entries is that the asset cost account is adjusted to the net carrying value of the asset because the accumulated depreciation is in effect written off against the asset cost account. A separate journal entry then credits the asset cost account and debits the impairment write-off account that is specified for the appropriate asset category on the Set-up sheet.</t>
  </si>
  <si>
    <t>Note: If a revaluation on an asset therefore results in an asset impairment, you can expect to see equal negative values in the Revaluation columns in both the cost and accumulated depreciation sections on the fixed asset register (which equals the accumulated depreciation on the asset as at the date of revaluation) and the amount of the impairment write-off in the Impairment column in the cost section of the fixed asset register.</t>
  </si>
  <si>
    <t>Note: If a previous impairment on an asset is reversed as a result of a subsequent revaluation surplus, the impairment reversal amount will be included in the Impairment column in the cost section of the fixed asset register as a positive amount.</t>
  </si>
  <si>
    <t>Depreciation</t>
  </si>
  <si>
    <t>All depreciation calculations are based on the historical cost or gross carrying value (for assets that have been revalued) of an asset less any residual value that is specified when recording the appropriate transaction and are calculated on a straight line basis over the lifetime of the asset which is also specified when recording a transaction.</t>
  </si>
  <si>
    <t>Note: This template only accommodates depreciation on a straight line basis. If you therefore need to calculate depreciation based on a reducing balance or other depreciation basis, the template will not be suitable for your requirements!</t>
  </si>
  <si>
    <t>Note: When an asset is acquired, depreciation is calculated and written off from the month in which the addition falls. When an asset is disposed of, depreciation is calculated up to the month before the date of the disposal. When an asset is revalued, the effect of the revaluation is taken into account from the month in which the revaluation transaction falls.</t>
  </si>
  <si>
    <t>In terms of the automated journal report, the first two journal entries relate to the depreciation on the historical cost of assets and the depreciation based on the revaluation of assets. Just like the other journal entries, the depreciation journals are based on the asset categories that are created on the Set-up sheet. Users are therefore able to specify a separate depreciation account for each asset category.</t>
  </si>
  <si>
    <t>Note: If you want to process depreciation journals on a monthly basis, make sure that you select the MTD option from the list box in cell E2 on the Journals sheet. If you select the YTD option from this list box, all depreciation calculations will be based on a year-to-date basis.</t>
  </si>
  <si>
    <t>Tax Allowances</t>
  </si>
  <si>
    <t>All the tax allowance and tax value calculations in this template are automated. All tax values are calculated based on the historical cost of an asset and the appropriate tax allowances are calculated based on the difference between the historical cost of assets and the residual values that are specified when recording transactions on the Transact sheet. The tax allowance rates are determined based on the tax code that is linked to an asset on the Assets sheet and the annual tax rates that are specified for the appropriate tax code on the Set-up sheet.</t>
  </si>
  <si>
    <t>Note: No journals are processed as a result of tax values or tax allowance calculations. These calculations are included in the template in order to include the tax values of all assets in the fixed asset register and to facilitate the calculation of deferred tax assets and liabilities.</t>
  </si>
  <si>
    <t>Note: If an asset is not depreciated, the asset will also not form part of the deferred tax calculations because the difference between the tax and accounting treatment of the asset is permanent and not temporary as is required in terms of the principles of deferred taxation.</t>
  </si>
  <si>
    <t>The income tax rate that is specified in cell C9 on the Set-up sheet is used for all deferred taxation calculations. If this rate is amended, all deferred tax calculations are updated automatically. A rate adjustment journal has however not been included in the automated journals and we therefore recommend that users calculate and adjust deferred tax asset and liability balances independently from the template calculations.</t>
  </si>
  <si>
    <t>Note: The effect of the rate change can however be determined by saving a new version of the template before changing the income tax rate, changing the rate and comparing the deferred tax balances between the new and old versions of the template.</t>
  </si>
  <si>
    <t>In terms of the automated journal report, the movements in all the deferred tax asset and liability balances for the appropriate period are allocated to the deferred tax income statement and balance sheet accounts that are specified as part of the asset category set-up on the Set-up sheet.</t>
  </si>
  <si>
    <t>The Category sheet contains a fixed asset register summary for all the asset categories that are created on the Set-up sheet. Individual assets are linked to a fixed asset category by selecting a category in column E on the Assets sheet. No user input is required on the Category sheet.</t>
  </si>
  <si>
    <t>Note: Only the first 30 asset categories are included on the Category sheet by default but you can add additional asset categories (if required) to the sheet by simply copying the formulas in the last row that contains data into the appropriate number of additional rows.</t>
  </si>
  <si>
    <t>Note: The Category sheet is compiled based on the review date that is specified in cell E2 on the Assets sheet. If you therefore want to amend the reporting period for which the asset category summary is compiled, simply enter a new review date on the Assets sheet.</t>
  </si>
  <si>
    <t>The Class sheet contains a fixed asset register summary for all the asset classes that are created on the Set-up sheet. Individual assets are linked to a fixed asset class by selecting an asset category in column E on the Assets sheet. Each asset category is linked to a separate asset class by selecting the appropriate asset class in the asset category set-up on the Set-up sheet. No user input is required on the Class sheet.</t>
  </si>
  <si>
    <t>Note: The template accommodates a maximum of 30 asset classes on the Class sheet. This should be more than sufficient for any business because the asset classes are used for financial statement reporting purposes.</t>
  </si>
  <si>
    <t>Note: If you want to view the detailed fixed asset records that make up the totals on the Class sheet, you can apply a filter to the Class column on the Assets sheet by clicking the selection arrow next to the column heading and selecting the appropriate asset class. The totals above the column headings will equal the amounts that are reflected on the Class sheet.</t>
  </si>
  <si>
    <t>Fixed Asset Journals</t>
  </si>
  <si>
    <t>Note: Only the first 30 asset categories are included on the Journals sheet by default but you can add additional asset categories (if required) to the sheet by simply copying the formulas in the last row that contains data into the appropriate number of additional rows.</t>
  </si>
  <si>
    <t>Note: The Journals sheet is compiled based on the review date that is specified in cell E2 on the Assets sheet. If you therefore want to amend the reporting period for which the automated journal report is compiled, simply enter a new review date on the Assets sheet.</t>
  </si>
  <si>
    <t>Each general ledger journal entry consists of four columns which contains two sets of accounts and amounts. The account numbers that are included on the Journal sheet are determined based on the general ledger accounts that are linked to each asset category on the Set-up sheet. In terms of the journal entry amounts, a positive value refers to a debit entry and a negative value refers to a credit entry.</t>
  </si>
  <si>
    <t>There are 11 general ledger journal entries on the Journals sheet - the purpose of each of these journal entries can be summarized as follows:</t>
  </si>
  <si>
    <t>■ Depreciation on Historical Cost - this is the depreciation charges based on the historical cost of an asset which is typically allocated to the income statement.</t>
  </si>
  <si>
    <t>■ Depreciation on Revaluations - this is the depreciation charges based on the revaluation of an asset which is typically allocated to the appropriate revaluation reserve account in order to offset (or reduce) revaluation surpluses that have been created previously as a result of asset revaluations.</t>
  </si>
  <si>
    <t>■ Additions - this journal records fixed asset additions in the general ledger. Note that in most accounting systems, additions will be recorded through cashbook (bank) or trade creditors accounting systems.</t>
  </si>
  <si>
    <t>■ Revaluations - Cost - this journal records the changes to the gross carrying value (or cost) of assets as a result of an asset revaluation. Note that all the cost changes are allocated to the revaluation reserve account that is specified for the asset category on the Set-up sheet.</t>
  </si>
  <si>
    <t>■ Cost - Impairment - this journal writes off asset impairments to the income statement if the revaluation of an asset resulted in an impairment (revaluation is less than the previous net carrying value of an asset).</t>
  </si>
  <si>
    <t>■ Disposals - Proceeds - this journal records the proceeds on the disposal of an asset in the general ledger. Note that in most accounting systems, the proceeds on disposal will be recorded through cashbook (bank) or trade debtors accounting systems.</t>
  </si>
  <si>
    <t>■ Disposals - Cost - this journal allocates the cost of a disposed asset to the appropriate profit or loss on disposal account that is specified for the asset category on the Set-up sheet.</t>
  </si>
  <si>
    <t>■ Disposals - Accumulated Depreciation - this journal allocates the accumulated depreciation of a disposed asset to the appropriate profit or loss on disposal account that is specified for the asset category on the Set-up sheet.</t>
  </si>
  <si>
    <t>■ Disposals - Release Revaluation Reserve - this journal allocates the balance of any remaining revaluation reserve of a disposed asset to the appropriate profit or loss on disposal account that is specified for the asset category on the Set-up sheet.</t>
  </si>
  <si>
    <t>■ Deferred Taxation - this journal records the movement in deferred tax assets or liabilities for the period.</t>
  </si>
  <si>
    <t>For more information on the calculation methodology that is applied in compiling the journal entries on the Journals sheet, refer to the Calculation Methodology section of these instructions.</t>
  </si>
  <si>
    <t>The account numbers that need to be entered in columns D to K are included in the automated journal report on the Journal sheet. All fixed asset journals are therefore based on the asset categories that are created which means that a separate asset category is required for each fixed asset account group or depreciation cost centre. The accounts that need to be entered in each column are better described as follows:</t>
  </si>
  <si>
    <t>The tax allowance percentages in column D to H are used to calculate the appropriate tax allowance amounts for the assets that are linked to the particular tax codes. You will therefore only be able to specify tax percentages for 5 years and if a longer period is applicable, the year 5 percentage will be used for all subsequent annual periods until an asset is fully written off for tax purposes.</t>
  </si>
  <si>
    <t>Note: Recording an asset number on the Assets sheet will have no effect in terms of recording the cost of an asset in the fixed asset register. An acquisition transaction needs to be recorded on the Transact sheet for each fixed asset that is acquired before the appropriate asset values will be included in the fixed asset register on the Assets sheet and the summaries on the Category and Class sheets.</t>
  </si>
  <si>
    <t>The proceeds on disposal of the asset is debited against the bank account and credited against the profit or loss account. If there is a revaluation reserve on the date of disposal, the balance of the revaluation reserve is debited against the revaluation reserve account and credited against the profit or loss account.</t>
  </si>
  <si>
    <t>If the revaluation results in an asset impairment (which means that the revaluation amount is less than the net carrying value of the asset), the accumulated depreciation as at the date of the revaluation is again debited against the appropriate accumulated depreciation account and credited to the revaluation reserve account but an equal amount is credited against the asset cost account and debited against the revaluation reserve account.</t>
  </si>
  <si>
    <t>All the depreciation calculations that form part of the fixed asset register which is compiled with this template are automated and based on the transactions that are recorded on the Transact sheet. It is however important to note that the period for which the depreciation calculations are performed is determined by the review date that is specified in cell E2 on the Assets sheet. The date in this cell is the only user input that is required in order to update all the depreciation calculations.</t>
  </si>
  <si>
    <t>All the depreciation calculations are split between depreciation based on the historical cost of an asset and depreciation based on the revaluation of an asset. This is an important point to note because only the depreciation based on the historical cost of an asset is allocated as an expense to the income statement. The depreciation based on the revaluation of an asset is debited against the revaluation reserve that is created when a revaluation surplus results from the revaluation of an asset. The revaluation reserve is therefore written off over the lifetime of the asset as part of the depreciation journals.</t>
  </si>
  <si>
    <t>Deferred tax asset and liability balances are calculated based on the difference between the tax values of assets and the net carrying value of assets based only on the historical cost of the assets. Depreciation based on the revaluation of assets should not be allocated to the income statement and therefore also have no effect on deferred tax calculations. All asset revaluation transactions are therefore ignored for deferred tax purposes.</t>
  </si>
  <si>
    <t>Note: If you want to analyse the values that have been included on the Journals sheet, we recommend that you refer to the Category sheet or that you apply the Filter feature to the asset records on the Assets sheet in order to analyse the journal amounts for a specific asset category.</t>
  </si>
  <si>
    <t>The template can be customized for your business by editing the default business details, asset categories, asset classes and tax codes on the Set-up sheet. The business name that is entered in cell C5 is used as a heading on all the other sheets, the year-end month that is selected in cell C7 is used in order to calculate year-to-date balances and the income tax percentage that is specified in cell C9 is used to calculate deferred tax balances.</t>
  </si>
  <si>
    <t>The proceeds on the disposal of the asset are recorded on the Transact sheet when the disposal transaction is recorded. The difference between this amount and the net carrying value of the asset (historical cost or gross carrying value less accumulated depreciation) constitutes the profit or loss on the disposal of the asset.</t>
  </si>
  <si>
    <t>DT Opening Balance</t>
  </si>
  <si>
    <t>DT YTD Movement</t>
  </si>
  <si>
    <t>DT Closing Balance</t>
  </si>
  <si>
    <t>DT MTD Movement</t>
  </si>
  <si>
    <t>TV Opening Balance</t>
  </si>
  <si>
    <t>TV YTD Movement</t>
  </si>
  <si>
    <t>TV Closing Balance</t>
  </si>
  <si>
    <t>TV MTD Movement</t>
  </si>
  <si>
    <t>HC Opening Balance</t>
  </si>
  <si>
    <t>HC YTD Movement</t>
  </si>
  <si>
    <t>HC Closing Balance</t>
  </si>
  <si>
    <t>HC MTD Movement</t>
  </si>
  <si>
    <t>RR Opening Balance</t>
  </si>
  <si>
    <t>RR Depr - Revaluation</t>
  </si>
  <si>
    <t>RR Closing Balance</t>
  </si>
  <si>
    <t>AD Closing Balance</t>
  </si>
  <si>
    <t>AD Opening Balance</t>
  </si>
  <si>
    <t>AC Closing Balance</t>
  </si>
  <si>
    <t>AC Opening Balance</t>
  </si>
  <si>
    <t>Acc Depr - Revaluations</t>
  </si>
  <si>
    <t>Acc Depr - Disposals</t>
  </si>
  <si>
    <t>All the columns on the Assets sheet with yellow column headings require user input while the columns with light blue column headings contain formulas which are automatically copied for each new asset that is added to the sheet. The following user input is required on the Assets sheet:</t>
  </si>
  <si>
    <t>All asset transactions must be recorded on the Transact sheet. There are basically 3 types of transactions that can be recorded namely acquisitions, disposals and revaluations. An asset transaction can be recorded by entering the required data into the user input columns - the column headings of all user input columns contain a yellow cell background while the column headings with a light blue cell background indicate that these columns contain formulas which are automatically copied for all new transactions that are added to the sheet.</t>
  </si>
  <si>
    <t>Note: All the columns on the Transact sheet have been included in an Excel table. This feature is extremely useful when entering data in a table format because the formulas that are included in calculated columns (the columns with a light blue column heading) are automatically copied when new rows are inserted into the table or when data is entered into the first blank row below the table. You can therefore enter a new transaction by simply entering a transaction date in column A - the table will then automatically be extended to include the new transaction.</t>
  </si>
  <si>
    <t>Note: All the columns on the Assets sheet have been included in an Excel table. This feature is extremely useful when entering data in a table format because the formulas that are included in calculated columns (the columns with a light blue column heading) are automatically copied when new rows are inserted into the table or when data is entered into the first blank row below the table. You can therefore enter a new transaction by simply entering an asset number in column A - the table will then automatically be extended to include the new asset number.</t>
  </si>
  <si>
    <t>The Transact sheet also includes 38 calculated columns - the column headings of all the calculated columns contain a light blue cell background. All of these columns contain formulas which are automatically copied for all new transactions that are added to the sheet. We'll now briefly cover the purpose of each calculated column:</t>
  </si>
  <si>
    <t>■ Revaluations - Accumulated Depreciation - this journal records the changes to the accumulated depreciation of fixed assets as a result of a fixed asset revaluation. Note that the accumulated depreciation of assets as at the date of the revaluation is allocated to the revaluation reserve account that is specified for the appropriate asset category on the Set-up sheet.</t>
  </si>
  <si>
    <t>© Copyright</t>
  </si>
  <si>
    <t>This template remains the intellectual property of www.excel-skills.com and is protected by international copyright laws. Any publication or distribution of this template outside the scope of the permitted use of the template is expressly prohibited. In terms of the permitted use of this template, only the distribution of the template to persons within the same organisation as the registered user or persons outside the organisation who can reasonably be expected to require access to the template as a direct result of the use of the template by the registered user is allowed. Subsequent distribution of the template by parties outside of the organisation is however expressly prohibited and represents an infringement of international copyright laws.</t>
  </si>
  <si>
    <r>
      <t>Set-up</t>
    </r>
    <r>
      <rPr>
        <sz val="10"/>
        <rFont val="Arial"/>
        <family val="2"/>
      </rPr>
      <t xml:space="preserve"> - the input cells on this sheet enable you to customize the template for your business. You can enter your business name, select a year end period, specify an income tax percentage, maintain the default fixed asset classes, maintain the default fixed asset categories and maintain the default tax codes. A complete list of user input error codes are also included on this sheet for information purposes.</t>
    </r>
  </si>
  <si>
    <r>
      <t>Assets</t>
    </r>
    <r>
      <rPr>
        <sz val="10"/>
        <rFont val="Arial"/>
        <family val="2"/>
      </rPr>
      <t xml:space="preserve"> - this sheet enables users to create a unique asset code for all fixed assets and the columns with the light blue column headings contain all the comprehensive, automated calculations that form part of the fixed asset register. User input is limited to entering an asset identification number, asset description, asset type, asset category and tax code. The period for which the fixed asset register is compiled is determined by the review date that is specified at the top of the sheet.</t>
    </r>
  </si>
  <si>
    <r>
      <t>Category</t>
    </r>
    <r>
      <rPr>
        <sz val="10"/>
        <rFont val="Arial"/>
        <family val="2"/>
      </rPr>
      <t xml:space="preserve"> - this sheet contains a fixed assets summary which is based on the fixed asset categories that are created on the Set-up sheet. No user input is required on this sheet and 30 fixed asset categories are accommodated. Additional fixed asset categories can be added by simply copying the formulas in the last row into the required number of additional rows.</t>
    </r>
  </si>
  <si>
    <r>
      <t>Class</t>
    </r>
    <r>
      <rPr>
        <sz val="10"/>
        <rFont val="Arial"/>
        <family val="2"/>
      </rPr>
      <t xml:space="preserve"> - this sheet contains a fixed assets summary which is based on the asset classes that are created on the Set-up sheet. No user input is required on this sheet and a maximum of 30 asset classes are accommodated.</t>
    </r>
  </si>
  <si>
    <r>
      <t>Journals</t>
    </r>
    <r>
      <rPr>
        <sz val="10"/>
        <rFont val="Arial"/>
        <family val="2"/>
      </rPr>
      <t xml:space="preserve"> - this sheet contains an automated journal report for all fixed asset transactions. The journal report can be compiled on a monthly or year-to-date basis and is based on the account numbers that are specified in the asset category set-up on the Set-up sheet. The journal report accommodates 30 asset categories but additional categories can be added by simply copying the formulas in the last row into the required number of additional rows.</t>
    </r>
  </si>
  <si>
    <r>
      <t xml:space="preserve">■ </t>
    </r>
    <r>
      <rPr>
        <i/>
        <sz val="10"/>
        <rFont val="Arial"/>
        <family val="2"/>
      </rPr>
      <t>Cost</t>
    </r>
    <r>
      <rPr>
        <sz val="10"/>
        <rFont val="Arial"/>
        <family val="2"/>
      </rPr>
      <t xml:space="preserve"> - the general ledger accounts that are entered in this column reflect the cost or gross carrying value of each asset category. These accounts should therefore be balance sheet accounts.</t>
    </r>
  </si>
  <si>
    <r>
      <t xml:space="preserve">■ </t>
    </r>
    <r>
      <rPr>
        <i/>
        <sz val="10"/>
        <rFont val="Arial"/>
        <family val="2"/>
      </rPr>
      <t>Accum Depr</t>
    </r>
    <r>
      <rPr>
        <sz val="10"/>
        <rFont val="Arial"/>
        <family val="2"/>
      </rPr>
      <t xml:space="preserve"> - the accounts in this column reflect the accumulated depreciation that has been written off against each asset category. These accounts should therefore be balance sheet accounts.</t>
    </r>
  </si>
  <si>
    <r>
      <t xml:space="preserve">■ </t>
    </r>
    <r>
      <rPr>
        <i/>
        <sz val="10"/>
        <rFont val="Arial"/>
        <family val="2"/>
      </rPr>
      <t>Depr</t>
    </r>
    <r>
      <rPr>
        <sz val="10"/>
        <rFont val="Arial"/>
        <family val="2"/>
      </rPr>
      <t xml:space="preserve"> - the total depreciation charges for each asset category is allocated to the accounts in this column. These accounts should therefore be income statement accounts.</t>
    </r>
  </si>
  <si>
    <r>
      <t xml:space="preserve">■ </t>
    </r>
    <r>
      <rPr>
        <i/>
        <sz val="10"/>
        <rFont val="Arial"/>
        <family val="2"/>
      </rPr>
      <t>Revalue</t>
    </r>
    <r>
      <rPr>
        <sz val="10"/>
        <rFont val="Arial"/>
        <family val="2"/>
      </rPr>
      <t xml:space="preserve"> - if a revaluation reserve is created after an asset revaluation, the revaluation surpluses for each asset category are allocated to these accounts. Separate revaluation reserve accounts can be added for each category or a single account can be used for all fixed assets by simply entering the same account number for all asset categories. The accounts that are specified should be balance sheet accounts.</t>
    </r>
  </si>
  <si>
    <r>
      <t xml:space="preserve">■ </t>
    </r>
    <r>
      <rPr>
        <i/>
        <sz val="10"/>
        <rFont val="Arial"/>
        <family val="2"/>
      </rPr>
      <t>Impairment</t>
    </r>
    <r>
      <rPr>
        <sz val="10"/>
        <rFont val="Arial"/>
        <family val="2"/>
      </rPr>
      <t xml:space="preserve"> - if an asset is valued at less than the current net carrying value, the impairment amounts for each asset category are allocated to these accounts. You can use separate impairment accounts for each asset category or enter the same account for all categories in order to allocate all asset impairment amounts to the same account. The accounts that are specified should be income statement accounts because asset impairment amounts are written off to the income statement.</t>
    </r>
  </si>
  <si>
    <r>
      <t xml:space="preserve">■ </t>
    </r>
    <r>
      <rPr>
        <i/>
        <sz val="10"/>
        <rFont val="Arial"/>
        <family val="2"/>
      </rPr>
      <t>Profit</t>
    </r>
    <r>
      <rPr>
        <sz val="10"/>
        <rFont val="Arial"/>
        <family val="2"/>
      </rPr>
      <t xml:space="preserve"> - if assets are sold, the profits or losses on the disposal of assets are allocated to the accounts that are specified in this column. You can again use a single account for all asset categories or enter separate accounts for each asset category. These accounts should be income statement accounts.</t>
    </r>
  </si>
  <si>
    <r>
      <t xml:space="preserve">■ </t>
    </r>
    <r>
      <rPr>
        <i/>
        <sz val="10"/>
        <rFont val="Arial"/>
        <family val="2"/>
      </rPr>
      <t>Def Tax BS</t>
    </r>
    <r>
      <rPr>
        <sz val="10"/>
        <rFont val="Arial"/>
        <family val="2"/>
      </rPr>
      <t xml:space="preserve"> - enter the accounts to which deferred tax assets or liabilities should be allocated. In most instances, only one balance sheet account is used for this purpose but you can specify separate accounts if you want to be able to view the deferred tax asset or liability for each asset category separately.</t>
    </r>
  </si>
  <si>
    <r>
      <t xml:space="preserve">■ </t>
    </r>
    <r>
      <rPr>
        <i/>
        <sz val="10"/>
        <rFont val="Arial"/>
        <family val="2"/>
      </rPr>
      <t>Def Tax IS</t>
    </r>
    <r>
      <rPr>
        <sz val="10"/>
        <rFont val="Arial"/>
        <family val="2"/>
      </rPr>
      <t xml:space="preserve"> - enter the accounts to which deferred tax charges for the year should be allocated. In most instances, only one income statement account is used for this purpose but you can specify separate accounts if you want to be able to view the deferred charges for each asset category separately.</t>
    </r>
  </si>
  <si>
    <r>
      <t xml:space="preserve">If the tax code of the asset had been A (which has a "Yes" option in column B) and the tax percentage in the first year is also 20%, it means that the tax allowance in the first year would only be 333.33 (10,000 x 20% </t>
    </r>
    <r>
      <rPr>
        <sz val="10"/>
        <rFont val="Arial"/>
        <family val="2"/>
      </rPr>
      <t xml:space="preserve">÷ </t>
    </r>
    <r>
      <rPr>
        <i/>
        <sz val="10"/>
        <rFont val="Arial"/>
        <family val="2"/>
      </rPr>
      <t>12 x 2). This is because appropriation would apply and the tax allowance calculation will therefore only include 2 months.</t>
    </r>
  </si>
  <si>
    <r>
      <rPr>
        <b/>
        <sz val="10"/>
        <rFont val="Arial"/>
        <family val="2"/>
      </rPr>
      <t>Asset Number</t>
    </r>
    <r>
      <rPr>
        <sz val="10"/>
        <rFont val="Arial"/>
        <family val="2"/>
      </rPr>
      <t xml:space="preserve"> - enter a unique asset number for each fixed asset in this column. Duplicate asset numbers may result in inaccurate calculations and it is therefore imperative that each fixed asset has a unique asset number. Similar assets or asset components can be distinguished by adding a "/1" and "/2" at the end of the asset number.</t>
    </r>
  </si>
  <si>
    <r>
      <rPr>
        <b/>
        <sz val="10"/>
        <rFont val="Arial"/>
        <family val="2"/>
      </rPr>
      <t>Asset ID Number</t>
    </r>
    <r>
      <rPr>
        <sz val="10"/>
        <rFont val="Arial"/>
        <family val="2"/>
      </rPr>
      <t xml:space="preserve"> - enter an asset identification number in this column. This number should preferably be applied to the asset in order to facilitate physical verification of assets and assist in identifying each fixed asset that is included in the fixed asset register.</t>
    </r>
  </si>
  <si>
    <r>
      <rPr>
        <b/>
        <sz val="10"/>
        <rFont val="Arial"/>
        <family val="2"/>
      </rPr>
      <t>Description</t>
    </r>
    <r>
      <rPr>
        <sz val="10"/>
        <rFont val="Arial"/>
        <family val="2"/>
      </rPr>
      <t xml:space="preserve"> - enter a comprehensive description of the asset in this column. The asset description should enable users to easily identify the asset and should assist users in distinguishing between similar assets.</t>
    </r>
  </si>
  <si>
    <r>
      <rPr>
        <b/>
        <sz val="10"/>
        <rFont val="Arial"/>
        <family val="2"/>
      </rPr>
      <t>Asset Type</t>
    </r>
    <r>
      <rPr>
        <sz val="10"/>
        <rFont val="Arial"/>
        <family val="2"/>
      </rPr>
      <t xml:space="preserve"> - select an asset type from the list box. This column assists in identifying leased assets and the list boxes in this column therefore include an owned and leased option.</t>
    </r>
  </si>
  <si>
    <r>
      <rPr>
        <b/>
        <sz val="10"/>
        <rFont val="Arial"/>
        <family val="2"/>
      </rPr>
      <t>Category</t>
    </r>
    <r>
      <rPr>
        <sz val="10"/>
        <rFont val="Arial"/>
        <family val="2"/>
      </rPr>
      <t xml:space="preserve"> - select an asset category from the list box in this column. All the asset categories that are created on the Set-up sheet are available for selection. Each asset needs to be linked to an asset category which is linked to an asset class in the Asset Category section on the Set-up sheet.</t>
    </r>
  </si>
  <si>
    <r>
      <rPr>
        <b/>
        <sz val="10"/>
        <rFont val="Arial"/>
        <family val="2"/>
      </rPr>
      <t>Tax Code</t>
    </r>
    <r>
      <rPr>
        <sz val="10"/>
        <rFont val="Arial"/>
        <family val="2"/>
      </rPr>
      <t xml:space="preserve"> - select a tax code from the list box in this column. All the tax codes that are created on the Set-up sheet are available for selection.</t>
    </r>
  </si>
  <si>
    <r>
      <rPr>
        <b/>
        <sz val="10"/>
        <rFont val="Arial"/>
        <family val="2"/>
      </rPr>
      <t>Error Code</t>
    </r>
    <r>
      <rPr>
        <sz val="10"/>
        <rFont val="Arial"/>
        <family val="2"/>
      </rPr>
      <t xml:space="preserve"> - if there is a problem with the input in any of the user input columns, an error code will be displayed in this column. Refer to the Set-up sheet for a description of each error code and to the Error Code section of these instructions for more information about the reason for the error code that is displayed.</t>
    </r>
  </si>
  <si>
    <r>
      <rPr>
        <b/>
        <sz val="10"/>
        <rFont val="Arial"/>
        <family val="2"/>
      </rPr>
      <t>Class</t>
    </r>
    <r>
      <rPr>
        <sz val="10"/>
        <rFont val="Arial"/>
        <family val="2"/>
      </rPr>
      <t xml:space="preserve"> - this column contains the asset class that the asset is linked to. The asset class is determined by the asset category that is selected in column E and each asset category is linked to a single asset class in the Asset Category section on the Set-up sheet.</t>
    </r>
  </si>
  <si>
    <r>
      <rPr>
        <b/>
        <sz val="10"/>
        <rFont val="Arial"/>
        <family val="2"/>
      </rPr>
      <t>Acquisition Date</t>
    </r>
    <r>
      <rPr>
        <sz val="10"/>
        <rFont val="Arial"/>
        <family val="2"/>
      </rPr>
      <t xml:space="preserve"> - the asset acquisition date is displayed in this column. After creating an asset number, an acquisition transaction needs to be recorded on the Transact sheet in order to record the acquisition of the asset. If an acquisition transaction has not been recorded for the particular asset, this column will contain an "add!" message.</t>
    </r>
  </si>
  <si>
    <r>
      <rPr>
        <b/>
        <sz val="10"/>
        <rFont val="Arial"/>
        <family val="2"/>
      </rPr>
      <t>Last Trn Date</t>
    </r>
    <r>
      <rPr>
        <sz val="10"/>
        <rFont val="Arial"/>
        <family val="2"/>
      </rPr>
      <t xml:space="preserve"> - this column contains the date of the last transaction that has been recorded for the appropriate asset. If no transaction has been recorded, the column will contain an "add!" message which indicates that an asset acquisition transaction still needs to be recorded.</t>
    </r>
  </si>
  <si>
    <r>
      <rPr>
        <b/>
        <sz val="10"/>
        <rFont val="Arial"/>
        <family val="2"/>
      </rPr>
      <t>Current Trn Date</t>
    </r>
    <r>
      <rPr>
        <sz val="10"/>
        <rFont val="Arial"/>
        <family val="2"/>
      </rPr>
      <t xml:space="preserve"> - this column contains the date of the last transaction for the asset that is dated before the YTD To Date which is displayed in cell I2. It therefore represents the last transaction that has been recorded before the current period end.</t>
    </r>
  </si>
  <si>
    <r>
      <rPr>
        <b/>
        <sz val="10"/>
        <rFont val="Arial"/>
        <family val="2"/>
      </rPr>
      <t>Disposal Date</t>
    </r>
    <r>
      <rPr>
        <sz val="10"/>
        <rFont val="Arial"/>
        <family val="2"/>
      </rPr>
      <t xml:space="preserve"> - if an asset has been disposed of, the date of disposal as per the Transact sheet will be displayed in this column. Note that a disposal transaction has to be recorded on the Transact sheet for all asset disposals.</t>
    </r>
  </si>
  <si>
    <r>
      <rPr>
        <b/>
        <sz val="10"/>
        <rFont val="Arial"/>
        <family val="2"/>
      </rPr>
      <t>Proceeds on Disposal</t>
    </r>
    <r>
      <rPr>
        <sz val="10"/>
        <rFont val="Arial"/>
        <family val="2"/>
      </rPr>
      <t xml:space="preserve"> - if an asset has been disposed of, the proceeds on disposal as per the Transact sheet will be displayed in this column.</t>
    </r>
  </si>
  <si>
    <r>
      <rPr>
        <b/>
        <sz val="10"/>
        <rFont val="Arial"/>
        <family val="2"/>
      </rPr>
      <t>Historical Cost</t>
    </r>
    <r>
      <rPr>
        <sz val="10"/>
        <rFont val="Arial"/>
        <family val="2"/>
      </rPr>
      <t xml:space="preserve"> - the historical cost of all assets that have been acquired before the end of the current financial period is displayed in this column. The historical cost is defined as the transaction amount of the acquisition transaction that is recorded on the Transact sheet for the particular asset.</t>
    </r>
  </si>
  <si>
    <r>
      <rPr>
        <b/>
        <sz val="10"/>
        <rFont val="Arial"/>
        <family val="2"/>
      </rPr>
      <t>Active Lifetime</t>
    </r>
    <r>
      <rPr>
        <sz val="10"/>
        <rFont val="Arial"/>
        <family val="2"/>
      </rPr>
      <t xml:space="preserve"> - the lifetime that has been recorded on the Transact sheet for the most recent transaction that is dated before the current period end is displayed in this column.</t>
    </r>
  </si>
  <si>
    <r>
      <rPr>
        <b/>
        <sz val="10"/>
        <rFont val="Arial"/>
        <family val="2"/>
      </rPr>
      <t>Active Res Value</t>
    </r>
    <r>
      <rPr>
        <sz val="10"/>
        <rFont val="Arial"/>
        <family val="2"/>
      </rPr>
      <t xml:space="preserve"> - the residual value that has been recorded on the Transact sheet for the most recent transaction that is dated before the current period end is displayed in this column.</t>
    </r>
  </si>
  <si>
    <r>
      <rPr>
        <b/>
        <sz val="10"/>
        <rFont val="Arial"/>
        <family val="2"/>
      </rPr>
      <t>Tax Cost</t>
    </r>
    <r>
      <rPr>
        <sz val="10"/>
        <rFont val="Arial"/>
        <family val="2"/>
      </rPr>
      <t xml:space="preserve"> - the tax cost of the asset is displayed in this column. The tax cost is the same as the historical cost of the asset. This column will only contain a value if the asset has been acquired before the current period end.</t>
    </r>
  </si>
  <si>
    <r>
      <rPr>
        <b/>
        <sz val="10"/>
        <rFont val="Arial"/>
        <family val="2"/>
      </rPr>
      <t>Current Tax %</t>
    </r>
    <r>
      <rPr>
        <sz val="10"/>
        <rFont val="Arial"/>
        <family val="2"/>
      </rPr>
      <t xml:space="preserve"> - the tax allowance percentage for the current period is displayed in this column. This percentage is dependent on the tax code that has been selected in column F and the annual tax percentages that have been defined for the particular tax code on the Set-up sheet. If a tax code has not been selected in column F, a "code?" message will be displayed in this column.</t>
    </r>
  </si>
  <si>
    <r>
      <rPr>
        <b/>
        <sz val="10"/>
        <rFont val="Arial"/>
        <family val="2"/>
      </rPr>
      <t>Elapsed Months PY</t>
    </r>
    <r>
      <rPr>
        <sz val="10"/>
        <rFont val="Arial"/>
        <family val="2"/>
      </rPr>
      <t xml:space="preserve"> - the value in this column indicates the number of months that have elapsed since the acquisition of the asset up to the end of the previous financial period. A value will only be displayed for assets that have not been disposed of before the end of the previous financial period.</t>
    </r>
  </si>
  <si>
    <r>
      <rPr>
        <b/>
        <sz val="10"/>
        <rFont val="Arial"/>
        <family val="2"/>
      </rPr>
      <t>Elapsed Months CY</t>
    </r>
    <r>
      <rPr>
        <sz val="10"/>
        <rFont val="Arial"/>
        <family val="2"/>
      </rPr>
      <t xml:space="preserve"> - the value in this column indicates the number of months that have elapsed since the acquisition of the asset up to the end of the current financial period. A value will only be displayed for assets that have not been disposed of before the end of the current financial period.</t>
    </r>
  </si>
  <si>
    <r>
      <rPr>
        <b/>
        <sz val="10"/>
        <rFont val="Arial"/>
        <family val="2"/>
      </rPr>
      <t>Elapsed Months PM</t>
    </r>
    <r>
      <rPr>
        <sz val="10"/>
        <rFont val="Arial"/>
        <family val="2"/>
      </rPr>
      <t xml:space="preserve"> - the value in this column indicates the number of months that have elapsed since the acquisition of the asset up to the end of the previous month. A value will only be displayed for assets that have not been disposed of before the end of the previous month.</t>
    </r>
  </si>
  <si>
    <r>
      <rPr>
        <b/>
        <sz val="10"/>
        <rFont val="Arial"/>
        <family val="2"/>
      </rPr>
      <t>AC Opening Balance</t>
    </r>
    <r>
      <rPr>
        <sz val="10"/>
        <rFont val="Arial"/>
        <family val="2"/>
      </rPr>
      <t xml:space="preserve"> - the opening cost or gross carrying value of the asset at the beginning of the current financial period is included in this column.</t>
    </r>
  </si>
  <si>
    <r>
      <rPr>
        <b/>
        <sz val="10"/>
        <rFont val="Arial"/>
        <family val="2"/>
      </rPr>
      <t>Additions</t>
    </r>
    <r>
      <rPr>
        <sz val="10"/>
        <rFont val="Arial"/>
        <family val="2"/>
      </rPr>
      <t xml:space="preserve"> - if an asset has been acquired during the current financial period, the cost of the asset is included in this column. The cost of the asset is entered as the transaction amount when recording an acquisition type transaction on the Transact sheet.</t>
    </r>
  </si>
  <si>
    <r>
      <rPr>
        <b/>
        <sz val="10"/>
        <rFont val="Arial"/>
        <family val="2"/>
      </rPr>
      <t>Revaluations</t>
    </r>
    <r>
      <rPr>
        <sz val="10"/>
        <rFont val="Arial"/>
        <family val="2"/>
      </rPr>
      <t xml:space="preserve"> - if an asset has been revalued during the current financial period, the adjustment in the gross carrying value (or the cost of the asset if the asset has not been revalued previously) is included in this column. Note that this adjustment is only calculated based on the gross carrying value of the asset - if you want to recalculate the revaluation surplus or impairment, the Revaluation column in the Accumulated Depreciation section also needs to be taken into account.</t>
    </r>
  </si>
  <si>
    <r>
      <rPr>
        <b/>
        <sz val="10"/>
        <rFont val="Arial"/>
        <family val="2"/>
      </rPr>
      <t>Disposals</t>
    </r>
    <r>
      <rPr>
        <sz val="10"/>
        <rFont val="Arial"/>
        <family val="2"/>
      </rPr>
      <t xml:space="preserve"> - if an asset has been disposed of during the current financial period, the gross carrying value (or the cost of the asset if the asset has not been revalued previously) is included in this column as a negative value. This effectively means that the gross carrying value of the asset is removed from the fixed asset register.</t>
    </r>
  </si>
  <si>
    <r>
      <rPr>
        <b/>
        <sz val="10"/>
        <rFont val="Arial"/>
        <family val="2"/>
      </rPr>
      <t>Impairment</t>
    </r>
    <r>
      <rPr>
        <sz val="10"/>
        <rFont val="Arial"/>
        <family val="2"/>
      </rPr>
      <t xml:space="preserve"> - if an asset has been revalued during the current financial period at a value that is lower than the current net carrying value, the impairment amount is included in this column. Note that in some instances, a negative value may also be displayed in the Revaluations column which will be offset by a negative value in the Revaluations column in the Accumulated Depreciation section. This is simply because the impairment is calculated based on the net carrying value which therefore necessitates adjustments to the Cost and Accumulated Depreciation values in order to adjust the gross carrying value (the Cost section) to the correct values after revaluation.</t>
    </r>
  </si>
  <si>
    <r>
      <rPr>
        <b/>
        <sz val="10"/>
        <rFont val="Arial"/>
        <family val="2"/>
      </rPr>
      <t>AC Closing Balance</t>
    </r>
    <r>
      <rPr>
        <sz val="10"/>
        <rFont val="Arial"/>
        <family val="2"/>
      </rPr>
      <t xml:space="preserve"> - the closing cost or gross carrying value of the asset at the end of the current financial period is included in this column.</t>
    </r>
  </si>
  <si>
    <r>
      <rPr>
        <b/>
        <sz val="10"/>
        <rFont val="Arial"/>
        <family val="2"/>
      </rPr>
      <t>AD Opening Balance</t>
    </r>
    <r>
      <rPr>
        <sz val="10"/>
        <rFont val="Arial"/>
        <family val="2"/>
      </rPr>
      <t xml:space="preserve"> - the opening accumulated depreciation balance of the asset at the beginning of the current financial period is included in this column.</t>
    </r>
  </si>
  <si>
    <r>
      <rPr>
        <b/>
        <sz val="10"/>
        <rFont val="Arial"/>
        <family val="2"/>
      </rPr>
      <t>Depreciation - Cost</t>
    </r>
    <r>
      <rPr>
        <sz val="10"/>
        <rFont val="Arial"/>
        <family val="2"/>
      </rPr>
      <t xml:space="preserve"> - the year-to-date depreciation on the historical cost of the asset is included in this column. The amounts in this column are calculated on the Transact sheet. For revalued assets, only the portion of the depreciation that relates to the historical cost of the asset will be included in this column.</t>
    </r>
  </si>
  <si>
    <r>
      <rPr>
        <b/>
        <sz val="10"/>
        <rFont val="Arial"/>
        <family val="2"/>
      </rPr>
      <t>Depreciation - Total</t>
    </r>
    <r>
      <rPr>
        <sz val="10"/>
        <rFont val="Arial"/>
        <family val="2"/>
      </rPr>
      <t xml:space="preserve"> - the total year-to-date depreciation on the asset is included in this column. All the amounts in this column are calculated on the Transact sheet.</t>
    </r>
  </si>
  <si>
    <r>
      <rPr>
        <b/>
        <sz val="10"/>
        <rFont val="Arial"/>
        <family val="2"/>
      </rPr>
      <t>Acc Depr - Disposals</t>
    </r>
    <r>
      <rPr>
        <sz val="10"/>
        <rFont val="Arial"/>
        <family val="2"/>
      </rPr>
      <t xml:space="preserve"> - if an asset has been disposed of during the current financial period, the accumulated depreciation as at the date of the disposal is included in this column as a negative value. This effectively means that the accumulated depreciation of the asset is removed from the fixed asset register.</t>
    </r>
  </si>
  <si>
    <r>
      <rPr>
        <b/>
        <sz val="10"/>
        <rFont val="Arial"/>
        <family val="2"/>
      </rPr>
      <t>AD Closing Balance</t>
    </r>
    <r>
      <rPr>
        <sz val="10"/>
        <rFont val="Arial"/>
        <family val="2"/>
      </rPr>
      <t xml:space="preserve"> - the closing accumulated depreciation balance of the asset at the end of the current financial period is included in this column.</t>
    </r>
  </si>
  <si>
    <r>
      <rPr>
        <b/>
        <sz val="10"/>
        <rFont val="Arial"/>
        <family val="2"/>
      </rPr>
      <t>Closing Carrying Value</t>
    </r>
    <r>
      <rPr>
        <sz val="10"/>
        <rFont val="Arial"/>
        <family val="2"/>
      </rPr>
      <t xml:space="preserve"> - the difference between the closing cost (or gross carrying value) of an asset and the closing accumulated depreciation balance is included in this column. The amounts in this column reflect the "book value" of an asset at the end of the financial period.</t>
    </r>
  </si>
  <si>
    <r>
      <rPr>
        <b/>
        <sz val="10"/>
        <rFont val="Arial"/>
        <family val="2"/>
      </rPr>
      <t>RR Opening Balance</t>
    </r>
    <r>
      <rPr>
        <sz val="10"/>
        <rFont val="Arial"/>
        <family val="2"/>
      </rPr>
      <t xml:space="preserve"> - the amounts in this column reflect the revaluation reserve opening balances at the beginning of the current financial period.</t>
    </r>
  </si>
  <si>
    <r>
      <rPr>
        <b/>
        <sz val="10"/>
        <rFont val="Arial"/>
        <family val="2"/>
      </rPr>
      <t>Revaluation Surplus</t>
    </r>
    <r>
      <rPr>
        <sz val="10"/>
        <rFont val="Arial"/>
        <family val="2"/>
      </rPr>
      <t xml:space="preserve"> - if an asset has been revalued during the current financial period at a value that is higher than its net carrying value at the date of revaluation, the revaluation surplus is included in this column. Note that if an asset is revalued at a value that is less than its net carrying value, an asset impairment amount will be included in the Impairment Write-Offs column and the revaluation surplus will be nil.</t>
    </r>
  </si>
  <si>
    <r>
      <rPr>
        <b/>
        <sz val="10"/>
        <rFont val="Arial"/>
        <family val="2"/>
      </rPr>
      <t>RR Depreciation - Revaluation</t>
    </r>
    <r>
      <rPr>
        <sz val="10"/>
        <rFont val="Arial"/>
        <family val="2"/>
      </rPr>
      <t xml:space="preserve"> - the year-to-date depreciation on any revaluations that may have been made to an asset in the past is included in this column. This means that we effectively write-off the depreciation on revaluations against the revaluation reserve balance instead of allocating these depreciation amounts to the income statement.</t>
    </r>
  </si>
  <si>
    <r>
      <rPr>
        <b/>
        <sz val="10"/>
        <rFont val="Arial"/>
        <family val="2"/>
      </rPr>
      <t>RR Closing Balance</t>
    </r>
    <r>
      <rPr>
        <sz val="10"/>
        <rFont val="Arial"/>
        <family val="2"/>
      </rPr>
      <t xml:space="preserve"> - the amounts in this column reflect the revaluation reserve closing balances at the end of the current financial period.</t>
    </r>
  </si>
  <si>
    <r>
      <rPr>
        <b/>
        <sz val="10"/>
        <rFont val="Arial"/>
        <family val="2"/>
      </rPr>
      <t>Impairment Write-Offs</t>
    </r>
    <r>
      <rPr>
        <sz val="10"/>
        <rFont val="Arial"/>
        <family val="2"/>
      </rPr>
      <t xml:space="preserve"> - if an asset has been revalued during the current financial period at a value that is lower than its net carrying value at the date of revaluation, the asset impairment amount is included in this column. Note that if an asset is revalued at a value that is higher than its net carrying value, a revaluation surplus will be included in the Revaluation Reserve section and the asset impairment amount will be nil.</t>
    </r>
  </si>
  <si>
    <r>
      <rPr>
        <b/>
        <sz val="10"/>
        <rFont val="Arial"/>
        <family val="2"/>
      </rPr>
      <t>Cost</t>
    </r>
    <r>
      <rPr>
        <sz val="10"/>
        <rFont val="Arial"/>
        <family val="2"/>
      </rPr>
      <t xml:space="preserve"> - this column includes the depreciation on the historical cost of an asset for the current month. The appropriate month is determined by the review date that is specified in cell E2. The current month depreciation on historical cost is calculated on the Transact sheet. Note that this column will only contain a value if the historical cost of an asset has not been fully depreciated.</t>
    </r>
  </si>
  <si>
    <r>
      <rPr>
        <b/>
        <sz val="10"/>
        <rFont val="Arial"/>
        <family val="2"/>
      </rPr>
      <t>Total</t>
    </r>
    <r>
      <rPr>
        <sz val="10"/>
        <rFont val="Arial"/>
        <family val="2"/>
      </rPr>
      <t xml:space="preserve"> - this column includes the total depreciation of an asset for the current month. The appropriate month is determined by the review date that is specified in cell E2. The current month total depreciation is calculated on the Transact sheet. Note that this column will only contain a value if the gross carrying value (or historical cost for assets that have not been revalued) of an asset has not been fully depreciated.</t>
    </r>
  </si>
  <si>
    <r>
      <rPr>
        <b/>
        <sz val="10"/>
        <rFont val="Arial"/>
        <family val="2"/>
      </rPr>
      <t>HC Opening Balance</t>
    </r>
    <r>
      <rPr>
        <sz val="10"/>
        <rFont val="Arial"/>
        <family val="2"/>
      </rPr>
      <t xml:space="preserve"> - this column includes the book value of an asset based only on historical cost calculations at the beginning of the current financial period.</t>
    </r>
  </si>
  <si>
    <r>
      <rPr>
        <b/>
        <sz val="10"/>
        <rFont val="Arial"/>
        <family val="2"/>
      </rPr>
      <t>HC YTD Movement</t>
    </r>
    <r>
      <rPr>
        <sz val="10"/>
        <rFont val="Arial"/>
        <family val="2"/>
      </rPr>
      <t xml:space="preserve"> - this column includes the YTD movement in the book value of an asset based only on historical cost calculations. All revaluations are ignored for the purpose of this calculation.</t>
    </r>
  </si>
  <si>
    <r>
      <rPr>
        <b/>
        <sz val="10"/>
        <rFont val="Arial"/>
        <family val="2"/>
      </rPr>
      <t>HC Closing Balance</t>
    </r>
    <r>
      <rPr>
        <sz val="10"/>
        <rFont val="Arial"/>
        <family val="2"/>
      </rPr>
      <t xml:space="preserve"> - this column includes the book value of an asset based only on historical cost calculations at the end of the current financial period.</t>
    </r>
  </si>
  <si>
    <r>
      <rPr>
        <b/>
        <sz val="10"/>
        <rFont val="Arial"/>
        <family val="2"/>
      </rPr>
      <t xml:space="preserve">HC MTD Movement </t>
    </r>
    <r>
      <rPr>
        <sz val="10"/>
        <rFont val="Arial"/>
        <family val="2"/>
      </rPr>
      <t>- this column includes the MTD movement in the book value of an asset based only on historical cost calculations. All revaluations are ignored for the purpose of this calculation.</t>
    </r>
  </si>
  <si>
    <r>
      <rPr>
        <b/>
        <sz val="10"/>
        <rFont val="Arial"/>
        <family val="2"/>
      </rPr>
      <t>TV Opening Balance</t>
    </r>
    <r>
      <rPr>
        <sz val="10"/>
        <rFont val="Arial"/>
        <family val="2"/>
      </rPr>
      <t xml:space="preserve"> - this column includes the tax value of the appropriate asset at the beginning of the current financial period. All tax value balances are calculated by deducting the appropriate tax allowances (based on the tax code that is selected in column F) from the tax cost (historical cost) of an asset.</t>
    </r>
  </si>
  <si>
    <r>
      <rPr>
        <b/>
        <sz val="10"/>
        <rFont val="Arial"/>
        <family val="2"/>
      </rPr>
      <t>TV Closing Balance</t>
    </r>
    <r>
      <rPr>
        <sz val="10"/>
        <rFont val="Arial"/>
        <family val="2"/>
      </rPr>
      <t xml:space="preserve"> - this column includes the tax value of the appropriate asset at the end of the current financial period. All tax value balances are calculated by deducting the appropriate tax allowances (based on the tax code that is selected in column F) from the tax cost (historical cost) of an asset.</t>
    </r>
  </si>
  <si>
    <r>
      <rPr>
        <b/>
        <sz val="10"/>
        <rFont val="Arial"/>
        <family val="2"/>
      </rPr>
      <t>DT Opening Balance</t>
    </r>
    <r>
      <rPr>
        <sz val="10"/>
        <rFont val="Arial"/>
        <family val="2"/>
      </rPr>
      <t xml:space="preserve"> - this column includes the deferred tax balance at the beginning of the current financial period. Deferred tax balances are calculated as the difference between the carrying values at historical cost and the tax values multiplied by the appropriate tax rate which is specified on the Set-up sheet. Positive values represent deferred tax assets and negative values represent deferred tax liabilities.</t>
    </r>
  </si>
  <si>
    <r>
      <rPr>
        <b/>
        <sz val="10"/>
        <rFont val="Arial"/>
        <family val="2"/>
      </rPr>
      <t>DT YTD Movement</t>
    </r>
    <r>
      <rPr>
        <sz val="10"/>
        <rFont val="Arial"/>
        <family val="2"/>
      </rPr>
      <t xml:space="preserve"> - this column includes the YTD movement in the deferred tax balances.</t>
    </r>
  </si>
  <si>
    <r>
      <rPr>
        <b/>
        <sz val="10"/>
        <rFont val="Arial"/>
        <family val="2"/>
      </rPr>
      <t>DT Closing Balance</t>
    </r>
    <r>
      <rPr>
        <sz val="10"/>
        <rFont val="Arial"/>
        <family val="2"/>
      </rPr>
      <t xml:space="preserve"> - this column includes the deferred tax balance at the end of the current financial period. Deferred tax balances are calculated as the difference between the carrying values at historical cost and the tax values multiplied by the appropriate tax rate which is specified on the Set-up sheet. Positive values represent deferred tax assets and negative values represent deferred tax liabilities.</t>
    </r>
  </si>
  <si>
    <r>
      <rPr>
        <b/>
        <sz val="10"/>
        <rFont val="Arial"/>
        <family val="2"/>
      </rPr>
      <t>DT MTD Movement</t>
    </r>
    <r>
      <rPr>
        <sz val="10"/>
        <rFont val="Arial"/>
        <family val="2"/>
      </rPr>
      <t xml:space="preserve"> - this column includes the MTD movement in the deferred tax balances.</t>
    </r>
  </si>
  <si>
    <r>
      <rPr>
        <b/>
        <sz val="10"/>
        <rFont val="Arial"/>
        <family val="2"/>
      </rPr>
      <t>Transaction Date</t>
    </r>
    <r>
      <rPr>
        <sz val="10"/>
        <rFont val="Arial"/>
        <family val="2"/>
      </rPr>
      <t xml:space="preserve"> - enter the date of the transaction.</t>
    </r>
  </si>
  <si>
    <r>
      <rPr>
        <b/>
        <sz val="10"/>
        <rFont val="Arial"/>
        <family val="2"/>
      </rPr>
      <t>Transaction Type</t>
    </r>
    <r>
      <rPr>
        <sz val="10"/>
        <rFont val="Arial"/>
        <family val="2"/>
      </rPr>
      <t xml:space="preserve"> - select the transaction type from the list box. The ACQ option should be selected for all asset acquisitions, the DIS option should be selected for all asset disposals and the REV option should be selected for all revaluations of fixed assets.</t>
    </r>
  </si>
  <si>
    <r>
      <rPr>
        <b/>
        <sz val="10"/>
        <rFont val="Arial"/>
        <family val="2"/>
      </rPr>
      <t>Asset Number</t>
    </r>
    <r>
      <rPr>
        <sz val="10"/>
        <rFont val="Arial"/>
        <family val="2"/>
      </rPr>
      <t xml:space="preserve"> - select the appropriate asset number of the asset to which the transaction relates from the list box in this column. All the asset numbers that have been added to the Assets sheet will be available for selection. You therefore need to create an asset number for the appropriate fixed asset on the Assets sheet before you will be able to record any transactions for the particular fixed asset.</t>
    </r>
  </si>
  <si>
    <r>
      <rPr>
        <b/>
        <sz val="10"/>
        <rFont val="Arial"/>
        <family val="2"/>
      </rPr>
      <t>Supplier</t>
    </r>
    <r>
      <rPr>
        <sz val="10"/>
        <rFont val="Arial"/>
        <family val="2"/>
      </rPr>
      <t xml:space="preserve"> - enter the name of the supplier from which the asset has been acquired. If a disposal transaction is recorded, you can enter the name of the customer in this column. For revaluations, you can simply enter "None".</t>
    </r>
  </si>
  <si>
    <r>
      <rPr>
        <b/>
        <sz val="10"/>
        <rFont val="Arial"/>
        <family val="2"/>
      </rPr>
      <t>Document Number</t>
    </r>
    <r>
      <rPr>
        <sz val="10"/>
        <rFont val="Arial"/>
        <family val="2"/>
      </rPr>
      <t xml:space="preserve"> - enter the document number of a supporting document which will enable you to trace the transaction back to its supporting documentation. For acquisitions, this should be the supplier invoice number and for disposals, the customer invoice number. For revaluations, you can simply enter text like "Revalue".</t>
    </r>
  </si>
  <si>
    <r>
      <rPr>
        <b/>
        <sz val="10"/>
        <rFont val="Arial"/>
        <family val="2"/>
      </rPr>
      <t>Amount</t>
    </r>
    <r>
      <rPr>
        <sz val="10"/>
        <rFont val="Arial"/>
        <family val="2"/>
      </rPr>
      <t xml:space="preserve"> - enter the transaction amount in this column. For acquisitions, the supplier invoice amount should be entered exclusive of any sales tax that may be applicable. For disposals, a nil amount should be entered in this column. For revaluations, the value of the asset should be entered in this column - this should be the new value of the fixed asset and not the difference between the valuation and the previous historical cost or gross carrying amount!</t>
    </r>
  </si>
  <si>
    <r>
      <rPr>
        <b/>
        <sz val="10"/>
        <rFont val="Arial"/>
        <family val="2"/>
      </rPr>
      <t>Lifetime in Years</t>
    </r>
    <r>
      <rPr>
        <sz val="10"/>
        <rFont val="Arial"/>
        <family val="2"/>
      </rPr>
      <t xml:space="preserve"> - enter the estimated lifetime of the asset in years for all acquisition and revaluation transactions in this column. For disposals, enter a nil value in this column. Note that if an asset should not be depreciated, a nil lifetime also needs to be specified in this column.</t>
    </r>
  </si>
  <si>
    <r>
      <rPr>
        <b/>
        <sz val="10"/>
        <rFont val="Arial"/>
        <family val="2"/>
      </rPr>
      <t>Residual Value</t>
    </r>
    <r>
      <rPr>
        <sz val="10"/>
        <rFont val="Arial"/>
        <family val="2"/>
      </rPr>
      <t xml:space="preserve"> - this value should be the estimated valuation of an asset at the end of the lifetime that is specified in the previous column. If the asset will have no value at the end of its estimated lifetime, enter nil. A nil value should also be entered for all disposal transactions.</t>
    </r>
  </si>
  <si>
    <r>
      <rPr>
        <b/>
        <sz val="10"/>
        <rFont val="Arial"/>
        <family val="2"/>
      </rPr>
      <t>Proceeds on Sale</t>
    </r>
    <r>
      <rPr>
        <sz val="10"/>
        <rFont val="Arial"/>
        <family val="2"/>
      </rPr>
      <t xml:space="preserve"> - if a disposal transaction is being recorded, enter the proceeds on the disposal of the asset in this column. The proceeds should equal the total amount that is received for the asset. If an asset is being scrapped, enter nil in this column. A nil value should also be entered for all acquisition and revaluation transactions.</t>
    </r>
  </si>
  <si>
    <r>
      <rPr>
        <b/>
        <sz val="10"/>
        <rFont val="Arial"/>
        <family val="2"/>
      </rPr>
      <t>Category</t>
    </r>
    <r>
      <rPr>
        <sz val="10"/>
        <rFont val="Arial"/>
        <family val="2"/>
      </rPr>
      <t xml:space="preserve"> - the asset category is looked up on the Assets sheet based on the asset number that is specified in column C. This column is included for information purposes only.</t>
    </r>
  </si>
  <si>
    <r>
      <rPr>
        <b/>
        <sz val="10"/>
        <rFont val="Arial"/>
        <family val="2"/>
      </rPr>
      <t>Transaction Date ID</t>
    </r>
    <r>
      <rPr>
        <sz val="10"/>
        <rFont val="Arial"/>
        <family val="2"/>
      </rPr>
      <t xml:space="preserve"> - the formula in this column assigns a time to each transaction date based on the row number of the transaction. This means that each transaction will have a unique date even if two transactions that relate to the same asset are recorded on the same date.</t>
    </r>
  </si>
  <si>
    <r>
      <rPr>
        <b/>
        <sz val="10"/>
        <rFont val="Arial"/>
        <family val="2"/>
      </rPr>
      <t>Previous Trn Date</t>
    </r>
    <r>
      <rPr>
        <sz val="10"/>
        <rFont val="Arial"/>
        <family val="2"/>
      </rPr>
      <t xml:space="preserve"> - this column indicates the date of the previous transaction for the specified asset number. If there is no previous transaction for the asset, a date of 1900/01/00 will be displayed.</t>
    </r>
  </si>
  <si>
    <r>
      <rPr>
        <b/>
        <sz val="10"/>
        <rFont val="Arial"/>
        <family val="2"/>
      </rPr>
      <t>Next Trn Date</t>
    </r>
    <r>
      <rPr>
        <sz val="10"/>
        <rFont val="Arial"/>
        <family val="2"/>
      </rPr>
      <t xml:space="preserve"> - this column contains the next transaction date for the selected asset. If there is no transaction after the current transaction, the day after the YTD To date on the Assets sheet will be included in this column.</t>
    </r>
  </si>
  <si>
    <r>
      <rPr>
        <b/>
        <sz val="10"/>
        <rFont val="Arial"/>
        <family val="2"/>
      </rPr>
      <t>Depr End Date</t>
    </r>
    <r>
      <rPr>
        <sz val="10"/>
        <rFont val="Arial"/>
        <family val="2"/>
      </rPr>
      <t xml:space="preserve"> - this column contains the date on which the depreciation period for the transaction will end. This date is determined by adding the lifetime of the asset to the transaction date.</t>
    </r>
  </si>
  <si>
    <r>
      <rPr>
        <b/>
        <sz val="10"/>
        <rFont val="Arial"/>
        <family val="2"/>
      </rPr>
      <t>Depr YTD From Date</t>
    </r>
    <r>
      <rPr>
        <sz val="10"/>
        <rFont val="Arial"/>
        <family val="2"/>
      </rPr>
      <t xml:space="preserve"> - the date from which the current financial period depreciation is calculated is included in this column. Note that if there is a subsequent transaction for an asset, a date of 1900/01/00 or the YTD From date may be included in this column.</t>
    </r>
  </si>
  <si>
    <r>
      <rPr>
        <b/>
        <sz val="10"/>
        <rFont val="Arial"/>
        <family val="2"/>
      </rPr>
      <t>Depr YTD To Date</t>
    </r>
    <r>
      <rPr>
        <sz val="10"/>
        <rFont val="Arial"/>
        <family val="2"/>
      </rPr>
      <t xml:space="preserve"> - the date up to which the current financial period depreciation is calculated is included in this column. Note that if there is a subsequent transaction for an asset, a date of 1900/01/00 or the YTD From date may be included in this column.</t>
    </r>
  </si>
  <si>
    <r>
      <rPr>
        <b/>
        <sz val="10"/>
        <rFont val="Arial"/>
        <family val="2"/>
      </rPr>
      <t>Transaction Amount</t>
    </r>
    <r>
      <rPr>
        <sz val="10"/>
        <rFont val="Arial"/>
        <family val="2"/>
      </rPr>
      <t xml:space="preserve"> - this column contains the transaction amount that is specified in column F.</t>
    </r>
  </si>
  <si>
    <r>
      <rPr>
        <b/>
        <sz val="10"/>
        <rFont val="Arial"/>
        <family val="2"/>
      </rPr>
      <t>Asset Historical Cost</t>
    </r>
    <r>
      <rPr>
        <sz val="10"/>
        <rFont val="Arial"/>
        <family val="2"/>
      </rPr>
      <t xml:space="preserve"> - this column contains the historical cost of the appropriate asset. The historical cost is defined as the transaction amount of the acquisition transaction that is recorded for an asset.</t>
    </r>
  </si>
  <si>
    <r>
      <rPr>
        <b/>
        <sz val="10"/>
        <rFont val="Arial"/>
        <family val="2"/>
      </rPr>
      <t>Current Lifetime</t>
    </r>
    <r>
      <rPr>
        <sz val="10"/>
        <rFont val="Arial"/>
        <family val="2"/>
      </rPr>
      <t xml:space="preserve"> - the current lifetime of the asset as specified in column G is included in this column.</t>
    </r>
  </si>
  <si>
    <r>
      <rPr>
        <b/>
        <sz val="10"/>
        <rFont val="Arial"/>
        <family val="2"/>
      </rPr>
      <t>Current Residual</t>
    </r>
    <r>
      <rPr>
        <sz val="10"/>
        <rFont val="Arial"/>
        <family val="2"/>
      </rPr>
      <t xml:space="preserve"> - the current residual value of the asset as specified in column H is included in this column.</t>
    </r>
  </si>
  <si>
    <r>
      <rPr>
        <b/>
        <sz val="10"/>
        <rFont val="Arial"/>
        <family val="2"/>
      </rPr>
      <t>Previous Deemed Cost</t>
    </r>
    <r>
      <rPr>
        <sz val="10"/>
        <rFont val="Arial"/>
        <family val="2"/>
      </rPr>
      <t xml:space="preserve"> - the gross carrying value of the previous transaction for the selected asset is included in this column.</t>
    </r>
  </si>
  <si>
    <r>
      <rPr>
        <b/>
        <sz val="10"/>
        <rFont val="Arial"/>
        <family val="2"/>
      </rPr>
      <t>Previous Residual Value</t>
    </r>
    <r>
      <rPr>
        <sz val="10"/>
        <rFont val="Arial"/>
        <family val="2"/>
      </rPr>
      <t xml:space="preserve"> - the residual value that was specified in the previous transaction for the selected asset is included in this column.</t>
    </r>
  </si>
  <si>
    <r>
      <rPr>
        <b/>
        <sz val="10"/>
        <rFont val="Arial"/>
        <family val="2"/>
      </rPr>
      <t>Current Accum Depr</t>
    </r>
    <r>
      <rPr>
        <sz val="10"/>
        <rFont val="Arial"/>
        <family val="2"/>
      </rPr>
      <t xml:space="preserve"> - the total accumulated depreciation that has been written off between the previous transaction date and the current transaction date for the selected asset is included in this column.</t>
    </r>
  </si>
  <si>
    <r>
      <rPr>
        <b/>
        <sz val="10"/>
        <rFont val="Arial"/>
        <family val="2"/>
      </rPr>
      <t>Current Carrying Value</t>
    </r>
    <r>
      <rPr>
        <sz val="10"/>
        <rFont val="Arial"/>
        <family val="2"/>
      </rPr>
      <t xml:space="preserve"> - the amounts in this column are calculated as the difference between the previous deemed cost and the current accumulated depreciation.</t>
    </r>
  </si>
  <si>
    <r>
      <rPr>
        <b/>
        <sz val="10"/>
        <rFont val="Arial"/>
        <family val="2"/>
      </rPr>
      <t>Accum Depr: Cost</t>
    </r>
    <r>
      <rPr>
        <sz val="10"/>
        <rFont val="Arial"/>
        <family val="2"/>
      </rPr>
      <t xml:space="preserve"> - the accumulated depreciation based only on the historical cost of the asset which has been written off between the previous transaction date and the current transaction date for the selected asset is included in this column.</t>
    </r>
  </si>
  <si>
    <r>
      <rPr>
        <b/>
        <sz val="10"/>
        <rFont val="Arial"/>
        <family val="2"/>
      </rPr>
      <t>Accum Depr: Rev &lt;PY</t>
    </r>
    <r>
      <rPr>
        <sz val="10"/>
        <rFont val="Arial"/>
        <family val="2"/>
      </rPr>
      <t xml:space="preserve"> - the accumulated depreciation on revaluations as at the beginning of the financial period is included in this column.</t>
    </r>
  </si>
  <si>
    <r>
      <rPr>
        <b/>
        <sz val="10"/>
        <rFont val="Arial"/>
        <family val="2"/>
      </rPr>
      <t>Previous Revaluation</t>
    </r>
    <r>
      <rPr>
        <sz val="10"/>
        <rFont val="Arial"/>
        <family val="2"/>
      </rPr>
      <t xml:space="preserve"> - this column contains the revaluation reserve balance before taking any effect that the current transaction may have on the revaluation reserve balance into account.</t>
    </r>
  </si>
  <si>
    <r>
      <rPr>
        <b/>
        <sz val="10"/>
        <rFont val="Arial"/>
        <family val="2"/>
      </rPr>
      <t>Revaluation Surplus</t>
    </r>
    <r>
      <rPr>
        <sz val="10"/>
        <rFont val="Arial"/>
        <family val="2"/>
      </rPr>
      <t xml:space="preserve"> - if the selected transaction is a revaluation and the transaction amount that is specified in column F is greater than the current carrying value in column AA, the revaluation surplus amount is included in this column. Note that this calculation may also be influenced by any previous impairments that may have been recorded against the selected asset number.</t>
    </r>
  </si>
  <si>
    <r>
      <rPr>
        <b/>
        <sz val="10"/>
        <rFont val="Arial"/>
        <family val="2"/>
      </rPr>
      <t>Current Revaluation</t>
    </r>
    <r>
      <rPr>
        <sz val="10"/>
        <rFont val="Arial"/>
        <family val="2"/>
      </rPr>
      <t xml:space="preserve"> - this column includes the revaluation reserve balance after taking the effect of the current transaction into account.</t>
    </r>
  </si>
  <si>
    <r>
      <rPr>
        <b/>
        <sz val="10"/>
        <rFont val="Arial"/>
        <family val="2"/>
      </rPr>
      <t>Previous Impairment</t>
    </r>
    <r>
      <rPr>
        <sz val="10"/>
        <rFont val="Arial"/>
        <family val="2"/>
      </rPr>
      <t xml:space="preserve"> - this column contains the total of any impairment amounts that have been recorded for the selected asset (before taking the effect that the current transaction may have) into account.</t>
    </r>
  </si>
  <si>
    <r>
      <rPr>
        <b/>
        <sz val="10"/>
        <rFont val="Arial"/>
        <family val="2"/>
      </rPr>
      <t>Impairment Value</t>
    </r>
    <r>
      <rPr>
        <sz val="10"/>
        <rFont val="Arial"/>
        <family val="2"/>
      </rPr>
      <t xml:space="preserve"> - if the selected transaction is a revaluation and the transaction amount that is specified in column F is less than the current carrying value in column AA, the asset impairment amount is included in this column as a positive value. If an asset is revalued at a value that is greater than the current carrying value and an asset impairment was previously recorded for the selected asset, the impairment will be reversed to the extent that the revaluation reserve is greater than the previous impairment value and the amount of the reversal will be reflected as a negative value in this column.</t>
    </r>
  </si>
  <si>
    <r>
      <rPr>
        <b/>
        <sz val="10"/>
        <rFont val="Arial"/>
        <family val="2"/>
      </rPr>
      <t>Profit / (Loss) on Disposal</t>
    </r>
    <r>
      <rPr>
        <sz val="10"/>
        <rFont val="Arial"/>
        <family val="2"/>
      </rPr>
      <t xml:space="preserve"> - if the selected transaction is a disposal, the profit or loss on the disposal of the asset is included in this column. The profit or loss is calculated by deducting the current carrying value of the asset from the proceeds on disposal that is recorded in column I. Note that if the revaluation reserve for the asset is greater than nil, the revaluation reserve will also be included in the calculation of the profit or loss on disposal. This means that the reserve balance is effectively released when an asset is disposed of.</t>
    </r>
  </si>
  <si>
    <r>
      <rPr>
        <b/>
        <sz val="10"/>
        <rFont val="Arial"/>
        <family val="2"/>
      </rPr>
      <t>YTD Total Depreciation</t>
    </r>
    <r>
      <rPr>
        <sz val="10"/>
        <rFont val="Arial"/>
        <family val="2"/>
      </rPr>
      <t xml:space="preserve"> - the YTD total depreciation for the asset is calculated in this column. This calculation is based on the gross carrying value of the asset, the lifetime of the asset and the YTD depreciation months which is calculated in column R.</t>
    </r>
  </si>
  <si>
    <r>
      <rPr>
        <b/>
        <sz val="10"/>
        <rFont val="Arial"/>
        <family val="2"/>
      </rPr>
      <t>YTD Total Depr at Cost</t>
    </r>
    <r>
      <rPr>
        <sz val="10"/>
        <rFont val="Arial"/>
        <family val="2"/>
      </rPr>
      <t xml:space="preserve"> - the calculation in this column forms part of the YTD depreciation on the historical cost of an asset which is calculated in column AM.</t>
    </r>
  </si>
  <si>
    <r>
      <rPr>
        <b/>
        <sz val="10"/>
        <rFont val="Arial"/>
        <family val="2"/>
      </rPr>
      <t>Accum Depr at PY Cost Bal</t>
    </r>
    <r>
      <rPr>
        <sz val="10"/>
        <rFont val="Arial"/>
        <family val="2"/>
      </rPr>
      <t xml:space="preserve"> - the calculations in this column forms part of the calculation of the accumulated depreciation on the historical cost of an asset as at the beginning of the financial period.</t>
    </r>
  </si>
  <si>
    <r>
      <rPr>
        <b/>
        <sz val="10"/>
        <rFont val="Arial"/>
        <family val="2"/>
      </rPr>
      <t>Accum Depr at Cost PY</t>
    </r>
    <r>
      <rPr>
        <sz val="10"/>
        <rFont val="Arial"/>
        <family val="2"/>
      </rPr>
      <t xml:space="preserve"> - the calculations in this column forms part of the calculation of the accumulated depreciation on the historical cost of an asset as at the beginning of the financial period.</t>
    </r>
  </si>
  <si>
    <r>
      <rPr>
        <b/>
        <sz val="10"/>
        <rFont val="Arial"/>
        <family val="2"/>
      </rPr>
      <t>Depr: Cost by Transaction</t>
    </r>
    <r>
      <rPr>
        <sz val="10"/>
        <rFont val="Arial"/>
        <family val="2"/>
      </rPr>
      <t xml:space="preserve"> - the calculations in this column indicate how much of the historical cost of an asset is depreciated as a result of each transaction. This calculation forms an integral part of the YTD and accumulated depreciation on historical cost calculations.</t>
    </r>
  </si>
  <si>
    <r>
      <rPr>
        <b/>
        <sz val="10"/>
        <rFont val="Arial"/>
        <family val="2"/>
      </rPr>
      <t>MTD Total Depreciation</t>
    </r>
    <r>
      <rPr>
        <sz val="10"/>
        <rFont val="Arial"/>
        <family val="2"/>
      </rPr>
      <t xml:space="preserve"> - this column includes the calculation of the total MTD depreciation. Note that the month to which the calculation is applied is determined by the review date that is entered in cell E2 on the Assets sheet.</t>
    </r>
  </si>
  <si>
    <r>
      <rPr>
        <b/>
        <sz val="10"/>
        <rFont val="Arial"/>
        <family val="2"/>
      </rPr>
      <t>Accum Depr Total at PM</t>
    </r>
    <r>
      <rPr>
        <sz val="10"/>
        <rFont val="Arial"/>
        <family val="2"/>
      </rPr>
      <t xml:space="preserve"> - the amounts in this column reflect the total accumulated depreciation as at the beginning of the current month. This calculation forms part of the total depreciation for the current month calculation.</t>
    </r>
  </si>
  <si>
    <r>
      <rPr>
        <b/>
        <sz val="10"/>
        <rFont val="Arial"/>
        <family val="2"/>
      </rPr>
      <t>MTD Total Depr at Cost</t>
    </r>
    <r>
      <rPr>
        <sz val="10"/>
        <rFont val="Arial"/>
        <family val="2"/>
      </rPr>
      <t xml:space="preserve"> - the calculation in this column forms part of the calculation of the depreciation on historical cost for the current month.</t>
    </r>
  </si>
  <si>
    <r>
      <rPr>
        <b/>
        <sz val="10"/>
        <rFont val="Arial"/>
        <family val="2"/>
      </rPr>
      <t>MTD Cost Depreciation</t>
    </r>
    <r>
      <rPr>
        <sz val="10"/>
        <rFont val="Arial"/>
        <family val="2"/>
      </rPr>
      <t xml:space="preserve"> - this column contains the calculation of the depreciation on the historical cost of an asset for the current month. Note that the current month is determined by the review date that is specified in cell E2 on the Assets sheet.</t>
    </r>
  </si>
  <si>
    <r>
      <rPr>
        <b/>
        <sz val="10"/>
        <rFont val="Arial"/>
        <family val="2"/>
      </rPr>
      <t>Accum Depr Cost at PM</t>
    </r>
    <r>
      <rPr>
        <sz val="10"/>
        <rFont val="Arial"/>
        <family val="2"/>
      </rPr>
      <t xml:space="preserve"> - this calculation reflects the accumulated depreciation on the historical cost of an asset as at the beginning of the current month. The calculation forms an integral part of the calculation of the depreciation on historical cost for the current month.</t>
    </r>
  </si>
  <si>
    <r>
      <t>Transact</t>
    </r>
    <r>
      <rPr>
        <sz val="10"/>
        <rFont val="Arial"/>
        <family val="2"/>
      </rPr>
      <t xml:space="preserve"> - all asset transactions need to be recorded on this sheet. Asset transactions include acquisitions, revaluations and disposals. User input is limited to entering the transaction date, transaction type, asset number, supplier, document number, transaction amount, asset lifetime, residual value and proceeds on disposal. The columns with light blue column headings contain the formulas that form the basis of all the calculations required to produce a comprehensive, accurate fixed asset register.</t>
    </r>
  </si>
  <si>
    <t>The asset classes that are created on the Set-up sheet should be representative of the asset classes included on the financial statements. Some businesses however require more asset classes than what is disclosed on the financial statements in order to accommodate separate allocation in the business accounts. We have therefore created separate asset categories for this purpose.</t>
  </si>
  <si>
    <t>Note: All new asset categories must be inserted above the "ZZ" asset category code. The template accommodates 30 asset categories on the Category sheet but you can add additional asset categories by copying the formulas in the last row into the appropriate number of additional rows. An unlimited number of asset categories are therefore accommodated.</t>
  </si>
  <si>
    <r>
      <rPr>
        <b/>
        <sz val="10"/>
        <rFont val="Arial"/>
        <family val="2"/>
      </rPr>
      <t>Last PY Trn Date</t>
    </r>
    <r>
      <rPr>
        <sz val="10"/>
        <rFont val="Arial"/>
        <family val="2"/>
      </rPr>
      <t xml:space="preserve"> - this column contains the date of the last transaction for the asset dated before the YTD From Date which is displayed in cell H2. It represents the last transaction that has been recorded before the end of the previous financial period.</t>
    </r>
  </si>
  <si>
    <r>
      <rPr>
        <b/>
        <sz val="10"/>
        <rFont val="Arial"/>
        <family val="2"/>
      </rPr>
      <t>Last PM Trn Date</t>
    </r>
    <r>
      <rPr>
        <sz val="10"/>
        <rFont val="Arial"/>
        <family val="2"/>
      </rPr>
      <t xml:space="preserve"> - this column contains the date of the last transaction for the asset dated before the MTD From Date which is displayed in cell J2. It represents the last transaction that has been recorded before the end of the previous month.</t>
    </r>
  </si>
  <si>
    <r>
      <rPr>
        <b/>
        <sz val="10"/>
        <rFont val="Arial"/>
        <family val="2"/>
      </rPr>
      <t>Depreciation - Revaluation</t>
    </r>
    <r>
      <rPr>
        <sz val="10"/>
        <rFont val="Arial"/>
        <family val="2"/>
      </rPr>
      <t xml:space="preserve"> - the year-to-date depreciation on the revaluation of the asset is included in this column. The amounts are calculated by deducting the depreciation on the historical cost of the asset from the total year-to-date depreciation. Both of these amounts are calculated on the Transact sheet. If an asset has not been revalued, the value in this column will be nil.</t>
    </r>
  </si>
  <si>
    <r>
      <rPr>
        <b/>
        <sz val="10"/>
        <rFont val="Arial"/>
        <family val="2"/>
      </rPr>
      <t>Acc Depr - Revaluations</t>
    </r>
    <r>
      <rPr>
        <sz val="10"/>
        <rFont val="Arial"/>
        <family val="2"/>
      </rPr>
      <t xml:space="preserve"> - if an asset has been revalued during the current financial period, the accumulated depreciation as at the date of the revaluation is included in this column as a negative value. This is because we write off the accumulated depreciation to a revaluation reserve and this value and the revaluation adjustment in the Cost section form the revaluation surplus for an asset.</t>
    </r>
  </si>
  <si>
    <r>
      <rPr>
        <b/>
        <sz val="10"/>
        <rFont val="Arial"/>
        <family val="2"/>
      </rPr>
      <t>Profit / (Loss) on Disposal</t>
    </r>
    <r>
      <rPr>
        <sz val="10"/>
        <rFont val="Arial"/>
        <family val="2"/>
      </rPr>
      <t xml:space="preserve"> - if an asset has been disposed of during the current financial period, the profit or loss on disposal as at the date of the disposal is included in this column. The profit or loss on disposal is calculated as the difference between the proceeds on disposal which is recorded on the Transact sheet and the net carrying value (book value) of the asset. If the asset has been revalued, any revaluation reserve that may exist on the date of disposal is also included in the profit or loss calculation.</t>
    </r>
  </si>
  <si>
    <r>
      <rPr>
        <b/>
        <sz val="10"/>
        <rFont val="Arial"/>
        <family val="2"/>
      </rPr>
      <t>Revaluation</t>
    </r>
    <r>
      <rPr>
        <sz val="10"/>
        <rFont val="Arial"/>
        <family val="2"/>
      </rPr>
      <t xml:space="preserve"> - this column includes the depreciation on any revaluations performed on an asset and is calculated as the difference between the total depreciation for the current month and the depreciation based on the historical cost of an asset.</t>
    </r>
  </si>
  <si>
    <r>
      <rPr>
        <b/>
        <sz val="10"/>
        <rFont val="Arial"/>
        <family val="2"/>
      </rPr>
      <t>TV YTD Movement</t>
    </r>
    <r>
      <rPr>
        <sz val="10"/>
        <rFont val="Arial"/>
        <family val="2"/>
      </rPr>
      <t xml:space="preserve"> - this column contains the YTD movement in the tax value of an asset. For most assets acquired before the beginning of the financial period, these amounts will equal the tax allowances for the period. If an asset has been acquired during the current financial period, the YTD movement will equal the cost of the asset less the appropriate tax allowances for the period. If an asset has been disposed of during the current financial period, the YTD movement will equal the opening tax value.</t>
    </r>
  </si>
  <si>
    <r>
      <rPr>
        <b/>
        <sz val="10"/>
        <rFont val="Arial"/>
        <family val="2"/>
      </rPr>
      <t>TV MTD Movement</t>
    </r>
    <r>
      <rPr>
        <sz val="10"/>
        <rFont val="Arial"/>
        <family val="2"/>
      </rPr>
      <t xml:space="preserve"> - this column contains the MTD movement in the tax value of an asset. For most assets acquired before the beginning of the current month, these amounts will equal the tax allowances for the period. If an asset has been acquired during the current month, the MTD movement will equal the cost of the asset less the appropriate tax allowance for the month. If an asset has been disposed of during the current month, the MTD movement will equal the tax value at the beginning of the month.</t>
    </r>
  </si>
  <si>
    <t>Note: After reviewing the filtered data, you need to clear the filter to display all the asset records on the sheet. A filter can be cleared by simply clicking the selection arrow next to the appropriate column heading again and clicking the "Select All" option.</t>
  </si>
  <si>
    <r>
      <rPr>
        <b/>
        <sz val="10"/>
        <rFont val="Arial"/>
        <family val="2"/>
      </rPr>
      <t>Depr YTD Months</t>
    </r>
    <r>
      <rPr>
        <sz val="10"/>
        <rFont val="Arial"/>
        <family val="2"/>
      </rPr>
      <t xml:space="preserve"> - this column includes the number of months on which the YTD depreciation for the transaction is based.</t>
    </r>
  </si>
  <si>
    <r>
      <rPr>
        <b/>
        <sz val="10"/>
        <rFont val="Arial"/>
        <family val="2"/>
      </rPr>
      <t>Previous Lifetime</t>
    </r>
    <r>
      <rPr>
        <sz val="10"/>
        <rFont val="Arial"/>
        <family val="2"/>
      </rPr>
      <t xml:space="preserve"> - the previous lifetime specified in the previous transaction for the selected asset is included in this column.</t>
    </r>
  </si>
  <si>
    <r>
      <rPr>
        <b/>
        <sz val="10"/>
        <rFont val="Arial"/>
        <family val="2"/>
      </rPr>
      <t>Accum Depr: Revaluation</t>
    </r>
    <r>
      <rPr>
        <sz val="10"/>
        <rFont val="Arial"/>
        <family val="2"/>
      </rPr>
      <t xml:space="preserve"> - the difference between the total accumulated depreciation and the accumulated depreciation based on only the historical cost of the asset is included in this column and represents the accumulated depreciation written of on the revaluations that have been applied to the selected asset between the previous transaction date and the current transaction date.</t>
    </r>
  </si>
  <si>
    <r>
      <rPr>
        <b/>
        <sz val="10"/>
        <rFont val="Arial"/>
        <family val="2"/>
      </rPr>
      <t>YTD Cost Depreciation</t>
    </r>
    <r>
      <rPr>
        <sz val="10"/>
        <rFont val="Arial"/>
        <family val="2"/>
      </rPr>
      <t xml:space="preserve"> - the YTD depreciation on the historical cost of the asset is calculated in this column. This calculation is based on the historical cost of the asset, the current lifetime of the asset and the YTD depreciation months calculated in column R.</t>
    </r>
  </si>
  <si>
    <t>■ E6 - this error code means that an invalid transaction amount has been recorded for the selected transaction type. All transaction amounts should be recorded as positive amounts and a nil amount needs to be entered for all disposal transactions.</t>
  </si>
  <si>
    <t>The template facilitates recording an unlimited number of revaluations for an unlimited number of assets. All asset revaluations need to be recorded on the Transact sheet by selecting the revaluation transaction type. Revaluations are accounted for in the month in which the transaction date falls and are also depreciated based on the revalued amounts from the transaction month.</t>
  </si>
  <si>
    <t>Note: The depreciation based on the revaluation of an asset will not necessarily contain a value immediately after the revaluation has been recorded. If the new gross carrying value of the asset is less than the historical cost of an asset, depreciation on the revaluation will only come into effect once the historical cost of the asset has been fully depreciated. If an asset has been revalued at a value greater than the historical cost which means that the new gross carrying value exceeds the historical cost of the asset, depreciation on the revaluation will be calculated from the date of the revaluation transaction.</t>
  </si>
  <si>
    <t>Note: If you want to view the detailed fixed asset records that make up the totals on the Category sheet, you can apply a filter to the Category column on the Assets sheet by clicking the selection arrow next to the column heading and selecting the asset category. The totals above the column headings will equal the amounts that are reflected on the Category sheet.</t>
  </si>
  <si>
    <t>Note: If fixed assets are reported in the financial statements based on the gross and net carrying amounts, some of the columns on the Class sheet may need to be consolidated. For example, the opening &amp; closing cost &amp; accumulated depreciation balances and the revaluation columns will need to be consolidated and included in a single line for compiling a property, plant &amp; equipment note for financial statement purposes. We have not structured the layout of the sheet on a carrying amount basis because the template also needs to accommodate the fixed assets of businesses that report on a historical cost basis.</t>
  </si>
  <si>
    <t>Note: The Class sheet is compiled based on the review date specified in cell E2 on the Assets sheet. If you want to amend the reporting period for which the asset class summary is compiled, simply enter a new review date on the Assets sheet.</t>
  </si>
  <si>
    <t>The Journals sheet contains an automated report of the recommended journal entries that need to be processed to account for all asset transactions in a general ledger. The general ledger journal entries are compiled on an asset category basis because each asset category is linked to a general ledger account for each of the transaction types that are included in the template.</t>
  </si>
  <si>
    <t>The general ledger journal entries on the Journal sheet can be compiled on a month-to-date (MTD) or a year-to-date (YTD) basis by selecting the appropriate period from the list box in cell E2. All the journal entry amount calculations are automatically updated.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</si>
</sst>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
    <numFmt numFmtId="165" formatCode="_(* #,##0_);_(* \(#,##0\);_(* &quot;-&quot;??_);_(@_)"/>
    <numFmt numFmtId="166" formatCode="mmmm"/>
  </numFmts>
  <fonts count="21" x14ac:knownFonts="1">
    <font>
      <sz val="10"/>
      <name val="Century Gothic"/>
      <family val="2"/>
      <scheme val="minor"/>
    </font>
    <font>
      <sz val="10"/>
      <name val="Arial"/>
      <family val="2"/>
    </font>
    <font>
      <sz val="8"/>
      <name val="Arial"/>
      <family val="2"/>
    </font>
    <font>
      <u/>
      <sz val="10"/>
      <color indexed="12"/>
      <name val="Arial"/>
      <family val="2"/>
    </font>
    <font>
      <sz val="11"/>
      <name val="Century Gothic"/>
      <family val="2"/>
      <scheme val="minor"/>
    </font>
    <font>
      <b/>
      <sz val="10"/>
      <name val="Century Gothic"/>
      <family val="2"/>
      <scheme val="minor"/>
    </font>
    <font>
      <sz val="10"/>
      <name val="Century Gothic"/>
      <family val="2"/>
      <scheme val="minor"/>
    </font>
    <font>
      <i/>
      <sz val="10"/>
      <name val="Century Gothic"/>
      <family val="2"/>
      <scheme val="minor"/>
    </font>
    <font>
      <b/>
      <sz val="12"/>
      <name val="Century Gothic"/>
      <family val="2"/>
      <scheme val="minor"/>
    </font>
    <font>
      <b/>
      <u/>
      <sz val="10"/>
      <color indexed="12"/>
      <name val="Century Gothic"/>
      <family val="2"/>
      <scheme val="minor"/>
    </font>
    <font>
      <sz val="10"/>
      <color theme="0"/>
      <name val="Century Gothic"/>
      <family val="2"/>
      <scheme val="minor"/>
    </font>
    <font>
      <b/>
      <u/>
      <sz val="10"/>
      <name val="Century Gothic"/>
      <family val="2"/>
      <scheme val="minor"/>
    </font>
    <font>
      <b/>
      <sz val="10"/>
      <color theme="1"/>
      <name val="Century Gothic"/>
      <family val="2"/>
      <scheme val="minor"/>
    </font>
    <font>
      <i/>
      <sz val="10"/>
      <color indexed="8"/>
      <name val="Century Gothic"/>
      <family val="2"/>
      <scheme val="minor"/>
    </font>
    <font>
      <b/>
      <u/>
      <sz val="10"/>
      <color indexed="17"/>
      <name val="Century Gothic"/>
      <family val="2"/>
      <scheme val="minor"/>
    </font>
    <font>
      <i/>
      <sz val="10"/>
      <color theme="0"/>
      <name val="Century Gothic"/>
      <family val="2"/>
      <scheme val="minor"/>
    </font>
    <font>
      <b/>
      <sz val="12"/>
      <name val="Arial"/>
      <family val="2"/>
    </font>
    <font>
      <i/>
      <sz val="10"/>
      <name val="Arial"/>
      <family val="2"/>
    </font>
    <font>
      <b/>
      <u/>
      <sz val="10"/>
      <color theme="4" tint="-0.249977111117893"/>
      <name val="Arial"/>
      <family val="2"/>
    </font>
    <font>
      <b/>
      <sz val="10"/>
      <name val="Arial"/>
      <family val="2"/>
    </font>
    <font>
      <b/>
      <sz val="10"/>
      <color indexed="8"/>
      <name val="Arial"/>
      <family val="2"/>
    </font>
  </fonts>
  <fills count="6">
    <fill>
      <patternFill patternType="none"/>
    </fill>
    <fill>
      <patternFill patternType="gray125"/>
    </fill>
    <fill>
      <patternFill patternType="solid">
        <fgColor indexed="43"/>
        <bgColor indexed="64"/>
      </patternFill>
    </fill>
    <fill>
      <patternFill patternType="solid">
        <fgColor indexed="41"/>
        <bgColor indexed="64"/>
      </patternFill>
    </fill>
    <fill>
      <patternFill patternType="solid">
        <fgColor rgb="FFFFFF99"/>
        <bgColor indexed="64"/>
      </patternFill>
    </fill>
    <fill>
      <patternFill patternType="solid">
        <fgColor rgb="FFCCFFFF"/>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4">
    <xf numFmtId="0" fontId="0" fillId="0" borderId="0"/>
    <xf numFmtId="43" fontId="1" fillId="0" borderId="0" applyFont="0" applyFill="0" applyBorder="0" applyAlignment="0" applyProtection="0"/>
    <xf numFmtId="0" fontId="3" fillId="0" borderId="0" applyNumberFormat="0" applyFill="0" applyBorder="0" applyAlignment="0" applyProtection="0">
      <alignment vertical="top"/>
      <protection locked="0"/>
    </xf>
    <xf numFmtId="9" fontId="1" fillId="0" borderId="0" applyFont="0" applyFill="0" applyBorder="0" applyAlignment="0" applyProtection="0"/>
  </cellStyleXfs>
  <cellXfs count="126">
    <xf numFmtId="0" fontId="0" fillId="0" borderId="0" xfId="0"/>
    <xf numFmtId="0" fontId="4" fillId="0" borderId="0" xfId="0" applyFont="1"/>
    <xf numFmtId="0" fontId="5" fillId="0" borderId="0" xfId="0" applyFont="1" applyProtection="1">
      <protection hidden="1"/>
    </xf>
    <xf numFmtId="0" fontId="6" fillId="0" borderId="0" xfId="0" applyFont="1" applyProtection="1">
      <protection hidden="1"/>
    </xf>
    <xf numFmtId="0" fontId="6" fillId="0" borderId="0" xfId="0" applyFont="1" applyAlignment="1" applyProtection="1">
      <alignment horizontal="center"/>
      <protection hidden="1"/>
    </xf>
    <xf numFmtId="0" fontId="7" fillId="0" borderId="0" xfId="0" applyFont="1" applyProtection="1">
      <protection hidden="1"/>
    </xf>
    <xf numFmtId="0" fontId="9" fillId="0" borderId="0" xfId="2" applyFont="1" applyAlignment="1" applyProtection="1">
      <alignment horizontal="center"/>
      <protection hidden="1"/>
    </xf>
    <xf numFmtId="166" fontId="6" fillId="4" borderId="1" xfId="0" applyNumberFormat="1" applyFont="1" applyFill="1" applyBorder="1" applyAlignment="1" applyProtection="1">
      <alignment horizontal="left"/>
      <protection hidden="1"/>
    </xf>
    <xf numFmtId="0" fontId="6" fillId="0" borderId="0" xfId="0" applyFont="1" applyAlignment="1" applyProtection="1">
      <alignment horizontal="left"/>
      <protection hidden="1"/>
    </xf>
    <xf numFmtId="164" fontId="6" fillId="4" borderId="1" xfId="3" applyNumberFormat="1" applyFont="1" applyFill="1" applyBorder="1" applyAlignment="1" applyProtection="1">
      <alignment horizontal="left"/>
      <protection hidden="1"/>
    </xf>
    <xf numFmtId="0" fontId="7" fillId="0" borderId="0" xfId="0" applyFont="1" applyAlignment="1" applyProtection="1">
      <alignment horizontal="center"/>
      <protection hidden="1"/>
    </xf>
    <xf numFmtId="0" fontId="6" fillId="4" borderId="1" xfId="0" applyFont="1" applyFill="1" applyBorder="1" applyProtection="1">
      <protection hidden="1"/>
    </xf>
    <xf numFmtId="0" fontId="6" fillId="4" borderId="2" xfId="0" applyFont="1" applyFill="1" applyBorder="1" applyAlignment="1" applyProtection="1">
      <alignment horizontal="left"/>
      <protection hidden="1"/>
    </xf>
    <xf numFmtId="0" fontId="6" fillId="4" borderId="4" xfId="0" applyFont="1" applyFill="1" applyBorder="1" applyAlignment="1" applyProtection="1">
      <alignment horizontal="left"/>
      <protection hidden="1"/>
    </xf>
    <xf numFmtId="0" fontId="6" fillId="4" borderId="3" xfId="0" applyFont="1" applyFill="1" applyBorder="1" applyAlignment="1" applyProtection="1">
      <alignment horizontal="left"/>
      <protection hidden="1"/>
    </xf>
    <xf numFmtId="0" fontId="6" fillId="5" borderId="1" xfId="0" applyFont="1" applyFill="1" applyBorder="1" applyProtection="1">
      <protection hidden="1"/>
    </xf>
    <xf numFmtId="0" fontId="6" fillId="4" borderId="1" xfId="0" applyFont="1" applyFill="1" applyBorder="1" applyAlignment="1" applyProtection="1">
      <alignment horizontal="left"/>
      <protection hidden="1"/>
    </xf>
    <xf numFmtId="0" fontId="6" fillId="4" borderId="1" xfId="0" applyFont="1" applyFill="1" applyBorder="1" applyAlignment="1" applyProtection="1">
      <alignment horizontal="center"/>
      <protection hidden="1"/>
    </xf>
    <xf numFmtId="0" fontId="7" fillId="0" borderId="0" xfId="0" applyFont="1" applyAlignment="1" applyProtection="1">
      <alignment horizontal="left"/>
      <protection hidden="1"/>
    </xf>
    <xf numFmtId="164" fontId="6" fillId="4" borderId="1" xfId="3" applyNumberFormat="1" applyFont="1" applyFill="1" applyBorder="1" applyAlignment="1" applyProtection="1">
      <alignment horizontal="center"/>
      <protection hidden="1"/>
    </xf>
    <xf numFmtId="164" fontId="6" fillId="5" borderId="1" xfId="3" applyNumberFormat="1" applyFont="1" applyFill="1" applyBorder="1" applyAlignment="1" applyProtection="1">
      <alignment horizontal="center"/>
      <protection hidden="1"/>
    </xf>
    <xf numFmtId="0" fontId="6" fillId="5" borderId="1" xfId="0" applyFont="1" applyFill="1" applyBorder="1" applyAlignment="1" applyProtection="1">
      <alignment horizontal="center"/>
      <protection hidden="1"/>
    </xf>
    <xf numFmtId="164" fontId="7" fillId="0" borderId="0" xfId="3" applyNumberFormat="1" applyFont="1" applyFill="1" applyBorder="1" applyAlignment="1" applyProtection="1">
      <alignment horizontal="left"/>
      <protection hidden="1"/>
    </xf>
    <xf numFmtId="164" fontId="7" fillId="0" borderId="0" xfId="3" applyNumberFormat="1" applyFont="1" applyFill="1" applyBorder="1" applyAlignment="1" applyProtection="1">
      <alignment horizontal="center"/>
      <protection hidden="1"/>
    </xf>
    <xf numFmtId="164" fontId="7" fillId="0" borderId="0" xfId="3" applyNumberFormat="1" applyFont="1" applyFill="1" applyBorder="1" applyProtection="1">
      <protection hidden="1"/>
    </xf>
    <xf numFmtId="164" fontId="6" fillId="0" borderId="0" xfId="3" applyNumberFormat="1" applyFont="1" applyBorder="1" applyAlignment="1" applyProtection="1">
      <alignment horizontal="center"/>
      <protection hidden="1"/>
    </xf>
    <xf numFmtId="164" fontId="6" fillId="0" borderId="0" xfId="3" applyNumberFormat="1" applyFont="1" applyBorder="1" applyProtection="1">
      <protection hidden="1"/>
    </xf>
    <xf numFmtId="9" fontId="6" fillId="0" borderId="0" xfId="0" applyNumberFormat="1" applyFont="1" applyProtection="1">
      <protection hidden="1"/>
    </xf>
    <xf numFmtId="43" fontId="6" fillId="0" borderId="0" xfId="1" applyFont="1" applyProtection="1">
      <protection hidden="1"/>
    </xf>
    <xf numFmtId="0" fontId="6" fillId="0" borderId="0" xfId="1" applyNumberFormat="1" applyFont="1" applyBorder="1" applyAlignment="1" applyProtection="1">
      <alignment horizontal="center"/>
      <protection hidden="1"/>
    </xf>
    <xf numFmtId="9" fontId="6" fillId="0" borderId="0" xfId="3" applyFont="1" applyProtection="1">
      <protection hidden="1"/>
    </xf>
    <xf numFmtId="166" fontId="10" fillId="0" borderId="0" xfId="0" applyNumberFormat="1" applyFont="1" applyAlignment="1" applyProtection="1">
      <alignment horizontal="left"/>
      <protection hidden="1"/>
    </xf>
    <xf numFmtId="14" fontId="11" fillId="0" borderId="0" xfId="0" applyNumberFormat="1" applyFont="1" applyAlignment="1" applyProtection="1">
      <alignment horizontal="center"/>
      <protection hidden="1"/>
    </xf>
    <xf numFmtId="14" fontId="6" fillId="0" borderId="0" xfId="0" applyNumberFormat="1" applyFont="1" applyAlignment="1" applyProtection="1">
      <alignment horizontal="center"/>
      <protection hidden="1"/>
    </xf>
    <xf numFmtId="165" fontId="6" fillId="0" borderId="0" xfId="1" applyNumberFormat="1" applyFont="1" applyAlignment="1" applyProtection="1">
      <alignment horizontal="center"/>
      <protection hidden="1"/>
    </xf>
    <xf numFmtId="164" fontId="6" fillId="0" borderId="0" xfId="3" applyNumberFormat="1" applyFont="1" applyAlignment="1" applyProtection="1">
      <alignment horizontal="center"/>
      <protection hidden="1"/>
    </xf>
    <xf numFmtId="165" fontId="6" fillId="0" borderId="0" xfId="1" applyNumberFormat="1" applyFont="1" applyProtection="1">
      <protection hidden="1"/>
    </xf>
    <xf numFmtId="0" fontId="5" fillId="0" borderId="0" xfId="0" applyFont="1" applyAlignment="1" applyProtection="1">
      <alignment horizontal="right" indent="1"/>
      <protection hidden="1"/>
    </xf>
    <xf numFmtId="14" fontId="6" fillId="4" borderId="1" xfId="0" applyNumberFormat="1" applyFont="1" applyFill="1" applyBorder="1" applyAlignment="1" applyProtection="1">
      <alignment horizontal="center"/>
      <protection hidden="1"/>
    </xf>
    <xf numFmtId="14" fontId="7" fillId="0" borderId="0" xfId="0" applyNumberFormat="1" applyFont="1" applyAlignment="1" applyProtection="1">
      <alignment horizontal="center"/>
      <protection hidden="1"/>
    </xf>
    <xf numFmtId="165" fontId="7" fillId="0" borderId="0" xfId="1" applyNumberFormat="1" applyFont="1" applyAlignment="1" applyProtection="1">
      <alignment horizontal="center"/>
      <protection hidden="1"/>
    </xf>
    <xf numFmtId="164" fontId="7" fillId="0" borderId="0" xfId="3" applyNumberFormat="1" applyFont="1" applyAlignment="1" applyProtection="1">
      <alignment horizontal="center"/>
      <protection hidden="1"/>
    </xf>
    <xf numFmtId="165" fontId="7" fillId="0" borderId="0" xfId="1" applyNumberFormat="1" applyFont="1" applyProtection="1">
      <protection hidden="1"/>
    </xf>
    <xf numFmtId="0" fontId="10" fillId="0" borderId="0" xfId="0" applyFont="1" applyAlignment="1" applyProtection="1">
      <alignment horizontal="left" vertical="center"/>
      <protection hidden="1"/>
    </xf>
    <xf numFmtId="0" fontId="6" fillId="0" borderId="0" xfId="0" applyFont="1" applyAlignment="1" applyProtection="1">
      <alignment horizontal="left" vertical="center"/>
      <protection hidden="1"/>
    </xf>
    <xf numFmtId="0" fontId="6" fillId="0" borderId="0" xfId="0" applyFont="1" applyAlignment="1" applyProtection="1">
      <alignment horizontal="center" vertical="center"/>
      <protection hidden="1"/>
    </xf>
    <xf numFmtId="14" fontId="6" fillId="0" borderId="0" xfId="0" applyNumberFormat="1" applyFont="1" applyAlignment="1" applyProtection="1">
      <alignment horizontal="center" vertical="center"/>
      <protection hidden="1"/>
    </xf>
    <xf numFmtId="165" fontId="6" fillId="0" borderId="0" xfId="1" applyNumberFormat="1" applyFont="1" applyAlignment="1" applyProtection="1">
      <alignment horizontal="center" vertical="center"/>
      <protection hidden="1"/>
    </xf>
    <xf numFmtId="164" fontId="6" fillId="0" borderId="0" xfId="3" applyNumberFormat="1" applyFont="1" applyAlignment="1" applyProtection="1">
      <alignment horizontal="center" vertical="center"/>
      <protection hidden="1"/>
    </xf>
    <xf numFmtId="165" fontId="6" fillId="0" borderId="0" xfId="1" applyNumberFormat="1" applyFont="1" applyAlignment="1" applyProtection="1">
      <alignment vertical="center"/>
      <protection hidden="1"/>
    </xf>
    <xf numFmtId="0" fontId="6" fillId="0" borderId="0" xfId="0" applyFont="1" applyAlignment="1" applyProtection="1">
      <alignment vertical="center"/>
      <protection hidden="1"/>
    </xf>
    <xf numFmtId="0" fontId="12" fillId="4" borderId="6" xfId="0" applyFont="1" applyFill="1" applyBorder="1" applyAlignment="1" applyProtection="1">
      <alignment horizontal="left" wrapText="1"/>
      <protection hidden="1"/>
    </xf>
    <xf numFmtId="0" fontId="12" fillId="4" borderId="6" xfId="0" applyFont="1" applyFill="1" applyBorder="1" applyAlignment="1" applyProtection="1">
      <alignment horizontal="center" wrapText="1"/>
      <protection hidden="1"/>
    </xf>
    <xf numFmtId="0" fontId="12" fillId="5" borderId="6" xfId="0"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wrapText="1"/>
      <protection hidden="1"/>
    </xf>
    <xf numFmtId="165" fontId="12" fillId="5" borderId="6" xfId="1" applyNumberFormat="1" applyFont="1" applyFill="1" applyBorder="1" applyAlignment="1" applyProtection="1">
      <alignment horizontal="center" wrapText="1"/>
      <protection hidden="1"/>
    </xf>
    <xf numFmtId="164" fontId="12" fillId="5" borderId="6" xfId="3" applyNumberFormat="1" applyFont="1" applyFill="1" applyBorder="1" applyAlignment="1" applyProtection="1">
      <alignment horizontal="center" wrapText="1"/>
      <protection hidden="1"/>
    </xf>
    <xf numFmtId="0" fontId="12" fillId="0" borderId="0" xfId="0" applyFont="1" applyAlignment="1" applyProtection="1">
      <alignment wrapText="1"/>
      <protection hidden="1"/>
    </xf>
    <xf numFmtId="14" fontId="8" fillId="0" borderId="0" xfId="0" applyNumberFormat="1" applyFont="1" applyAlignment="1" applyProtection="1">
      <alignment horizontal="left"/>
      <protection hidden="1"/>
    </xf>
    <xf numFmtId="0" fontId="6" fillId="0" borderId="0" xfId="1" applyNumberFormat="1" applyFont="1" applyAlignment="1" applyProtection="1">
      <alignment horizontal="center"/>
      <protection hidden="1"/>
    </xf>
    <xf numFmtId="43" fontId="6" fillId="0" borderId="0" xfId="1" applyFont="1" applyAlignment="1" applyProtection="1">
      <alignment horizontal="center"/>
      <protection hidden="1"/>
    </xf>
    <xf numFmtId="14" fontId="6" fillId="0" borderId="0" xfId="1" applyNumberFormat="1" applyFont="1" applyAlignment="1" applyProtection="1">
      <alignment horizontal="center"/>
      <protection hidden="1"/>
    </xf>
    <xf numFmtId="0" fontId="10" fillId="0" borderId="0" xfId="0" applyFont="1" applyAlignment="1" applyProtection="1">
      <alignment horizontal="left"/>
      <protection hidden="1"/>
    </xf>
    <xf numFmtId="0" fontId="7" fillId="0" borderId="0" xfId="0" applyFont="1" applyAlignment="1" applyProtection="1">
      <alignment horizontal="center" vertical="center"/>
      <protection hidden="1"/>
    </xf>
    <xf numFmtId="0" fontId="7" fillId="0" borderId="0" xfId="0" applyFont="1" applyAlignment="1" applyProtection="1">
      <alignment horizontal="left" vertical="center"/>
      <protection hidden="1"/>
    </xf>
    <xf numFmtId="0" fontId="7" fillId="0" borderId="0" xfId="0" applyFont="1" applyAlignment="1" applyProtection="1">
      <alignment vertical="center"/>
      <protection hidden="1"/>
    </xf>
    <xf numFmtId="43" fontId="13" fillId="0" borderId="0" xfId="1" applyFont="1" applyAlignment="1" applyProtection="1">
      <alignment horizontal="center" vertical="center"/>
      <protection hidden="1"/>
    </xf>
    <xf numFmtId="0" fontId="13" fillId="0" borderId="0" xfId="1" applyNumberFormat="1" applyFont="1" applyAlignment="1" applyProtection="1">
      <alignment horizontal="center" vertical="center"/>
      <protection hidden="1"/>
    </xf>
    <xf numFmtId="14" fontId="13" fillId="0" borderId="0" xfId="1" applyNumberFormat="1" applyFont="1" applyAlignment="1" applyProtection="1">
      <alignment horizontal="center" vertical="center"/>
      <protection hidden="1"/>
    </xf>
    <xf numFmtId="43" fontId="7" fillId="0" borderId="0" xfId="1" applyFont="1" applyAlignment="1" applyProtection="1">
      <alignment vertical="center"/>
      <protection hidden="1"/>
    </xf>
    <xf numFmtId="0" fontId="12" fillId="2" borderId="6" xfId="0" applyFont="1" applyFill="1" applyBorder="1" applyAlignment="1" applyProtection="1">
      <alignment horizontal="center" wrapText="1"/>
      <protection hidden="1"/>
    </xf>
    <xf numFmtId="0" fontId="12" fillId="2" borderId="6" xfId="0" applyFont="1" applyFill="1" applyBorder="1" applyAlignment="1" applyProtection="1">
      <alignment wrapText="1"/>
      <protection hidden="1"/>
    </xf>
    <xf numFmtId="0" fontId="12" fillId="2" borderId="6" xfId="1" applyNumberFormat="1" applyFont="1" applyFill="1" applyBorder="1" applyAlignment="1" applyProtection="1">
      <alignment horizontal="center" wrapText="1"/>
      <protection hidden="1"/>
    </xf>
    <xf numFmtId="0" fontId="12" fillId="5" borderId="6" xfId="1" applyNumberFormat="1" applyFont="1" applyFill="1" applyBorder="1" applyAlignment="1" applyProtection="1">
      <alignment horizontal="center" wrapText="1"/>
      <protection hidden="1"/>
    </xf>
    <xf numFmtId="0" fontId="12" fillId="3" borderId="6" xfId="1" applyNumberFormat="1" applyFont="1" applyFill="1" applyBorder="1" applyAlignment="1" applyProtection="1">
      <alignment horizontal="center" wrapText="1"/>
      <protection hidden="1"/>
    </xf>
    <xf numFmtId="14" fontId="7" fillId="0" borderId="0" xfId="0" applyNumberFormat="1" applyFont="1" applyAlignment="1" applyProtection="1">
      <alignment horizontal="left"/>
      <protection hidden="1"/>
    </xf>
    <xf numFmtId="0" fontId="5" fillId="5" borderId="1" xfId="0" applyFont="1" applyFill="1" applyBorder="1" applyAlignment="1" applyProtection="1">
      <alignment horizontal="left" wrapText="1"/>
      <protection hidden="1"/>
    </xf>
    <xf numFmtId="165" fontId="5" fillId="5" borderId="1" xfId="1" applyNumberFormat="1" applyFont="1" applyFill="1" applyBorder="1" applyAlignment="1" applyProtection="1">
      <alignment horizontal="center" wrapText="1"/>
      <protection hidden="1"/>
    </xf>
    <xf numFmtId="0" fontId="6" fillId="0" borderId="0" xfId="0" applyFont="1" applyAlignment="1" applyProtection="1">
      <alignment wrapText="1"/>
      <protection hidden="1"/>
    </xf>
    <xf numFmtId="0" fontId="14" fillId="0" borderId="0" xfId="2" applyFont="1" applyAlignment="1" applyProtection="1">
      <alignment horizontal="right" vertical="center"/>
      <protection hidden="1"/>
    </xf>
    <xf numFmtId="0" fontId="15" fillId="0" borderId="0" xfId="0" applyFont="1" applyAlignment="1" applyProtection="1">
      <alignment horizontal="left"/>
      <protection hidden="1"/>
    </xf>
    <xf numFmtId="0" fontId="6" fillId="0" borderId="0" xfId="1" applyNumberFormat="1" applyFont="1" applyProtection="1">
      <protection hidden="1"/>
    </xf>
    <xf numFmtId="0" fontId="5" fillId="0" borderId="0" xfId="1" applyNumberFormat="1" applyFont="1" applyAlignment="1" applyProtection="1">
      <alignment horizontal="right" indent="1"/>
      <protection hidden="1"/>
    </xf>
    <xf numFmtId="43" fontId="7" fillId="0" borderId="0" xfId="1" applyFont="1" applyProtection="1">
      <protection hidden="1"/>
    </xf>
    <xf numFmtId="0" fontId="5" fillId="5" borderId="1" xfId="0" applyFont="1" applyFill="1" applyBorder="1" applyAlignment="1" applyProtection="1">
      <alignment horizontal="left" vertical="center" wrapText="1"/>
      <protection hidden="1"/>
    </xf>
    <xf numFmtId="0" fontId="5" fillId="5" borderId="1" xfId="1" applyNumberFormat="1" applyFont="1" applyFill="1" applyBorder="1" applyAlignment="1" applyProtection="1">
      <alignment horizontal="center" vertical="center" wrapText="1"/>
      <protection hidden="1"/>
    </xf>
    <xf numFmtId="0" fontId="6" fillId="0" borderId="0" xfId="0" applyFont="1" applyAlignment="1" applyProtection="1">
      <alignment vertical="center" wrapText="1"/>
      <protection hidden="1"/>
    </xf>
    <xf numFmtId="0" fontId="8" fillId="0" borderId="0" xfId="0" applyFont="1" applyProtection="1">
      <protection hidden="1"/>
    </xf>
    <xf numFmtId="0" fontId="8" fillId="0" borderId="0" xfId="0" applyFont="1" applyAlignment="1" applyProtection="1">
      <alignment horizontal="left"/>
      <protection hidden="1"/>
    </xf>
    <xf numFmtId="0" fontId="16" fillId="0" borderId="0" xfId="0" applyFont="1" applyAlignment="1" applyProtection="1">
      <alignment horizontal="left" vertical="center" wrapText="1"/>
      <protection hidden="1"/>
    </xf>
    <xf numFmtId="0" fontId="1" fillId="0" borderId="0" xfId="0" applyFont="1" applyAlignment="1" applyProtection="1">
      <alignment vertical="center"/>
      <protection hidden="1"/>
    </xf>
    <xf numFmtId="0" fontId="17" fillId="0" borderId="0" xfId="0" applyFont="1" applyAlignment="1" applyProtection="1">
      <alignment horizontal="left" vertical="center" wrapText="1"/>
      <protection hidden="1"/>
    </xf>
    <xf numFmtId="0" fontId="18" fillId="0" borderId="0" xfId="2" applyFont="1" applyAlignment="1" applyProtection="1">
      <alignment horizontal="left" vertical="center" wrapText="1"/>
    </xf>
    <xf numFmtId="0" fontId="3" fillId="0" borderId="0" xfId="2" applyAlignment="1" applyProtection="1">
      <alignment horizontal="right" vertical="center" wrapText="1"/>
      <protection hidden="1"/>
    </xf>
    <xf numFmtId="0" fontId="1" fillId="0" borderId="0" xfId="0" applyFont="1" applyAlignment="1" applyProtection="1">
      <alignment horizontal="justify" vertical="center" wrapText="1"/>
      <protection hidden="1"/>
    </xf>
    <xf numFmtId="0" fontId="17" fillId="0" borderId="0" xfId="0" applyFont="1" applyAlignment="1" applyProtection="1">
      <alignment horizontal="justify" vertical="center" wrapText="1"/>
      <protection hidden="1"/>
    </xf>
    <xf numFmtId="0" fontId="19" fillId="0" borderId="0" xfId="0" applyFont="1" applyAlignment="1" applyProtection="1">
      <alignment horizontal="justify" vertical="center" wrapText="1"/>
      <protection hidden="1"/>
    </xf>
    <xf numFmtId="0" fontId="19" fillId="0" borderId="0" xfId="0" applyFont="1" applyAlignment="1" applyProtection="1">
      <alignment vertical="center"/>
      <protection hidden="1"/>
    </xf>
    <xf numFmtId="0" fontId="19" fillId="0" borderId="0" xfId="0" applyFont="1" applyAlignment="1" applyProtection="1">
      <alignment horizontal="justify" wrapText="1"/>
      <protection hidden="1"/>
    </xf>
    <xf numFmtId="0" fontId="17" fillId="0" borderId="0" xfId="0" applyFont="1" applyAlignment="1" applyProtection="1">
      <alignment horizontal="justify" wrapText="1"/>
      <protection hidden="1"/>
    </xf>
    <xf numFmtId="0" fontId="1" fillId="0" borderId="0" xfId="0" applyFont="1" applyAlignment="1" applyProtection="1">
      <alignment horizontal="justify" wrapText="1"/>
      <protection hidden="1"/>
    </xf>
    <xf numFmtId="0" fontId="20" fillId="0" borderId="0" xfId="0" applyFont="1" applyAlignment="1" applyProtection="1">
      <alignment horizontal="justify" wrapText="1"/>
      <protection hidden="1"/>
    </xf>
    <xf numFmtId="0" fontId="19" fillId="0" borderId="0" xfId="0" applyFont="1" applyAlignment="1">
      <alignment horizontal="justify" wrapText="1"/>
    </xf>
    <xf numFmtId="0" fontId="1" fillId="0" borderId="0" xfId="0" applyFont="1" applyAlignment="1">
      <alignment wrapText="1"/>
    </xf>
    <xf numFmtId="0" fontId="1" fillId="0" borderId="0" xfId="0" applyFont="1" applyAlignment="1">
      <alignment horizontal="justify" wrapText="1"/>
    </xf>
    <xf numFmtId="14" fontId="12" fillId="2" borderId="6" xfId="0" applyNumberFormat="1" applyFont="1" applyFill="1" applyBorder="1" applyAlignment="1" applyProtection="1">
      <alignment horizontal="center" wrapText="1"/>
      <protection hidden="1"/>
    </xf>
    <xf numFmtId="0" fontId="6" fillId="5" borderId="1" xfId="0" applyFont="1" applyFill="1" applyBorder="1" applyAlignment="1" applyProtection="1">
      <alignment horizontal="left"/>
      <protection hidden="1"/>
    </xf>
    <xf numFmtId="0" fontId="6" fillId="4" borderId="1" xfId="0" applyFont="1" applyFill="1" applyBorder="1" applyAlignment="1" applyProtection="1">
      <alignment horizontal="left"/>
      <protection hidden="1"/>
    </xf>
    <xf numFmtId="0" fontId="7" fillId="0" borderId="0" xfId="0" applyFont="1" applyAlignment="1" applyProtection="1">
      <alignment horizontal="left"/>
      <protection hidden="1"/>
    </xf>
    <xf numFmtId="165" fontId="5" fillId="5" borderId="2" xfId="1" applyNumberFormat="1" applyFont="1" applyFill="1" applyBorder="1" applyAlignment="1" applyProtection="1">
      <alignment horizontal="center" vertical="center" wrapText="1"/>
      <protection hidden="1"/>
    </xf>
    <xf numFmtId="165" fontId="5" fillId="5" borderId="4" xfId="1" applyNumberFormat="1" applyFont="1" applyFill="1" applyBorder="1" applyAlignment="1" applyProtection="1">
      <alignment horizontal="center" vertical="center" wrapText="1"/>
      <protection hidden="1"/>
    </xf>
    <xf numFmtId="165" fontId="5" fillId="5" borderId="3" xfId="1" applyNumberFormat="1" applyFont="1" applyFill="1" applyBorder="1" applyAlignment="1" applyProtection="1">
      <alignment horizontal="center" vertical="center" wrapText="1"/>
      <protection hidden="1"/>
    </xf>
    <xf numFmtId="165" fontId="5" fillId="5" borderId="2" xfId="1" applyNumberFormat="1" applyFont="1" applyFill="1" applyBorder="1" applyAlignment="1" applyProtection="1">
      <alignment horizontal="center" vertical="center"/>
      <protection hidden="1"/>
    </xf>
    <xf numFmtId="165" fontId="5" fillId="5" borderId="4" xfId="1" applyNumberFormat="1" applyFont="1" applyFill="1" applyBorder="1" applyAlignment="1" applyProtection="1">
      <alignment horizontal="center" vertical="center"/>
      <protection hidden="1"/>
    </xf>
    <xf numFmtId="165" fontId="5" fillId="5" borderId="3" xfId="1" applyNumberFormat="1" applyFont="1" applyFill="1" applyBorder="1" applyAlignment="1" applyProtection="1">
      <alignment horizontal="center" vertical="center"/>
      <protection hidden="1"/>
    </xf>
    <xf numFmtId="165" fontId="5" fillId="5" borderId="1" xfId="1" applyNumberFormat="1" applyFont="1" applyFill="1" applyBorder="1" applyAlignment="1" applyProtection="1">
      <alignment horizontal="center" vertical="center"/>
      <protection hidden="1"/>
    </xf>
    <xf numFmtId="165" fontId="5" fillId="5" borderId="1" xfId="0" applyNumberFormat="1" applyFont="1" applyFill="1" applyBorder="1" applyAlignment="1" applyProtection="1">
      <alignment horizontal="center"/>
      <protection hidden="1"/>
    </xf>
    <xf numFmtId="165" fontId="5" fillId="5" borderId="2" xfId="1" applyNumberFormat="1" applyFont="1" applyFill="1" applyBorder="1" applyAlignment="1" applyProtection="1">
      <alignment horizontal="center"/>
      <protection hidden="1"/>
    </xf>
    <xf numFmtId="165" fontId="5" fillId="5" borderId="4" xfId="1" applyNumberFormat="1" applyFont="1" applyFill="1" applyBorder="1" applyAlignment="1" applyProtection="1">
      <alignment horizontal="center"/>
      <protection hidden="1"/>
    </xf>
    <xf numFmtId="165" fontId="5" fillId="5" borderId="3" xfId="1" applyNumberFormat="1" applyFont="1" applyFill="1" applyBorder="1" applyAlignment="1" applyProtection="1">
      <alignment horizontal="center"/>
      <protection hidden="1"/>
    </xf>
    <xf numFmtId="165" fontId="5" fillId="5" borderId="5" xfId="1" applyNumberFormat="1" applyFont="1" applyFill="1" applyBorder="1" applyAlignment="1" applyProtection="1">
      <alignment horizontal="center" vertical="center" wrapText="1"/>
      <protection hidden="1"/>
    </xf>
    <xf numFmtId="165" fontId="5" fillId="5" borderId="6" xfId="1" applyNumberFormat="1" applyFont="1" applyFill="1" applyBorder="1" applyAlignment="1" applyProtection="1">
      <alignment horizontal="center" vertical="center" wrapText="1"/>
      <protection hidden="1"/>
    </xf>
    <xf numFmtId="165" fontId="5" fillId="5" borderId="1" xfId="1" applyNumberFormat="1" applyFont="1" applyFill="1" applyBorder="1" applyAlignment="1" applyProtection="1">
      <alignment horizontal="center"/>
      <protection hidden="1"/>
    </xf>
    <xf numFmtId="0" fontId="5" fillId="5" borderId="2" xfId="0" applyFont="1" applyFill="1" applyBorder="1" applyAlignment="1" applyProtection="1">
      <alignment horizontal="center" vertical="center"/>
      <protection hidden="1"/>
    </xf>
    <xf numFmtId="0" fontId="5" fillId="5" borderId="4" xfId="0" applyFont="1" applyFill="1" applyBorder="1" applyAlignment="1" applyProtection="1">
      <alignment horizontal="center" vertical="center"/>
      <protection hidden="1"/>
    </xf>
    <xf numFmtId="0" fontId="5" fillId="5" borderId="3" xfId="0" applyFont="1" applyFill="1" applyBorder="1" applyAlignment="1" applyProtection="1">
      <alignment horizontal="center" vertical="center"/>
      <protection hidden="1"/>
    </xf>
  </cellXfs>
  <cellStyles count="4">
    <cellStyle name="Comma" xfId="1" builtinId="3"/>
    <cellStyle name="Hyperlink" xfId="2" builtinId="8"/>
    <cellStyle name="Normal" xfId="0" builtinId="0" customBuiltin="1"/>
    <cellStyle name="Percent" xfId="3" builtinId="5"/>
  </cellStyles>
  <dxfs count="125">
    <dxf>
      <font>
        <b val="0"/>
        <i val="0"/>
        <strike val="0"/>
        <condense val="0"/>
        <extend val="0"/>
        <outline val="0"/>
        <shadow val="0"/>
        <u val="none"/>
        <vertAlign val="baseline"/>
        <sz val="10"/>
        <color auto="1"/>
        <name val="Century Gothic"/>
        <family val="2"/>
        <scheme val="minor"/>
      </font>
      <numFmt numFmtId="35" formatCode="_(* #,##0.00_);_(* \(#,##0.00\);_(* &quot;-&quot;??_);_(@_)"/>
      <protection locked="1" hidden="1"/>
    </dxf>
    <dxf>
      <font>
        <b val="0"/>
        <i val="0"/>
        <strike val="0"/>
        <condense val="0"/>
        <extend val="0"/>
        <outline val="0"/>
        <shadow val="0"/>
        <u val="none"/>
        <vertAlign val="baseline"/>
        <sz val="10"/>
        <color auto="1"/>
        <name val="Century Gothic"/>
        <family val="2"/>
        <scheme val="minor"/>
      </font>
      <numFmt numFmtId="35" formatCode="_(* #,##0.00_);_(* \(#,##0.00\);_(* &quot;-&quot;??_);_(@_)"/>
      <protection locked="1" hidden="1"/>
    </dxf>
    <dxf>
      <font>
        <strike val="0"/>
        <outline val="0"/>
        <shadow val="0"/>
        <u val="none"/>
        <vertAlign val="baseline"/>
        <sz val="10"/>
        <name val="Century Gothic"/>
        <family val="2"/>
        <scheme val="minor"/>
      </font>
      <alignment horizontal="center" vertical="bottom" textRotation="0" wrapText="0" indent="0" justifyLastLine="0" shrinkToFit="0" readingOrder="0"/>
      <protection locked="1" hidden="1"/>
    </dxf>
    <dxf>
      <font>
        <strike val="0"/>
        <outline val="0"/>
        <shadow val="0"/>
        <u val="none"/>
        <vertAlign val="baseline"/>
        <sz val="10"/>
        <name val="Century Gothic"/>
        <family val="2"/>
        <scheme val="minor"/>
      </font>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numFmt numFmtId="35" formatCode="_(* #,##0.00_);_(* \(#,##0.00\);_(* &quot;-&quot;??_);_(@_)"/>
      <protection locked="1" hidden="1"/>
    </dxf>
    <dxf>
      <font>
        <b val="0"/>
        <i val="0"/>
        <strike val="0"/>
        <condense val="0"/>
        <extend val="0"/>
        <outline val="0"/>
        <shadow val="0"/>
        <u val="none"/>
        <vertAlign val="baseline"/>
        <sz val="10"/>
        <color auto="1"/>
        <name val="Century Gothic"/>
        <family val="2"/>
        <scheme val="minor"/>
      </font>
      <numFmt numFmtId="35" formatCode="_(* #,##0.00_);_(* \(#,##0.00\);_(* &quot;-&quot;??_);_(@_)"/>
      <protection locked="1" hidden="1"/>
    </dxf>
    <dxf>
      <font>
        <b val="0"/>
        <i val="0"/>
        <strike val="0"/>
        <condense val="0"/>
        <extend val="0"/>
        <outline val="0"/>
        <shadow val="0"/>
        <u val="none"/>
        <vertAlign val="baseline"/>
        <sz val="10"/>
        <color auto="1"/>
        <name val="Century Gothic"/>
        <family val="2"/>
        <scheme val="minor"/>
      </font>
      <numFmt numFmtId="35" formatCode="_(* #,##0.00_);_(* \(#,##0.00\);_(* &quot;-&quot;??_);_(@_)"/>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numFmt numFmtId="35" formatCode="_(* #,##0.00_);_(* \(#,##0.00\);_(* &quot;-&quot;??_);_(@_)"/>
      <protection locked="1" hidden="1"/>
    </dxf>
    <dxf>
      <font>
        <b val="0"/>
        <i val="0"/>
        <strike val="0"/>
        <condense val="0"/>
        <extend val="0"/>
        <outline val="0"/>
        <shadow val="0"/>
        <u val="none"/>
        <vertAlign val="baseline"/>
        <sz val="10"/>
        <color auto="1"/>
        <name val="Century Gothic"/>
        <family val="2"/>
        <scheme val="minor"/>
      </font>
      <numFmt numFmtId="35" formatCode="_(* #,##0.00_);_(* \(#,##0.00\);_(* &quot;-&quot;??_);_(@_)"/>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numFmt numFmtId="35" formatCode="_(* #,##0.00_);_(* \(#,##0.00\);_(* &quot;-&quot;??_);_(@_)"/>
      <protection locked="1" hidden="1"/>
    </dxf>
    <dxf>
      <font>
        <b val="0"/>
        <i val="0"/>
        <strike val="0"/>
        <condense val="0"/>
        <extend val="0"/>
        <outline val="0"/>
        <shadow val="0"/>
        <u val="none"/>
        <vertAlign val="baseline"/>
        <sz val="10"/>
        <color auto="1"/>
        <name val="Century Gothic"/>
        <family val="2"/>
        <scheme val="minor"/>
      </font>
      <numFmt numFmtId="35" formatCode="_(* #,##0.00_);_(* \(#,##0.00\);_(* &quot;-&quot;??_);_(@_)"/>
      <protection locked="1" hidden="1"/>
    </dxf>
    <dxf>
      <font>
        <b val="0"/>
        <i val="0"/>
        <strike val="0"/>
        <condense val="0"/>
        <extend val="0"/>
        <outline val="0"/>
        <shadow val="0"/>
        <u val="none"/>
        <vertAlign val="baseline"/>
        <sz val="10"/>
        <color auto="1"/>
        <name val="Century Gothic"/>
        <family val="2"/>
        <scheme val="minor"/>
      </font>
      <numFmt numFmtId="35" formatCode="_(* #,##0.00_);_(* \(#,##0.00\);_(* &quot;-&quot;??_);_(@_)"/>
      <protection locked="1" hidden="1"/>
    </dxf>
    <dxf>
      <font>
        <b val="0"/>
        <i val="0"/>
        <strike val="0"/>
        <condense val="0"/>
        <extend val="0"/>
        <outline val="0"/>
        <shadow val="0"/>
        <u val="none"/>
        <vertAlign val="baseline"/>
        <sz val="10"/>
        <color auto="1"/>
        <name val="Century Gothic"/>
        <family val="2"/>
        <scheme val="minor"/>
      </font>
      <numFmt numFmtId="35" formatCode="_(* #,##0.00_);_(* \(#,##0.00\);_(* &quot;-&quot;??_);_(@_)"/>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35" formatCode="_(* #,##0.00_);_(* \(#,##0.00\);_(* &quot;-&quot;??_);_(@_)"/>
      <alignment horizontal="center" vertical="bottom" textRotation="0" wrapText="0" indent="0" justifyLastLine="0" shrinkToFit="0" readingOrder="0"/>
      <protection locked="1" hidden="1"/>
    </dxf>
    <dxf>
      <font>
        <strike val="0"/>
        <outline val="0"/>
        <shadow val="0"/>
        <u val="none"/>
        <vertAlign val="baseline"/>
        <sz val="10"/>
        <name val="Century Gothic"/>
        <family val="2"/>
        <scheme val="minor"/>
      </font>
      <numFmt numFmtId="35" formatCode="_(* #,##0.00_);_(* \(#,##0.00\);_(* &quot;-&quot;??_);_(@_)"/>
      <alignment horizontal="center" vertical="bottom" textRotation="0" wrapText="0" indent="0" justifyLastLine="0" shrinkToFit="0" readingOrder="0"/>
      <protection locked="1" hidden="1"/>
    </dxf>
    <dxf>
      <font>
        <strike val="0"/>
        <outline val="0"/>
        <shadow val="0"/>
        <u val="none"/>
        <vertAlign val="baseline"/>
        <sz val="10"/>
        <name val="Century Gothic"/>
        <family val="2"/>
        <scheme val="minor"/>
      </font>
      <alignment horizontal="center" vertical="bottom" textRotation="0" wrapText="0" indent="0" justifyLastLine="0" shrinkToFit="0" readingOrder="0"/>
      <protection locked="1" hidden="1"/>
    </dxf>
    <dxf>
      <font>
        <strike val="0"/>
        <outline val="0"/>
        <shadow val="0"/>
        <u val="none"/>
        <vertAlign val="baseline"/>
        <sz val="10"/>
        <name val="Century Gothic"/>
        <family val="2"/>
        <scheme val="minor"/>
      </font>
      <numFmt numFmtId="167" formatCode="yyyy/mm/dd"/>
      <alignment horizontal="center" vertical="bottom" textRotation="0" wrapText="0" indent="0" justifyLastLine="0" shrinkToFit="0" readingOrder="0"/>
      <protection locked="1" hidden="1"/>
    </dxf>
    <dxf>
      <font>
        <strike val="0"/>
        <outline val="0"/>
        <shadow val="0"/>
        <u val="none"/>
        <vertAlign val="baseline"/>
        <sz val="10"/>
        <name val="Century Gothic"/>
        <family val="2"/>
        <scheme val="minor"/>
      </font>
      <numFmt numFmtId="167" formatCode="yyyy/mm/dd"/>
      <alignment horizontal="center" vertical="bottom" textRotation="0" wrapText="0" indent="0" justifyLastLine="0" shrinkToFit="0" readingOrder="0"/>
      <protection locked="1" hidden="1"/>
    </dxf>
    <dxf>
      <font>
        <strike val="0"/>
        <outline val="0"/>
        <shadow val="0"/>
        <u val="none"/>
        <vertAlign val="baseline"/>
        <sz val="10"/>
        <name val="Century Gothic"/>
        <family val="2"/>
        <scheme val="minor"/>
      </font>
      <numFmt numFmtId="167" formatCode="yyyy/mm/dd"/>
      <alignment horizontal="center" vertical="bottom" textRotation="0" wrapText="0" indent="0" justifyLastLine="0" shrinkToFit="0" readingOrder="0"/>
      <protection locked="1" hidden="1"/>
    </dxf>
    <dxf>
      <font>
        <strike val="0"/>
        <outline val="0"/>
        <shadow val="0"/>
        <u val="none"/>
        <vertAlign val="baseline"/>
        <sz val="10"/>
        <name val="Century Gothic"/>
        <family val="2"/>
        <scheme val="minor"/>
      </font>
      <numFmt numFmtId="167" formatCode="yyyy/mm/dd"/>
      <alignment horizontal="center" vertical="bottom" textRotation="0" wrapText="0" indent="0" justifyLastLine="0" shrinkToFit="0" readingOrder="0"/>
      <protection locked="1" hidden="1"/>
    </dxf>
    <dxf>
      <font>
        <strike val="0"/>
        <outline val="0"/>
        <shadow val="0"/>
        <u val="none"/>
        <vertAlign val="baseline"/>
        <sz val="10"/>
        <name val="Century Gothic"/>
        <family val="2"/>
        <scheme val="minor"/>
      </font>
      <numFmt numFmtId="167" formatCode="yyyy/mm/dd"/>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7" formatCode="yyyy/mm/dd"/>
      <alignment horizontal="center" vertical="bottom" textRotation="0" wrapText="0" indent="0" justifyLastLine="0" shrinkToFit="0" readingOrder="0"/>
      <protection locked="1" hidden="1"/>
    </dxf>
    <dxf>
      <font>
        <strike val="0"/>
        <outline val="0"/>
        <shadow val="0"/>
        <u val="none"/>
        <vertAlign val="baseline"/>
        <sz val="10"/>
        <name val="Century Gothic"/>
        <family val="2"/>
        <scheme val="minor"/>
      </font>
      <alignment horizontal="center" vertical="bottom" textRotation="0" wrapText="0" indent="0" justifyLastLine="0" shrinkToFit="0" readingOrder="0"/>
      <protection locked="1" hidden="1"/>
    </dxf>
    <dxf>
      <font>
        <strike val="0"/>
        <outline val="0"/>
        <shadow val="0"/>
        <u val="none"/>
        <vertAlign val="baseline"/>
        <sz val="10"/>
        <name val="Century Gothic"/>
        <family val="2"/>
        <scheme val="minor"/>
      </font>
      <numFmt numFmtId="0" formatCode="General"/>
      <alignment horizontal="center" vertical="bottom" textRotation="0" wrapText="0" indent="0" justifyLastLine="0" shrinkToFit="0" readingOrder="0"/>
      <protection locked="1" hidden="1"/>
    </dxf>
    <dxf>
      <font>
        <strike val="0"/>
        <outline val="0"/>
        <shadow val="0"/>
        <u val="none"/>
        <vertAlign val="baseline"/>
        <sz val="10"/>
        <name val="Century Gothic"/>
        <family val="2"/>
        <scheme val="minor"/>
      </font>
      <protection locked="1" hidden="1"/>
    </dxf>
    <dxf>
      <font>
        <strike val="0"/>
        <outline val="0"/>
        <shadow val="0"/>
        <u val="none"/>
        <vertAlign val="baseline"/>
        <sz val="10"/>
        <name val="Century Gothic"/>
        <family val="2"/>
        <scheme val="minor"/>
      </font>
      <protection locked="1" hidden="1"/>
    </dxf>
    <dxf>
      <font>
        <strike val="0"/>
        <outline val="0"/>
        <shadow val="0"/>
        <u val="none"/>
        <vertAlign val="baseline"/>
        <sz val="10"/>
        <name val="Century Gothic"/>
        <family val="2"/>
        <scheme val="minor"/>
      </font>
      <protection locked="1" hidden="1"/>
    </dxf>
    <dxf>
      <font>
        <strike val="0"/>
        <outline val="0"/>
        <shadow val="0"/>
        <u val="none"/>
        <vertAlign val="baseline"/>
        <sz val="10"/>
        <name val="Century Gothic"/>
        <family val="2"/>
        <scheme val="minor"/>
      </font>
      <protection locked="1" hidden="1"/>
    </dxf>
    <dxf>
      <font>
        <strike val="0"/>
        <outline val="0"/>
        <shadow val="0"/>
        <u val="none"/>
        <vertAlign val="baseline"/>
        <sz val="10"/>
        <name val="Century Gothic"/>
        <family val="2"/>
        <scheme val="minor"/>
      </font>
      <numFmt numFmtId="0" formatCode="General"/>
      <protection locked="1" hidden="1"/>
    </dxf>
    <dxf>
      <font>
        <strike val="0"/>
        <outline val="0"/>
        <shadow val="0"/>
        <u val="none"/>
        <vertAlign val="baseline"/>
        <sz val="10"/>
        <name val="Century Gothic"/>
        <family val="2"/>
        <scheme val="minor"/>
      </font>
      <numFmt numFmtId="0" formatCode="General"/>
      <protection locked="1" hidden="1"/>
    </dxf>
    <dxf>
      <font>
        <strike val="0"/>
        <outline val="0"/>
        <shadow val="0"/>
        <u val="none"/>
        <vertAlign val="baseline"/>
        <sz val="10"/>
        <name val="Century Gothic"/>
        <family val="2"/>
        <scheme val="minor"/>
      </font>
      <numFmt numFmtId="0" formatCode="General"/>
      <alignment horizontal="left" vertical="bottom" textRotation="0" wrapText="0" indent="0" justifyLastLine="0" shrinkToFit="0" readingOrder="0"/>
      <protection locked="1" hidden="1"/>
    </dxf>
    <dxf>
      <font>
        <strike val="0"/>
        <outline val="0"/>
        <shadow val="0"/>
        <u val="none"/>
        <vertAlign val="baseline"/>
        <sz val="10"/>
        <name val="Century Gothic"/>
        <family val="2"/>
        <scheme val="minor"/>
      </font>
      <numFmt numFmtId="0" formatCode="General"/>
      <alignment horizontal="center" vertical="bottom" textRotation="0" wrapText="0" indent="0" justifyLastLine="0" shrinkToFit="0" readingOrder="0"/>
      <protection locked="1" hidden="1"/>
    </dxf>
    <dxf>
      <font>
        <strike val="0"/>
        <outline val="0"/>
        <shadow val="0"/>
        <u val="none"/>
        <vertAlign val="baseline"/>
        <sz val="10"/>
        <name val="Century Gothic"/>
        <family val="2"/>
        <scheme val="minor"/>
      </font>
      <numFmt numFmtId="167" formatCode="yyyy/mm/dd"/>
      <alignment horizontal="center" vertical="bottom" textRotation="0" wrapText="0" indent="0" justifyLastLine="0" shrinkToFit="0" readingOrder="0"/>
      <protection locked="1" hidden="1"/>
    </dxf>
    <dxf>
      <border outline="0">
        <top style="thin">
          <color indexed="64"/>
        </top>
      </border>
    </dxf>
    <dxf>
      <font>
        <strike val="0"/>
        <outline val="0"/>
        <shadow val="0"/>
        <u val="none"/>
        <vertAlign val="baseline"/>
        <sz val="10"/>
        <name val="Century Gothic"/>
        <family val="2"/>
        <scheme val="minor"/>
      </font>
      <numFmt numFmtId="0" formatCode="General"/>
    </dxf>
    <dxf>
      <border outline="0">
        <bottom style="thin">
          <color indexed="64"/>
        </bottom>
      </border>
    </dxf>
    <dxf>
      <font>
        <b/>
        <i val="0"/>
        <strike val="0"/>
        <condense val="0"/>
        <extend val="0"/>
        <outline val="0"/>
        <shadow val="0"/>
        <u val="none"/>
        <vertAlign val="baseline"/>
        <sz val="10"/>
        <color theme="1"/>
        <name val="Century Gothic"/>
        <family val="2"/>
        <scheme val="minor"/>
      </font>
      <numFmt numFmtId="0" formatCode="General"/>
      <fill>
        <patternFill patternType="solid">
          <fgColor indexed="64"/>
          <bgColor indexed="41"/>
        </patternFill>
      </fill>
      <alignment horizontal="center" vertical="bottom" textRotation="0" wrapText="1" indent="0" justifyLastLine="0" shrinkToFit="0" readingOrder="0"/>
      <border diagonalUp="0" diagonalDown="0">
        <left style="thin">
          <color indexed="64"/>
        </left>
        <right style="thin">
          <color indexed="64"/>
        </right>
        <top/>
        <bottom/>
      </border>
      <protection locked="1" hidden="1"/>
    </dxf>
    <dxf>
      <font>
        <b/>
        <i val="0"/>
        <color theme="0"/>
      </font>
      <fill>
        <patternFill>
          <bgColor rgb="FFFF6600"/>
        </patternFill>
      </fill>
    </dxf>
    <dxf>
      <font>
        <b/>
        <i val="0"/>
        <color theme="0"/>
      </font>
      <fill>
        <patternFill>
          <bgColor rgb="FFFF6600"/>
        </patternFill>
      </fill>
    </dxf>
    <dxf>
      <font>
        <b/>
        <i val="0"/>
        <color theme="0"/>
      </font>
      <fill>
        <patternFill>
          <bgColor rgb="FFFF6600"/>
        </patternFill>
      </fill>
    </dxf>
    <dxf>
      <font>
        <b/>
        <i val="0"/>
        <color theme="0"/>
      </font>
      <fill>
        <patternFill>
          <bgColor rgb="FFFF6600"/>
        </patternFill>
      </fill>
    </dxf>
    <dxf>
      <font>
        <b/>
        <i val="0"/>
        <color theme="0"/>
      </font>
      <fill>
        <patternFill>
          <bgColor rgb="FFFF6600"/>
        </patternFill>
      </fill>
    </dxf>
    <dxf>
      <font>
        <b/>
        <i val="0"/>
        <color theme="0"/>
      </font>
      <fill>
        <patternFill>
          <bgColor rgb="FFFF6600"/>
        </patternFill>
      </fill>
    </dxf>
    <dxf>
      <font>
        <b val="0"/>
        <i val="0"/>
        <strike val="0"/>
        <condense val="0"/>
        <extend val="0"/>
        <outline val="0"/>
        <shadow val="0"/>
        <u val="none"/>
        <vertAlign val="baseline"/>
        <sz val="10"/>
        <color auto="1"/>
        <name val="Century Gothic"/>
        <family val="2"/>
        <scheme val="minor"/>
      </font>
      <numFmt numFmtId="165" formatCode="_(* #,##0_);_(* \(#,##0\);_(* &quot;-&quot;??_);_(@_)"/>
      <protection locked="1" hidden="1"/>
    </dxf>
    <dxf>
      <font>
        <b val="0"/>
        <i val="0"/>
        <strike val="0"/>
        <condense val="0"/>
        <extend val="0"/>
        <outline val="0"/>
        <shadow val="0"/>
        <u val="none"/>
        <vertAlign val="baseline"/>
        <sz val="10"/>
        <color auto="1"/>
        <name val="Century Gothic"/>
        <family val="2"/>
        <scheme val="minor"/>
      </font>
      <numFmt numFmtId="165" formatCode="_(* #,##0_);_(* \(#,##0\);_(* &quot;-&quot;??_);_(@_)"/>
      <protection locked="1" hidden="1"/>
    </dxf>
    <dxf>
      <font>
        <b val="0"/>
        <i val="0"/>
        <strike val="0"/>
        <condense val="0"/>
        <extend val="0"/>
        <outline val="0"/>
        <shadow val="0"/>
        <u val="none"/>
        <vertAlign val="baseline"/>
        <sz val="10"/>
        <color auto="1"/>
        <name val="Century Gothic"/>
        <family val="2"/>
        <scheme val="minor"/>
      </font>
      <numFmt numFmtId="165" formatCode="_(* #,##0_);_(* \(#,##0\);_(* &quot;-&quot;??_);_(@_)"/>
      <protection locked="1" hidden="1"/>
    </dxf>
    <dxf>
      <font>
        <b val="0"/>
        <i val="0"/>
        <strike val="0"/>
        <condense val="0"/>
        <extend val="0"/>
        <outline val="0"/>
        <shadow val="0"/>
        <u val="none"/>
        <vertAlign val="baseline"/>
        <sz val="10"/>
        <color auto="1"/>
        <name val="Century Gothic"/>
        <family val="2"/>
        <scheme val="minor"/>
      </font>
      <numFmt numFmtId="165" formatCode="_(* #,##0_);_(* \(#,##0\);_(* &quot;-&quot;??_);_(@_)"/>
      <protection locked="1" hidden="1"/>
    </dxf>
    <dxf>
      <font>
        <b val="0"/>
        <i val="0"/>
        <strike val="0"/>
        <condense val="0"/>
        <extend val="0"/>
        <outline val="0"/>
        <shadow val="0"/>
        <u val="none"/>
        <vertAlign val="baseline"/>
        <sz val="10"/>
        <color auto="1"/>
        <name val="Century Gothic"/>
        <family val="2"/>
        <scheme val="minor"/>
      </font>
      <numFmt numFmtId="165" formatCode="_(* #,##0_);_(* \(#,##0\);_(* &quot;-&quot;??_);_(@_)"/>
      <protection locked="1" hidden="1"/>
    </dxf>
    <dxf>
      <font>
        <b val="0"/>
        <i val="0"/>
        <strike val="0"/>
        <condense val="0"/>
        <extend val="0"/>
        <outline val="0"/>
        <shadow val="0"/>
        <u val="none"/>
        <vertAlign val="baseline"/>
        <sz val="10"/>
        <color auto="1"/>
        <name val="Century Gothic"/>
        <family val="2"/>
        <scheme val="minor"/>
      </font>
      <numFmt numFmtId="165" formatCode="_(* #,##0_);_(* \(#,##0\);_(* &quot;-&quot;??_);_(@_)"/>
      <protection locked="1" hidden="1"/>
    </dxf>
    <dxf>
      <font>
        <b val="0"/>
        <i val="0"/>
        <strike val="0"/>
        <condense val="0"/>
        <extend val="0"/>
        <outline val="0"/>
        <shadow val="0"/>
        <u val="none"/>
        <vertAlign val="baseline"/>
        <sz val="10"/>
        <color auto="1"/>
        <name val="Century Gothic"/>
        <family val="2"/>
        <scheme val="minor"/>
      </font>
      <numFmt numFmtId="165" formatCode="_(* #,##0_);_(* \(#,##0\);_(* &quot;-&quot;??_);_(@_)"/>
      <protection locked="1" hidden="1"/>
    </dxf>
    <dxf>
      <font>
        <b val="0"/>
        <i val="0"/>
        <strike val="0"/>
        <condense val="0"/>
        <extend val="0"/>
        <outline val="0"/>
        <shadow val="0"/>
        <u val="none"/>
        <vertAlign val="baseline"/>
        <sz val="10"/>
        <color auto="1"/>
        <name val="Century Gothic"/>
        <family val="2"/>
        <scheme val="minor"/>
      </font>
      <numFmt numFmtId="165" formatCode="_(* #,##0_);_(* \(#,##0\);_(* &quot;-&quot;??_);_(@_)"/>
      <protection locked="1" hidden="1"/>
    </dxf>
    <dxf>
      <font>
        <b val="0"/>
        <i val="0"/>
        <strike val="0"/>
        <condense val="0"/>
        <extend val="0"/>
        <outline val="0"/>
        <shadow val="0"/>
        <u val="none"/>
        <vertAlign val="baseline"/>
        <sz val="10"/>
        <color auto="1"/>
        <name val="Century Gothic"/>
        <family val="2"/>
        <scheme val="minor"/>
      </font>
      <numFmt numFmtId="165" formatCode="_(* #,##0_);_(* \(#,##0\);_(* &quot;-&quot;??_);_(@_)"/>
      <protection locked="1" hidden="1"/>
    </dxf>
    <dxf>
      <font>
        <b val="0"/>
        <i val="0"/>
        <strike val="0"/>
        <condense val="0"/>
        <extend val="0"/>
        <outline val="0"/>
        <shadow val="0"/>
        <u val="none"/>
        <vertAlign val="baseline"/>
        <sz val="10"/>
        <color auto="1"/>
        <name val="Century Gothic"/>
        <family val="2"/>
        <scheme val="minor"/>
      </font>
      <numFmt numFmtId="165" formatCode="_(* #,##0_);_(* \(#,##0\);_(* &quot;-&quot;??_);_(@_)"/>
      <protection locked="1" hidden="1"/>
    </dxf>
    <dxf>
      <font>
        <b val="0"/>
        <i val="0"/>
        <strike val="0"/>
        <condense val="0"/>
        <extend val="0"/>
        <outline val="0"/>
        <shadow val="0"/>
        <u val="none"/>
        <vertAlign val="baseline"/>
        <sz val="10"/>
        <color auto="1"/>
        <name val="Century Gothic"/>
        <family val="2"/>
        <scheme val="minor"/>
      </font>
      <numFmt numFmtId="165" formatCode="_(* #,##0_);_(* \(#,##0\);_(* &quot;-&quot;??_);_(@_)"/>
      <protection locked="1" hidden="1"/>
    </dxf>
    <dxf>
      <font>
        <b val="0"/>
        <i val="0"/>
        <strike val="0"/>
        <condense val="0"/>
        <extend val="0"/>
        <outline val="0"/>
        <shadow val="0"/>
        <u val="none"/>
        <vertAlign val="baseline"/>
        <sz val="10"/>
        <color auto="1"/>
        <name val="Century Gothic"/>
        <family val="2"/>
        <scheme val="minor"/>
      </font>
      <numFmt numFmtId="165" formatCode="_(* #,##0_);_(* \(#,##0\);_(* &quot;-&quot;??_);_(@_)"/>
      <protection locked="1" hidden="1"/>
    </dxf>
    <dxf>
      <font>
        <b val="0"/>
        <i val="0"/>
        <strike val="0"/>
        <condense val="0"/>
        <extend val="0"/>
        <outline val="0"/>
        <shadow val="0"/>
        <u val="none"/>
        <vertAlign val="baseline"/>
        <sz val="10"/>
        <color auto="1"/>
        <name val="Century Gothic"/>
        <family val="2"/>
        <scheme val="minor"/>
      </font>
      <numFmt numFmtId="165" formatCode="_(* #,##0_);_(* \(#,##0\);_(* &quot;-&quot;??_);_(@_)"/>
      <protection locked="1" hidden="1"/>
    </dxf>
    <dxf>
      <font>
        <b val="0"/>
        <i val="0"/>
        <strike val="0"/>
        <condense val="0"/>
        <extend val="0"/>
        <outline val="0"/>
        <shadow val="0"/>
        <u val="none"/>
        <vertAlign val="baseline"/>
        <sz val="10"/>
        <color auto="1"/>
        <name val="Century Gothic"/>
        <family val="2"/>
        <scheme val="minor"/>
      </font>
      <numFmt numFmtId="165" formatCode="_(* #,##0_);_(* \(#,##0\);_(* &quot;-&quot;??_);_(@_)"/>
      <protection locked="1" hidden="1"/>
    </dxf>
    <dxf>
      <font>
        <b val="0"/>
        <i val="0"/>
        <strike val="0"/>
        <condense val="0"/>
        <extend val="0"/>
        <outline val="0"/>
        <shadow val="0"/>
        <u val="none"/>
        <vertAlign val="baseline"/>
        <sz val="10"/>
        <color auto="1"/>
        <name val="Century Gothic"/>
        <family val="2"/>
        <scheme val="minor"/>
      </font>
      <numFmt numFmtId="165" formatCode="_(* #,##0_);_(* \(#,##0\);_(* &quot;-&quot;??_);_(@_)"/>
      <protection locked="1" hidden="1"/>
    </dxf>
    <dxf>
      <font>
        <b val="0"/>
        <i val="0"/>
        <strike val="0"/>
        <condense val="0"/>
        <extend val="0"/>
        <outline val="0"/>
        <shadow val="0"/>
        <u val="none"/>
        <vertAlign val="baseline"/>
        <sz val="10"/>
        <color auto="1"/>
        <name val="Century Gothic"/>
        <family val="2"/>
        <scheme val="minor"/>
      </font>
      <numFmt numFmtId="165" formatCode="_(* #,##0_);_(* \(#,##0\);_(* &quot;-&quot;??_);_(@_)"/>
      <protection locked="1" hidden="1"/>
    </dxf>
    <dxf>
      <font>
        <b val="0"/>
        <i val="0"/>
        <strike val="0"/>
        <condense val="0"/>
        <extend val="0"/>
        <outline val="0"/>
        <shadow val="0"/>
        <u val="none"/>
        <vertAlign val="baseline"/>
        <sz val="10"/>
        <color auto="1"/>
        <name val="Century Gothic"/>
        <family val="2"/>
        <scheme val="minor"/>
      </font>
      <numFmt numFmtId="165" formatCode="_(* #,##0_);_(* \(#,##0\);_(* &quot;-&quot;??_);_(@_)"/>
      <protection locked="1" hidden="1"/>
    </dxf>
    <dxf>
      <font>
        <b val="0"/>
        <i val="0"/>
        <strike val="0"/>
        <condense val="0"/>
        <extend val="0"/>
        <outline val="0"/>
        <shadow val="0"/>
        <u val="none"/>
        <vertAlign val="baseline"/>
        <sz val="10"/>
        <color auto="1"/>
        <name val="Century Gothic"/>
        <family val="2"/>
        <scheme val="minor"/>
      </font>
      <numFmt numFmtId="165" formatCode="_(* #,##0_);_(* \(#,##0\);_(* &quot;-&quot;??_);_(@_)"/>
      <protection locked="1" hidden="1"/>
    </dxf>
    <dxf>
      <font>
        <b val="0"/>
        <i val="0"/>
        <strike val="0"/>
        <condense val="0"/>
        <extend val="0"/>
        <outline val="0"/>
        <shadow val="0"/>
        <u val="none"/>
        <vertAlign val="baseline"/>
        <sz val="10"/>
        <color auto="1"/>
        <name val="Century Gothic"/>
        <family val="2"/>
        <scheme val="minor"/>
      </font>
      <numFmt numFmtId="165" formatCode="_(* #,##0_);_(* \(#,##0\);_(* &quot;-&quot;??_);_(@_)"/>
      <protection locked="1" hidden="1"/>
    </dxf>
    <dxf>
      <font>
        <b val="0"/>
        <i val="0"/>
        <strike val="0"/>
        <condense val="0"/>
        <extend val="0"/>
        <outline val="0"/>
        <shadow val="0"/>
        <u val="none"/>
        <vertAlign val="baseline"/>
        <sz val="10"/>
        <color auto="1"/>
        <name val="Century Gothic"/>
        <family val="2"/>
        <scheme val="minor"/>
      </font>
      <numFmt numFmtId="165" formatCode="_(* #,##0_);_(* \(#,##0\);_(* &quot;-&quot;??_);_(@_)"/>
      <protection locked="1" hidden="1"/>
    </dxf>
    <dxf>
      <font>
        <b val="0"/>
        <i val="0"/>
        <strike val="0"/>
        <condense val="0"/>
        <extend val="0"/>
        <outline val="0"/>
        <shadow val="0"/>
        <u val="none"/>
        <vertAlign val="baseline"/>
        <sz val="10"/>
        <color auto="1"/>
        <name val="Century Gothic"/>
        <family val="2"/>
        <scheme val="minor"/>
      </font>
      <numFmt numFmtId="165" formatCode="_(* #,##0_);_(* \(#,##0\);_(* &quot;-&quot;??_);_(@_)"/>
      <protection locked="1" hidden="1"/>
    </dxf>
    <dxf>
      <font>
        <b val="0"/>
        <i val="0"/>
        <strike val="0"/>
        <condense val="0"/>
        <extend val="0"/>
        <outline val="0"/>
        <shadow val="0"/>
        <u val="none"/>
        <vertAlign val="baseline"/>
        <sz val="10"/>
        <color auto="1"/>
        <name val="Century Gothic"/>
        <family val="2"/>
        <scheme val="minor"/>
      </font>
      <numFmt numFmtId="165" formatCode="_(* #,##0_);_(* \(#,##0\);_(* &quot;-&quot;??_);_(@_)"/>
      <protection locked="1" hidden="1"/>
    </dxf>
    <dxf>
      <font>
        <b val="0"/>
        <i val="0"/>
        <strike val="0"/>
        <condense val="0"/>
        <extend val="0"/>
        <outline val="0"/>
        <shadow val="0"/>
        <u val="none"/>
        <vertAlign val="baseline"/>
        <sz val="10"/>
        <color auto="1"/>
        <name val="Century Gothic"/>
        <family val="2"/>
        <scheme val="minor"/>
      </font>
      <numFmt numFmtId="165" formatCode="_(* #,##0_);_(* \(#,##0\);_(* &quot;-&quot;??_);_(@_)"/>
      <protection locked="1" hidden="1"/>
    </dxf>
    <dxf>
      <font>
        <b val="0"/>
        <i val="0"/>
        <strike val="0"/>
        <condense val="0"/>
        <extend val="0"/>
        <outline val="0"/>
        <shadow val="0"/>
        <u val="none"/>
        <vertAlign val="baseline"/>
        <sz val="10"/>
        <color auto="1"/>
        <name val="Century Gothic"/>
        <family val="2"/>
        <scheme val="minor"/>
      </font>
      <numFmt numFmtId="165" formatCode="_(* #,##0_);_(* \(#,##0\);_(* &quot;-&quot;??_);_(@_)"/>
      <protection locked="1" hidden="1"/>
    </dxf>
    <dxf>
      <font>
        <b val="0"/>
        <i val="0"/>
        <strike val="0"/>
        <condense val="0"/>
        <extend val="0"/>
        <outline val="0"/>
        <shadow val="0"/>
        <u val="none"/>
        <vertAlign val="baseline"/>
        <sz val="10"/>
        <color auto="1"/>
        <name val="Century Gothic"/>
        <family val="2"/>
        <scheme val="minor"/>
      </font>
      <numFmt numFmtId="165" formatCode="_(* #,##0_);_(* \(#,##0\);_(* &quot;-&quot;??_);_(@_)"/>
      <protection locked="1" hidden="1"/>
    </dxf>
    <dxf>
      <font>
        <b val="0"/>
        <i val="0"/>
        <strike val="0"/>
        <condense val="0"/>
        <extend val="0"/>
        <outline val="0"/>
        <shadow val="0"/>
        <u val="none"/>
        <vertAlign val="baseline"/>
        <sz val="10"/>
        <color auto="1"/>
        <name val="Century Gothic"/>
        <family val="2"/>
        <scheme val="minor"/>
      </font>
      <numFmt numFmtId="165" formatCode="_(* #,##0_);_(* \(#,##0\);_(* &quot;-&quot;??_);_(@_)"/>
      <protection locked="1" hidden="1"/>
    </dxf>
    <dxf>
      <font>
        <b val="0"/>
        <i val="0"/>
        <strike val="0"/>
        <condense val="0"/>
        <extend val="0"/>
        <outline val="0"/>
        <shadow val="0"/>
        <u val="none"/>
        <vertAlign val="baseline"/>
        <sz val="10"/>
        <color auto="1"/>
        <name val="Century Gothic"/>
        <family val="2"/>
        <scheme val="minor"/>
      </font>
      <numFmt numFmtId="165" formatCode="_(* #,##0_);_(* \(#,##0\);_(* &quot;-&quot;??_);_(@_)"/>
      <protection locked="1" hidden="1"/>
    </dxf>
    <dxf>
      <font>
        <b val="0"/>
        <i val="0"/>
        <strike val="0"/>
        <condense val="0"/>
        <extend val="0"/>
        <outline val="0"/>
        <shadow val="0"/>
        <u val="none"/>
        <vertAlign val="baseline"/>
        <sz val="10"/>
        <color auto="1"/>
        <name val="Century Gothic"/>
        <family val="2"/>
        <scheme val="minor"/>
      </font>
      <numFmt numFmtId="165" formatCode="_(* #,##0_);_(* \(#,##0\);_(* &quot;-&quot;??_);_(@_)"/>
      <protection locked="1" hidden="1"/>
    </dxf>
    <dxf>
      <font>
        <b val="0"/>
        <i val="0"/>
        <strike val="0"/>
        <condense val="0"/>
        <extend val="0"/>
        <outline val="0"/>
        <shadow val="0"/>
        <u val="none"/>
        <vertAlign val="baseline"/>
        <sz val="10"/>
        <color auto="1"/>
        <name val="Century Gothic"/>
        <family val="2"/>
        <scheme val="minor"/>
      </font>
      <numFmt numFmtId="165" formatCode="_(* #,##0_);_(* \(#,##0\);_(* &quot;-&quot;??_);_(@_)"/>
      <protection locked="1" hidden="1"/>
    </dxf>
    <dxf>
      <font>
        <b val="0"/>
        <i val="0"/>
        <strike val="0"/>
        <condense val="0"/>
        <extend val="0"/>
        <outline val="0"/>
        <shadow val="0"/>
        <u val="none"/>
        <vertAlign val="baseline"/>
        <sz val="10"/>
        <color auto="1"/>
        <name val="Century Gothic"/>
        <family val="2"/>
        <scheme val="minor"/>
      </font>
      <numFmt numFmtId="165" formatCode="_(* #,##0_);_(* \(#,##0\);_(* &quot;-&quot;??_);_(@_)"/>
      <protection locked="1" hidden="1"/>
    </dxf>
    <dxf>
      <font>
        <b val="0"/>
        <i val="0"/>
        <strike val="0"/>
        <condense val="0"/>
        <extend val="0"/>
        <outline val="0"/>
        <shadow val="0"/>
        <u val="none"/>
        <vertAlign val="baseline"/>
        <sz val="10"/>
        <color auto="1"/>
        <name val="Century Gothic"/>
        <family val="2"/>
        <scheme val="minor"/>
      </font>
      <numFmt numFmtId="165" formatCode="_(* #,##0_);_(* \(#,##0\);_(* &quot;-&quot;??_);_(@_)"/>
      <protection locked="1" hidden="1"/>
    </dxf>
    <dxf>
      <font>
        <b val="0"/>
        <i val="0"/>
        <strike val="0"/>
        <condense val="0"/>
        <extend val="0"/>
        <outline val="0"/>
        <shadow val="0"/>
        <u val="none"/>
        <vertAlign val="baseline"/>
        <sz val="10"/>
        <color auto="1"/>
        <name val="Century Gothic"/>
        <family val="2"/>
        <scheme val="minor"/>
      </font>
      <numFmt numFmtId="165" formatCode="_(* #,##0_);_(* \(#,##0\);_(* &quot;-&quot;??_);_(@_)"/>
      <protection locked="1" hidden="1"/>
    </dxf>
    <dxf>
      <font>
        <b val="0"/>
        <i val="0"/>
        <strike val="0"/>
        <condense val="0"/>
        <extend val="0"/>
        <outline val="0"/>
        <shadow val="0"/>
        <u val="none"/>
        <vertAlign val="baseline"/>
        <sz val="10"/>
        <color auto="1"/>
        <name val="Century Gothic"/>
        <family val="2"/>
        <scheme val="minor"/>
      </font>
      <numFmt numFmtId="165" formatCode="_(* #,##0_);_(* \(#,##0\);_(* &quot;-&quot;??_);_(@_)"/>
      <protection locked="1" hidden="1"/>
    </dxf>
    <dxf>
      <font>
        <b val="0"/>
        <i val="0"/>
        <strike val="0"/>
        <condense val="0"/>
        <extend val="0"/>
        <outline val="0"/>
        <shadow val="0"/>
        <u val="none"/>
        <vertAlign val="baseline"/>
        <sz val="10"/>
        <color auto="1"/>
        <name val="Century Gothic"/>
        <family val="2"/>
        <scheme val="minor"/>
      </font>
      <numFmt numFmtId="165" formatCode="_(* #,##0_);_(* \(#,##0\);_(* &quot;-&quot;??_);_(@_)"/>
      <protection locked="1" hidden="1"/>
    </dxf>
    <dxf>
      <font>
        <b val="0"/>
        <i val="0"/>
        <strike val="0"/>
        <condense val="0"/>
        <extend val="0"/>
        <outline val="0"/>
        <shadow val="0"/>
        <u val="none"/>
        <vertAlign val="baseline"/>
        <sz val="10"/>
        <color auto="1"/>
        <name val="Century Gothic"/>
        <family val="2"/>
        <scheme val="minor"/>
      </font>
      <numFmt numFmtId="165" formatCode="_(* #,##0_);_(* \(#,##0\);_(* &quot;-&quot;??_);_(@_)"/>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numFmt numFmtId="164" formatCode="0.0%"/>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5" formatCode="_(* #,##0_);_(* \(#,##0\);_(* &quot;-&quot;??_);_(@_)"/>
      <protection locked="1" hidden="1"/>
    </dxf>
    <dxf>
      <font>
        <b val="0"/>
        <i val="0"/>
        <strike val="0"/>
        <condense val="0"/>
        <extend val="0"/>
        <outline val="0"/>
        <shadow val="0"/>
        <u val="none"/>
        <vertAlign val="baseline"/>
        <sz val="10"/>
        <color auto="1"/>
        <name val="Century Gothic"/>
        <family val="2"/>
        <scheme val="minor"/>
      </font>
      <numFmt numFmtId="35" formatCode="_(* #,##0.00_);_(* \(#,##0.00\);_(* &quot;-&quot;??_);_(@_)"/>
      <protection locked="1" hidden="1"/>
    </dxf>
    <dxf>
      <font>
        <b val="0"/>
        <i val="0"/>
        <strike val="0"/>
        <condense val="0"/>
        <extend val="0"/>
        <outline val="0"/>
        <shadow val="0"/>
        <u val="none"/>
        <vertAlign val="baseline"/>
        <sz val="10"/>
        <color auto="1"/>
        <name val="Century Gothic"/>
        <family val="2"/>
        <scheme val="minor"/>
      </font>
      <numFmt numFmtId="35" formatCode="_(* #,##0.00_);_(* \(#,##0.00\);_(* &quot;-&quot;??_);_(@_)"/>
      <protection locked="1" hidden="1"/>
    </dxf>
    <dxf>
      <font>
        <b val="0"/>
        <i val="0"/>
        <strike val="0"/>
        <condense val="0"/>
        <extend val="0"/>
        <outline val="0"/>
        <shadow val="0"/>
        <u val="none"/>
        <vertAlign val="baseline"/>
        <sz val="10"/>
        <color auto="1"/>
        <name val="Century Gothic"/>
        <family val="2"/>
        <scheme val="minor"/>
      </font>
      <numFmt numFmtId="165" formatCode="_(* #,##0_);_(* \(#,##0\);_(* &quot;-&quot;??_);_(@_)"/>
      <protection locked="1" hidden="1"/>
    </dxf>
    <dxf>
      <font>
        <b val="0"/>
        <i val="0"/>
        <strike val="0"/>
        <condense val="0"/>
        <extend val="0"/>
        <outline val="0"/>
        <shadow val="0"/>
        <u val="none"/>
        <vertAlign val="baseline"/>
        <sz val="10"/>
        <color auto="1"/>
        <name val="Century Gothic"/>
        <family val="2"/>
        <scheme val="minor"/>
      </font>
      <numFmt numFmtId="165" formatCode="_(* #,##0_);_(* \(#,##0\);_(* &quot;-&quot;??_);_(@_)"/>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7" formatCode="yyyy/mm/dd"/>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7" formatCode="yyyy/mm/dd"/>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7" formatCode="yyyy/mm/dd"/>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7" formatCode="yyyy/mm/dd"/>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7" formatCode="yyyy/mm/dd"/>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7" formatCode="yyyy/mm/dd"/>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0" formatCode="General"/>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alignment horizontal="left"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alignment horizontal="left"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alignment horizontal="left" vertical="bottom" textRotation="0" wrapText="0" indent="0" justifyLastLine="0" shrinkToFit="0" readingOrder="0"/>
      <protection locked="1" hidden="1"/>
    </dxf>
    <dxf>
      <border outline="0">
        <top style="thin">
          <color indexed="64"/>
        </top>
      </border>
    </dxf>
    <dxf>
      <font>
        <b val="0"/>
        <i val="0"/>
        <strike val="0"/>
        <condense val="0"/>
        <extend val="0"/>
        <outline val="0"/>
        <shadow val="0"/>
        <u val="none"/>
        <vertAlign val="baseline"/>
        <sz val="10"/>
        <color auto="1"/>
        <name val="Century Gothic"/>
        <family val="2"/>
        <scheme val="minor"/>
      </font>
      <numFmt numFmtId="165" formatCode="_(* #,##0_);_(* \(#,##0\);_(* &quot;-&quot;??_);_(@_)"/>
      <protection locked="1" hidden="1"/>
    </dxf>
    <dxf>
      <border outline="0">
        <bottom style="thin">
          <color indexed="64"/>
        </bottom>
      </border>
    </dxf>
    <dxf>
      <font>
        <b/>
        <i val="0"/>
        <strike val="0"/>
        <condense val="0"/>
        <extend val="0"/>
        <outline val="0"/>
        <shadow val="0"/>
        <u val="none"/>
        <vertAlign val="baseline"/>
        <sz val="10"/>
        <color theme="1"/>
        <name val="Century Gothic"/>
        <family val="2"/>
        <scheme val="minor"/>
      </font>
      <numFmt numFmtId="165" formatCode="_(* #,##0_);_(* \(#,##0\);_(* &quot;-&quot;??_);_(@_)"/>
      <fill>
        <patternFill patternType="solid">
          <fgColor indexed="64"/>
          <bgColor rgb="FFCCFFFF"/>
        </patternFill>
      </fill>
      <alignment horizontal="center" vertical="bottom" textRotation="0" wrapText="1" indent="0" justifyLastLine="0" shrinkToFit="0" readingOrder="0"/>
      <border diagonalUp="0" diagonalDown="0">
        <left style="thin">
          <color indexed="64"/>
        </left>
        <right style="thin">
          <color indexed="64"/>
        </right>
        <top/>
        <bottom/>
      </border>
      <protection locked="1" hidden="1"/>
    </dxf>
    <dxf>
      <font>
        <b/>
        <i val="0"/>
        <color theme="0"/>
      </font>
      <fill>
        <patternFill>
          <bgColor rgb="FFFF6600"/>
        </patternFill>
      </fill>
    </dxf>
    <dxf>
      <font>
        <b/>
        <i val="0"/>
        <color theme="0"/>
      </font>
      <fill>
        <patternFill>
          <bgColor rgb="FFFF6600"/>
        </patternFill>
      </fill>
    </dxf>
    <dxf>
      <font>
        <b/>
        <i val="0"/>
        <color theme="0"/>
      </font>
      <fill>
        <patternFill>
          <bgColor rgb="FFFF6600"/>
        </patternFill>
      </fill>
    </dxf>
    <dxf>
      <font>
        <b/>
        <i val="0"/>
        <color theme="0"/>
      </font>
      <fill>
        <patternFill>
          <bgColor rgb="FFFF6600"/>
        </patternFill>
      </fill>
    </dxf>
    <dxf>
      <font>
        <b/>
        <i val="0"/>
        <color theme="0"/>
      </font>
      <fill>
        <patternFill>
          <bgColor rgb="FFFF6600"/>
        </patternFill>
      </fill>
    </dxf>
    <dxf>
      <font>
        <b/>
        <i val="0"/>
        <color theme="0"/>
      </font>
      <fill>
        <patternFill>
          <bgColor rgb="FFFF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hyperlink" Target="https://www.excel-skills.com/macro.php?tempno=32"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https://www.excel-skills.com/fixed-asset-register-template.php" TargetMode="External"/></Relationships>
</file>

<file path=xl/drawings/drawing1.xml><?xml version="1.0" encoding="utf-8"?>
<xdr:wsDr xmlns:xdr="http://schemas.openxmlformats.org/drawingml/2006/spreadsheetDrawing" xmlns:a="http://schemas.openxmlformats.org/drawingml/2006/main">
  <xdr:twoCellAnchor editAs="absolute">
    <xdr:from>
      <xdr:col>0</xdr:col>
      <xdr:colOff>22860</xdr:colOff>
      <xdr:row>0</xdr:row>
      <xdr:rowOff>22860</xdr:rowOff>
    </xdr:from>
    <xdr:to>
      <xdr:col>8</xdr:col>
      <xdr:colOff>679500</xdr:colOff>
      <xdr:row>21</xdr:row>
      <xdr:rowOff>14010</xdr:rowOff>
    </xdr:to>
    <xdr:grpSp>
      <xdr:nvGrpSpPr>
        <xdr:cNvPr id="3" name="Group 2">
          <a:extLst>
            <a:ext uri="{FF2B5EF4-FFF2-40B4-BE49-F238E27FC236}">
              <a16:creationId xmlns:a16="http://schemas.microsoft.com/office/drawing/2014/main" id="{15BCA720-0E39-4233-AC74-86D1A89E9D4A}"/>
            </a:ext>
          </a:extLst>
        </xdr:cNvPr>
        <xdr:cNvGrpSpPr/>
      </xdr:nvGrpSpPr>
      <xdr:grpSpPr>
        <a:xfrm>
          <a:off x="22860" y="22860"/>
          <a:ext cx="9394240" cy="3591600"/>
          <a:chOff x="17134" y="17145"/>
          <a:chExt cx="9252000" cy="3671610"/>
        </a:xfrm>
      </xdr:grpSpPr>
      <xdr:sp macro="" textlink="" fLocksText="0">
        <xdr:nvSpPr>
          <xdr:cNvPr id="5" name="Rectangle 1">
            <a:extLst>
              <a:ext uri="{FF2B5EF4-FFF2-40B4-BE49-F238E27FC236}">
                <a16:creationId xmlns:a16="http://schemas.microsoft.com/office/drawing/2014/main" id="{5697E241-8A6C-41A9-BEA1-0EE1720B2FF1}"/>
              </a:ext>
            </a:extLst>
          </xdr:cNvPr>
          <xdr:cNvSpPr>
            <a:spLocks noChangeArrowheads="1"/>
          </xdr:cNvSpPr>
        </xdr:nvSpPr>
        <xdr:spPr bwMode="auto">
          <a:xfrm>
            <a:off x="17134" y="17145"/>
            <a:ext cx="9252000" cy="3671610"/>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horzOverflow="clip" wrap="square" lIns="180000" tIns="180000" rIns="180000" bIns="180000" anchor="t" anchorCtr="0" upright="1">
            <a:noAutofit/>
          </a:bodyPr>
          <a:lstStyle/>
          <a:p>
            <a:pPr algn="l" rtl="0">
              <a:lnSpc>
                <a:spcPct val="100000"/>
              </a:lnSpc>
              <a:spcAft>
                <a:spcPts val="0"/>
              </a:spcAft>
              <a:defRPr sz="1000"/>
            </a:pPr>
            <a:r>
              <a:rPr lang="en-US" sz="1200" b="1" i="0" u="none" strike="noStrike" baseline="0">
                <a:solidFill>
                  <a:schemeClr val="bg1"/>
                </a:solidFill>
                <a:latin typeface="+mn-lt"/>
                <a:cs typeface="Arial" panose="020B0604020202020204" pitchFamily="34" charset="0"/>
              </a:rPr>
              <a:t>EXCEL-SKILLS.COM</a:t>
            </a:r>
          </a:p>
          <a:p>
            <a:pPr algn="l" rtl="0">
              <a:lnSpc>
                <a:spcPct val="100000"/>
              </a:lnSpc>
              <a:defRPr sz="1000"/>
            </a:pPr>
            <a:r>
              <a:rPr lang="en-US" sz="2400" b="1" i="0" u="none" strike="noStrike" baseline="0">
                <a:solidFill>
                  <a:srgbClr val="FFFFFF"/>
                </a:solidFill>
                <a:latin typeface="Berlin Sans FB Demi" panose="020E0802020502020306" pitchFamily="34" charset="0"/>
                <a:cs typeface="Arial"/>
              </a:rPr>
              <a:t>How to activate our trial version</a:t>
            </a:r>
          </a:p>
          <a:p>
            <a:pPr algn="just" rtl="0">
              <a:lnSpc>
                <a:spcPts val="1500"/>
              </a:lnSpc>
              <a:spcBef>
                <a:spcPts val="300"/>
              </a:spcBef>
              <a:spcAft>
                <a:spcPts val="300"/>
              </a:spcAft>
              <a:defRPr sz="1000"/>
            </a:pPr>
            <a:r>
              <a:rPr lang="en-US" sz="1100" b="0" i="0" u="none" strike="noStrike" baseline="0">
                <a:solidFill>
                  <a:srgbClr val="FFFFFF"/>
                </a:solidFill>
                <a:latin typeface="+mn-lt"/>
                <a:cs typeface="Arial" panose="020B0604020202020204" pitchFamily="34" charset="0"/>
              </a:rPr>
              <a:t>Enable our 100% secure trial version macro to display the full version of the template. You should see a security warning message indicating that macros have been disabled - the trail version can be activated by enabling the macro content. Once you enable the macro, all the sheets included in the full version will be visible and you will be able to test the template features.</a:t>
            </a:r>
          </a:p>
          <a:p>
            <a:pPr marL="0" algn="just" rtl="0">
              <a:lnSpc>
                <a:spcPct val="100000"/>
              </a:lnSpc>
              <a:spcBef>
                <a:spcPts val="300"/>
              </a:spcBef>
              <a:spcAft>
                <a:spcPts val="300"/>
              </a:spcAft>
              <a:defRPr sz="1000"/>
            </a:pPr>
            <a:r>
              <a:rPr lang="en-US" sz="1200" b="1" i="0" u="none" strike="noStrike" baseline="0">
                <a:solidFill>
                  <a:srgbClr val="FFFFFF"/>
                </a:solidFill>
                <a:latin typeface="+mn-lt"/>
                <a:cs typeface="Arial" panose="020B0604020202020204" pitchFamily="34" charset="0"/>
              </a:rPr>
              <a:t>Trial version restrictions</a:t>
            </a:r>
          </a:p>
          <a:p>
            <a:pPr marL="0" algn="just" rtl="0">
              <a:lnSpc>
                <a:spcPts val="1500"/>
              </a:lnSpc>
              <a:spcBef>
                <a:spcPts val="0"/>
              </a:spcBef>
              <a:spcAft>
                <a:spcPts val="300"/>
              </a:spcAft>
              <a:defRPr sz="1000"/>
            </a:pPr>
            <a:r>
              <a:rPr lang="en-US" sz="1100" b="0" i="0" u="none" strike="noStrike" baseline="0">
                <a:solidFill>
                  <a:srgbClr val="FFFFFF"/>
                </a:solidFill>
                <a:latin typeface="+mn-lt"/>
                <a:cs typeface="Arial" panose="020B0604020202020204" pitchFamily="34" charset="0"/>
              </a:rPr>
              <a:t>The trial version includes all the functionality of the full version but you cannot save the template or print any of the worksheets. You will also not be able to move or copy any of the worksheets. The aim of the trial version is to illustrate the functionality which is included in the full version and the trial can therefore only be used to try out the template functionality for one session at a time. We only use macros for the trial versions of our templates - none of the full versions of our templates contain any macros!</a:t>
            </a:r>
          </a:p>
        </xdr:txBody>
      </xdr:sp>
      <xdr:sp macro="" textlink="" fLocksText="0">
        <xdr:nvSpPr>
          <xdr:cNvPr id="6" name="TextBox 5">
            <a:hlinkClick xmlns:r="http://schemas.openxmlformats.org/officeDocument/2006/relationships" r:id="rId1"/>
            <a:extLst>
              <a:ext uri="{FF2B5EF4-FFF2-40B4-BE49-F238E27FC236}">
                <a16:creationId xmlns:a16="http://schemas.microsoft.com/office/drawing/2014/main" id="{7A7FB44B-58EF-4F34-9BF3-05E7310A53E2}"/>
              </a:ext>
            </a:extLst>
          </xdr:cNvPr>
          <xdr:cNvSpPr txBox="1"/>
        </xdr:nvSpPr>
        <xdr:spPr>
          <a:xfrm>
            <a:off x="2011680" y="2901317"/>
            <a:ext cx="4680000" cy="485145"/>
          </a:xfrm>
          <a:prstGeom prst="rect">
            <a:avLst/>
          </a:prstGeom>
          <a:solidFill>
            <a:srgbClr val="FE4A49"/>
          </a:solidFill>
          <a:ln w="50800" cap="rnd" cmpd="sng">
            <a:solidFill>
              <a:srgbClr val="FE4A49"/>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400" b="1" u="none">
                <a:solidFill>
                  <a:schemeClr val="bg1"/>
                </a:solidFill>
                <a:latin typeface="+mn-lt"/>
              </a:rPr>
              <a:t>Go</a:t>
            </a:r>
            <a:r>
              <a:rPr lang="en-ZA" sz="1400" b="1" u="none" baseline="0">
                <a:solidFill>
                  <a:schemeClr val="bg1"/>
                </a:solidFill>
                <a:latin typeface="+mn-lt"/>
              </a:rPr>
              <a:t> to step-by-step macro instructions</a:t>
            </a:r>
            <a:endParaRPr lang="en-ZA" sz="1400" b="1" u="none">
              <a:solidFill>
                <a:schemeClr val="bg1"/>
              </a:solidFill>
              <a:latin typeface="+mn-lt"/>
            </a:endParaRPr>
          </a:p>
        </xdr:txBody>
      </xdr:sp>
      <xdr:sp macro="" textlink="" fLocksText="0">
        <xdr:nvSpPr>
          <xdr:cNvPr id="7" name="TextBox 6">
            <a:extLst>
              <a:ext uri="{FF2B5EF4-FFF2-40B4-BE49-F238E27FC236}">
                <a16:creationId xmlns:a16="http://schemas.microsoft.com/office/drawing/2014/main" id="{FE73BF8C-3691-4727-B955-FC30B9143912}"/>
              </a:ext>
            </a:extLst>
          </xdr:cNvPr>
          <xdr:cNvSpPr txBox="1"/>
        </xdr:nvSpPr>
        <xdr:spPr>
          <a:xfrm>
            <a:off x="2004060" y="3413760"/>
            <a:ext cx="4680000" cy="2514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000" i="1">
                <a:solidFill>
                  <a:schemeClr val="bg1">
                    <a:lumMod val="75000"/>
                  </a:schemeClr>
                </a:solidFill>
              </a:rPr>
              <a:t>enable editing to activate the link</a:t>
            </a:r>
          </a:p>
        </xdr:txBody>
      </xdr:sp>
    </xdr:grpSp>
    <xdr:clientData fPrintsWithSheet="0"/>
  </xdr:twoCellAnchor>
</xdr:wsDr>
</file>

<file path=xl/drawings/drawing2.xml><?xml version="1.0" encoding="utf-8"?>
<xdr:wsDr xmlns:xdr="http://schemas.openxmlformats.org/drawingml/2006/spreadsheetDrawing" xmlns:a="http://schemas.openxmlformats.org/drawingml/2006/main">
  <xdr:twoCellAnchor editAs="absolute">
    <xdr:from>
      <xdr:col>0</xdr:col>
      <xdr:colOff>22860</xdr:colOff>
      <xdr:row>0</xdr:row>
      <xdr:rowOff>22860</xdr:rowOff>
    </xdr:from>
    <xdr:to>
      <xdr:col>8</xdr:col>
      <xdr:colOff>679500</xdr:colOff>
      <xdr:row>21</xdr:row>
      <xdr:rowOff>14010</xdr:rowOff>
    </xdr:to>
    <xdr:grpSp>
      <xdr:nvGrpSpPr>
        <xdr:cNvPr id="4" name="Group 3">
          <a:extLst>
            <a:ext uri="{FF2B5EF4-FFF2-40B4-BE49-F238E27FC236}">
              <a16:creationId xmlns:a16="http://schemas.microsoft.com/office/drawing/2014/main" id="{627496FD-7227-4762-A74B-5607A674903D}"/>
            </a:ext>
          </a:extLst>
        </xdr:cNvPr>
        <xdr:cNvGrpSpPr/>
      </xdr:nvGrpSpPr>
      <xdr:grpSpPr>
        <a:xfrm>
          <a:off x="22860" y="22860"/>
          <a:ext cx="9394240" cy="3591600"/>
          <a:chOff x="17134" y="17145"/>
          <a:chExt cx="9252000" cy="3671610"/>
        </a:xfrm>
      </xdr:grpSpPr>
      <xdr:sp macro="" textlink="" fLocksText="0">
        <xdr:nvSpPr>
          <xdr:cNvPr id="5" name="Rectangle 1">
            <a:extLst>
              <a:ext uri="{FF2B5EF4-FFF2-40B4-BE49-F238E27FC236}">
                <a16:creationId xmlns:a16="http://schemas.microsoft.com/office/drawing/2014/main" id="{DA553D28-6FBF-4E2B-8F1F-8E4DC61B1ACC}"/>
              </a:ext>
            </a:extLst>
          </xdr:cNvPr>
          <xdr:cNvSpPr>
            <a:spLocks noChangeArrowheads="1"/>
          </xdr:cNvSpPr>
        </xdr:nvSpPr>
        <xdr:spPr bwMode="auto">
          <a:xfrm>
            <a:off x="17134" y="17145"/>
            <a:ext cx="9252000" cy="3671610"/>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horzOverflow="clip" wrap="square" lIns="180000" tIns="180000" rIns="180000" bIns="180000" anchor="t" anchorCtr="0" upright="1">
            <a:noAutofit/>
          </a:bodyPr>
          <a:lstStyle/>
          <a:p>
            <a:pPr algn="l" rtl="0">
              <a:lnSpc>
                <a:spcPct val="100000"/>
              </a:lnSpc>
              <a:spcAft>
                <a:spcPts val="0"/>
              </a:spcAft>
              <a:defRPr sz="1000"/>
            </a:pPr>
            <a:r>
              <a:rPr lang="en-US" sz="1200" b="1" i="0" u="none" strike="noStrike" baseline="0">
                <a:solidFill>
                  <a:schemeClr val="bg1"/>
                </a:solidFill>
                <a:latin typeface="+mn-lt"/>
                <a:cs typeface="Arial" panose="020B0604020202020204" pitchFamily="34" charset="0"/>
              </a:rPr>
              <a:t>EXCEL-SKILLS.COM</a:t>
            </a:r>
          </a:p>
          <a:p>
            <a:pPr algn="l" rtl="0">
              <a:lnSpc>
                <a:spcPct val="100000"/>
              </a:lnSpc>
              <a:defRPr sz="1000"/>
            </a:pPr>
            <a:r>
              <a:rPr lang="en-US" sz="2400" b="1" i="0" u="none" strike="noStrike" baseline="0">
                <a:solidFill>
                  <a:srgbClr val="FFFFFF"/>
                </a:solidFill>
                <a:latin typeface="Berlin Sans FB Demi" panose="020E0802020502020306" pitchFamily="34" charset="0"/>
                <a:cs typeface="Arial"/>
              </a:rPr>
              <a:t>IFRS FIXED ASSETS REGISTER TEMPLATE</a:t>
            </a:r>
          </a:p>
          <a:p>
            <a:pPr algn="just" rtl="0">
              <a:lnSpc>
                <a:spcPts val="1500"/>
              </a:lnSpc>
              <a:spcBef>
                <a:spcPts val="300"/>
              </a:spcBef>
              <a:spcAft>
                <a:spcPts val="300"/>
              </a:spcAft>
              <a:defRPr sz="1000"/>
            </a:pPr>
            <a:r>
              <a:rPr lang="en-US" sz="1100" b="0" i="0" u="none" strike="noStrike" baseline="0">
                <a:solidFill>
                  <a:srgbClr val="FFFFFF"/>
                </a:solidFill>
                <a:latin typeface="+mn-lt"/>
                <a:cs typeface="Arial" panose="020B0604020202020204" pitchFamily="34" charset="0"/>
              </a:rPr>
              <a:t>This comprehensive template enables users to compile a complete fixed assets register which incorporates an unlimited number of fixed asset classes and categories; facilitates recording additions, disposals, revaluations and impairments; automatically calculates monthly and year-to-date depreciation charges; calculates tax values based on user defined tax codes; calculates deferred tax balances and includes a comprehensive automated journal report. The template has been designed specifically for the requirements of IFRS but can also be used to compile a simple fixed asset register which is only based on historical costs.</a:t>
            </a:r>
          </a:p>
          <a:p>
            <a:pPr marL="1800000" algn="just" rtl="0">
              <a:lnSpc>
                <a:spcPct val="100000"/>
              </a:lnSpc>
              <a:spcBef>
                <a:spcPts val="1200"/>
              </a:spcBef>
              <a:spcAft>
                <a:spcPts val="300"/>
              </a:spcAft>
              <a:defRPr sz="1000"/>
            </a:pPr>
            <a:r>
              <a:rPr lang="en-US" sz="1200" b="1" i="0" u="none" strike="noStrike" baseline="0">
                <a:solidFill>
                  <a:srgbClr val="FFFFFF"/>
                </a:solidFill>
                <a:latin typeface="+mn-lt"/>
                <a:cs typeface="Arial" panose="020B0604020202020204" pitchFamily="34" charset="0"/>
              </a:rPr>
              <a:t>Get the full version of the template to unlock all the functionality!</a:t>
            </a:r>
          </a:p>
          <a:p>
            <a:pPr marL="1800000" algn="just" rtl="0">
              <a:lnSpc>
                <a:spcPts val="1500"/>
              </a:lnSpc>
              <a:spcBef>
                <a:spcPts val="0"/>
              </a:spcBef>
              <a:spcAft>
                <a:spcPts val="300"/>
              </a:spcAft>
              <a:defRPr sz="1000"/>
            </a:pPr>
            <a:r>
              <a:rPr lang="en-US" sz="1100" b="0" i="0" u="none" strike="noStrike" baseline="0">
                <a:solidFill>
                  <a:srgbClr val="FFFFFF"/>
                </a:solidFill>
                <a:latin typeface="+mn-lt"/>
                <a:cs typeface="Arial" panose="020B0604020202020204" pitchFamily="34" charset="0"/>
              </a:rPr>
              <a:t>This is a trial version of the template created to enable you to try out the template functionality. You will not be able to save or print any of your changes. Get the full version for a fully unprotected version of the template where you have full access to all the template functionality.</a:t>
            </a:r>
          </a:p>
        </xdr:txBody>
      </xdr:sp>
      <xdr:sp macro="" textlink="" fLocksText="0">
        <xdr:nvSpPr>
          <xdr:cNvPr id="6" name="TextBox 5">
            <a:hlinkClick xmlns:r="http://schemas.openxmlformats.org/officeDocument/2006/relationships" r:id="rId1"/>
            <a:extLst>
              <a:ext uri="{FF2B5EF4-FFF2-40B4-BE49-F238E27FC236}">
                <a16:creationId xmlns:a16="http://schemas.microsoft.com/office/drawing/2014/main" id="{8BE66CEC-8575-4AC6-B575-EBBF0A7D2178}"/>
              </a:ext>
            </a:extLst>
          </xdr:cNvPr>
          <xdr:cNvSpPr txBox="1"/>
        </xdr:nvSpPr>
        <xdr:spPr>
          <a:xfrm>
            <a:off x="2011680" y="2901317"/>
            <a:ext cx="4680000" cy="485145"/>
          </a:xfrm>
          <a:prstGeom prst="rect">
            <a:avLst/>
          </a:prstGeom>
          <a:solidFill>
            <a:srgbClr val="FE4A49"/>
          </a:solidFill>
          <a:ln w="50800" cap="rnd" cmpd="sng">
            <a:solidFill>
              <a:srgbClr val="FE4A49"/>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400" b="1" u="none">
                <a:solidFill>
                  <a:schemeClr val="bg1"/>
                </a:solidFill>
                <a:latin typeface="+mn-lt"/>
              </a:rPr>
              <a:t>Get</a:t>
            </a:r>
            <a:r>
              <a:rPr lang="en-ZA" sz="1400" b="1" u="none" baseline="0">
                <a:solidFill>
                  <a:schemeClr val="bg1"/>
                </a:solidFill>
                <a:latin typeface="+mn-lt"/>
              </a:rPr>
              <a:t> the full version of this template!</a:t>
            </a:r>
            <a:endParaRPr lang="en-ZA" sz="1400" b="1" u="none">
              <a:solidFill>
                <a:schemeClr val="bg1"/>
              </a:solidFill>
              <a:latin typeface="+mn-lt"/>
            </a:endParaRPr>
          </a:p>
        </xdr:txBody>
      </xdr:sp>
      <xdr:sp macro="" textlink="" fLocksText="0">
        <xdr:nvSpPr>
          <xdr:cNvPr id="7" name="TextBox 6">
            <a:extLst>
              <a:ext uri="{FF2B5EF4-FFF2-40B4-BE49-F238E27FC236}">
                <a16:creationId xmlns:a16="http://schemas.microsoft.com/office/drawing/2014/main" id="{53E3273D-3960-4F4F-A3ED-D9EE82BC7735}"/>
              </a:ext>
            </a:extLst>
          </xdr:cNvPr>
          <xdr:cNvSpPr txBox="1"/>
        </xdr:nvSpPr>
        <xdr:spPr>
          <a:xfrm>
            <a:off x="2004060" y="3413760"/>
            <a:ext cx="4680000" cy="2514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000" i="1">
                <a:solidFill>
                  <a:schemeClr val="bg1">
                    <a:lumMod val="75000"/>
                  </a:schemeClr>
                </a:solidFill>
              </a:rPr>
              <a:t>enable editing to activate the link</a:t>
            </a:r>
          </a:p>
        </xdr:txBody>
      </xdr:sp>
      <xdr:pic>
        <xdr:nvPicPr>
          <xdr:cNvPr id="8" name="Picture 7">
            <a:extLst>
              <a:ext uri="{FF2B5EF4-FFF2-40B4-BE49-F238E27FC236}">
                <a16:creationId xmlns:a16="http://schemas.microsoft.com/office/drawing/2014/main" id="{CA95C1C2-4B7C-4AE6-9E7E-99D1BA297DD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36220" y="1912620"/>
            <a:ext cx="1524000" cy="1524000"/>
          </a:xfrm>
          <a:prstGeom prst="rect">
            <a:avLst/>
          </a:prstGeom>
        </xdr:spPr>
      </xdr:pic>
    </xdr:grpSp>
    <xdr:clientData fPrintsWithSheet="0"/>
  </xdr:twoCellAnchor>
</xdr:wsDr>
</file>

<file path=xl/drawings/drawing3.xml><?xml version="1.0" encoding="utf-8"?>
<xdr:wsDr xmlns:xdr="http://schemas.openxmlformats.org/drawingml/2006/spreadsheetDrawing" xmlns:a="http://schemas.openxmlformats.org/drawingml/2006/main">
  <xdr:oneCellAnchor>
    <xdr:from>
      <xdr:col>1</xdr:col>
      <xdr:colOff>205740</xdr:colOff>
      <xdr:row>4</xdr:row>
      <xdr:rowOff>240960</xdr:rowOff>
    </xdr:from>
    <xdr:ext cx="2827020" cy="1114490"/>
    <xdr:sp macro="" textlink="">
      <xdr:nvSpPr>
        <xdr:cNvPr id="10" name="Rectangle 17">
          <a:extLst>
            <a:ext uri="{FF2B5EF4-FFF2-40B4-BE49-F238E27FC236}">
              <a16:creationId xmlns:a16="http://schemas.microsoft.com/office/drawing/2014/main" id="{8F49D0BE-B0A3-401E-995D-A19DA4307804}"/>
            </a:ext>
          </a:extLst>
        </xdr:cNvPr>
        <xdr:cNvSpPr>
          <a:spLocks noChangeArrowheads="1"/>
        </xdr:cNvSpPr>
      </xdr:nvSpPr>
      <xdr:spPr bwMode="auto">
        <a:xfrm>
          <a:off x="7734300" y="987720"/>
          <a:ext cx="2827020" cy="1114490"/>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800" b="1" i="0" u="none" strike="noStrike" baseline="0">
              <a:solidFill>
                <a:schemeClr val="accent1">
                  <a:lumMod val="20000"/>
                  <a:lumOff val="80000"/>
                </a:schemeClr>
              </a:solidFill>
              <a:latin typeface="+mn-lt"/>
              <a:cs typeface="Arial"/>
            </a:rPr>
            <a:t>On this sheet:</a:t>
          </a:r>
        </a:p>
        <a:p>
          <a:pPr algn="ctr" rtl="0">
            <a:lnSpc>
              <a:spcPts val="1500"/>
            </a:lnSpc>
            <a:defRPr sz="1000"/>
          </a:pPr>
          <a:r>
            <a:rPr lang="en-US" sz="1050" b="1" i="0" u="none" strike="noStrike" baseline="0">
              <a:solidFill>
                <a:schemeClr val="bg1"/>
              </a:solidFill>
              <a:latin typeface="+mn-lt"/>
              <a:cs typeface="Arial"/>
            </a:rPr>
            <a:t>This sheet includes detailed instructions on setting up and using this template.</a:t>
          </a:r>
        </a:p>
      </xdr:txBody>
    </xdr:sp>
    <xdr:clientData fLocksWithSheet="0" fPrintsWithSheet="0"/>
  </xdr:oneCellAnchor>
</xdr:wsDr>
</file>

<file path=xl/drawings/drawing4.xml><?xml version="1.0" encoding="utf-8"?>
<xdr:wsDr xmlns:xdr="http://schemas.openxmlformats.org/drawingml/2006/spreadsheetDrawing" xmlns:a="http://schemas.openxmlformats.org/drawingml/2006/main">
  <xdr:oneCellAnchor>
    <xdr:from>
      <xdr:col>4</xdr:col>
      <xdr:colOff>136803</xdr:colOff>
      <xdr:row>6</xdr:row>
      <xdr:rowOff>80283</xdr:rowOff>
    </xdr:from>
    <xdr:ext cx="6095555" cy="1500622"/>
    <xdr:sp macro="" textlink="">
      <xdr:nvSpPr>
        <xdr:cNvPr id="3" name="Rectangle 17">
          <a:extLst>
            <a:ext uri="{FF2B5EF4-FFF2-40B4-BE49-F238E27FC236}">
              <a16:creationId xmlns:a16="http://schemas.microsoft.com/office/drawing/2014/main" id="{AC4B06E0-DF6A-4F41-B82E-B912F4FAFB9A}"/>
            </a:ext>
          </a:extLst>
        </xdr:cNvPr>
        <xdr:cNvSpPr>
          <a:spLocks noChangeArrowheads="1"/>
        </xdr:cNvSpPr>
      </xdr:nvSpPr>
      <xdr:spPr bwMode="auto">
        <a:xfrm>
          <a:off x="4227540" y="1243336"/>
          <a:ext cx="6095555" cy="150062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The input cells on this sheet enable you to customize the template for your business. You can enter your business name, select a year end period, specify an income tax percentage, maintain the default fixed asset classes, maintain the default fixed asset categories and maintain the default tax codes. A complete list of user input error codes are also included for information purposes.</a:t>
          </a:r>
        </a:p>
      </xdr:txBody>
    </xdr:sp>
    <xdr:clientData fLocksWithSheet="0" fPrintsWithSheet="0"/>
  </xdr:oneCellAnchor>
</xdr:wsDr>
</file>

<file path=xl/drawings/drawing5.xml><?xml version="1.0" encoding="utf-8"?>
<xdr:wsDr xmlns:xdr="http://schemas.openxmlformats.org/drawingml/2006/spreadsheetDrawing" xmlns:a="http://schemas.openxmlformats.org/drawingml/2006/main">
  <xdr:oneCellAnchor>
    <xdr:from>
      <xdr:col>0</xdr:col>
      <xdr:colOff>40106</xdr:colOff>
      <xdr:row>11</xdr:row>
      <xdr:rowOff>32230</xdr:rowOff>
    </xdr:from>
    <xdr:ext cx="7074568" cy="1885342"/>
    <xdr:sp macro="" textlink="">
      <xdr:nvSpPr>
        <xdr:cNvPr id="3" name="Rectangle 17">
          <a:extLst>
            <a:ext uri="{FF2B5EF4-FFF2-40B4-BE49-F238E27FC236}">
              <a16:creationId xmlns:a16="http://schemas.microsoft.com/office/drawing/2014/main" id="{1F8B10F9-7A83-4294-A4DE-FC351B31DAA4}"/>
            </a:ext>
          </a:extLst>
        </xdr:cNvPr>
        <xdr:cNvSpPr>
          <a:spLocks noChangeArrowheads="1"/>
        </xdr:cNvSpPr>
      </xdr:nvSpPr>
      <xdr:spPr bwMode="auto">
        <a:xfrm>
          <a:off x="40106" y="2342293"/>
          <a:ext cx="7074568" cy="188534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This sheet enables users to create a unique asset number for all fixed assets. User input is limited to entering an asset identification number, asset description, asset type, asset category and tax code. The period for which the fixed asset register is compiled is determined by the review date that is specified at the top of the sheet. Only the columns with yellow column headings require user input - the columns with light blue column headings contain formulas which are automatically copied for all new fixed assets added to the sheet. All the calculations that form part of the fixed asset register are therefore automated.</a:t>
          </a:r>
        </a:p>
      </xdr:txBody>
    </xdr:sp>
    <xdr:clientData fLocksWithSheet="0" fPrintsWithSheet="0"/>
  </xdr:oneCellAnchor>
</xdr:wsDr>
</file>

<file path=xl/drawings/drawing6.xml><?xml version="1.0" encoding="utf-8"?>
<xdr:wsDr xmlns:xdr="http://schemas.openxmlformats.org/drawingml/2006/spreadsheetDrawing" xmlns:a="http://schemas.openxmlformats.org/drawingml/2006/main">
  <xdr:oneCellAnchor>
    <xdr:from>
      <xdr:col>3</xdr:col>
      <xdr:colOff>128337</xdr:colOff>
      <xdr:row>11</xdr:row>
      <xdr:rowOff>136430</xdr:rowOff>
    </xdr:from>
    <xdr:ext cx="6922168" cy="1692982"/>
    <xdr:sp macro="" textlink="">
      <xdr:nvSpPr>
        <xdr:cNvPr id="3" name="Rectangle 17">
          <a:extLst>
            <a:ext uri="{FF2B5EF4-FFF2-40B4-BE49-F238E27FC236}">
              <a16:creationId xmlns:a16="http://schemas.microsoft.com/office/drawing/2014/main" id="{7ABE8A3D-348E-436D-80FE-072A0302B1D9}"/>
            </a:ext>
          </a:extLst>
        </xdr:cNvPr>
        <xdr:cNvSpPr>
          <a:spLocks noChangeArrowheads="1"/>
        </xdr:cNvSpPr>
      </xdr:nvSpPr>
      <xdr:spPr bwMode="auto">
        <a:xfrm>
          <a:off x="2735179" y="2462535"/>
          <a:ext cx="6922168" cy="169298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All fixed asset transactions need to be recorded on this sheet. Asset transactions include acquisitions, revaluations and disposals. All depreciation calculations are automated and do not require a depreciation transaction to be entered. Only the columns with yellow column headings require user input - the columns with light blue column headings contain formulas which are automatically copied for all new transactions added to the sheet. All the fixed asset transactions on this sheet are automatically updated to the fixed asset register on the Assets sheet. </a:t>
          </a:r>
        </a:p>
      </xdr:txBody>
    </xdr:sp>
    <xdr:clientData fLocksWithSheet="0" fPrintsWithSheet="0"/>
  </xdr:oneCellAnchor>
</xdr:wsDr>
</file>

<file path=xl/drawings/drawing7.xml><?xml version="1.0" encoding="utf-8"?>
<xdr:wsDr xmlns:xdr="http://schemas.openxmlformats.org/drawingml/2006/spreadsheetDrawing" xmlns:a="http://schemas.openxmlformats.org/drawingml/2006/main">
  <xdr:oneCellAnchor>
    <xdr:from>
      <xdr:col>2</xdr:col>
      <xdr:colOff>120316</xdr:colOff>
      <xdr:row>17</xdr:row>
      <xdr:rowOff>24136</xdr:rowOff>
    </xdr:from>
    <xdr:ext cx="7010399" cy="1692982"/>
    <xdr:sp macro="" textlink="">
      <xdr:nvSpPr>
        <xdr:cNvPr id="3" name="Rectangle 17">
          <a:extLst>
            <a:ext uri="{FF2B5EF4-FFF2-40B4-BE49-F238E27FC236}">
              <a16:creationId xmlns:a16="http://schemas.microsoft.com/office/drawing/2014/main" id="{5D7B2D22-D0FC-4029-B1BE-EFD727611E9B}"/>
            </a:ext>
          </a:extLst>
        </xdr:cNvPr>
        <xdr:cNvSpPr>
          <a:spLocks noChangeArrowheads="1"/>
        </xdr:cNvSpPr>
      </xdr:nvSpPr>
      <xdr:spPr bwMode="auto">
        <a:xfrm>
          <a:off x="2951748" y="3593504"/>
          <a:ext cx="7010399" cy="169298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This sheet contains a fixed assets summary which is based on the fixed asset categories created on the Set-up sheet. No user input is required on this sheet and 30 fixed asset categories are accommodated. Additional fixed asset categories can be added by simply copying the formulas in the last row into the required number of additional rows. Each asset category is linked to a single asset class on the Set-up sheet - the asset categories are therefore sub classes of the main asset classes which can be used for financial statement reporting purposes.</a:t>
          </a:r>
        </a:p>
      </xdr:txBody>
    </xdr:sp>
    <xdr:clientData fLocksWithSheet="0" fPrintsWithSheet="0"/>
  </xdr:oneCellAnchor>
</xdr:wsDr>
</file>

<file path=xl/drawings/drawing8.xml><?xml version="1.0" encoding="utf-8"?>
<xdr:wsDr xmlns:xdr="http://schemas.openxmlformats.org/drawingml/2006/spreadsheetDrawing" xmlns:a="http://schemas.openxmlformats.org/drawingml/2006/main">
  <xdr:oneCellAnchor>
    <xdr:from>
      <xdr:col>2</xdr:col>
      <xdr:colOff>216569</xdr:colOff>
      <xdr:row>11</xdr:row>
      <xdr:rowOff>112295</xdr:rowOff>
    </xdr:from>
    <xdr:ext cx="6136104" cy="1500622"/>
    <xdr:sp macro="" textlink="">
      <xdr:nvSpPr>
        <xdr:cNvPr id="3" name="Rectangle 17">
          <a:extLst>
            <a:ext uri="{FF2B5EF4-FFF2-40B4-BE49-F238E27FC236}">
              <a16:creationId xmlns:a16="http://schemas.microsoft.com/office/drawing/2014/main" id="{1A15EDE7-8BB9-47EF-9490-2A06748DAF4F}"/>
            </a:ext>
          </a:extLst>
        </xdr:cNvPr>
        <xdr:cNvSpPr>
          <a:spLocks noChangeArrowheads="1"/>
        </xdr:cNvSpPr>
      </xdr:nvSpPr>
      <xdr:spPr bwMode="auto">
        <a:xfrm>
          <a:off x="3048001" y="2478506"/>
          <a:ext cx="6136104" cy="150062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This sheet contains a fixed assets summary which is based on the asset classes created on the Set-up sheet. No user input is required on this sheet and a maximum of 30 asset classes are accommodated. Each fixed asset category on the Categories sheet is linked to a single fixed asset class which can be used for financial statement reporting purposes.</a:t>
          </a:r>
        </a:p>
      </xdr:txBody>
    </xdr:sp>
    <xdr:clientData fLocksWithSheet="0" fPrintsWithSheet="0"/>
  </xdr:oneCellAnchor>
</xdr:wsDr>
</file>

<file path=xl/drawings/drawing9.xml><?xml version="1.0" encoding="utf-8"?>
<xdr:wsDr xmlns:xdr="http://schemas.openxmlformats.org/drawingml/2006/spreadsheetDrawing" xmlns:a="http://schemas.openxmlformats.org/drawingml/2006/main">
  <xdr:oneCellAnchor>
    <xdr:from>
      <xdr:col>2</xdr:col>
      <xdr:colOff>136357</xdr:colOff>
      <xdr:row>16</xdr:row>
      <xdr:rowOff>88231</xdr:rowOff>
    </xdr:from>
    <xdr:ext cx="6906127" cy="1500622"/>
    <xdr:sp macro="" textlink="">
      <xdr:nvSpPr>
        <xdr:cNvPr id="3" name="Rectangle 17">
          <a:extLst>
            <a:ext uri="{FF2B5EF4-FFF2-40B4-BE49-F238E27FC236}">
              <a16:creationId xmlns:a16="http://schemas.microsoft.com/office/drawing/2014/main" id="{CEF0D263-1961-45AB-AC44-B32BFDA1CA79}"/>
            </a:ext>
          </a:extLst>
        </xdr:cNvPr>
        <xdr:cNvSpPr>
          <a:spLocks noChangeArrowheads="1"/>
        </xdr:cNvSpPr>
      </xdr:nvSpPr>
      <xdr:spPr bwMode="auto">
        <a:xfrm>
          <a:off x="3176336" y="3360820"/>
          <a:ext cx="6906127" cy="150062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This sheet contains an automated journal report for all fixed asset transactions. The journal report can be compiled on a monthly or year-to-date basis and is based on the account numbers specified in the asset category set-up on the Set-up sheet. The journal report accommodates 30 asset categories but additional categories can be added by simply copying the formulas in the last row into the required number of additional rows.</a:t>
          </a:r>
        </a:p>
      </xdr:txBody>
    </xdr:sp>
    <xdr:clientData fLocksWithSheet="0" fPrintsWithSheet="0"/>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Asset" displayName="Asset" ref="A4:BF44" totalsRowShown="0" headerRowDxfId="118" dataDxfId="116" headerRowBorderDxfId="117" tableBorderDxfId="115" headerRowCellStyle="Comma" dataCellStyle="Comma">
  <autoFilter ref="A4:BF44" xr:uid="{00000000-0009-0000-0100-000001000000}"/>
  <tableColumns count="58">
    <tableColumn id="1" xr3:uid="{00000000-0010-0000-0000-000001000000}" name="Asset Number" dataDxfId="114"/>
    <tableColumn id="2" xr3:uid="{00000000-0010-0000-0000-000002000000}" name="Asset ID Number" dataDxfId="113"/>
    <tableColumn id="3" xr3:uid="{00000000-0010-0000-0000-000003000000}" name="Description" dataDxfId="112"/>
    <tableColumn id="4" xr3:uid="{00000000-0010-0000-0000-000004000000}" name="Asset Type" dataDxfId="111"/>
    <tableColumn id="5" xr3:uid="{00000000-0010-0000-0000-000005000000}" name="Category" dataDxfId="110"/>
    <tableColumn id="6" xr3:uid="{00000000-0010-0000-0000-000006000000}" name="Tax Code" dataDxfId="109"/>
    <tableColumn id="7" xr3:uid="{00000000-0010-0000-0000-000007000000}" name="Error Code" dataDxfId="108">
      <calculatedColumnFormula array="1">IF(COUNTIF(AssetCode,$A5)&gt;1,"E1",IF(ISNA(VLOOKUP($E5,CatAll,1,0))=TRUE,"E2",IF(AND($I5="add!",$J5&lt;&gt;"add!"),"E10",IF(ISNA(VLOOKUP($F5,TaxCode,1,0))=TRUE,"E11","-"))))</calculatedColumnFormula>
    </tableColumn>
    <tableColumn id="8" xr3:uid="{00000000-0010-0000-0000-000008000000}" name="Class" dataDxfId="107">
      <calculatedColumnFormula>IF(ISNA(VLOOKUP($E5,CatAll,2,0))=TRUE,"error!",VLOOKUP($E5,CatAll,2,0))</calculatedColumnFormula>
    </tableColumn>
    <tableColumn id="9" xr3:uid="{00000000-0010-0000-0000-000009000000}" name="Acquisition Date" dataDxfId="106">
      <calculatedColumnFormula array="1">IF(ISERROR(LARGE(IF(TransAsset=$A5,IF(TransType="ACQ",TransIDDate,"add!"),"add!"),1)),"add!",LARGE(IF(TransAsset=$A5,IF(TransType="ACQ",TransIDDate,"add!"),"add!"),1))</calculatedColumnFormula>
    </tableColumn>
    <tableColumn id="10" xr3:uid="{00000000-0010-0000-0000-00000A000000}" name="Last Trn Date" dataDxfId="105">
      <calculatedColumnFormula array="1">IF(ISERROR(LARGE(IF(TransAsset=$A5,TransIDDate,"add!"),1)),"add!",LARGE(IF(TransAsset=$A5,TransIDDate,"add!"),1))</calculatedColumnFormula>
    </tableColumn>
    <tableColumn id="11" xr3:uid="{00000000-0010-0000-0000-00000B000000}" name="Current Trn Date" dataDxfId="104">
      <calculatedColumnFormula array="1">IF(ISERROR(LARGE(IF(TransAsset=$A5,IF(TransDate&lt;($I$2+1),TransIDDate,"-"),"-"),1)),"-",LARGE(IF(TransAsset=$A5,IF(TransDate&lt;($I$2+1),TransIDDate,"-"),"-"),1))</calculatedColumnFormula>
    </tableColumn>
    <tableColumn id="12" xr3:uid="{00000000-0010-0000-0000-00000C000000}" name="Last PY Trn Date" dataDxfId="103">
      <calculatedColumnFormula array="1">IF(ISERROR(LARGE(IF(TransAsset=$A5,IF(TransDate&lt;$H$2,TransIDDate,"-"),"-"),1)),"-",LARGE(IF(TransAsset=$A5,IF(TransDate&lt;$H$2,TransIDDate,"-"),"-"),1))</calculatedColumnFormula>
    </tableColumn>
    <tableColumn id="13" xr3:uid="{00000000-0010-0000-0000-00000D000000}" name="Last PM Trn Date" dataDxfId="102">
      <calculatedColumnFormula array="1">IF(ISERROR(LARGE(IF(TransAsset=$A5,IF(TransDate&lt;$J$2,TransIDDate,"-"),"-"),1)),"-",LARGE(IF(TransAsset=$A5,IF(TransDate&lt;$J$2,TransIDDate,"-"),"-"),1))</calculatedColumnFormula>
    </tableColumn>
    <tableColumn id="14" xr3:uid="{00000000-0010-0000-0000-00000E000000}" name="Disposal Date" dataDxfId="101">
      <calculatedColumnFormula array="1">IF(ISERROR(LARGE(IF(TransAsset=$A5,IF(TransType="DIS",TransIDDate,"-"),"-"),1)),"-",LARGE(IF(TransAsset=$A5,IF(TransType="DIS",TransIDDate,"-"),"-"),1))</calculatedColumnFormula>
    </tableColumn>
    <tableColumn id="15" xr3:uid="{00000000-0010-0000-0000-00000F000000}" name="Proceeds on Disposal" dataDxfId="100" dataCellStyle="Comma">
      <calculatedColumnFormula array="1">IF($N5&lt;=$I$2,SUMIFS(TransProceeds,TransAsset,$A5,TransType,"DIS"),0)</calculatedColumnFormula>
    </tableColumn>
    <tableColumn id="16" xr3:uid="{00000000-0010-0000-0000-000010000000}" name="Historical Cost" dataDxfId="99" dataCellStyle="Comma">
      <calculatedColumnFormula array="1">IF($I5&lt;=($I$2+1),SUMIFS(TransHCost,TransAsset,$A5,TransIDDate,$J5),0)</calculatedColumnFormula>
    </tableColumn>
    <tableColumn id="17" xr3:uid="{00000000-0010-0000-0000-000011000000}" name="Active Lifetime" dataDxfId="98" dataCellStyle="Comma">
      <calculatedColumnFormula>SUMIFS(TransCLife,TransAsset,$A5,TransIDDate,$K5)</calculatedColumnFormula>
    </tableColumn>
    <tableColumn id="18" xr3:uid="{00000000-0010-0000-0000-000012000000}" name="Active Res Value" dataDxfId="97" dataCellStyle="Comma">
      <calculatedColumnFormula>SUMIFS(TransCRes,TransAsset,$A5,TransIDDate,$K5)</calculatedColumnFormula>
    </tableColumn>
    <tableColumn id="19" xr3:uid="{00000000-0010-0000-0000-000013000000}" name="Tax Cost" dataDxfId="96" dataCellStyle="Comma">
      <calculatedColumnFormula>IF($I5&lt;=($I$2+1),$P5,0)</calculatedColumnFormula>
    </tableColumn>
    <tableColumn id="20" xr3:uid="{00000000-0010-0000-0000-000014000000}" name="Current Tax %" dataDxfId="95" dataCellStyle="Percent">
      <calculatedColumnFormula>IF(ISNA(MATCH($F5,TaxCode,0))=TRUE,"code?",OFFSET('Set-up'!$D$37,MATCH($F5,TaxCode,0),MATCH($V5,TaxCurMonth,1)-1,1,1))</calculatedColumnFormula>
    </tableColumn>
    <tableColumn id="21" xr3:uid="{00000000-0010-0000-0000-000015000000}" name="Elapsed Months PY" dataDxfId="94" dataCellStyle="Comma">
      <calculatedColumnFormula>IF(ISNUMBER($I5)=FALSE,0,IF(AND($N5&lt;&gt;"-",$N5&lt;$H$2),0,MAX((((YEAR($H$2)*12)+MONTH($H$2)-1)-((YEAR($I5)*12)+MONTH($I5)-1)),0)))</calculatedColumnFormula>
    </tableColumn>
    <tableColumn id="22" xr3:uid="{00000000-0010-0000-0000-000016000000}" name="Elapsed Months CY" dataDxfId="93" dataCellStyle="Comma">
      <calculatedColumnFormula>IF(ISNUMBER($I5)=FALSE,0,IF(AND($N5&lt;&gt;"-",$N5&lt;($I$2+1)),0,MAX((((YEAR($I$2)*12)+MONTH($I$2))-((YEAR($I5)*12)+MONTH($I5)-1)),0)))</calculatedColumnFormula>
    </tableColumn>
    <tableColumn id="23" xr3:uid="{00000000-0010-0000-0000-000017000000}" name="Elapsed Months PM" dataDxfId="92" dataCellStyle="Comma">
      <calculatedColumnFormula>IF(ISNUMBER($I5)=FALSE,0,IF(AND($N5&lt;&gt;"-",$N5&lt;$J$2),0,MAX((((YEAR($J$2)*12)+MONTH($J$2)-1)-((YEAR($I5)*12)+MONTH($I5)-1)),0)))</calculatedColumnFormula>
    </tableColumn>
    <tableColumn id="24" xr3:uid="{00000000-0010-0000-0000-000018000000}" name="AC Opening Balance" dataDxfId="91" dataCellStyle="Comma">
      <calculatedColumnFormula>SUMIFS(TransAmount,TransAsset,$A5,TransIDDate,$L5)</calculatedColumnFormula>
    </tableColumn>
    <tableColumn id="25" xr3:uid="{00000000-0010-0000-0000-000019000000}" name="Additions" dataDxfId="90" dataCellStyle="Comma">
      <calculatedColumnFormula>SUMIFS(TransAmount,TransAsset,$A5,TransIDDate,"&gt;="&amp;$H$2,TransIDDate,"&lt;"&amp;($I$2+1),TransType,"ACQ")</calculatedColumnFormula>
    </tableColumn>
    <tableColumn id="26" xr3:uid="{00000000-0010-0000-0000-00001A000000}" name="Revaluations" dataDxfId="89" dataCellStyle="Comma">
      <calculatedColumnFormula>SUMIFS(TransAmount,TransAsset,$A5,TransIDDate,"&gt;="&amp;$H$2,TransIDDate,"&lt;"&amp;($I$2+1),TransType,"REV")+SUMIFS(TransImpair,TransAsset,$A5,TransIDDate,"&gt;="&amp;$H$2,TransIDDate,"&lt;"&amp;($I$2+1),TransType,"REV")-SUMIFS(TransPCost,TransAsset,$A5,TransIDDate,"&gt;="&amp;$H$2,TransIDDate,"&lt;"&amp;($I$2+1),TransType,"REV")</calculatedColumnFormula>
    </tableColumn>
    <tableColumn id="27" xr3:uid="{00000000-0010-0000-0000-00001B000000}" name="Disposals" dataDxfId="88" dataCellStyle="Comma">
      <calculatedColumnFormula>-SUMIFS(TransPCost,TransAsset,$A5,TransIDDate,"&gt;="&amp;$H$2,TransIDDate,"&lt;"&amp;($I$2+1),TransType,"DIS")</calculatedColumnFormula>
    </tableColumn>
    <tableColumn id="28" xr3:uid="{00000000-0010-0000-0000-00001C000000}" name="Impairment" dataDxfId="87" dataCellStyle="Comma">
      <calculatedColumnFormula>-SUMIFS(TransImpair,TransAsset,$A5,TransIDDate,"&gt;="&amp;$H$2,TransIDDate,"&lt;"&amp;($I$2+1),TransType,"REV")</calculatedColumnFormula>
    </tableColumn>
    <tableColumn id="29" xr3:uid="{00000000-0010-0000-0000-00001D000000}" name="AC Closing Balance" dataDxfId="86" dataCellStyle="Comma">
      <calculatedColumnFormula>SUM(X5:AB5)</calculatedColumnFormula>
    </tableColumn>
    <tableColumn id="30" xr3:uid="{00000000-0010-0000-0000-00001E000000}" name="AD Opening Balance" dataDxfId="85" dataCellStyle="Comma">
      <calculatedColumnFormula array="1">IF($L5=0,0,IF(SUMIFS(TransCLife,TransAsset,$A5,TransIDDate,$L5)=0,0,IF(($X5-(SUMIFS(TransCRes,TransAsset,$A5,TransIDDate,$L5)))/(SUMIFS(TransCLife,TransAsset,$A5,TransIDDate,$L5)*12)*(((YEAR($H$2)*12)+MONTH($H$2))-((YEAR($L5)*12)+MONTH($L5)))&gt;=($X5-SUMIFS(TransCRes,TransAsset,$A5,TransIDDate,$L5)),$X5-SUMIFS(TransCRes,TransAsset,$A5,TransIDDate,$L5),($X5-(SUMIFS(TransCRes,TransAsset,$A5,TransIDDate,$L5)))/(SUMIFS(TransCLife,TransAsset,$A5,TransIDDate,$L5)*12)*(((YEAR($H$2)*12)+MONTH($H$2))-((YEAR($L5)*12)+MONTH($L5))))))</calculatedColumnFormula>
    </tableColumn>
    <tableColumn id="31" xr3:uid="{00000000-0010-0000-0000-00001F000000}" name="Depreciation - Cost" dataDxfId="84" dataCellStyle="Comma">
      <calculatedColumnFormula>SUMIFS(TransCCYDep,TransAsset,$A5)</calculatedColumnFormula>
    </tableColumn>
    <tableColumn id="32" xr3:uid="{00000000-0010-0000-0000-000020000000}" name="Depreciation - Revaluation" dataDxfId="83" dataCellStyle="Comma">
      <calculatedColumnFormula>AG5-AE5</calculatedColumnFormula>
    </tableColumn>
    <tableColumn id="33" xr3:uid="{00000000-0010-0000-0000-000021000000}" name="Depreciation - Total" dataDxfId="82" dataCellStyle="Comma">
      <calculatedColumnFormula>SUMIFS(TransCTYDep,TransAsset,$A5)</calculatedColumnFormula>
    </tableColumn>
    <tableColumn id="34" xr3:uid="{00000000-0010-0000-0000-000022000000}" name="Acc Depr - Revaluations" dataDxfId="81" dataCellStyle="Comma">
      <calculatedColumnFormula>-SUMIFS(TransCAccDep,TransAsset,$A5,TransIDDate,"&gt;="&amp;$H$2,TransIDDate,"&lt;"&amp;($I$2+1),TransType,"REV")</calculatedColumnFormula>
    </tableColumn>
    <tableColumn id="35" xr3:uid="{00000000-0010-0000-0000-000023000000}" name="Acc Depr - Disposals" dataDxfId="80" dataCellStyle="Comma">
      <calculatedColumnFormula>-SUMIFS(TransCAccDep,TransAsset,$A5,TransIDDate,"&gt;="&amp;$H$2,TransIDDate,"&lt;"&amp;($I$2+1),TransType,"DIS")</calculatedColumnFormula>
    </tableColumn>
    <tableColumn id="36" xr3:uid="{00000000-0010-0000-0000-000024000000}" name="AD Closing Balance" dataDxfId="79" dataCellStyle="Comma">
      <calculatedColumnFormula>SUM(AD5,AG5:AI5)</calculatedColumnFormula>
    </tableColumn>
    <tableColumn id="37" xr3:uid="{00000000-0010-0000-0000-000025000000}" name="Closing Carrying Value" dataDxfId="78" dataCellStyle="Comma">
      <calculatedColumnFormula>SUM(AC5,-AJ5)</calculatedColumnFormula>
    </tableColumn>
    <tableColumn id="38" xr3:uid="{00000000-0010-0000-0000-000026000000}" name="RR Opening Balance" dataDxfId="77" dataCellStyle="Comma">
      <calculatedColumnFormula>SUMIFS(TransRSurplus,TransAsset,$A5,TransIDDate,"&lt;"&amp;$H$2)-SUMIFS(TransRPAccDep,TransAsset,$A5,TransIDDate,"&lt;"&amp;$H$2)</calculatedColumnFormula>
    </tableColumn>
    <tableColumn id="39" xr3:uid="{00000000-0010-0000-0000-000027000000}" name="Revaluation Surplus" dataDxfId="76" dataCellStyle="Comma">
      <calculatedColumnFormula>AO5-AN5-AL5</calculatedColumnFormula>
    </tableColumn>
    <tableColumn id="40" xr3:uid="{00000000-0010-0000-0000-000028000000}" name="RR Depr - Revaluation" dataDxfId="75" dataCellStyle="Comma">
      <calculatedColumnFormula>-AF5</calculatedColumnFormula>
    </tableColumn>
    <tableColumn id="41" xr3:uid="{00000000-0010-0000-0000-000029000000}" name="RR Closing Balance" dataDxfId="74" dataCellStyle="Comma">
      <calculatedColumnFormula>SUMIFS(TransRSurplus,TransAsset,$A5,TransIDDate,"&lt;"&amp;($I$2+1))-SUMIFS(TransRPAccDep,TransAsset,$A5,TransIDDate,"&lt;"&amp;$H$2)-AF5</calculatedColumnFormula>
    </tableColumn>
    <tableColumn id="42" xr3:uid="{00000000-0010-0000-0000-00002A000000}" name="Impairment Write-Offs" dataDxfId="73" dataCellStyle="Comma">
      <calculatedColumnFormula>-SUMIFS(TransImpair,TransAsset,$A5,TransIDDate,"&gt;="&amp;$H$2,TransIDDate,"&lt;"&amp;($I$2+1),TransType,"REV")</calculatedColumnFormula>
    </tableColumn>
    <tableColumn id="43" xr3:uid="{00000000-0010-0000-0000-00002B000000}" name="Profit / (Loss) on Disposal" dataDxfId="72" dataCellStyle="Comma">
      <calculatedColumnFormula>SUMIFS(TransProfit,TransAsset,$A5,TransIDDate,"&gt;="&amp;$H$2,TransIDDate,"&lt;"&amp;($I$2+1),TransType,"DIS")</calculatedColumnFormula>
    </tableColumn>
    <tableColumn id="44" xr3:uid="{00000000-0010-0000-0000-00002C000000}" name="Cost" dataDxfId="71" dataCellStyle="Comma">
      <calculatedColumnFormula>SUMIFS(TransCCMDep,TransAsset,$A5)</calculatedColumnFormula>
    </tableColumn>
    <tableColumn id="45" xr3:uid="{00000000-0010-0000-0000-00002D000000}" name="Revaluation" dataDxfId="70" dataCellStyle="Comma">
      <calculatedColumnFormula>AT5-AR5</calculatedColumnFormula>
    </tableColumn>
    <tableColumn id="46" xr3:uid="{00000000-0010-0000-0000-00002E000000}" name="Total" dataDxfId="69" dataCellStyle="Comma">
      <calculatedColumnFormula>SUMIFS(TransCTMDep,TransAsset,$A5)</calculatedColumnFormula>
    </tableColumn>
    <tableColumn id="47" xr3:uid="{00000000-0010-0000-0000-00002F000000}" name="HC Opening Balance" dataDxfId="68" dataCellStyle="Comma">
      <calculatedColumnFormula array="1">IF($I5&lt;$H$2,IF(AND($N5&lt;&gt;"-",$N5&lt;$H$2),0,SUMIFS(TransHCost,TransAsset,$A5,TransIDDate,$J5)-SUMIFS(TransPCAccDep,TransAsset,$A5)-SUMIFS(TransImpair,TransAsset,$A5,TransIDDate,"&lt;"&amp;$H$2,TransType,"REV")),0)</calculatedColumnFormula>
    </tableColumn>
    <tableColumn id="48" xr3:uid="{00000000-0010-0000-0000-000030000000}" name="HC YTD Movement" dataDxfId="67" dataCellStyle="Comma">
      <calculatedColumnFormula>AW5-AU5</calculatedColumnFormula>
    </tableColumn>
    <tableColumn id="49" xr3:uid="{00000000-0010-0000-0000-000031000000}" name="HC Closing Balance" dataDxfId="66" dataCellStyle="Comma">
      <calculatedColumnFormula>IF($I5&lt;($I$2+1),IF(AND($N5&lt;&gt;"-",$N5&lt;($I$2+1)),0,$AU5+$Y5-$AE5+$AB5),0)</calculatedColumnFormula>
    </tableColumn>
    <tableColumn id="50" xr3:uid="{00000000-0010-0000-0000-000032000000}" name="HC MTD Movement" dataDxfId="65" dataCellStyle="Comma">
      <calculatedColumnFormula array="1">$AW5-IF($I5&lt;$J$2,IF(AND($N5&lt;&gt;"-",$N5&lt;$J$2),0,SUMIFS(TransHCost,TransAsset,$A5,TransIDDate,$J5)-SUMIFS(TransPMAccDep,TransAsset,$A5)-SUMIFS(TransImpair,TransAsset,$A5,TransIDDate,"&lt;"&amp;$J$2,TransType,"REV")),0)</calculatedColumnFormula>
    </tableColumn>
    <tableColumn id="51" xr3:uid="{00000000-0010-0000-0000-000033000000}" name="TV Opening Balance" dataDxfId="64" dataCellStyle="Comma">
      <calculatedColumnFormula>IF(ISNA(MATCH($F5,TaxCode,0))=TRUE,$S5*($U5&gt;0),MAX(($S5*($U5&gt;0))-(($S5-SUMIFS(TransCRes,TransAsset,$A5,TransIDDate,$L5))*(IF($U5&lt;=11,0,MIN(SUM(OFFSET('Set-up'!$D$37,MATCH($F5,TaxCode,0),0,1,MATCH($U5,TaxCumMonth,1)))+MAX(TRUNC(($U5-60)/12)*SUM(OFFSET('Set-up'!$H$37,MATCH($F5,TaxCode,0),0,1,1)),0%),100%))))-(($S5-SUMIFS(TransCRes,TransAsset,$A5,TransIDDate,$L5))*OFFSET('Set-up'!$D$37,MATCH($F5,TaxCode,0),MATCH($U5,TaxCurMonth,1)-1,1,1)*IF(AND($U5-(TRUNC($U5/12)*12)&lt;&gt;0,OFFSET('Set-up'!$J$37,MATCH($F5,TaxCode,0),0,1,1)=0),1,(($U5-(TRUNC($U5/12)*12))/12))),SUMIFS(TransCRes,TransAsset,$A5,TransIDDate,$L5)))</calculatedColumnFormula>
    </tableColumn>
    <tableColumn id="52" xr3:uid="{00000000-0010-0000-0000-000034000000}" name="TV YTD Movement" dataDxfId="63" dataCellStyle="Comma">
      <calculatedColumnFormula>BA5-AY5</calculatedColumnFormula>
    </tableColumn>
    <tableColumn id="53" xr3:uid="{00000000-0010-0000-0000-000035000000}" name="TV Closing Balance" dataDxfId="62" dataCellStyle="Comma">
      <calculatedColumnFormula>IF(ISNA(MATCH($F5,TaxCode,0))=TRUE,$S5*($V5&gt;0),MAX(($S5*($V5&gt;0))-(($S5-$R5)*(IF($V5&lt;=11,0,MIN(SUM(OFFSET('Set-up'!$D$37,MATCH($F5,TaxCode,0),0,1,MATCH($V5,TaxCumMonth,1)))+MAX(TRUNC(($V5-60)/12)*SUM(OFFSET('Set-up'!$H$37,MATCH($F5,TaxCode,0),0,1,1)),0%),100%))))-(($S5-$R5)*OFFSET('Set-up'!$D$37,MATCH($F5,TaxCode,0),MATCH($V5,TaxCurMonth,1)-1,1,1)*IF(AND($V5-(TRUNC($V5/12)*12)&lt;&gt;0,OFFSET('Set-up'!$J$37,MATCH($F5,TaxCode,0),0,1,1)=0),1,(($V5-(TRUNC($V5/12)*12))/12))),$R5*($V5&gt;0)))</calculatedColumnFormula>
    </tableColumn>
    <tableColumn id="54" xr3:uid="{00000000-0010-0000-0000-000036000000}" name="TV MTD Movement" dataDxfId="61" dataCellStyle="Comma">
      <calculatedColumnFormula>$BA5-IF(ISNA(MATCH($F5,TaxCode,0))=TRUE,$S5*($W5&gt;0),MAX(($S5*($W5&gt;0))-(($S5-SUMIFS(TransCRes,TransAsset,$A5,TransIDDate,$M5))*(IF($W5&lt;=11,0,MIN(SUM(OFFSET('Set-up'!$D$37,MATCH($F5,TaxCode,0),0,1,MATCH($W5,TaxCumMonth,1)))+MAX(TRUNC(($W5-60)/12)*SUM(OFFSET('Set-up'!$H$37,MATCH($F5,TaxCode,0),0,1,1)),0%),100%))))-(($S5-SUMIFS(TransCRes,TransAsset,$A5,TransIDDate,$M5))*OFFSET('Set-up'!$D$37,MATCH($F5,TaxCode,0),MATCH($W5,TaxCurMonth,1)-1,1,1)*IF(AND($W5-(TRUNC($W5/12)*12)&lt;&gt;0,OFFSET('Set-up'!$J$37,MATCH($F5,TaxCode,0),0,1,1)=0),1,(($W5-(TRUNC($W5/12)*12))/12))),SUMIFS(TransCRes,TransAsset,$A5,TransIDDate,$M5)*($W5&gt;0)))</calculatedColumnFormula>
    </tableColumn>
    <tableColumn id="55" xr3:uid="{00000000-0010-0000-0000-000037000000}" name="DT Opening Balance" dataDxfId="60" dataCellStyle="Comma">
      <calculatedColumnFormula>IF(ISNUMBER('Set-up'!$C$9)=FALSE,0,IF($F5="J",0,ROUND(($AU5-$AY5)*'Set-up'!$C$9,2)))</calculatedColumnFormula>
    </tableColumn>
    <tableColumn id="56" xr3:uid="{00000000-0010-0000-0000-000038000000}" name="DT YTD Movement" dataDxfId="59" dataCellStyle="Comma">
      <calculatedColumnFormula>BE5-BC5</calculatedColumnFormula>
    </tableColumn>
    <tableColumn id="57" xr3:uid="{00000000-0010-0000-0000-000039000000}" name="DT Closing Balance" dataDxfId="58" dataCellStyle="Comma">
      <calculatedColumnFormula>IF(ISNUMBER('Set-up'!$C$9)=FALSE,0,IF($F5="J",0,ROUND(($AW5-$BA5)*'Set-up'!$C$9,2)))</calculatedColumnFormula>
    </tableColumn>
    <tableColumn id="58" xr3:uid="{00000000-0010-0000-0000-00003A000000}" name="DT MTD Movement" dataDxfId="57" dataCellStyle="Comma">
      <calculatedColumnFormula>IF(ISNUMBER('Set-up'!$C$9)=FALSE,0,IF($F5="J",0,ROUND(($AX5-$BB5)*'Set-up'!$C$9,2)))</calculatedColumnFormula>
    </tableColumn>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rans" displayName="Trans" ref="A4:AU82" totalsRowShown="0" headerRowDxfId="50" dataDxfId="48" headerRowBorderDxfId="49" tableBorderDxfId="47" headerRowCellStyle="Comma">
  <autoFilter ref="A4:AU82" xr:uid="{00000000-0009-0000-0100-000002000000}"/>
  <tableColumns count="47">
    <tableColumn id="1" xr3:uid="{00000000-0010-0000-0100-000001000000}" name="Transaction Date" dataDxfId="46"/>
    <tableColumn id="2" xr3:uid="{00000000-0010-0000-0100-000002000000}" name="Transaction Type" dataDxfId="45"/>
    <tableColumn id="3" xr3:uid="{00000000-0010-0000-0100-000003000000}" name="Asset Number" dataDxfId="44"/>
    <tableColumn id="4" xr3:uid="{00000000-0010-0000-0100-000004000000}" name="Supplier" dataDxfId="43"/>
    <tableColumn id="5" xr3:uid="{00000000-0010-0000-0100-000005000000}" name="Document Number" dataDxfId="42"/>
    <tableColumn id="6" xr3:uid="{00000000-0010-0000-0100-000006000000}" name="Amount" dataDxfId="41" dataCellStyle="Comma"/>
    <tableColumn id="7" xr3:uid="{00000000-0010-0000-0100-000007000000}" name="Lifetime in Years" dataDxfId="40" dataCellStyle="Comma"/>
    <tableColumn id="8" xr3:uid="{00000000-0010-0000-0100-000008000000}" name="Residual Value" dataDxfId="39" dataCellStyle="Comma"/>
    <tableColumn id="9" xr3:uid="{00000000-0010-0000-0100-000009000000}" name="Proceeds on Sale" dataDxfId="38" dataCellStyle="Comma"/>
    <tableColumn id="10" xr3:uid="{00000000-0010-0000-0100-00000A000000}" name="Error Code" dataDxfId="37" dataCellStyle="Comma">
      <calculatedColumnFormula array="1">IF(ISNA(VLOOKUP($C5,AssetCode,1,0))=TRUE,"E3",IF(OR(ISBLANK($B5)=TRUE,SUMPRODUCT((TransAsset=$C5)*(TransIDDate&lt;$L5)*(TransType="DIS")*(1))&gt;0),"E4",IF(SUMPRODUCT((TransAsset=$C5)*(TransType="ACQ")*(1))&gt;1,"E5",IF(OR($F5&lt;0,AND(TransType="DIS",$F5&lt;&gt;0)=TRUE),"E6",IF(OR(AND($G5&lt;0,TransType&lt;&gt;"DIS")=TRUE,AND(TransType="DIS",$G5&lt;&gt;0)=TRUE),"E7",IF(OR($H5&lt;0,AND(TransType="DIS",$H5&lt;&gt;0)=TRUE,$H5&gt;$F5),"E8",IF($I5&lt;0,"E9","-")))))))</calculatedColumnFormula>
    </tableColumn>
    <tableColumn id="11" xr3:uid="{00000000-0010-0000-0100-00000B000000}" name="Category" dataDxfId="36" dataCellStyle="Comma">
      <calculatedColumnFormula>IF(ISNA(VLOOKUP($C5,AssetAll,COLUMN(Assets!$E$4),0))=TRUE,"add!",VLOOKUP($C5,AssetAll,COLUMN(Assets!$E$4),0))</calculatedColumnFormula>
    </tableColumn>
    <tableColumn id="12" xr3:uid="{00000000-0010-0000-0100-00000C000000}" name="Transaction Date ID" dataDxfId="35" dataCellStyle="Comma">
      <calculatedColumnFormula>IF(OR(ISBLANK($A5)=TRUE,ISNUMBER($A5)=FALSE),TODAY()+(ROW($A5)/86400),$A5+(ROW($A5)/86400))</calculatedColumnFormula>
    </tableColumn>
    <tableColumn id="13" xr3:uid="{00000000-0010-0000-0100-00000D000000}" name="Previous Trn Date" dataDxfId="34" dataCellStyle="Comma">
      <calculatedColumnFormula array="1">IF(ISBLANK($C5)=TRUE,0,LARGE(IF(TransAsset=$C5,IF(TransIDDate&lt;$L5,TransIDDate,0),0),1))</calculatedColumnFormula>
    </tableColumn>
    <tableColumn id="14" xr3:uid="{00000000-0010-0000-0100-00000E000000}" name="Next Trn Date" dataDxfId="33" dataCellStyle="Comma">
      <calculatedColumnFormula array="1">IF(ISBLANK($C5)=TRUE,0,SMALL(IF(TransAsset=$C5,IF(TransIDDate&gt;$L5,TransIDDate,(Assets!$I$2+1)),(Assets!$I$2+1)),1))</calculatedColumnFormula>
    </tableColumn>
    <tableColumn id="15" xr3:uid="{00000000-0010-0000-0100-00000F000000}" name="Depr End Date" dataDxfId="32" dataCellStyle="Comma">
      <calculatedColumnFormula>DATE(YEAR($L5),MONTH($L5)+(U5*12),0)</calculatedColumnFormula>
    </tableColumn>
    <tableColumn id="16" xr3:uid="{00000000-0010-0000-0100-000010000000}" name="Depr YTD From Date" dataDxfId="31" dataCellStyle="Comma">
      <calculatedColumnFormula>IF(OR($N5&lt;Assets!$H$2,$O5&lt;Assets!$H$2,$L5&gt;(Assets!$I$2+1)),0,IF($B5="DIS",IF($L5&lt;Assets!$H$2,0,IF($L5&lt;(Assets!$I$2+1),DATE(YEAR($L5),MONTH($L5),0),Assets!$H$2)),IF($L5&lt;Assets!$H$2,Assets!$H$2,DATE(YEAR($L5),MONTH($L5),1))))</calculatedColumnFormula>
    </tableColumn>
    <tableColumn id="17" xr3:uid="{00000000-0010-0000-0100-000011000000}" name="Depr YTD To Date" dataDxfId="30" dataCellStyle="Comma">
      <calculatedColumnFormula>IF($P5=0,0,IF($B5="DIS",IF($L5&gt;(Assets!$I$2+1),MIN(Assets!$I$2,$O5),MIN($L5,$O5)),IF($N5&lt;(Assets!$I$2+1),MIN(IF(DATE(YEAR($N5),MONTH($N5),0)&lt;$P5,$P5,DATE(YEAR($N5),MONTH($N5),0)),$O5),MIN(Assets!$I$2,$O5))))</calculatedColumnFormula>
    </tableColumn>
    <tableColumn id="18" xr3:uid="{00000000-0010-0000-0100-000012000000}" name="Depr YTD Months" dataDxfId="29" dataCellStyle="Comma">
      <calculatedColumnFormula>IF($P5=0,0,IF($Q5=$P5,0,((YEAR($Q5)*12)+MONTH($Q5))-((YEAR($P5)*12)+MONTH($P5)-1)))</calculatedColumnFormula>
    </tableColumn>
    <tableColumn id="19" xr3:uid="{00000000-0010-0000-0100-000013000000}" name="Transaction Amount" dataDxfId="28" dataCellStyle="Comma">
      <calculatedColumnFormula>IF(ISBLANK($B5)=FALSE,IF(ISNUMBER($F5)=TRUE,$F5,0),0)</calculatedColumnFormula>
    </tableColumn>
    <tableColumn id="20" xr3:uid="{00000000-0010-0000-0100-000014000000}" name="Asset Historical Cost" dataDxfId="27" dataCellStyle="Comma">
      <calculatedColumnFormula array="1">IF(ISBLANK($B5)=FALSE,SUMIFS(TransAmount,TransAsset,$C5,TransType,"ACQ"),0)</calculatedColumnFormula>
    </tableColumn>
    <tableColumn id="21" xr3:uid="{00000000-0010-0000-0100-000015000000}" name="Current Lifetime" dataDxfId="26" dataCellStyle="Comma">
      <calculatedColumnFormula>IF(ISBLANK($B5)=FALSE,IF(ISNUMBER($G5)=TRUE,$G5,0),0)</calculatedColumnFormula>
    </tableColumn>
    <tableColumn id="22" xr3:uid="{00000000-0010-0000-0100-000016000000}" name="Current Residual" dataDxfId="25" dataCellStyle="Comma">
      <calculatedColumnFormula>IF(ISBLANK($B5)=FALSE,IF(ISNUMBER($H5)=TRUE,$H5,0),0)</calculatedColumnFormula>
    </tableColumn>
    <tableColumn id="23" xr3:uid="{00000000-0010-0000-0100-000017000000}" name="Previous Deemed Cost" dataDxfId="24" dataCellStyle="Comma">
      <calculatedColumnFormula>IF($M5=0,0,OFFSET($L$4,MATCH($M5,TransIDDate,0),COLUMN($S$4)-COLUMN($L$4),1,1))</calculatedColumnFormula>
    </tableColumn>
    <tableColumn id="24" xr3:uid="{00000000-0010-0000-0100-000018000000}" name="Previous Residual Value" dataDxfId="23" dataCellStyle="Comma">
      <calculatedColumnFormula>IF($M5=0,0,OFFSET($L$4,MATCH($M5,TransIDDate,0),COLUMN($V$4)-COLUMN($L$4),1,1))</calculatedColumnFormula>
    </tableColumn>
    <tableColumn id="25" xr3:uid="{00000000-0010-0000-0100-000019000000}" name="Previous Lifetime" dataDxfId="22" dataCellStyle="Comma">
      <calculatedColumnFormula>IF($M5=0,0,OFFSET($L$4,MATCH($M5,TransIDDate,0),COLUMN($U$4)-COLUMN($L$4),1,1))</calculatedColumnFormula>
    </tableColumn>
    <tableColumn id="26" xr3:uid="{00000000-0010-0000-0100-00001A000000}" name="Current Accum Depr" dataDxfId="21" dataCellStyle="Comma">
      <calculatedColumnFormula>IF($M5=0,0,IF($Y5=0,0,IF(($W5-$X5)/($Y5*12)*(((YEAR($A5)*12)+MONTH($A5))-((YEAR($M5)*12)+MONTH($M5)))&gt;($W5-$X5),$W5-$X5,($W5-$X5)/($Y5*12)*(((YEAR($A5)*12)+MONTH($A5))-((YEAR($M5)*12)+MONTH($M5))))))</calculatedColumnFormula>
    </tableColumn>
    <tableColumn id="27" xr3:uid="{00000000-0010-0000-0100-00001B000000}" name="Current Carrying Value" dataDxfId="20" dataCellStyle="Comma">
      <calculatedColumnFormula>W5-Z5</calculatedColumnFormula>
    </tableColumn>
    <tableColumn id="28" xr3:uid="{00000000-0010-0000-0100-00001C000000}" name="Accum Depr: Cost" dataDxfId="19" dataCellStyle="Comma">
      <calculatedColumnFormula array="1">IF(SUMIFS(TransTDCost,TransAsset,$C5,TransDate,"&lt;="&amp;$L5)&gt;($T5-$X5),($T5-$X5),SUMIFS(TransTDCost,TransAsset,$C5,TransDate,"&lt;="&amp;$L5))</calculatedColumnFormula>
    </tableColumn>
    <tableColumn id="29" xr3:uid="{00000000-0010-0000-0100-00001D000000}" name="Accum Depr: Revaluation" dataDxfId="18" dataCellStyle="Comma">
      <calculatedColumnFormula>SUMIFS(TransCAccDep,TransAsset,$C5,TransDate,"&lt;="&amp;$L5)-AB5</calculatedColumnFormula>
    </tableColumn>
    <tableColumn id="30" xr3:uid="{00000000-0010-0000-0100-00001E000000}" name="Accum Depr: Rev &lt;PY" dataDxfId="17" dataCellStyle="Comma">
      <calculatedColumnFormula array="1">IF($L5=LARGE(IF(TransAsset=$C5,IF(TransIDDate&lt;Assets!$H$2,TransIDDate,0),0),1),IF($B5="DIS",$AC5,SUMIFS(TransCAccDep,TransAsset,$C5,TransDate,"&lt;="&amp;$L5)+IF($U5=0,0,MIN(($S5-$V5)/($U5*12)*(((YEAR(Assets!$H$2)*12)+MONTH(Assets!$H$2)-1)-((YEAR($L5)*12)+MONTH($L5)-1)),$S5-$V5))),0)-$AO5</calculatedColumnFormula>
    </tableColumn>
    <tableColumn id="31" xr3:uid="{00000000-0010-0000-0100-00001F000000}" name="Previous Revaluation" dataDxfId="16" dataCellStyle="Comma">
      <calculatedColumnFormula>SUMIFS(TransRSurplus,TransAsset,$C5,TransDate,"&lt;"&amp;$M5)-AC5</calculatedColumnFormula>
    </tableColumn>
    <tableColumn id="32" xr3:uid="{00000000-0010-0000-0100-000020000000}" name="Revaluation Surplus" dataDxfId="15" dataCellStyle="Comma">
      <calculatedColumnFormula>IF($B5="REV",IF($S5&gt;=$AA5,IF($AH5&gt;0,IF($S5-$AA5-$AH5&lt;0,0,$S5-$AA5-$AH5),$S5-$AA5),IF($S5-$AA5+$AE5&lt;0,-$AE5,$F5-$AA5)),-$AE5)</calculatedColumnFormula>
    </tableColumn>
    <tableColumn id="33" xr3:uid="{00000000-0010-0000-0100-000021000000}" name="Current Revaluation" dataDxfId="14" dataCellStyle="Comma">
      <calculatedColumnFormula>SUM(AE5:AF5)</calculatedColumnFormula>
    </tableColumn>
    <tableColumn id="34" xr3:uid="{00000000-0010-0000-0100-000022000000}" name="Previous Impairment" dataDxfId="13" dataCellStyle="Comma">
      <calculatedColumnFormula>SUMIFS(TransImpair,TransAsset,$C5,TransDate,"&lt;"&amp;$M5)</calculatedColumnFormula>
    </tableColumn>
    <tableColumn id="35" xr3:uid="{00000000-0010-0000-0100-000023000000}" name="Impairment Value" dataDxfId="12" dataCellStyle="Comma">
      <calculatedColumnFormula array="1">IF($B5="REV",IF($S5-$AA5+$AE5&gt;0,IF(SUMIFS(TransImpair,TransAsset,$C5,TransDate,"&lt;"&amp;$M5)&gt;0,IF(SUMIFS(TransImpair,TransAsset,$C5,TransDate,"&lt;"&amp;$M5)&gt;$S5-$AA5+$AE5,-($S5-$AA5+$AE5),-SUMIFS(TransImpair,TransAsset,$C5,TransDate,"&lt;"&amp;$M5)),0),-($S5-$AA5+$AE5)),0)</calculatedColumnFormula>
    </tableColumn>
    <tableColumn id="36" xr3:uid="{00000000-0010-0000-0100-000024000000}" name="Profit / (Loss) on Disposal" dataDxfId="11" dataCellStyle="Comma">
      <calculatedColumnFormula>IF($B5="DIS",IF(ISNUMBER($I5)=FALSE,-($W5-$Z5)+$AE5,$I5-($W5-$Z5)+$AE5),0)</calculatedColumnFormula>
    </tableColumn>
    <tableColumn id="37" xr3:uid="{00000000-0010-0000-0100-000025000000}" name="YTD Total Depreciation" dataDxfId="10" dataCellStyle="Comma">
      <calculatedColumnFormula>IF($B5="DIS",IF($Y5=0,0,($W5-$X5)/($Y5*12)*$R5),IF($U5=0,0,($S5-$V5)/($U5*12)*$R5))</calculatedColumnFormula>
    </tableColumn>
    <tableColumn id="38" xr3:uid="{00000000-0010-0000-0100-000026000000}" name="YTD Total Depr at Cost" dataDxfId="9" dataCellStyle="Comma">
      <calculatedColumnFormula>IF($B5="DIS",IF($W5&lt;$T5,IF($Y5=0,0,($W5-$X5)/($Y5*12)*$R5),IF($Y5=0,0,($T5-$X5)/($Y5*12)*$R5)),IF($S5&lt;$T5,IF($U5=0,0,($S5-$V5)/($U5*12)*$R5),IF($U5=0,0,($T5-$V5)/($U5*12)*$R5)))</calculatedColumnFormula>
    </tableColumn>
    <tableColumn id="39" xr3:uid="{00000000-0010-0000-0100-000027000000}" name="YTD Cost Depreciation" dataDxfId="8" dataCellStyle="Comma">
      <calculatedColumnFormula array="1">IF($AN5&gt;($T5-$V5),($T5-$V5)-SUMIFS(TransPCAccDep,TransAsset,$C5,TransDate,"&lt;="&amp;$L5),$AL5)</calculatedColumnFormula>
    </tableColumn>
    <tableColumn id="40" xr3:uid="{00000000-0010-0000-0100-000028000000}" name="Accum Depr at PY Cost Bal" dataDxfId="7" dataCellStyle="Comma">
      <calculatedColumnFormula array="1">IF($AL5=0,0,SUMIFS(TransCCYDep2,TransAsset,$C5,TransDate,"&lt;="&amp;$L5)+SUMIFS(TransPCAccDep,TransAsset,$C5,TransDate,"&lt;="&amp;$L5))</calculatedColumnFormula>
    </tableColumn>
    <tableColumn id="41" xr3:uid="{00000000-0010-0000-0100-000029000000}" name="Accum Depr at Cost PY" dataDxfId="6" dataCellStyle="Comma">
      <calculatedColumnFormula array="1">IF($L5=LARGE(IF(TransAsset=$C5,IF(TransIDDate&lt;Assets!$H$2,TransIDDate,0),0),1),IF($B5="DIS",0,MIN(SUMIFS(TransTDCost,TransAsset,$C5,TransDate,"&lt;="&amp;$L5)+IF($U5=0,0,MIN(($S5-$V5)/($U5*12)*(((YEAR(Assets!$H$2)*12)+MONTH(Assets!$H$2)-1)-((YEAR($L5)*12)+MONTH($L5)-1)),$S5-$V5)),SUMIFS(TransTDCost,TransAsset,$C5,TransDate,"&lt;="&amp;$L5)+IF($U5=0,0,MIN(($T5-$V5)/($U5*12)*(((YEAR(Assets!$H$2)*12)+MONTH(Assets!$H$2)-1)-((YEAR($L5)*12)+MONTH($L5)-1)),$T5-$V5)),$T5-$V5)),0)</calculatedColumnFormula>
    </tableColumn>
    <tableColumn id="42" xr3:uid="{00000000-0010-0000-0100-00002A000000}" name="Depr: Cost by Transaction" dataDxfId="5" dataCellStyle="Comma">
      <calculatedColumnFormula>IF($M5=0,0,IF($W5&lt;$T5,IF($Y5=0,0,IF(($W5-$X5)/($Y5*12)*(((YEAR($A5)*12)+MONTH($A5))-((YEAR($M5)*12)+MONTH($M5)))&gt;($W5-$X5),$W5-$X5,($W5-$X5)/($Y5*12)*(((YEAR($A5)*12)+MONTH($A5))-((YEAR($M5)*12)+MONTH($M5))))),IF($Y5=0,0,IF(($T5-$X5)/($Y5*12)*(((YEAR($A5)*12)+MONTH($A5))-((YEAR($M5)*12)+MONTH($M5)))&gt;($T5-$X5),$T5-$X5,($T5-$X5)/($Y5*12)*(((YEAR($A5)*12)+MONTH($A5))-((YEAR($M5)*12)+MONTH($M5)))))))</calculatedColumnFormula>
    </tableColumn>
    <tableColumn id="43" xr3:uid="{00000000-0010-0000-0100-00002B000000}" name="MTD Total Depreciation" dataDxfId="4" dataCellStyle="Comma">
      <calculatedColumnFormula>IF(SUMPRODUCT((TransAsset=$C5)*(TransType="DIS")*(TransIDDate&lt;(Assets!$I$2+1))*(1))&gt;0,0,IF(AND($AR5=0,DATE(YEAR($L5),MONTH($L5),1)&lt;&gt;DATE(YEAR(Assets!$J$2),MONTH(Assets!$J$2),1)),0,IF(DATE(YEAR($Q5),MONTH($Q5),1)&lt;&gt;DATE(YEAR(Assets!$I$2),MONTH(Assets!$I$2),1),0,IF($AR5=$S5-$V5,0,IF($U5=0,0,MIN(($S5-$V5)/($U5*12),($S5-$V5)-$AR5))))))</calculatedColumnFormula>
    </tableColumn>
    <tableColumn id="44" xr3:uid="{00000000-0010-0000-0100-00002C000000}" name="Accum Depr Total at PM" dataDxfId="3" dataCellStyle="Comma">
      <calculatedColumnFormula array="1">IF($L5=LARGE(IF(TransAsset=$C5,IF(TransIDDate&lt;Assets!$J$2,TransIDDate,0),0),1),IF($B5="DIS",0,MIN(IF($U5=0,0,(($S5-$V5)/($U5*12)*(((YEAR(Assets!$J$2)*12)+MONTH(Assets!$J$2)-1)-((YEAR($L5)*12)+MONTH($L5)-1)))),($S5-$V5))),0)</calculatedColumnFormula>
    </tableColumn>
    <tableColumn id="45" xr3:uid="{00000000-0010-0000-0100-00002D000000}" name="MTD Total Depr at Cost" dataDxfId="2" dataCellStyle="Comma">
      <calculatedColumnFormula>IF($B5="DIS",IF($W5&lt;$T5,IF($Y5=0,0,($W5-$X5)/($Y5*12)),IF($Y5=0,0,($T5-$X5)/($Y5*12))),IF($S5&lt;$T5,IF($U5=0,0,($S5-$V5)/($U5*12)),IF($U5=0,0,($T5-$V5)/($U5*12))))</calculatedColumnFormula>
    </tableColumn>
    <tableColumn id="46" xr3:uid="{00000000-0010-0000-0100-00002E000000}" name="MTD Cost Depreciation" dataDxfId="1" dataCellStyle="Comma">
      <calculatedColumnFormula array="1">IF(SUMPRODUCT((TransAsset=$C5)*(TransType="DIS")*(TransIDDate&lt;(Assets!$I$2+1))*(1))&gt;0,0,IF(AND($AU5=0,DATE(YEAR($L5),MONTH($L5),1)&lt;&gt;DATE(YEAR(Assets!$J$2),MONTH(Assets!$J$2),1)),0,IF(DATE(YEAR($Q5),MONTH($Q5),1)&lt;&gt;DATE(YEAR(Assets!$I$2),MONTH(Assets!$I$2),1),0,IF(SUMIFS(TransPMAccDep,TransAsset,$C5)&gt;=($T5-$V5),($T5-$V5)-SUMIFS(TransPMAccDep,TransAsset,$C5),IF($U5=0,0,IF($S5&lt;$T5,MIN(($S5-$V5)/($U5*12),($T5-$V5)-$AU5),MIN(($T5-$V5)/($U5*12),($T5-$V5)-$AU5)))))))</calculatedColumnFormula>
    </tableColumn>
    <tableColumn id="47" xr3:uid="{00000000-0010-0000-0100-00002F000000}" name="Accum Depr Cost at PM" dataDxfId="0" dataCellStyle="Comma">
      <calculatedColumnFormula array="1">IF($L5=LARGE(IF(TransAsset=$C5,IF(TransIDDate&lt;Assets!$J$2,TransIDDate,0),0),1),IF($B5="DIS",0,MIN(SUMIFS(TransTDCost,TransAsset,$C5,TransDate,"&lt;="&amp;$L5)+IF($U5=0,0,MIN(($S5-$V5)/($U5*12)*(((YEAR(Assets!$J$2)*12)+MONTH(Assets!$J$2)-1)-((YEAR($L5)*12)+MONTH($L5)-1)),$S5-$V5)),SUMIFS(TransTDCost,TransAsset,$C5,TransDate,"&lt;="&amp;$L5)+IF($U5=0,0,MIN(($T5-$V5)/($U5*12)*(((YEAR(Assets!$J$2)*12)+MONTH(Assets!$J$2)-1)-((YEAR($L5)*12)+MONTH($L5)-1)),$T5-$V5)),$T5-$V5)),0)</calculatedColumnFormula>
    </tableColumn>
  </tableColumns>
  <tableStyleInfo name="TableStyleLight9" showFirstColumn="0" showLastColumn="0" showRowStripes="1" showColumnStripes="0"/>
</table>
</file>

<file path=xl/theme/_rels/theme1.x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Quotable">
  <a:themeElements>
    <a:clrScheme name="Quotable">
      <a:dk1>
        <a:sysClr val="windowText" lastClr="000000"/>
      </a:dk1>
      <a:lt1>
        <a:sysClr val="window" lastClr="FFFFFF"/>
      </a:lt1>
      <a:dk2>
        <a:srgbClr val="212121"/>
      </a:dk2>
      <a:lt2>
        <a:srgbClr val="636363"/>
      </a:lt2>
      <a:accent1>
        <a:srgbClr val="00C6BB"/>
      </a:accent1>
      <a:accent2>
        <a:srgbClr val="6FEBA0"/>
      </a:accent2>
      <a:accent3>
        <a:srgbClr val="B6DF5E"/>
      </a:accent3>
      <a:accent4>
        <a:srgbClr val="EFB251"/>
      </a:accent4>
      <a:accent5>
        <a:srgbClr val="EF755F"/>
      </a:accent5>
      <a:accent6>
        <a:srgbClr val="ED515C"/>
      </a:accent6>
      <a:hlink>
        <a:srgbClr val="8F8F8F"/>
      </a:hlink>
      <a:folHlink>
        <a:srgbClr val="A5A5A5"/>
      </a:folHlink>
    </a:clrScheme>
    <a:fontScheme name="Quotable">
      <a:majorFont>
        <a:latin typeface="Century Gothic" panose="020B0502020202020204"/>
        <a:ea typeface=""/>
        <a:cs typeface=""/>
        <a:font script="Jpan" typeface="ＭＳ ゴシック"/>
        <a:font script="Hang" typeface="맑은 고딕"/>
        <a:font script="Hans" typeface="宋体"/>
        <a:font script="Hant" typeface="新細明體"/>
        <a:font script="Arab" typeface="Tahoma"/>
        <a:font script="Hebr" typeface="Gisha"/>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entury Gothic" panose="020B0502020202020204"/>
        <a:ea typeface=""/>
        <a:cs typeface=""/>
        <a:font script="Jpan" typeface="ＭＳ ゴシック"/>
        <a:font script="Hang" typeface="맑은 고딕"/>
        <a:font script="Hans" typeface="宋体"/>
        <a:font script="Hant" typeface="新細明體"/>
        <a:font script="Arab" typeface="Tahoma"/>
        <a:font script="Hebr" typeface="Gisha"/>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Verdana"/>
        <a:font script="Uigh" typeface="Microsoft Uighur"/>
        <a:font script="Geor" typeface="Sylfaen"/>
      </a:minorFont>
    </a:fontScheme>
    <a:fmtScheme name="Quotable">
      <a:fillStyleLst>
        <a:solidFill>
          <a:schemeClr val="phClr"/>
        </a:solidFill>
        <a:gradFill rotWithShape="1">
          <a:gsLst>
            <a:gs pos="0">
              <a:schemeClr val="phClr">
                <a:tint val="80000"/>
                <a:lumMod val="105000"/>
              </a:schemeClr>
            </a:gs>
            <a:gs pos="100000">
              <a:schemeClr val="phClr">
                <a:tint val="90000"/>
              </a:schemeClr>
            </a:gs>
          </a:gsLst>
          <a:lin ang="5400000" scaled="0"/>
        </a:gradFill>
        <a:blipFill rotWithShape="1">
          <a:blip xmlns:r="http://schemas.openxmlformats.org/officeDocument/2006/relationships" r:embed="rId1">
            <a:duotone>
              <a:schemeClr val="phClr">
                <a:tint val="98000"/>
                <a:lumMod val="102000"/>
              </a:schemeClr>
              <a:schemeClr val="phClr">
                <a:shade val="98000"/>
                <a:lumMod val="98000"/>
              </a:schemeClr>
            </a:duotone>
          </a:blip>
          <a:tile tx="0" ty="0" sx="100000" sy="100000" flip="none" algn="tl"/>
        </a:blipFill>
      </a:fillStyleLst>
      <a:lnStyleLst>
        <a:ln w="9525" cap="rnd" cmpd="sng" algn="ctr">
          <a:solidFill>
            <a:schemeClr val="phClr"/>
          </a:solidFill>
          <a:prstDash val="solid"/>
        </a:ln>
        <a:ln w="15875" cap="rnd" cmpd="sng" algn="ctr">
          <a:solidFill>
            <a:schemeClr val="phClr"/>
          </a:solidFill>
          <a:prstDash val="solid"/>
        </a:ln>
        <a:ln w="25400" cap="rnd" cmpd="sng" algn="ctr">
          <a:solidFill>
            <a:schemeClr val="phClr"/>
          </a:solidFill>
          <a:prstDash val="solid"/>
        </a:ln>
      </a:lnStyleLst>
      <a:effectStyleLst>
        <a:effectStyle>
          <a:effectLst/>
        </a:effectStyle>
        <a:effectStyle>
          <a:effectLst/>
        </a:effectStyle>
        <a:effectStyle>
          <a:effectLst>
            <a:innerShdw blurRad="63500" dist="25400" dir="13500000">
              <a:srgbClr val="000000">
                <a:alpha val="75000"/>
              </a:srgbClr>
            </a:innerShdw>
          </a:effectLst>
        </a:effectStyle>
      </a:effectStyleLst>
      <a:bgFillStyleLst>
        <a:solidFill>
          <a:schemeClr val="phClr"/>
        </a:solidFill>
        <a:gradFill rotWithShape="1">
          <a:gsLst>
            <a:gs pos="0">
              <a:schemeClr val="phClr">
                <a:tint val="100000"/>
              </a:schemeClr>
            </a:gs>
            <a:gs pos="100000">
              <a:schemeClr val="phClr">
                <a:tint val="84000"/>
                <a:shade val="84000"/>
                <a:lumMod val="90000"/>
              </a:schemeClr>
            </a:gs>
          </a:gsLst>
          <a:lin ang="5400000" scaled="0"/>
        </a:gradFill>
        <a:gradFill rotWithShape="1">
          <a:gsLst>
            <a:gs pos="0">
              <a:schemeClr val="phClr">
                <a:tint val="84000"/>
                <a:shade val="90000"/>
                <a:satMod val="120000"/>
                <a:lumMod val="90000"/>
              </a:schemeClr>
            </a:gs>
            <a:gs pos="100000">
              <a:schemeClr val="phClr"/>
            </a:gs>
          </a:gsLst>
          <a:lin ang="5400000" scaled="0"/>
        </a:gradFill>
      </a:bgFillStyleLst>
    </a:fmtScheme>
  </a:themeElements>
  <a:objectDefaults/>
  <a:extraClrSchemeLst/>
  <a:extLst>
    <a:ext uri="{05A4C25C-085E-4340-85A3-A5531E510DB2}">
      <thm15:themeFamily xmlns:thm15="http://schemas.microsoft.com/office/thememl/2012/main" name="Quotable" id="{39EC5628-30ED-4578-ACD8-9820EDB8E15A}" vid="{6F3559E9-1A4C-49D8-94D4-F41003531C49}"/>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2.bin"/><Relationship Id="rId1" Type="http://schemas.openxmlformats.org/officeDocument/2006/relationships/hyperlink" Target="https://www.excel-skills.com/"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
  <sheetViews>
    <sheetView tabSelected="1" workbookViewId="0">
      <selection activeCell="B2" sqref="B2"/>
    </sheetView>
  </sheetViews>
  <sheetFormatPr defaultColWidth="8.90625" defaultRowHeight="13.5" x14ac:dyDescent="0.25"/>
  <cols>
    <col min="1" max="14" width="15.6328125" style="1" customWidth="1"/>
    <col min="15" max="16384" width="8.90625" style="1"/>
  </cols>
  <sheetData/>
  <pageMargins left="0.7" right="0.7" top="0.75" bottom="0.75" header="0.3" footer="0.3"/>
  <pageSetup paperSize="9"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
  <sheetViews>
    <sheetView workbookViewId="0">
      <selection activeCell="B2" sqref="B2"/>
    </sheetView>
  </sheetViews>
  <sheetFormatPr defaultColWidth="8.90625" defaultRowHeight="13.5" x14ac:dyDescent="0.25"/>
  <cols>
    <col min="1" max="14" width="15.6328125" style="1" customWidth="1"/>
    <col min="15" max="16384" width="8.90625" style="1"/>
  </cols>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A403"/>
  <sheetViews>
    <sheetView zoomScaleNormal="100" workbookViewId="0">
      <pane ySplit="3" topLeftCell="A4" activePane="bottomLeft" state="frozen"/>
      <selection pane="bottomLeft"/>
    </sheetView>
  </sheetViews>
  <sheetFormatPr defaultColWidth="9.08984375" defaultRowHeight="12.5" x14ac:dyDescent="0.25"/>
  <cols>
    <col min="1" max="1" width="109.81640625" style="94" customWidth="1"/>
    <col min="2" max="2" width="50.81640625" style="90" customWidth="1"/>
    <col min="3" max="25" width="20.6328125" style="90" customWidth="1"/>
    <col min="26" max="16384" width="9.08984375" style="90"/>
  </cols>
  <sheetData>
    <row r="1" spans="1:1" ht="15.5" x14ac:dyDescent="0.25">
      <c r="A1" s="89" t="s">
        <v>364</v>
      </c>
    </row>
    <row r="2" spans="1:1" ht="15" customHeight="1" x14ac:dyDescent="0.25">
      <c r="A2" s="91" t="s">
        <v>6</v>
      </c>
    </row>
    <row r="3" spans="1:1" ht="15" customHeight="1" x14ac:dyDescent="0.25">
      <c r="A3" s="92" t="s">
        <v>7</v>
      </c>
    </row>
    <row r="4" spans="1:1" x14ac:dyDescent="0.25">
      <c r="A4" s="93"/>
    </row>
    <row r="5" spans="1:1" ht="62.5" x14ac:dyDescent="0.25">
      <c r="A5" s="94" t="s">
        <v>368</v>
      </c>
    </row>
    <row r="7" spans="1:1" ht="39" x14ac:dyDescent="0.25">
      <c r="A7" s="95" t="s">
        <v>367</v>
      </c>
    </row>
    <row r="9" spans="1:1" x14ac:dyDescent="0.25">
      <c r="A9" s="94" t="s">
        <v>0</v>
      </c>
    </row>
    <row r="10" spans="1:1" ht="50.5" x14ac:dyDescent="0.25">
      <c r="A10" s="96" t="s">
        <v>518</v>
      </c>
    </row>
    <row r="11" spans="1:1" ht="50.5" x14ac:dyDescent="0.25">
      <c r="A11" s="96" t="s">
        <v>519</v>
      </c>
    </row>
    <row r="12" spans="1:1" ht="50.5" x14ac:dyDescent="0.25">
      <c r="A12" s="96" t="s">
        <v>624</v>
      </c>
    </row>
    <row r="13" spans="1:1" ht="38" x14ac:dyDescent="0.25">
      <c r="A13" s="96" t="s">
        <v>520</v>
      </c>
    </row>
    <row r="14" spans="1:1" ht="25.5" x14ac:dyDescent="0.25">
      <c r="A14" s="96" t="s">
        <v>521</v>
      </c>
    </row>
    <row r="15" spans="1:1" ht="50.5" x14ac:dyDescent="0.25">
      <c r="A15" s="96" t="s">
        <v>522</v>
      </c>
    </row>
    <row r="16" spans="1:1" ht="13" x14ac:dyDescent="0.25">
      <c r="A16" s="96"/>
    </row>
    <row r="17" spans="1:1" ht="13" x14ac:dyDescent="0.25">
      <c r="A17" s="96" t="s">
        <v>86</v>
      </c>
    </row>
    <row r="19" spans="1:1" ht="50" x14ac:dyDescent="0.25">
      <c r="A19" s="94" t="s">
        <v>487</v>
      </c>
    </row>
    <row r="21" spans="1:1" ht="13" x14ac:dyDescent="0.25">
      <c r="A21" s="95" t="s">
        <v>40</v>
      </c>
    </row>
    <row r="23" spans="1:1" s="97" customFormat="1" ht="50" x14ac:dyDescent="0.25">
      <c r="A23" s="94" t="s">
        <v>369</v>
      </c>
    </row>
    <row r="25" spans="1:1" ht="26" x14ac:dyDescent="0.25">
      <c r="A25" s="95" t="s">
        <v>370</v>
      </c>
    </row>
    <row r="27" spans="1:1" ht="37.5" x14ac:dyDescent="0.25">
      <c r="A27" s="94" t="s">
        <v>625</v>
      </c>
    </row>
    <row r="29" spans="1:1" ht="13" x14ac:dyDescent="0.25">
      <c r="A29" s="95" t="s">
        <v>51</v>
      </c>
    </row>
    <row r="31" spans="1:1" ht="37.5" x14ac:dyDescent="0.25">
      <c r="A31" s="94" t="s">
        <v>371</v>
      </c>
    </row>
    <row r="33" spans="1:1" ht="50" x14ac:dyDescent="0.25">
      <c r="A33" s="94" t="s">
        <v>372</v>
      </c>
    </row>
    <row r="35" spans="1:1" ht="50" x14ac:dyDescent="0.25">
      <c r="A35" s="94" t="s">
        <v>478</v>
      </c>
    </row>
    <row r="36" spans="1:1" ht="25.5" x14ac:dyDescent="0.25">
      <c r="A36" s="94" t="s">
        <v>523</v>
      </c>
    </row>
    <row r="37" spans="1:1" ht="25.5" x14ac:dyDescent="0.25">
      <c r="A37" s="94" t="s">
        <v>524</v>
      </c>
    </row>
    <row r="38" spans="1:1" ht="25.5" x14ac:dyDescent="0.25">
      <c r="A38" s="94" t="s">
        <v>525</v>
      </c>
    </row>
    <row r="39" spans="1:1" ht="50.5" x14ac:dyDescent="0.25">
      <c r="A39" s="94" t="s">
        <v>526</v>
      </c>
    </row>
    <row r="40" spans="1:1" ht="50.5" x14ac:dyDescent="0.25">
      <c r="A40" s="94" t="s">
        <v>527</v>
      </c>
    </row>
    <row r="41" spans="1:1" ht="38" x14ac:dyDescent="0.25">
      <c r="A41" s="94" t="s">
        <v>528</v>
      </c>
    </row>
    <row r="42" spans="1:1" ht="38" x14ac:dyDescent="0.25">
      <c r="A42" s="94" t="s">
        <v>529</v>
      </c>
    </row>
    <row r="43" spans="1:1" ht="38" x14ac:dyDescent="0.25">
      <c r="A43" s="94" t="s">
        <v>530</v>
      </c>
    </row>
    <row r="45" spans="1:1" ht="39" x14ac:dyDescent="0.25">
      <c r="A45" s="95" t="s">
        <v>626</v>
      </c>
    </row>
    <row r="47" spans="1:1" ht="13" x14ac:dyDescent="0.25">
      <c r="A47" s="95" t="s">
        <v>210</v>
      </c>
    </row>
    <row r="49" spans="1:1" ht="50" x14ac:dyDescent="0.25">
      <c r="A49" s="94" t="s">
        <v>373</v>
      </c>
    </row>
    <row r="51" spans="1:1" ht="25" x14ac:dyDescent="0.25">
      <c r="A51" s="94" t="s">
        <v>374</v>
      </c>
    </row>
    <row r="53" spans="1:1" ht="26" x14ac:dyDescent="0.25">
      <c r="A53" s="95" t="s">
        <v>375</v>
      </c>
    </row>
    <row r="55" spans="1:1" ht="50" x14ac:dyDescent="0.25">
      <c r="A55" s="94" t="s">
        <v>376</v>
      </c>
    </row>
    <row r="57" spans="1:1" ht="52" x14ac:dyDescent="0.25">
      <c r="A57" s="95" t="s">
        <v>434</v>
      </c>
    </row>
    <row r="59" spans="1:1" ht="39" x14ac:dyDescent="0.25">
      <c r="A59" s="95" t="s">
        <v>531</v>
      </c>
    </row>
    <row r="61" spans="1:1" ht="37.5" x14ac:dyDescent="0.25">
      <c r="A61" s="94" t="s">
        <v>479</v>
      </c>
    </row>
    <row r="63" spans="1:1" ht="39" x14ac:dyDescent="0.25">
      <c r="A63" s="95" t="s">
        <v>377</v>
      </c>
    </row>
    <row r="65" spans="1:1" ht="39" x14ac:dyDescent="0.25">
      <c r="A65" s="95" t="s">
        <v>378</v>
      </c>
    </row>
    <row r="67" spans="1:1" ht="62.5" x14ac:dyDescent="0.25">
      <c r="A67" s="94" t="s">
        <v>379</v>
      </c>
    </row>
    <row r="69" spans="1:1" ht="13" x14ac:dyDescent="0.25">
      <c r="A69" s="95" t="s">
        <v>16</v>
      </c>
    </row>
    <row r="71" spans="1:1" ht="37.5" x14ac:dyDescent="0.25">
      <c r="A71" s="94" t="s">
        <v>380</v>
      </c>
    </row>
    <row r="73" spans="1:1" ht="13" x14ac:dyDescent="0.25">
      <c r="A73" s="96" t="s">
        <v>85</v>
      </c>
    </row>
    <row r="75" spans="1:1" ht="50" x14ac:dyDescent="0.25">
      <c r="A75" s="94" t="s">
        <v>398</v>
      </c>
    </row>
    <row r="77" spans="1:1" ht="50" x14ac:dyDescent="0.25">
      <c r="A77" s="94" t="s">
        <v>381</v>
      </c>
    </row>
    <row r="79" spans="1:1" ht="52" x14ac:dyDescent="0.25">
      <c r="A79" s="95" t="s">
        <v>395</v>
      </c>
    </row>
    <row r="81" spans="1:1" ht="37.5" x14ac:dyDescent="0.25">
      <c r="A81" s="94" t="s">
        <v>510</v>
      </c>
    </row>
    <row r="82" spans="1:1" ht="38" x14ac:dyDescent="0.25">
      <c r="A82" s="94" t="s">
        <v>532</v>
      </c>
    </row>
    <row r="83" spans="1:1" ht="25.5" x14ac:dyDescent="0.25">
      <c r="A83" s="94" t="s">
        <v>533</v>
      </c>
    </row>
    <row r="84" spans="1:1" ht="25.5" x14ac:dyDescent="0.25">
      <c r="A84" s="94" t="s">
        <v>534</v>
      </c>
    </row>
    <row r="85" spans="1:1" ht="25.5" x14ac:dyDescent="0.25">
      <c r="A85" s="94" t="s">
        <v>535</v>
      </c>
    </row>
    <row r="86" spans="1:1" ht="38" x14ac:dyDescent="0.25">
      <c r="A86" s="94" t="s">
        <v>536</v>
      </c>
    </row>
    <row r="87" spans="1:1" ht="25.5" x14ac:dyDescent="0.25">
      <c r="A87" s="94" t="s">
        <v>537</v>
      </c>
    </row>
    <row r="89" spans="1:1" ht="65" x14ac:dyDescent="0.25">
      <c r="A89" s="95" t="s">
        <v>513</v>
      </c>
    </row>
    <row r="91" spans="1:1" ht="37.5" x14ac:dyDescent="0.25">
      <c r="A91" s="94" t="s">
        <v>382</v>
      </c>
    </row>
    <row r="93" spans="1:1" ht="50" x14ac:dyDescent="0.25">
      <c r="A93" s="94" t="s">
        <v>396</v>
      </c>
    </row>
    <row r="95" spans="1:1" ht="37.5" x14ac:dyDescent="0.25">
      <c r="A95" s="94" t="s">
        <v>397</v>
      </c>
    </row>
    <row r="97" spans="1:1" ht="39" x14ac:dyDescent="0.25">
      <c r="A97" s="95" t="s">
        <v>383</v>
      </c>
    </row>
    <row r="99" spans="1:1" ht="37.5" x14ac:dyDescent="0.25">
      <c r="A99" s="94" t="s">
        <v>384</v>
      </c>
    </row>
    <row r="100" spans="1:1" ht="13" x14ac:dyDescent="0.25">
      <c r="A100" s="95" t="s">
        <v>385</v>
      </c>
    </row>
    <row r="101" spans="1:1" ht="38" x14ac:dyDescent="0.25">
      <c r="A101" s="94" t="s">
        <v>538</v>
      </c>
    </row>
    <row r="102" spans="1:1" ht="25.5" x14ac:dyDescent="0.25">
      <c r="A102" s="94" t="s">
        <v>539</v>
      </c>
    </row>
    <row r="103" spans="1:1" ht="38" x14ac:dyDescent="0.25">
      <c r="A103" s="94" t="s">
        <v>540</v>
      </c>
    </row>
    <row r="104" spans="1:1" ht="38" x14ac:dyDescent="0.25">
      <c r="A104" s="94" t="s">
        <v>541</v>
      </c>
    </row>
    <row r="105" spans="1:1" ht="25.5" x14ac:dyDescent="0.25">
      <c r="A105" s="94" t="s">
        <v>542</v>
      </c>
    </row>
    <row r="106" spans="1:1" ht="25.5" x14ac:dyDescent="0.25">
      <c r="A106" s="94" t="s">
        <v>627</v>
      </c>
    </row>
    <row r="107" spans="1:1" ht="25.5" x14ac:dyDescent="0.25">
      <c r="A107" s="94" t="s">
        <v>628</v>
      </c>
    </row>
    <row r="108" spans="1:1" s="97" customFormat="1" ht="25.5" x14ac:dyDescent="0.25">
      <c r="A108" s="94" t="s">
        <v>543</v>
      </c>
    </row>
    <row r="109" spans="1:1" ht="25.5" x14ac:dyDescent="0.25">
      <c r="A109" s="94" t="s">
        <v>544</v>
      </c>
    </row>
    <row r="110" spans="1:1" ht="38" x14ac:dyDescent="0.25">
      <c r="A110" s="94" t="s">
        <v>545</v>
      </c>
    </row>
    <row r="111" spans="1:1" ht="25.5" x14ac:dyDescent="0.25">
      <c r="A111" s="94" t="s">
        <v>546</v>
      </c>
    </row>
    <row r="112" spans="1:1" ht="25.5" x14ac:dyDescent="0.25">
      <c r="A112" s="94" t="s">
        <v>547</v>
      </c>
    </row>
    <row r="113" spans="1:1" ht="25.5" x14ac:dyDescent="0.25">
      <c r="A113" s="94" t="s">
        <v>548</v>
      </c>
    </row>
    <row r="114" spans="1:1" ht="38" x14ac:dyDescent="0.25">
      <c r="A114" s="94" t="s">
        <v>549</v>
      </c>
    </row>
    <row r="115" spans="1:1" ht="38" x14ac:dyDescent="0.25">
      <c r="A115" s="94" t="s">
        <v>550</v>
      </c>
    </row>
    <row r="116" spans="1:1" ht="38" x14ac:dyDescent="0.25">
      <c r="A116" s="94" t="s">
        <v>551</v>
      </c>
    </row>
    <row r="117" spans="1:1" ht="38" x14ac:dyDescent="0.25">
      <c r="A117" s="94" t="s">
        <v>552</v>
      </c>
    </row>
    <row r="118" spans="1:1" ht="13" x14ac:dyDescent="0.25">
      <c r="A118" s="95" t="s">
        <v>386</v>
      </c>
    </row>
    <row r="119" spans="1:1" ht="25.5" x14ac:dyDescent="0.25">
      <c r="A119" s="94" t="s">
        <v>553</v>
      </c>
    </row>
    <row r="120" spans="1:1" ht="25.5" x14ac:dyDescent="0.25">
      <c r="A120" s="94" t="s">
        <v>554</v>
      </c>
    </row>
    <row r="121" spans="1:1" ht="50.5" x14ac:dyDescent="0.25">
      <c r="A121" s="94" t="s">
        <v>555</v>
      </c>
    </row>
    <row r="122" spans="1:1" ht="38" x14ac:dyDescent="0.25">
      <c r="A122" s="94" t="s">
        <v>556</v>
      </c>
    </row>
    <row r="123" spans="1:1" ht="75.5" x14ac:dyDescent="0.25">
      <c r="A123" s="94" t="s">
        <v>557</v>
      </c>
    </row>
    <row r="124" spans="1:1" ht="25.5" x14ac:dyDescent="0.25">
      <c r="A124" s="94" t="s">
        <v>558</v>
      </c>
    </row>
    <row r="125" spans="1:1" ht="13" x14ac:dyDescent="0.25">
      <c r="A125" s="95" t="s">
        <v>387</v>
      </c>
    </row>
    <row r="126" spans="1:1" ht="25.5" x14ac:dyDescent="0.25">
      <c r="A126" s="94" t="s">
        <v>559</v>
      </c>
    </row>
    <row r="127" spans="1:1" ht="38" x14ac:dyDescent="0.25">
      <c r="A127" s="94" t="s">
        <v>560</v>
      </c>
    </row>
    <row r="128" spans="1:1" ht="38" x14ac:dyDescent="0.25">
      <c r="A128" s="94" t="s">
        <v>629</v>
      </c>
    </row>
    <row r="129" spans="1:1" ht="25.5" x14ac:dyDescent="0.25">
      <c r="A129" s="94" t="s">
        <v>561</v>
      </c>
    </row>
    <row r="130" spans="1:1" ht="38" x14ac:dyDescent="0.25">
      <c r="A130" s="94" t="s">
        <v>630</v>
      </c>
    </row>
    <row r="131" spans="1:1" ht="38" x14ac:dyDescent="0.25">
      <c r="A131" s="94" t="s">
        <v>562</v>
      </c>
    </row>
    <row r="132" spans="1:1" ht="25.5" x14ac:dyDescent="0.25">
      <c r="A132" s="94" t="s">
        <v>563</v>
      </c>
    </row>
    <row r="133" spans="1:1" ht="13" x14ac:dyDescent="0.25">
      <c r="A133" s="95" t="s">
        <v>389</v>
      </c>
    </row>
    <row r="134" spans="1:1" ht="38" x14ac:dyDescent="0.25">
      <c r="A134" s="94" t="s">
        <v>564</v>
      </c>
    </row>
    <row r="135" spans="1:1" ht="13" x14ac:dyDescent="0.25">
      <c r="A135" s="95" t="s">
        <v>388</v>
      </c>
    </row>
    <row r="136" spans="1:1" ht="25.5" x14ac:dyDescent="0.25">
      <c r="A136" s="94" t="s">
        <v>565</v>
      </c>
    </row>
    <row r="137" spans="1:1" ht="50.5" x14ac:dyDescent="0.25">
      <c r="A137" s="94" t="s">
        <v>566</v>
      </c>
    </row>
    <row r="138" spans="1:1" ht="38" x14ac:dyDescent="0.25">
      <c r="A138" s="94" t="s">
        <v>567</v>
      </c>
    </row>
    <row r="139" spans="1:1" ht="25.5" x14ac:dyDescent="0.25">
      <c r="A139" s="94" t="s">
        <v>568</v>
      </c>
    </row>
    <row r="140" spans="1:1" ht="13" x14ac:dyDescent="0.25">
      <c r="A140" s="95" t="s">
        <v>390</v>
      </c>
    </row>
    <row r="141" spans="1:1" ht="50.5" x14ac:dyDescent="0.25">
      <c r="A141" s="94" t="s">
        <v>569</v>
      </c>
    </row>
    <row r="142" spans="1:1" ht="50.5" x14ac:dyDescent="0.25">
      <c r="A142" s="94" t="s">
        <v>631</v>
      </c>
    </row>
    <row r="143" spans="1:1" ht="13" x14ac:dyDescent="0.25">
      <c r="A143" s="95" t="s">
        <v>391</v>
      </c>
    </row>
    <row r="144" spans="1:1" ht="38" x14ac:dyDescent="0.25">
      <c r="A144" s="94" t="s">
        <v>570</v>
      </c>
    </row>
    <row r="145" spans="1:1" ht="25.5" x14ac:dyDescent="0.25">
      <c r="A145" s="94" t="s">
        <v>632</v>
      </c>
    </row>
    <row r="146" spans="1:1" ht="50.5" x14ac:dyDescent="0.25">
      <c r="A146" s="94" t="s">
        <v>571</v>
      </c>
    </row>
    <row r="147" spans="1:1" ht="13" x14ac:dyDescent="0.25">
      <c r="A147" s="95" t="s">
        <v>392</v>
      </c>
    </row>
    <row r="148" spans="1:1" ht="25.5" x14ac:dyDescent="0.25">
      <c r="A148" s="94" t="s">
        <v>572</v>
      </c>
    </row>
    <row r="149" spans="1:1" ht="25.5" x14ac:dyDescent="0.25">
      <c r="A149" s="94" t="s">
        <v>573</v>
      </c>
    </row>
    <row r="150" spans="1:1" ht="25.5" x14ac:dyDescent="0.25">
      <c r="A150" s="94" t="s">
        <v>574</v>
      </c>
    </row>
    <row r="151" spans="1:1" ht="25.5" x14ac:dyDescent="0.25">
      <c r="A151" s="94" t="s">
        <v>575</v>
      </c>
    </row>
    <row r="152" spans="1:1" ht="13" x14ac:dyDescent="0.25">
      <c r="A152" s="95" t="s">
        <v>393</v>
      </c>
    </row>
    <row r="153" spans="1:1" ht="38" x14ac:dyDescent="0.25">
      <c r="A153" s="94" t="s">
        <v>576</v>
      </c>
    </row>
    <row r="154" spans="1:1" ht="50.5" x14ac:dyDescent="0.25">
      <c r="A154" s="94" t="s">
        <v>633</v>
      </c>
    </row>
    <row r="155" spans="1:1" ht="38" x14ac:dyDescent="0.25">
      <c r="A155" s="94" t="s">
        <v>577</v>
      </c>
    </row>
    <row r="156" spans="1:1" ht="50.5" x14ac:dyDescent="0.25">
      <c r="A156" s="94" t="s">
        <v>634</v>
      </c>
    </row>
    <row r="157" spans="1:1" ht="13" x14ac:dyDescent="0.25">
      <c r="A157" s="95" t="s">
        <v>394</v>
      </c>
    </row>
    <row r="158" spans="1:1" ht="50.5" x14ac:dyDescent="0.25">
      <c r="A158" s="94" t="s">
        <v>578</v>
      </c>
    </row>
    <row r="159" spans="1:1" ht="13" x14ac:dyDescent="0.25">
      <c r="A159" s="94" t="s">
        <v>579</v>
      </c>
    </row>
    <row r="160" spans="1:1" ht="50.5" x14ac:dyDescent="0.25">
      <c r="A160" s="94" t="s">
        <v>580</v>
      </c>
    </row>
    <row r="161" spans="1:1" ht="13" x14ac:dyDescent="0.25">
      <c r="A161" s="94" t="s">
        <v>581</v>
      </c>
    </row>
    <row r="163" spans="1:1" ht="37.5" x14ac:dyDescent="0.25">
      <c r="A163" s="94" t="s">
        <v>400</v>
      </c>
    </row>
    <row r="165" spans="1:1" ht="50" x14ac:dyDescent="0.25">
      <c r="A165" s="94" t="s">
        <v>399</v>
      </c>
    </row>
    <row r="167" spans="1:1" ht="39" x14ac:dyDescent="0.25">
      <c r="A167" s="95" t="s">
        <v>401</v>
      </c>
    </row>
    <row r="169" spans="1:1" ht="52" x14ac:dyDescent="0.25">
      <c r="A169" s="95" t="s">
        <v>402</v>
      </c>
    </row>
    <row r="170" spans="1:1" ht="13" x14ac:dyDescent="0.25">
      <c r="A170" s="95"/>
    </row>
    <row r="171" spans="1:1" ht="26" x14ac:dyDescent="0.25">
      <c r="A171" s="95" t="s">
        <v>635</v>
      </c>
    </row>
    <row r="172" spans="1:1" ht="13" x14ac:dyDescent="0.25">
      <c r="A172" s="95"/>
    </row>
    <row r="173" spans="1:1" ht="13" x14ac:dyDescent="0.25">
      <c r="A173" s="96" t="s">
        <v>403</v>
      </c>
    </row>
    <row r="175" spans="1:1" ht="62.5" x14ac:dyDescent="0.25">
      <c r="A175" s="94" t="s">
        <v>511</v>
      </c>
    </row>
    <row r="177" spans="1:1" ht="52" x14ac:dyDescent="0.25">
      <c r="A177" s="95" t="s">
        <v>480</v>
      </c>
    </row>
    <row r="179" spans="1:1" ht="65" x14ac:dyDescent="0.25">
      <c r="A179" s="95" t="s">
        <v>512</v>
      </c>
    </row>
    <row r="181" spans="1:1" x14ac:dyDescent="0.25">
      <c r="A181" s="94" t="s">
        <v>404</v>
      </c>
    </row>
    <row r="182" spans="1:1" ht="13" x14ac:dyDescent="0.25">
      <c r="A182" s="94" t="s">
        <v>582</v>
      </c>
    </row>
    <row r="183" spans="1:1" ht="25.5" x14ac:dyDescent="0.25">
      <c r="A183" s="94" t="s">
        <v>583</v>
      </c>
    </row>
    <row r="184" spans="1:1" ht="50.5" x14ac:dyDescent="0.25">
      <c r="A184" s="94" t="s">
        <v>584</v>
      </c>
    </row>
    <row r="185" spans="1:1" ht="25.5" x14ac:dyDescent="0.25">
      <c r="A185" s="94" t="s">
        <v>585</v>
      </c>
    </row>
    <row r="186" spans="1:1" ht="38" x14ac:dyDescent="0.25">
      <c r="A186" s="94" t="s">
        <v>586</v>
      </c>
    </row>
    <row r="187" spans="1:1" ht="50.5" x14ac:dyDescent="0.25">
      <c r="A187" s="94" t="s">
        <v>587</v>
      </c>
    </row>
    <row r="188" spans="1:1" ht="38" x14ac:dyDescent="0.25">
      <c r="A188" s="94" t="s">
        <v>588</v>
      </c>
    </row>
    <row r="189" spans="1:1" ht="38" x14ac:dyDescent="0.25">
      <c r="A189" s="94" t="s">
        <v>589</v>
      </c>
    </row>
    <row r="190" spans="1:1" ht="38" x14ac:dyDescent="0.25">
      <c r="A190" s="94" t="s">
        <v>590</v>
      </c>
    </row>
    <row r="192" spans="1:1" ht="37.5" x14ac:dyDescent="0.25">
      <c r="A192" s="94" t="s">
        <v>514</v>
      </c>
    </row>
    <row r="193" spans="1:1" ht="38" x14ac:dyDescent="0.25">
      <c r="A193" s="94" t="s">
        <v>538</v>
      </c>
    </row>
    <row r="194" spans="1:1" ht="25.5" x14ac:dyDescent="0.25">
      <c r="A194" s="94" t="s">
        <v>591</v>
      </c>
    </row>
    <row r="195" spans="1:1" ht="38" x14ac:dyDescent="0.25">
      <c r="A195" s="94" t="s">
        <v>592</v>
      </c>
    </row>
    <row r="196" spans="1:1" ht="25.5" x14ac:dyDescent="0.25">
      <c r="A196" s="94" t="s">
        <v>593</v>
      </c>
    </row>
    <row r="197" spans="1:1" ht="25.5" x14ac:dyDescent="0.25">
      <c r="A197" s="94" t="s">
        <v>594</v>
      </c>
    </row>
    <row r="198" spans="1:1" ht="25.5" x14ac:dyDescent="0.25">
      <c r="A198" s="94" t="s">
        <v>595</v>
      </c>
    </row>
    <row r="199" spans="1:1" ht="25.5" x14ac:dyDescent="0.25">
      <c r="A199" s="94" t="s">
        <v>596</v>
      </c>
    </row>
    <row r="200" spans="1:1" ht="25.5" x14ac:dyDescent="0.25">
      <c r="A200" s="94" t="s">
        <v>597</v>
      </c>
    </row>
    <row r="201" spans="1:1" ht="13" x14ac:dyDescent="0.25">
      <c r="A201" s="94" t="s">
        <v>636</v>
      </c>
    </row>
    <row r="202" spans="1:1" ht="13" x14ac:dyDescent="0.25">
      <c r="A202" s="94" t="s">
        <v>598</v>
      </c>
    </row>
    <row r="203" spans="1:1" ht="25.5" x14ac:dyDescent="0.25">
      <c r="A203" s="94" t="s">
        <v>599</v>
      </c>
    </row>
    <row r="204" spans="1:1" ht="13" x14ac:dyDescent="0.25">
      <c r="A204" s="94" t="s">
        <v>600</v>
      </c>
    </row>
    <row r="205" spans="1:1" ht="13" x14ac:dyDescent="0.25">
      <c r="A205" s="94" t="s">
        <v>601</v>
      </c>
    </row>
    <row r="206" spans="1:1" ht="13" x14ac:dyDescent="0.25">
      <c r="A206" s="94" t="s">
        <v>602</v>
      </c>
    </row>
    <row r="207" spans="1:1" ht="25.5" x14ac:dyDescent="0.25">
      <c r="A207" s="94" t="s">
        <v>603</v>
      </c>
    </row>
    <row r="208" spans="1:1" ht="13" x14ac:dyDescent="0.25">
      <c r="A208" s="94" t="s">
        <v>637</v>
      </c>
    </row>
    <row r="209" spans="1:1" ht="25.5" x14ac:dyDescent="0.25">
      <c r="A209" s="94" t="s">
        <v>604</v>
      </c>
    </row>
    <row r="210" spans="1:1" ht="25.5" x14ac:dyDescent="0.25">
      <c r="A210" s="94" t="s">
        <v>605</v>
      </c>
    </row>
    <row r="211" spans="1:1" ht="25.5" x14ac:dyDescent="0.25">
      <c r="A211" s="94" t="s">
        <v>606</v>
      </c>
    </row>
    <row r="212" spans="1:1" ht="38" x14ac:dyDescent="0.25">
      <c r="A212" s="94" t="s">
        <v>638</v>
      </c>
    </row>
    <row r="213" spans="1:1" ht="25.5" x14ac:dyDescent="0.25">
      <c r="A213" s="94" t="s">
        <v>607</v>
      </c>
    </row>
    <row r="214" spans="1:1" ht="25.5" x14ac:dyDescent="0.25">
      <c r="A214" s="94" t="s">
        <v>608</v>
      </c>
    </row>
    <row r="215" spans="1:1" ht="38" x14ac:dyDescent="0.25">
      <c r="A215" s="94" t="s">
        <v>609</v>
      </c>
    </row>
    <row r="216" spans="1:1" ht="25.5" x14ac:dyDescent="0.25">
      <c r="A216" s="94" t="s">
        <v>610</v>
      </c>
    </row>
    <row r="217" spans="1:1" ht="25.5" x14ac:dyDescent="0.25">
      <c r="A217" s="94" t="s">
        <v>611</v>
      </c>
    </row>
    <row r="218" spans="1:1" ht="63" x14ac:dyDescent="0.25">
      <c r="A218" s="94" t="s">
        <v>612</v>
      </c>
    </row>
    <row r="219" spans="1:1" ht="63" x14ac:dyDescent="0.25">
      <c r="A219" s="94" t="s">
        <v>613</v>
      </c>
    </row>
    <row r="220" spans="1:1" ht="25.5" x14ac:dyDescent="0.25">
      <c r="A220" s="94" t="s">
        <v>614</v>
      </c>
    </row>
    <row r="221" spans="1:1" ht="25.5" x14ac:dyDescent="0.25">
      <c r="A221" s="94" t="s">
        <v>615</v>
      </c>
    </row>
    <row r="222" spans="1:1" ht="25.5" x14ac:dyDescent="0.25">
      <c r="A222" s="94" t="s">
        <v>639</v>
      </c>
    </row>
    <row r="223" spans="1:1" ht="25.5" x14ac:dyDescent="0.25">
      <c r="A223" s="94" t="s">
        <v>616</v>
      </c>
    </row>
    <row r="224" spans="1:1" ht="25.5" x14ac:dyDescent="0.25">
      <c r="A224" s="94" t="s">
        <v>617</v>
      </c>
    </row>
    <row r="225" spans="1:1" ht="38" x14ac:dyDescent="0.25">
      <c r="A225" s="94" t="s">
        <v>618</v>
      </c>
    </row>
    <row r="226" spans="1:1" ht="25.5" x14ac:dyDescent="0.25">
      <c r="A226" s="94" t="s">
        <v>619</v>
      </c>
    </row>
    <row r="227" spans="1:1" ht="25.5" x14ac:dyDescent="0.25">
      <c r="A227" s="94" t="s">
        <v>620</v>
      </c>
    </row>
    <row r="228" spans="1:1" ht="25.5" x14ac:dyDescent="0.25">
      <c r="A228" s="94" t="s">
        <v>621</v>
      </c>
    </row>
    <row r="229" spans="1:1" ht="25.5" x14ac:dyDescent="0.25">
      <c r="A229" s="94" t="s">
        <v>622</v>
      </c>
    </row>
    <row r="230" spans="1:1" ht="38" x14ac:dyDescent="0.25">
      <c r="A230" s="94" t="s">
        <v>623</v>
      </c>
    </row>
    <row r="232" spans="1:1" ht="52" x14ac:dyDescent="0.25">
      <c r="A232" s="95" t="s">
        <v>405</v>
      </c>
    </row>
    <row r="233" spans="1:1" ht="13" x14ac:dyDescent="0.25">
      <c r="A233" s="95"/>
    </row>
    <row r="234" spans="1:1" ht="65" x14ac:dyDescent="0.25">
      <c r="A234" s="95" t="s">
        <v>407</v>
      </c>
    </row>
    <row r="236" spans="1:1" ht="37.5" x14ac:dyDescent="0.25">
      <c r="A236" s="94" t="s">
        <v>406</v>
      </c>
    </row>
    <row r="238" spans="1:1" ht="13" x14ac:dyDescent="0.3">
      <c r="A238" s="98" t="s">
        <v>17</v>
      </c>
    </row>
    <row r="239" spans="1:1" ht="13" x14ac:dyDescent="0.3">
      <c r="A239" s="99"/>
    </row>
    <row r="240" spans="1:1" ht="37.5" x14ac:dyDescent="0.25">
      <c r="A240" s="100" t="s">
        <v>408</v>
      </c>
    </row>
    <row r="241" spans="1:1" ht="13" x14ac:dyDescent="0.3">
      <c r="A241" s="99"/>
    </row>
    <row r="242" spans="1:1" ht="26" x14ac:dyDescent="0.3">
      <c r="A242" s="99" t="s">
        <v>409</v>
      </c>
    </row>
    <row r="243" spans="1:1" ht="39" x14ac:dyDescent="0.3">
      <c r="A243" s="99" t="s">
        <v>418</v>
      </c>
    </row>
    <row r="244" spans="1:1" ht="39" x14ac:dyDescent="0.3">
      <c r="A244" s="99" t="s">
        <v>419</v>
      </c>
    </row>
    <row r="245" spans="1:1" ht="65" x14ac:dyDescent="0.3">
      <c r="A245" s="99" t="s">
        <v>420</v>
      </c>
    </row>
    <row r="246" spans="1:1" ht="39" x14ac:dyDescent="0.3">
      <c r="A246" s="99" t="s">
        <v>412</v>
      </c>
    </row>
    <row r="247" spans="1:1" ht="26" x14ac:dyDescent="0.3">
      <c r="A247" s="99" t="s">
        <v>640</v>
      </c>
    </row>
    <row r="248" spans="1:1" ht="39" x14ac:dyDescent="0.3">
      <c r="A248" s="99" t="s">
        <v>413</v>
      </c>
    </row>
    <row r="249" spans="1:1" ht="39" x14ac:dyDescent="0.3">
      <c r="A249" s="99" t="s">
        <v>414</v>
      </c>
    </row>
    <row r="250" spans="1:1" ht="65" x14ac:dyDescent="0.3">
      <c r="A250" s="99" t="s">
        <v>415</v>
      </c>
    </row>
    <row r="251" spans="1:1" ht="52" x14ac:dyDescent="0.3">
      <c r="A251" s="99" t="s">
        <v>416</v>
      </c>
    </row>
    <row r="252" spans="1:1" ht="39" x14ac:dyDescent="0.3">
      <c r="A252" s="99" t="s">
        <v>417</v>
      </c>
    </row>
    <row r="253" spans="1:1" ht="13" x14ac:dyDescent="0.3">
      <c r="A253" s="99"/>
    </row>
    <row r="254" spans="1:1" ht="26" x14ac:dyDescent="0.3">
      <c r="A254" s="99" t="s">
        <v>421</v>
      </c>
    </row>
    <row r="256" spans="1:1" ht="13" x14ac:dyDescent="0.3">
      <c r="A256" s="98" t="s">
        <v>422</v>
      </c>
    </row>
    <row r="258" spans="1:1" ht="37.5" x14ac:dyDescent="0.25">
      <c r="A258" s="94" t="s">
        <v>423</v>
      </c>
    </row>
    <row r="260" spans="1:1" ht="13" x14ac:dyDescent="0.25">
      <c r="A260" s="95" t="s">
        <v>114</v>
      </c>
    </row>
    <row r="262" spans="1:1" ht="50" x14ac:dyDescent="0.25">
      <c r="A262" s="94" t="s">
        <v>427</v>
      </c>
    </row>
    <row r="264" spans="1:1" ht="25" x14ac:dyDescent="0.25">
      <c r="A264" s="94" t="s">
        <v>428</v>
      </c>
    </row>
    <row r="266" spans="1:1" ht="13" x14ac:dyDescent="0.25">
      <c r="A266" s="95" t="s">
        <v>115</v>
      </c>
    </row>
    <row r="268" spans="1:1" ht="50" x14ac:dyDescent="0.25">
      <c r="A268" s="94" t="s">
        <v>429</v>
      </c>
    </row>
    <row r="270" spans="1:1" ht="39" x14ac:dyDescent="0.25">
      <c r="A270" s="95" t="s">
        <v>424</v>
      </c>
    </row>
    <row r="272" spans="1:1" ht="37.5" x14ac:dyDescent="0.25">
      <c r="A272" s="94" t="s">
        <v>488</v>
      </c>
    </row>
    <row r="274" spans="1:1" ht="26" x14ac:dyDescent="0.25">
      <c r="A274" s="95" t="s">
        <v>430</v>
      </c>
    </row>
    <row r="276" spans="1:1" ht="50" x14ac:dyDescent="0.25">
      <c r="A276" s="94" t="s">
        <v>425</v>
      </c>
    </row>
    <row r="278" spans="1:1" ht="50" x14ac:dyDescent="0.25">
      <c r="A278" s="94" t="s">
        <v>426</v>
      </c>
    </row>
    <row r="280" spans="1:1" ht="37.5" x14ac:dyDescent="0.25">
      <c r="A280" s="94" t="s">
        <v>481</v>
      </c>
    </row>
    <row r="282" spans="1:1" ht="13" x14ac:dyDescent="0.25">
      <c r="A282" s="95" t="s">
        <v>125</v>
      </c>
    </row>
    <row r="284" spans="1:1" ht="37.5" x14ac:dyDescent="0.25">
      <c r="A284" s="94" t="s">
        <v>641</v>
      </c>
    </row>
    <row r="286" spans="1:1" ht="50" x14ac:dyDescent="0.25">
      <c r="A286" s="94" t="s">
        <v>431</v>
      </c>
    </row>
    <row r="288" spans="1:1" ht="50" x14ac:dyDescent="0.25">
      <c r="A288" s="94" t="s">
        <v>435</v>
      </c>
    </row>
    <row r="290" spans="1:1" ht="26" x14ac:dyDescent="0.25">
      <c r="A290" s="95" t="s">
        <v>432</v>
      </c>
    </row>
    <row r="292" spans="1:1" ht="39" x14ac:dyDescent="0.25">
      <c r="A292" s="95" t="s">
        <v>436</v>
      </c>
    </row>
    <row r="294" spans="1:1" ht="37.5" x14ac:dyDescent="0.25">
      <c r="A294" s="94" t="s">
        <v>433</v>
      </c>
    </row>
    <row r="296" spans="1:1" ht="50" x14ac:dyDescent="0.25">
      <c r="A296" s="94" t="s">
        <v>437</v>
      </c>
    </row>
    <row r="298" spans="1:1" ht="37.5" x14ac:dyDescent="0.25">
      <c r="A298" s="94" t="s">
        <v>438</v>
      </c>
    </row>
    <row r="300" spans="1:1" ht="104" x14ac:dyDescent="0.25">
      <c r="A300" s="95" t="s">
        <v>439</v>
      </c>
    </row>
    <row r="302" spans="1:1" ht="50" x14ac:dyDescent="0.25">
      <c r="A302" s="94" t="s">
        <v>482</v>
      </c>
    </row>
    <row r="304" spans="1:1" ht="37.5" x14ac:dyDescent="0.25">
      <c r="A304" s="94" t="s">
        <v>440</v>
      </c>
    </row>
    <row r="306" spans="1:1" ht="52" x14ac:dyDescent="0.25">
      <c r="A306" s="95" t="s">
        <v>441</v>
      </c>
    </row>
    <row r="308" spans="1:1" ht="26" x14ac:dyDescent="0.25">
      <c r="A308" s="95" t="s">
        <v>442</v>
      </c>
    </row>
    <row r="310" spans="1:1" ht="13" x14ac:dyDescent="0.25">
      <c r="A310" s="95" t="s">
        <v>443</v>
      </c>
    </row>
    <row r="312" spans="1:1" ht="50" x14ac:dyDescent="0.25">
      <c r="A312" s="94" t="s">
        <v>483</v>
      </c>
    </row>
    <row r="314" spans="1:1" ht="62.5" x14ac:dyDescent="0.25">
      <c r="A314" s="94" t="s">
        <v>484</v>
      </c>
    </row>
    <row r="316" spans="1:1" ht="65" x14ac:dyDescent="0.25">
      <c r="A316" s="95" t="s">
        <v>642</v>
      </c>
    </row>
    <row r="318" spans="1:1" ht="37.5" x14ac:dyDescent="0.25">
      <c r="A318" s="94" t="s">
        <v>444</v>
      </c>
    </row>
    <row r="320" spans="1:1" ht="26" x14ac:dyDescent="0.25">
      <c r="A320" s="95" t="s">
        <v>445</v>
      </c>
    </row>
    <row r="322" spans="1:1" ht="39" x14ac:dyDescent="0.25">
      <c r="A322" s="95" t="s">
        <v>446</v>
      </c>
    </row>
    <row r="324" spans="1:1" ht="50" x14ac:dyDescent="0.25">
      <c r="A324" s="94" t="s">
        <v>447</v>
      </c>
    </row>
    <row r="326" spans="1:1" ht="39" x14ac:dyDescent="0.25">
      <c r="A326" s="95" t="s">
        <v>448</v>
      </c>
    </row>
    <row r="328" spans="1:1" ht="13" x14ac:dyDescent="0.25">
      <c r="A328" s="95" t="s">
        <v>449</v>
      </c>
    </row>
    <row r="330" spans="1:1" ht="62.5" x14ac:dyDescent="0.25">
      <c r="A330" s="94" t="s">
        <v>450</v>
      </c>
    </row>
    <row r="332" spans="1:1" ht="39" x14ac:dyDescent="0.25">
      <c r="A332" s="95" t="s">
        <v>451</v>
      </c>
    </row>
    <row r="334" spans="1:1" ht="13" x14ac:dyDescent="0.25">
      <c r="A334" s="95" t="s">
        <v>245</v>
      </c>
    </row>
    <row r="336" spans="1:1" ht="50" x14ac:dyDescent="0.25">
      <c r="A336" s="94" t="s">
        <v>485</v>
      </c>
    </row>
    <row r="338" spans="1:1" ht="39" x14ac:dyDescent="0.25">
      <c r="A338" s="95" t="s">
        <v>452</v>
      </c>
    </row>
    <row r="340" spans="1:1" ht="50" x14ac:dyDescent="0.25">
      <c r="A340" s="94" t="s">
        <v>453</v>
      </c>
    </row>
    <row r="342" spans="1:1" ht="26" x14ac:dyDescent="0.25">
      <c r="A342" s="95" t="s">
        <v>454</v>
      </c>
    </row>
    <row r="343" spans="1:1" ht="13" x14ac:dyDescent="0.25">
      <c r="A343" s="95"/>
    </row>
    <row r="344" spans="1:1" ht="37.5" x14ac:dyDescent="0.25">
      <c r="A344" s="94" t="s">
        <v>455</v>
      </c>
    </row>
    <row r="346" spans="1:1" ht="13" x14ac:dyDescent="0.25">
      <c r="A346" s="96" t="s">
        <v>141</v>
      </c>
    </row>
    <row r="348" spans="1:1" ht="37.5" x14ac:dyDescent="0.25">
      <c r="A348" s="94" t="s">
        <v>456</v>
      </c>
    </row>
    <row r="350" spans="1:1" ht="39" x14ac:dyDescent="0.25">
      <c r="A350" s="95" t="s">
        <v>457</v>
      </c>
    </row>
    <row r="352" spans="1:1" ht="39" x14ac:dyDescent="0.25">
      <c r="A352" s="95" t="s">
        <v>643</v>
      </c>
    </row>
    <row r="353" spans="1:1" ht="13" x14ac:dyDescent="0.25">
      <c r="A353" s="95"/>
    </row>
    <row r="354" spans="1:1" ht="39" x14ac:dyDescent="0.25">
      <c r="A354" s="95" t="s">
        <v>458</v>
      </c>
    </row>
    <row r="356" spans="1:1" ht="13" x14ac:dyDescent="0.25">
      <c r="A356" s="96" t="s">
        <v>154</v>
      </c>
    </row>
    <row r="358" spans="1:1" ht="50" x14ac:dyDescent="0.25">
      <c r="A358" s="94" t="s">
        <v>459</v>
      </c>
    </row>
    <row r="360" spans="1:1" ht="26" x14ac:dyDescent="0.25">
      <c r="A360" s="95" t="s">
        <v>460</v>
      </c>
    </row>
    <row r="361" spans="1:1" ht="13" x14ac:dyDescent="0.25">
      <c r="A361" s="95"/>
    </row>
    <row r="362" spans="1:1" ht="65" x14ac:dyDescent="0.25">
      <c r="A362" s="95" t="s">
        <v>644</v>
      </c>
    </row>
    <row r="364" spans="1:1" ht="39" x14ac:dyDescent="0.25">
      <c r="A364" s="95" t="s">
        <v>461</v>
      </c>
    </row>
    <row r="365" spans="1:1" ht="13" x14ac:dyDescent="0.25">
      <c r="A365" s="95"/>
    </row>
    <row r="366" spans="1:1" ht="26" x14ac:dyDescent="0.25">
      <c r="A366" s="95" t="s">
        <v>645</v>
      </c>
    </row>
    <row r="368" spans="1:1" ht="13" x14ac:dyDescent="0.25">
      <c r="A368" s="96" t="s">
        <v>462</v>
      </c>
    </row>
    <row r="370" spans="1:1" ht="37.5" x14ac:dyDescent="0.25">
      <c r="A370" s="94" t="s">
        <v>646</v>
      </c>
    </row>
    <row r="372" spans="1:1" ht="39" x14ac:dyDescent="0.25">
      <c r="A372" s="95" t="s">
        <v>463</v>
      </c>
    </row>
    <row r="374" spans="1:1" ht="39" x14ac:dyDescent="0.25">
      <c r="A374" s="95" t="s">
        <v>464</v>
      </c>
    </row>
    <row r="376" spans="1:1" ht="25" x14ac:dyDescent="0.25">
      <c r="A376" s="94" t="s">
        <v>647</v>
      </c>
    </row>
    <row r="378" spans="1:1" ht="50" x14ac:dyDescent="0.25">
      <c r="A378" s="94" t="s">
        <v>465</v>
      </c>
    </row>
    <row r="380" spans="1:1" ht="25" x14ac:dyDescent="0.25">
      <c r="A380" s="94" t="s">
        <v>466</v>
      </c>
    </row>
    <row r="381" spans="1:1" ht="26" x14ac:dyDescent="0.3">
      <c r="A381" s="99" t="s">
        <v>467</v>
      </c>
    </row>
    <row r="382" spans="1:1" ht="39" x14ac:dyDescent="0.3">
      <c r="A382" s="99" t="s">
        <v>468</v>
      </c>
    </row>
    <row r="383" spans="1:1" ht="26" x14ac:dyDescent="0.3">
      <c r="A383" s="99" t="s">
        <v>469</v>
      </c>
    </row>
    <row r="384" spans="1:1" ht="39" x14ac:dyDescent="0.3">
      <c r="A384" s="99" t="s">
        <v>470</v>
      </c>
    </row>
    <row r="385" spans="1:1" ht="39" x14ac:dyDescent="0.3">
      <c r="A385" s="99" t="s">
        <v>515</v>
      </c>
    </row>
    <row r="386" spans="1:1" ht="26" x14ac:dyDescent="0.3">
      <c r="A386" s="99" t="s">
        <v>471</v>
      </c>
    </row>
    <row r="387" spans="1:1" ht="26" x14ac:dyDescent="0.3">
      <c r="A387" s="99" t="s">
        <v>472</v>
      </c>
    </row>
    <row r="388" spans="1:1" ht="26" x14ac:dyDescent="0.3">
      <c r="A388" s="99" t="s">
        <v>473</v>
      </c>
    </row>
    <row r="389" spans="1:1" ht="26" x14ac:dyDescent="0.3">
      <c r="A389" s="99" t="s">
        <v>474</v>
      </c>
    </row>
    <row r="390" spans="1:1" ht="26" x14ac:dyDescent="0.3">
      <c r="A390" s="99" t="s">
        <v>475</v>
      </c>
    </row>
    <row r="391" spans="1:1" ht="13" x14ac:dyDescent="0.3">
      <c r="A391" s="99" t="s">
        <v>476</v>
      </c>
    </row>
    <row r="393" spans="1:1" ht="25" x14ac:dyDescent="0.25">
      <c r="A393" s="94" t="s">
        <v>477</v>
      </c>
    </row>
    <row r="395" spans="1:1" ht="39" x14ac:dyDescent="0.25">
      <c r="A395" s="95" t="s">
        <v>486</v>
      </c>
    </row>
    <row r="397" spans="1:1" ht="13" x14ac:dyDescent="0.3">
      <c r="A397" s="101" t="s">
        <v>3</v>
      </c>
    </row>
    <row r="398" spans="1:1" x14ac:dyDescent="0.25">
      <c r="A398" s="100"/>
    </row>
    <row r="399" spans="1:1" ht="50" x14ac:dyDescent="0.25">
      <c r="A399" s="100" t="s">
        <v>2</v>
      </c>
    </row>
    <row r="400" spans="1:1" x14ac:dyDescent="0.25">
      <c r="A400" s="100"/>
    </row>
    <row r="401" spans="1:1" s="103" customFormat="1" ht="13" x14ac:dyDescent="0.3">
      <c r="A401" s="102" t="s">
        <v>516</v>
      </c>
    </row>
    <row r="402" spans="1:1" s="103" customFormat="1" ht="13" x14ac:dyDescent="0.3">
      <c r="A402" s="102"/>
    </row>
    <row r="403" spans="1:1" s="103" customFormat="1" ht="75" x14ac:dyDescent="0.25">
      <c r="A403" s="104" t="s">
        <v>517</v>
      </c>
    </row>
  </sheetData>
  <sheetProtection selectLockedCells="1"/>
  <phoneticPr fontId="2" type="noConversion"/>
  <hyperlinks>
    <hyperlink ref="A3" r:id="rId1" xr:uid="{00000000-0004-0000-0300-000000000000}"/>
  </hyperlinks>
  <pageMargins left="0.39370078740157483" right="0.39370078740157483" top="0.59055118110236227" bottom="0.59055118110236227" header="0.39370078740157483" footer="0.39370078740157483"/>
  <pageSetup paperSize="9" scale="88" fitToHeight="0" orientation="portrait" r:id="rId2"/>
  <headerFooter alignWithMargins="0">
    <oddFooter>&amp;C&amp;9Page &amp;P of &amp;N</oddFooter>
  </headerFooter>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K75"/>
  <sheetViews>
    <sheetView zoomScale="95" zoomScaleNormal="95" workbookViewId="0">
      <selection activeCell="C5" sqref="C5:D5"/>
    </sheetView>
  </sheetViews>
  <sheetFormatPr defaultColWidth="9.08984375" defaultRowHeight="16" customHeight="1" x14ac:dyDescent="0.25"/>
  <cols>
    <col min="1" max="1" width="7.6328125" style="3" customWidth="1"/>
    <col min="2" max="2" width="8.6328125" style="3" customWidth="1"/>
    <col min="3" max="3" width="32.453125" style="3" bestFit="1" customWidth="1"/>
    <col min="4" max="4" width="12.6328125" style="3" customWidth="1"/>
    <col min="5" max="6" width="12.6328125" style="4" customWidth="1"/>
    <col min="7" max="12" width="12.6328125" style="3" customWidth="1"/>
    <col min="13" max="13" width="15.6328125" style="3" customWidth="1"/>
    <col min="14" max="16384" width="9.08984375" style="3"/>
  </cols>
  <sheetData>
    <row r="1" spans="1:6" ht="16" customHeight="1" x14ac:dyDescent="0.3">
      <c r="A1" s="87" t="str">
        <f>$C$5</f>
        <v>Example (Pty) Ltd</v>
      </c>
      <c r="B1" s="2"/>
      <c r="C1" s="2"/>
    </row>
    <row r="2" spans="1:6" ht="16" customHeight="1" x14ac:dyDescent="0.25">
      <c r="A2" s="5" t="s">
        <v>86</v>
      </c>
      <c r="B2" s="5"/>
      <c r="C2" s="5"/>
    </row>
    <row r="3" spans="1:6" ht="16" customHeight="1" x14ac:dyDescent="0.25">
      <c r="F3" s="6"/>
    </row>
    <row r="4" spans="1:6" ht="16" customHeight="1" x14ac:dyDescent="0.25">
      <c r="A4" s="2" t="s">
        <v>9</v>
      </c>
      <c r="B4" s="2"/>
      <c r="C4" s="2"/>
    </row>
    <row r="5" spans="1:6" ht="16" customHeight="1" x14ac:dyDescent="0.25">
      <c r="A5" s="3" t="s">
        <v>8</v>
      </c>
      <c r="C5" s="107" t="s">
        <v>1</v>
      </c>
      <c r="D5" s="107"/>
    </row>
    <row r="6" spans="1:6" ht="16" customHeight="1" x14ac:dyDescent="0.25">
      <c r="E6" s="3"/>
      <c r="F6" s="3"/>
    </row>
    <row r="7" spans="1:6" ht="16" customHeight="1" x14ac:dyDescent="0.25">
      <c r="A7" s="3" t="s">
        <v>110</v>
      </c>
      <c r="C7" s="7">
        <v>41671</v>
      </c>
      <c r="D7" s="8"/>
    </row>
    <row r="8" spans="1:6" ht="16" customHeight="1" x14ac:dyDescent="0.25">
      <c r="D8" s="8"/>
    </row>
    <row r="9" spans="1:6" ht="16" customHeight="1" x14ac:dyDescent="0.25">
      <c r="A9" s="3" t="s">
        <v>250</v>
      </c>
      <c r="C9" s="9">
        <v>0.28000000000000003</v>
      </c>
      <c r="D9" s="8"/>
    </row>
    <row r="10" spans="1:6" ht="16" customHeight="1" x14ac:dyDescent="0.25">
      <c r="C10" s="8"/>
      <c r="D10" s="8"/>
    </row>
    <row r="11" spans="1:6" ht="16" customHeight="1" x14ac:dyDescent="0.25">
      <c r="A11" s="2" t="s">
        <v>40</v>
      </c>
      <c r="B11" s="2"/>
      <c r="C11" s="2"/>
    </row>
    <row r="12" spans="1:6" s="5" customFormat="1" ht="16" customHeight="1" x14ac:dyDescent="0.25">
      <c r="A12" s="5" t="s">
        <v>10</v>
      </c>
      <c r="B12" s="5" t="s">
        <v>5</v>
      </c>
      <c r="E12" s="10"/>
      <c r="F12" s="10"/>
    </row>
    <row r="13" spans="1:6" ht="16" customHeight="1" x14ac:dyDescent="0.25">
      <c r="A13" s="11" t="s">
        <v>259</v>
      </c>
      <c r="B13" s="12" t="s">
        <v>260</v>
      </c>
      <c r="C13" s="13"/>
      <c r="D13" s="14"/>
    </row>
    <row r="14" spans="1:6" ht="16" customHeight="1" x14ac:dyDescent="0.25">
      <c r="A14" s="11" t="s">
        <v>41</v>
      </c>
      <c r="B14" s="12" t="s">
        <v>276</v>
      </c>
      <c r="C14" s="13"/>
      <c r="D14" s="14"/>
    </row>
    <row r="15" spans="1:6" ht="16" customHeight="1" x14ac:dyDescent="0.25">
      <c r="A15" s="11" t="s">
        <v>42</v>
      </c>
      <c r="B15" s="12" t="s">
        <v>46</v>
      </c>
      <c r="C15" s="13"/>
      <c r="D15" s="14"/>
    </row>
    <row r="16" spans="1:6" ht="16" customHeight="1" x14ac:dyDescent="0.25">
      <c r="A16" s="11" t="s">
        <v>43</v>
      </c>
      <c r="B16" s="12" t="s">
        <v>47</v>
      </c>
      <c r="C16" s="13"/>
      <c r="D16" s="14"/>
    </row>
    <row r="17" spans="1:11" ht="16" customHeight="1" x14ac:dyDescent="0.25">
      <c r="A17" s="11" t="s">
        <v>44</v>
      </c>
      <c r="B17" s="12" t="s">
        <v>90</v>
      </c>
      <c r="C17" s="13"/>
      <c r="D17" s="14"/>
    </row>
    <row r="18" spans="1:11" ht="16" customHeight="1" x14ac:dyDescent="0.25">
      <c r="A18" s="11" t="s">
        <v>45</v>
      </c>
      <c r="B18" s="12" t="s">
        <v>48</v>
      </c>
      <c r="C18" s="13"/>
      <c r="D18" s="14"/>
    </row>
    <row r="19" spans="1:11" s="5" customFormat="1" ht="16" customHeight="1" x14ac:dyDescent="0.25">
      <c r="A19" s="5" t="s">
        <v>49</v>
      </c>
      <c r="B19" s="108" t="s">
        <v>50</v>
      </c>
      <c r="C19" s="108"/>
      <c r="D19" s="108"/>
      <c r="E19" s="10"/>
      <c r="F19" s="10"/>
    </row>
    <row r="20" spans="1:11" ht="16" customHeight="1" x14ac:dyDescent="0.25">
      <c r="B20" s="8"/>
      <c r="C20" s="8"/>
      <c r="D20" s="8"/>
    </row>
    <row r="21" spans="1:11" ht="16" customHeight="1" x14ac:dyDescent="0.25">
      <c r="A21" s="2" t="s">
        <v>51</v>
      </c>
      <c r="B21" s="2"/>
      <c r="C21" s="2"/>
    </row>
    <row r="22" spans="1:11" s="5" customFormat="1" ht="16" customHeight="1" x14ac:dyDescent="0.25">
      <c r="A22" s="5" t="s">
        <v>10</v>
      </c>
      <c r="B22" s="5" t="s">
        <v>20</v>
      </c>
      <c r="C22" s="5" t="s">
        <v>5</v>
      </c>
      <c r="D22" s="10" t="s">
        <v>147</v>
      </c>
      <c r="E22" s="10" t="s">
        <v>167</v>
      </c>
      <c r="F22" s="10" t="s">
        <v>169</v>
      </c>
      <c r="G22" s="10" t="s">
        <v>168</v>
      </c>
      <c r="H22" s="10" t="s">
        <v>117</v>
      </c>
      <c r="I22" s="10" t="s">
        <v>175</v>
      </c>
      <c r="J22" s="10" t="s">
        <v>247</v>
      </c>
      <c r="K22" s="10" t="s">
        <v>246</v>
      </c>
    </row>
    <row r="23" spans="1:11" ht="16" customHeight="1" x14ac:dyDescent="0.25">
      <c r="A23" s="11" t="s">
        <v>271</v>
      </c>
      <c r="B23" s="15" t="s">
        <v>259</v>
      </c>
      <c r="C23" s="16" t="s">
        <v>260</v>
      </c>
      <c r="D23" s="17" t="s">
        <v>155</v>
      </c>
      <c r="E23" s="17" t="s">
        <v>68</v>
      </c>
      <c r="F23" s="17" t="s">
        <v>57</v>
      </c>
      <c r="G23" s="17" t="s">
        <v>172</v>
      </c>
      <c r="H23" s="17" t="s">
        <v>183</v>
      </c>
      <c r="I23" s="17" t="s">
        <v>176</v>
      </c>
      <c r="J23" s="17" t="s">
        <v>248</v>
      </c>
      <c r="K23" s="17" t="s">
        <v>249</v>
      </c>
    </row>
    <row r="24" spans="1:11" ht="16" customHeight="1" x14ac:dyDescent="0.25">
      <c r="A24" s="11" t="s">
        <v>267</v>
      </c>
      <c r="B24" s="15" t="s">
        <v>41</v>
      </c>
      <c r="C24" s="16" t="s">
        <v>52</v>
      </c>
      <c r="D24" s="17" t="s">
        <v>156</v>
      </c>
      <c r="E24" s="17" t="s">
        <v>69</v>
      </c>
      <c r="F24" s="17" t="s">
        <v>58</v>
      </c>
      <c r="G24" s="17" t="s">
        <v>172</v>
      </c>
      <c r="H24" s="17" t="s">
        <v>183</v>
      </c>
      <c r="I24" s="17" t="s">
        <v>176</v>
      </c>
      <c r="J24" s="17" t="s">
        <v>248</v>
      </c>
      <c r="K24" s="17" t="s">
        <v>249</v>
      </c>
    </row>
    <row r="25" spans="1:11" ht="16" customHeight="1" x14ac:dyDescent="0.25">
      <c r="A25" s="11" t="s">
        <v>268</v>
      </c>
      <c r="B25" s="15" t="s">
        <v>41</v>
      </c>
      <c r="C25" s="16" t="s">
        <v>53</v>
      </c>
      <c r="D25" s="17" t="s">
        <v>157</v>
      </c>
      <c r="E25" s="17" t="s">
        <v>70</v>
      </c>
      <c r="F25" s="17" t="s">
        <v>59</v>
      </c>
      <c r="G25" s="17" t="s">
        <v>172</v>
      </c>
      <c r="H25" s="17" t="s">
        <v>183</v>
      </c>
      <c r="I25" s="17" t="s">
        <v>176</v>
      </c>
      <c r="J25" s="17" t="s">
        <v>248</v>
      </c>
      <c r="K25" s="17" t="s">
        <v>249</v>
      </c>
    </row>
    <row r="26" spans="1:11" ht="16" customHeight="1" x14ac:dyDescent="0.25">
      <c r="A26" s="11" t="s">
        <v>269</v>
      </c>
      <c r="B26" s="15" t="s">
        <v>41</v>
      </c>
      <c r="C26" s="16" t="s">
        <v>54</v>
      </c>
      <c r="D26" s="17" t="s">
        <v>158</v>
      </c>
      <c r="E26" s="17" t="s">
        <v>71</v>
      </c>
      <c r="F26" s="17" t="s">
        <v>60</v>
      </c>
      <c r="G26" s="17" t="s">
        <v>172</v>
      </c>
      <c r="H26" s="17" t="s">
        <v>183</v>
      </c>
      <c r="I26" s="17" t="s">
        <v>176</v>
      </c>
      <c r="J26" s="17" t="s">
        <v>248</v>
      </c>
      <c r="K26" s="17" t="s">
        <v>249</v>
      </c>
    </row>
    <row r="27" spans="1:11" ht="16" customHeight="1" x14ac:dyDescent="0.25">
      <c r="A27" s="11" t="s">
        <v>270</v>
      </c>
      <c r="B27" s="15" t="s">
        <v>41</v>
      </c>
      <c r="C27" s="16" t="s">
        <v>55</v>
      </c>
      <c r="D27" s="17" t="s">
        <v>159</v>
      </c>
      <c r="E27" s="17" t="s">
        <v>72</v>
      </c>
      <c r="F27" s="17" t="s">
        <v>61</v>
      </c>
      <c r="G27" s="17" t="s">
        <v>172</v>
      </c>
      <c r="H27" s="17" t="s">
        <v>183</v>
      </c>
      <c r="I27" s="17" t="s">
        <v>176</v>
      </c>
      <c r="J27" s="17" t="s">
        <v>248</v>
      </c>
      <c r="K27" s="17" t="s">
        <v>249</v>
      </c>
    </row>
    <row r="28" spans="1:11" ht="16" customHeight="1" x14ac:dyDescent="0.25">
      <c r="A28" s="11" t="s">
        <v>266</v>
      </c>
      <c r="B28" s="15" t="s">
        <v>41</v>
      </c>
      <c r="C28" s="16" t="s">
        <v>56</v>
      </c>
      <c r="D28" s="17" t="s">
        <v>160</v>
      </c>
      <c r="E28" s="17" t="s">
        <v>73</v>
      </c>
      <c r="F28" s="17" t="s">
        <v>62</v>
      </c>
      <c r="G28" s="17" t="s">
        <v>172</v>
      </c>
      <c r="H28" s="17" t="s">
        <v>183</v>
      </c>
      <c r="I28" s="17" t="s">
        <v>176</v>
      </c>
      <c r="J28" s="17" t="s">
        <v>248</v>
      </c>
      <c r="K28" s="17" t="s">
        <v>249</v>
      </c>
    </row>
    <row r="29" spans="1:11" ht="16" customHeight="1" x14ac:dyDescent="0.25">
      <c r="A29" s="11" t="s">
        <v>262</v>
      </c>
      <c r="B29" s="15" t="s">
        <v>42</v>
      </c>
      <c r="C29" s="16" t="s">
        <v>264</v>
      </c>
      <c r="D29" s="17" t="s">
        <v>161</v>
      </c>
      <c r="E29" s="17" t="s">
        <v>74</v>
      </c>
      <c r="F29" s="17" t="s">
        <v>63</v>
      </c>
      <c r="G29" s="17" t="s">
        <v>172</v>
      </c>
      <c r="H29" s="17" t="s">
        <v>183</v>
      </c>
      <c r="I29" s="17" t="s">
        <v>176</v>
      </c>
      <c r="J29" s="17" t="s">
        <v>248</v>
      </c>
      <c r="K29" s="17" t="s">
        <v>249</v>
      </c>
    </row>
    <row r="30" spans="1:11" ht="16" customHeight="1" x14ac:dyDescent="0.25">
      <c r="A30" s="11" t="s">
        <v>263</v>
      </c>
      <c r="B30" s="15" t="s">
        <v>42</v>
      </c>
      <c r="C30" s="16" t="s">
        <v>265</v>
      </c>
      <c r="D30" s="17" t="s">
        <v>162</v>
      </c>
      <c r="E30" s="17" t="s">
        <v>75</v>
      </c>
      <c r="F30" s="17" t="s">
        <v>64</v>
      </c>
      <c r="G30" s="17" t="s">
        <v>172</v>
      </c>
      <c r="H30" s="17" t="s">
        <v>183</v>
      </c>
      <c r="I30" s="17" t="s">
        <v>176</v>
      </c>
      <c r="J30" s="17" t="s">
        <v>248</v>
      </c>
      <c r="K30" s="17" t="s">
        <v>249</v>
      </c>
    </row>
    <row r="31" spans="1:11" ht="16" customHeight="1" x14ac:dyDescent="0.25">
      <c r="A31" s="11" t="s">
        <v>304</v>
      </c>
      <c r="B31" s="15" t="s">
        <v>43</v>
      </c>
      <c r="C31" s="16" t="s">
        <v>47</v>
      </c>
      <c r="D31" s="17" t="s">
        <v>163</v>
      </c>
      <c r="E31" s="17" t="s">
        <v>76</v>
      </c>
      <c r="F31" s="17" t="s">
        <v>65</v>
      </c>
      <c r="G31" s="17" t="s">
        <v>172</v>
      </c>
      <c r="H31" s="17" t="s">
        <v>183</v>
      </c>
      <c r="I31" s="17" t="s">
        <v>176</v>
      </c>
      <c r="J31" s="17" t="s">
        <v>248</v>
      </c>
      <c r="K31" s="17" t="s">
        <v>249</v>
      </c>
    </row>
    <row r="32" spans="1:11" ht="16" customHeight="1" x14ac:dyDescent="0.25">
      <c r="A32" s="11" t="s">
        <v>305</v>
      </c>
      <c r="B32" s="15" t="s">
        <v>44</v>
      </c>
      <c r="C32" s="16" t="s">
        <v>90</v>
      </c>
      <c r="D32" s="17" t="s">
        <v>164</v>
      </c>
      <c r="E32" s="17" t="s">
        <v>77</v>
      </c>
      <c r="F32" s="17" t="s">
        <v>66</v>
      </c>
      <c r="G32" s="17" t="s">
        <v>172</v>
      </c>
      <c r="H32" s="17" t="s">
        <v>183</v>
      </c>
      <c r="I32" s="17" t="s">
        <v>176</v>
      </c>
      <c r="J32" s="17" t="s">
        <v>248</v>
      </c>
      <c r="K32" s="17" t="s">
        <v>249</v>
      </c>
    </row>
    <row r="33" spans="1:11" ht="16" customHeight="1" x14ac:dyDescent="0.25">
      <c r="A33" s="11" t="s">
        <v>306</v>
      </c>
      <c r="B33" s="15" t="s">
        <v>45</v>
      </c>
      <c r="C33" s="16" t="s">
        <v>48</v>
      </c>
      <c r="D33" s="17" t="s">
        <v>165</v>
      </c>
      <c r="E33" s="17" t="s">
        <v>78</v>
      </c>
      <c r="F33" s="17" t="s">
        <v>67</v>
      </c>
      <c r="G33" s="17" t="s">
        <v>172</v>
      </c>
      <c r="H33" s="17" t="s">
        <v>183</v>
      </c>
      <c r="I33" s="17" t="s">
        <v>176</v>
      </c>
      <c r="J33" s="17" t="s">
        <v>248</v>
      </c>
      <c r="K33" s="17" t="s">
        <v>249</v>
      </c>
    </row>
    <row r="34" spans="1:11" s="5" customFormat="1" ht="16" customHeight="1" x14ac:dyDescent="0.25">
      <c r="A34" s="5" t="s">
        <v>49</v>
      </c>
      <c r="B34" s="18" t="s">
        <v>50</v>
      </c>
      <c r="D34" s="18"/>
      <c r="E34" s="10"/>
      <c r="F34" s="10"/>
    </row>
    <row r="35" spans="1:11" ht="16" customHeight="1" x14ac:dyDescent="0.25">
      <c r="B35" s="8"/>
      <c r="C35" s="8"/>
      <c r="D35" s="4"/>
      <c r="G35" s="4"/>
      <c r="H35" s="4"/>
    </row>
    <row r="36" spans="1:11" ht="16" customHeight="1" x14ac:dyDescent="0.25">
      <c r="A36" s="2" t="s">
        <v>210</v>
      </c>
      <c r="B36" s="8"/>
      <c r="D36" s="4"/>
      <c r="G36" s="4"/>
      <c r="H36" s="4"/>
    </row>
    <row r="37" spans="1:11" s="5" customFormat="1" ht="16" customHeight="1" x14ac:dyDescent="0.25">
      <c r="A37" s="5" t="s">
        <v>10</v>
      </c>
      <c r="B37" s="10" t="s">
        <v>231</v>
      </c>
      <c r="C37" s="18" t="s">
        <v>5</v>
      </c>
      <c r="D37" s="10" t="s">
        <v>225</v>
      </c>
      <c r="E37" s="10" t="s">
        <v>224</v>
      </c>
      <c r="F37" s="10" t="s">
        <v>223</v>
      </c>
      <c r="G37" s="10" t="s">
        <v>222</v>
      </c>
      <c r="H37" s="10" t="s">
        <v>221</v>
      </c>
      <c r="I37" s="10" t="s">
        <v>234</v>
      </c>
      <c r="J37" s="10" t="s">
        <v>238</v>
      </c>
    </row>
    <row r="38" spans="1:11" ht="16" customHeight="1" x14ac:dyDescent="0.25">
      <c r="A38" s="11" t="s">
        <v>211</v>
      </c>
      <c r="B38" s="17" t="s">
        <v>232</v>
      </c>
      <c r="C38" s="11" t="s">
        <v>226</v>
      </c>
      <c r="D38" s="19">
        <v>0.2</v>
      </c>
      <c r="E38" s="19">
        <v>0.2</v>
      </c>
      <c r="F38" s="19">
        <v>0.2</v>
      </c>
      <c r="G38" s="19">
        <v>0.2</v>
      </c>
      <c r="H38" s="19">
        <v>0.2</v>
      </c>
      <c r="I38" s="20">
        <f>SUM(D38:H38)</f>
        <v>1</v>
      </c>
      <c r="J38" s="21">
        <f>IF($B38="Yes",1,0)</f>
        <v>1</v>
      </c>
    </row>
    <row r="39" spans="1:11" ht="16" customHeight="1" x14ac:dyDescent="0.25">
      <c r="A39" s="11" t="s">
        <v>212</v>
      </c>
      <c r="B39" s="17" t="s">
        <v>233</v>
      </c>
      <c r="C39" s="11" t="s">
        <v>227</v>
      </c>
      <c r="D39" s="19">
        <v>0.5</v>
      </c>
      <c r="E39" s="19">
        <v>0.3</v>
      </c>
      <c r="F39" s="19">
        <v>0.2</v>
      </c>
      <c r="G39" s="19">
        <v>0</v>
      </c>
      <c r="H39" s="19">
        <v>0</v>
      </c>
      <c r="I39" s="20">
        <f t="shared" ref="I39:I47" si="0">SUM(D39:H39)</f>
        <v>1</v>
      </c>
      <c r="J39" s="21">
        <f t="shared" ref="J39:J47" si="1">IF($B39="Yes",1,0)</f>
        <v>0</v>
      </c>
    </row>
    <row r="40" spans="1:11" ht="16" customHeight="1" x14ac:dyDescent="0.25">
      <c r="A40" s="11" t="s">
        <v>213</v>
      </c>
      <c r="B40" s="17" t="s">
        <v>232</v>
      </c>
      <c r="C40" s="11" t="s">
        <v>228</v>
      </c>
      <c r="D40" s="19">
        <v>0.05</v>
      </c>
      <c r="E40" s="19">
        <v>0.05</v>
      </c>
      <c r="F40" s="19">
        <v>0.05</v>
      </c>
      <c r="G40" s="19">
        <v>0.05</v>
      </c>
      <c r="H40" s="19">
        <v>0.05</v>
      </c>
      <c r="I40" s="20">
        <f t="shared" si="0"/>
        <v>0.25</v>
      </c>
      <c r="J40" s="21">
        <f t="shared" si="1"/>
        <v>1</v>
      </c>
    </row>
    <row r="41" spans="1:11" ht="16" customHeight="1" x14ac:dyDescent="0.25">
      <c r="A41" s="11" t="s">
        <v>214</v>
      </c>
      <c r="B41" s="17" t="s">
        <v>232</v>
      </c>
      <c r="C41" s="11" t="s">
        <v>56</v>
      </c>
      <c r="D41" s="19">
        <v>1</v>
      </c>
      <c r="E41" s="19">
        <v>0</v>
      </c>
      <c r="F41" s="19">
        <v>0</v>
      </c>
      <c r="G41" s="19">
        <v>0</v>
      </c>
      <c r="H41" s="19">
        <v>0</v>
      </c>
      <c r="I41" s="20">
        <f t="shared" si="0"/>
        <v>1</v>
      </c>
      <c r="J41" s="21">
        <f t="shared" si="1"/>
        <v>1</v>
      </c>
    </row>
    <row r="42" spans="1:11" ht="16" customHeight="1" x14ac:dyDescent="0.25">
      <c r="A42" s="11" t="s">
        <v>215</v>
      </c>
      <c r="B42" s="17" t="s">
        <v>232</v>
      </c>
      <c r="C42" s="11" t="s">
        <v>229</v>
      </c>
      <c r="D42" s="19">
        <v>0.33333333333333331</v>
      </c>
      <c r="E42" s="19">
        <v>0.33333333333333331</v>
      </c>
      <c r="F42" s="19">
        <v>0.33333333333333331</v>
      </c>
      <c r="G42" s="19">
        <v>0</v>
      </c>
      <c r="H42" s="19">
        <v>0</v>
      </c>
      <c r="I42" s="20">
        <f t="shared" si="0"/>
        <v>1</v>
      </c>
      <c r="J42" s="21">
        <f t="shared" si="1"/>
        <v>1</v>
      </c>
    </row>
    <row r="43" spans="1:11" ht="16" customHeight="1" x14ac:dyDescent="0.25">
      <c r="A43" s="11" t="s">
        <v>216</v>
      </c>
      <c r="B43" s="17" t="s">
        <v>232</v>
      </c>
      <c r="C43" s="11" t="s">
        <v>230</v>
      </c>
      <c r="D43" s="19">
        <v>0.5</v>
      </c>
      <c r="E43" s="19">
        <v>0.5</v>
      </c>
      <c r="F43" s="19">
        <v>0</v>
      </c>
      <c r="G43" s="19">
        <v>0</v>
      </c>
      <c r="H43" s="19">
        <v>0</v>
      </c>
      <c r="I43" s="20">
        <f t="shared" si="0"/>
        <v>1</v>
      </c>
      <c r="J43" s="21">
        <f t="shared" si="1"/>
        <v>1</v>
      </c>
    </row>
    <row r="44" spans="1:11" ht="16" customHeight="1" x14ac:dyDescent="0.25">
      <c r="A44" s="11" t="s">
        <v>217</v>
      </c>
      <c r="B44" s="17" t="s">
        <v>232</v>
      </c>
      <c r="C44" s="11" t="s">
        <v>47</v>
      </c>
      <c r="D44" s="19">
        <v>0.25</v>
      </c>
      <c r="E44" s="19">
        <v>0.25</v>
      </c>
      <c r="F44" s="19">
        <v>0.25</v>
      </c>
      <c r="G44" s="19">
        <v>0.25</v>
      </c>
      <c r="H44" s="19">
        <v>0</v>
      </c>
      <c r="I44" s="20">
        <f t="shared" si="0"/>
        <v>1</v>
      </c>
      <c r="J44" s="21">
        <f t="shared" si="1"/>
        <v>1</v>
      </c>
    </row>
    <row r="45" spans="1:11" ht="16" customHeight="1" x14ac:dyDescent="0.25">
      <c r="A45" s="11" t="s">
        <v>218</v>
      </c>
      <c r="B45" s="17" t="s">
        <v>232</v>
      </c>
      <c r="C45" s="11" t="s">
        <v>90</v>
      </c>
      <c r="D45" s="19">
        <v>0.16666666666666666</v>
      </c>
      <c r="E45" s="19">
        <v>0.16666666666666666</v>
      </c>
      <c r="F45" s="19">
        <v>0.16666666666666666</v>
      </c>
      <c r="G45" s="19">
        <v>0.16666666666666666</v>
      </c>
      <c r="H45" s="19">
        <v>0.16666666666666666</v>
      </c>
      <c r="I45" s="20">
        <f t="shared" si="0"/>
        <v>0.83333333333333326</v>
      </c>
      <c r="J45" s="21">
        <f t="shared" si="1"/>
        <v>1</v>
      </c>
    </row>
    <row r="46" spans="1:11" ht="16" customHeight="1" x14ac:dyDescent="0.25">
      <c r="A46" s="11" t="s">
        <v>219</v>
      </c>
      <c r="B46" s="17" t="s">
        <v>232</v>
      </c>
      <c r="C46" s="11" t="s">
        <v>48</v>
      </c>
      <c r="D46" s="19">
        <v>0.2</v>
      </c>
      <c r="E46" s="19">
        <v>0.2</v>
      </c>
      <c r="F46" s="19">
        <v>0.2</v>
      </c>
      <c r="G46" s="19">
        <v>0.2</v>
      </c>
      <c r="H46" s="19">
        <v>0.2</v>
      </c>
      <c r="I46" s="20">
        <f t="shared" si="0"/>
        <v>1</v>
      </c>
      <c r="J46" s="21">
        <f t="shared" si="1"/>
        <v>1</v>
      </c>
    </row>
    <row r="47" spans="1:11" ht="16" customHeight="1" x14ac:dyDescent="0.25">
      <c r="A47" s="11" t="s">
        <v>220</v>
      </c>
      <c r="B47" s="17" t="s">
        <v>232</v>
      </c>
      <c r="C47" s="11" t="s">
        <v>261</v>
      </c>
      <c r="D47" s="19">
        <v>0</v>
      </c>
      <c r="E47" s="19">
        <v>0</v>
      </c>
      <c r="F47" s="19">
        <v>0</v>
      </c>
      <c r="G47" s="19">
        <v>0</v>
      </c>
      <c r="H47" s="19">
        <v>0</v>
      </c>
      <c r="I47" s="20">
        <f t="shared" si="0"/>
        <v>0</v>
      </c>
      <c r="J47" s="21">
        <f t="shared" si="1"/>
        <v>1</v>
      </c>
    </row>
    <row r="48" spans="1:11" s="5" customFormat="1" ht="16" customHeight="1" x14ac:dyDescent="0.25">
      <c r="A48" s="5" t="s">
        <v>49</v>
      </c>
      <c r="B48" s="18" t="s">
        <v>50</v>
      </c>
      <c r="C48" s="18"/>
      <c r="D48" s="22"/>
      <c r="E48" s="23"/>
      <c r="F48" s="23"/>
      <c r="G48" s="24"/>
      <c r="H48" s="24"/>
    </row>
    <row r="49" spans="1:11" ht="16" customHeight="1" x14ac:dyDescent="0.25">
      <c r="B49" s="4"/>
      <c r="D49" s="4"/>
      <c r="F49" s="25"/>
      <c r="H49" s="26"/>
    </row>
    <row r="50" spans="1:11" ht="16" customHeight="1" x14ac:dyDescent="0.25">
      <c r="A50" s="2" t="s">
        <v>16</v>
      </c>
      <c r="D50" s="4"/>
      <c r="F50" s="25"/>
      <c r="I50" s="27"/>
      <c r="K50" s="28"/>
    </row>
    <row r="51" spans="1:11" ht="16" customHeight="1" x14ac:dyDescent="0.25">
      <c r="A51" s="5" t="s">
        <v>10</v>
      </c>
      <c r="B51" s="5" t="s">
        <v>12</v>
      </c>
      <c r="C51" s="5"/>
      <c r="F51" s="29"/>
      <c r="I51" s="30"/>
      <c r="K51" s="28"/>
    </row>
    <row r="52" spans="1:11" ht="16" customHeight="1" x14ac:dyDescent="0.25">
      <c r="A52" s="15" t="s">
        <v>13</v>
      </c>
      <c r="B52" s="106" t="s">
        <v>410</v>
      </c>
      <c r="C52" s="106"/>
      <c r="D52" s="106"/>
      <c r="E52" s="106"/>
      <c r="H52" s="28"/>
      <c r="K52" s="28"/>
    </row>
    <row r="53" spans="1:11" ht="16" customHeight="1" x14ac:dyDescent="0.25">
      <c r="A53" s="15" t="s">
        <v>14</v>
      </c>
      <c r="B53" s="106" t="s">
        <v>188</v>
      </c>
      <c r="C53" s="106"/>
      <c r="D53" s="106"/>
      <c r="E53" s="106"/>
      <c r="K53" s="28"/>
    </row>
    <row r="54" spans="1:11" ht="16" customHeight="1" x14ac:dyDescent="0.25">
      <c r="A54" s="15" t="s">
        <v>15</v>
      </c>
      <c r="B54" s="106" t="s">
        <v>411</v>
      </c>
      <c r="C54" s="106"/>
      <c r="D54" s="106"/>
      <c r="E54" s="106"/>
    </row>
    <row r="55" spans="1:11" ht="16" customHeight="1" x14ac:dyDescent="0.25">
      <c r="A55" s="15" t="s">
        <v>191</v>
      </c>
      <c r="B55" s="106" t="s">
        <v>209</v>
      </c>
      <c r="C55" s="106"/>
      <c r="D55" s="106"/>
      <c r="E55" s="106"/>
    </row>
    <row r="56" spans="1:11" ht="16" customHeight="1" x14ac:dyDescent="0.25">
      <c r="A56" s="15" t="s">
        <v>192</v>
      </c>
      <c r="B56" s="106" t="s">
        <v>193</v>
      </c>
      <c r="C56" s="106"/>
      <c r="D56" s="106"/>
      <c r="E56" s="106"/>
    </row>
    <row r="57" spans="1:11" ht="16" customHeight="1" x14ac:dyDescent="0.25">
      <c r="A57" s="15" t="s">
        <v>194</v>
      </c>
      <c r="B57" s="106" t="s">
        <v>199</v>
      </c>
      <c r="C57" s="106"/>
      <c r="D57" s="106"/>
      <c r="E57" s="106"/>
    </row>
    <row r="58" spans="1:11" ht="16" customHeight="1" x14ac:dyDescent="0.25">
      <c r="A58" s="15" t="s">
        <v>195</v>
      </c>
      <c r="B58" s="106" t="s">
        <v>196</v>
      </c>
      <c r="C58" s="106"/>
      <c r="D58" s="106"/>
      <c r="E58" s="106"/>
    </row>
    <row r="59" spans="1:11" ht="16" customHeight="1" x14ac:dyDescent="0.25">
      <c r="A59" s="15" t="s">
        <v>197</v>
      </c>
      <c r="B59" s="106" t="s">
        <v>200</v>
      </c>
      <c r="C59" s="106"/>
      <c r="D59" s="106"/>
      <c r="E59" s="106"/>
    </row>
    <row r="60" spans="1:11" ht="16" customHeight="1" x14ac:dyDescent="0.25">
      <c r="A60" s="15" t="s">
        <v>198</v>
      </c>
      <c r="B60" s="106" t="s">
        <v>201</v>
      </c>
      <c r="C60" s="106"/>
      <c r="D60" s="106"/>
      <c r="E60" s="106"/>
    </row>
    <row r="61" spans="1:11" ht="16" customHeight="1" x14ac:dyDescent="0.25">
      <c r="A61" s="15" t="s">
        <v>202</v>
      </c>
      <c r="B61" s="106" t="s">
        <v>203</v>
      </c>
      <c r="C61" s="106"/>
      <c r="D61" s="106"/>
      <c r="E61" s="106"/>
    </row>
    <row r="62" spans="1:11" ht="16" customHeight="1" x14ac:dyDescent="0.25">
      <c r="A62" s="15" t="s">
        <v>241</v>
      </c>
      <c r="B62" s="106" t="s">
        <v>242</v>
      </c>
      <c r="C62" s="106"/>
      <c r="D62" s="106"/>
      <c r="E62" s="106"/>
    </row>
    <row r="64" spans="1:11" ht="16" customHeight="1" x14ac:dyDescent="0.25">
      <c r="A64" s="31">
        <f ca="1">DATE(YEAR(TODAY()),1,1)</f>
        <v>45292</v>
      </c>
    </row>
    <row r="65" spans="1:1" ht="16" customHeight="1" x14ac:dyDescent="0.25">
      <c r="A65" s="31">
        <f ca="1">DATE(YEAR(TODAY()),2,1)</f>
        <v>45323</v>
      </c>
    </row>
    <row r="66" spans="1:1" ht="16" customHeight="1" x14ac:dyDescent="0.25">
      <c r="A66" s="31">
        <f ca="1">DATE(YEAR(TODAY()),3,1)</f>
        <v>45352</v>
      </c>
    </row>
    <row r="67" spans="1:1" ht="16" customHeight="1" x14ac:dyDescent="0.25">
      <c r="A67" s="31">
        <f ca="1">DATE(YEAR(TODAY()),4,1)</f>
        <v>45383</v>
      </c>
    </row>
    <row r="68" spans="1:1" ht="16" customHeight="1" x14ac:dyDescent="0.25">
      <c r="A68" s="31">
        <f ca="1">DATE(YEAR(TODAY()),5,1)</f>
        <v>45413</v>
      </c>
    </row>
    <row r="69" spans="1:1" ht="16" customHeight="1" x14ac:dyDescent="0.25">
      <c r="A69" s="31">
        <f ca="1">DATE(YEAR(TODAY()),6,1)</f>
        <v>45444</v>
      </c>
    </row>
    <row r="70" spans="1:1" ht="16" customHeight="1" x14ac:dyDescent="0.25">
      <c r="A70" s="31">
        <f ca="1">DATE(YEAR(TODAY()),7,1)</f>
        <v>45474</v>
      </c>
    </row>
    <row r="71" spans="1:1" ht="16" customHeight="1" x14ac:dyDescent="0.25">
      <c r="A71" s="31">
        <f ca="1">DATE(YEAR(TODAY()),8,1)</f>
        <v>45505</v>
      </c>
    </row>
    <row r="72" spans="1:1" ht="16" customHeight="1" x14ac:dyDescent="0.25">
      <c r="A72" s="31">
        <f ca="1">DATE(YEAR(TODAY()),9,1)</f>
        <v>45536</v>
      </c>
    </row>
    <row r="73" spans="1:1" ht="16" customHeight="1" x14ac:dyDescent="0.25">
      <c r="A73" s="31">
        <f ca="1">DATE(YEAR(TODAY()),10,1)</f>
        <v>45566</v>
      </c>
    </row>
    <row r="74" spans="1:1" ht="16" customHeight="1" x14ac:dyDescent="0.25">
      <c r="A74" s="31">
        <f ca="1">DATE(YEAR(TODAY()),11,1)</f>
        <v>45597</v>
      </c>
    </row>
    <row r="75" spans="1:1" ht="16" customHeight="1" x14ac:dyDescent="0.25">
      <c r="A75" s="31">
        <f ca="1">DATE(YEAR(TODAY()),12,1)</f>
        <v>45627</v>
      </c>
    </row>
  </sheetData>
  <mergeCells count="13">
    <mergeCell ref="B62:E62"/>
    <mergeCell ref="C5:D5"/>
    <mergeCell ref="B19:D19"/>
    <mergeCell ref="B52:E52"/>
    <mergeCell ref="B53:E53"/>
    <mergeCell ref="B54:E54"/>
    <mergeCell ref="B55:E55"/>
    <mergeCell ref="B61:E61"/>
    <mergeCell ref="B56:E56"/>
    <mergeCell ref="B57:E57"/>
    <mergeCell ref="B58:E58"/>
    <mergeCell ref="B59:E59"/>
    <mergeCell ref="B60:E60"/>
  </mergeCells>
  <phoneticPr fontId="2" type="noConversion"/>
  <conditionalFormatting sqref="I38:I48">
    <cfRule type="cellIs" dxfId="124" priority="1" stopIfTrue="1" operator="greaterThan">
      <formula>1</formula>
    </cfRule>
  </conditionalFormatting>
  <dataValidations count="5">
    <dataValidation type="list" allowBlank="1" showInputMessage="1" showErrorMessage="1" errorTitle="Invalid Data" error="Select a valid item from the list box." sqref="C7" xr:uid="{00000000-0002-0000-0400-000000000000}">
      <formula1>MonthNames</formula1>
    </dataValidation>
    <dataValidation type="list" allowBlank="1" showInputMessage="1" showErrorMessage="1" errorTitle="Invalid Data" error="Select a valid item from the list box." sqref="B38:B47" xr:uid="{00000000-0002-0000-0400-000001000000}">
      <formula1>"Yes,No"</formula1>
    </dataValidation>
    <dataValidation type="decimal" allowBlank="1" showInputMessage="1" showErrorMessage="1" errorTitle="Invalid Tax Rate" error="Enter a valid income tax percentage." sqref="C9" xr:uid="{00000000-0002-0000-0400-000002000000}">
      <formula1>0</formula1>
      <formula2>1</formula2>
    </dataValidation>
    <dataValidation type="decimal" operator="lessThanOrEqual" allowBlank="1" showInputMessage="1" showErrorMessage="1" errorTitle="Invalid Data" error="Enter a tax percentage of between 0% and 100%" sqref="D38:H48" xr:uid="{00000000-0002-0000-0400-000003000000}">
      <formula1>1</formula1>
    </dataValidation>
    <dataValidation type="list" allowBlank="1" showInputMessage="1" showErrorMessage="1" errorTitle="Invalid Data" error="Select a valid class code from the list box." sqref="B23:B33" xr:uid="{00000000-0002-0000-0400-000004000000}">
      <formula1>ClassCode</formula1>
    </dataValidation>
  </dataValidations>
  <pageMargins left="0.55118110236220474" right="0.55118110236220474" top="0.59055118110236227" bottom="0.59055118110236227" header="0.39370078740157483" footer="0.39370078740157483"/>
  <pageSetup paperSize="9" scale="62" orientation="portrait" r:id="rId1"/>
  <headerFooter alignWithMargins="0">
    <oddFooter>&amp;C&amp;9Page &amp;P of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BF44"/>
  <sheetViews>
    <sheetView zoomScale="95" zoomScaleNormal="95" workbookViewId="0">
      <pane xSplit="7" ySplit="4" topLeftCell="H5" activePane="bottomRight" state="frozen"/>
      <selection pane="topRight" activeCell="H1" sqref="H1"/>
      <selection pane="bottomLeft" activeCell="A5" sqref="A5"/>
      <selection pane="bottomRight" activeCell="E2" sqref="E2"/>
    </sheetView>
  </sheetViews>
  <sheetFormatPr defaultColWidth="9.08984375" defaultRowHeight="16" customHeight="1" x14ac:dyDescent="0.25"/>
  <cols>
    <col min="1" max="1" width="12.6328125" style="8" customWidth="1"/>
    <col min="2" max="2" width="14.6328125" style="8" customWidth="1"/>
    <col min="3" max="3" width="35.81640625" style="8" bestFit="1" customWidth="1"/>
    <col min="4" max="4" width="12.6328125" style="4" customWidth="1"/>
    <col min="5" max="5" width="11.6328125" style="4" customWidth="1"/>
    <col min="6" max="6" width="9.6328125" style="4" customWidth="1"/>
    <col min="7" max="7" width="8.6328125" style="4" customWidth="1"/>
    <col min="8" max="8" width="12.6328125" style="4" customWidth="1"/>
    <col min="9" max="14" width="12.6328125" style="33" customWidth="1"/>
    <col min="15" max="16" width="13.6328125" style="34" customWidth="1"/>
    <col min="17" max="18" width="13.6328125" style="33" customWidth="1"/>
    <col min="19" max="19" width="13.6328125" style="34" customWidth="1"/>
    <col min="20" max="20" width="12.6328125" style="35" customWidth="1"/>
    <col min="21" max="23" width="14.6328125" style="33" customWidth="1"/>
    <col min="24" max="36" width="14.6328125" style="36" customWidth="1"/>
    <col min="37" max="37" width="15.6328125" style="36" customWidth="1"/>
    <col min="38" max="39" width="14.6328125" style="36" customWidth="1"/>
    <col min="40" max="40" width="15.6328125" style="36" customWidth="1"/>
    <col min="41" max="58" width="14.6328125" style="36" customWidth="1"/>
    <col min="59" max="16384" width="9.08984375" style="3"/>
  </cols>
  <sheetData>
    <row r="1" spans="1:58" ht="16" customHeight="1" x14ac:dyDescent="0.3">
      <c r="A1" s="88" t="str">
        <f>'Set-up'!$C$5</f>
        <v>Example (Pty) Ltd</v>
      </c>
      <c r="H1" s="32" t="s">
        <v>204</v>
      </c>
      <c r="I1" s="32" t="s">
        <v>205</v>
      </c>
      <c r="J1" s="32" t="s">
        <v>153</v>
      </c>
      <c r="K1" s="32" t="s">
        <v>206</v>
      </c>
      <c r="L1" s="32"/>
      <c r="M1" s="32"/>
    </row>
    <row r="2" spans="1:58" s="5" customFormat="1" ht="16" customHeight="1" x14ac:dyDescent="0.25">
      <c r="A2" s="18" t="s">
        <v>85</v>
      </c>
      <c r="B2" s="18"/>
      <c r="C2" s="18"/>
      <c r="D2" s="37" t="s">
        <v>112</v>
      </c>
      <c r="E2" s="38">
        <v>44255</v>
      </c>
      <c r="F2" s="4"/>
      <c r="G2" s="33"/>
      <c r="H2" s="33">
        <f ca="1">IF(OR(ISBLANK($E$2)=TRUE,ISNUMBER($E$2)=FALSE),IF(MONTH(TODAY())&lt;=MONTH('Set-up'!$C$7),DATE(YEAR(TODAY())-1,MONTH('Set-up'!$C$7)+1,1),DATE(YEAR(TODAY()),MONTH('Set-up'!$C$7)+1,1)),IF(MONTH($E$2)&lt;=MONTH('Set-up'!$C$7),DATE(YEAR($E$2)-1,MONTH('Set-up'!$C$7)+1,1),DATE(YEAR($E$2),MONTH('Set-up'!$C$7)+1,1)))</f>
        <v>43891</v>
      </c>
      <c r="I2" s="33">
        <f ca="1">IF(OR(ISBLANK($E$2)=TRUE,ISNUMBER($E$2)=FALSE),DATE(YEAR(TODAY()),MONTH(TODAY())+1,0),DATE(YEAR($E$2),MONTH($E$2)+1,0))</f>
        <v>44255</v>
      </c>
      <c r="J2" s="33">
        <f ca="1">DATE(YEAR(I2),MONTH(I2),0)+1</f>
        <v>44228</v>
      </c>
      <c r="K2" s="33">
        <f ca="1">I2</f>
        <v>44255</v>
      </c>
      <c r="L2" s="33"/>
      <c r="M2" s="33"/>
      <c r="N2" s="39"/>
      <c r="O2" s="40"/>
      <c r="P2" s="40"/>
      <c r="Q2" s="39"/>
      <c r="R2" s="39"/>
      <c r="S2" s="40"/>
      <c r="T2" s="41"/>
      <c r="U2" s="39"/>
      <c r="V2" s="39"/>
      <c r="W2" s="39"/>
      <c r="X2" s="42" cm="1">
        <f t="array" aca="1" ref="X2" ca="1">SUBTOTAL(109,OFFSET(X$4,1,0,AssetCount,1))</f>
        <v>7397870</v>
      </c>
      <c r="Y2" s="42" cm="1">
        <f t="array" aca="1" ref="Y2" ca="1">SUBTOTAL(109,OFFSET(Y$4,1,0,AssetCount,1))</f>
        <v>375919</v>
      </c>
      <c r="Z2" s="42" cm="1">
        <f t="array" aca="1" ref="Z2" ca="1">SUBTOTAL(109,OFFSET(Z$4,1,0,AssetCount,1))</f>
        <v>-4076950</v>
      </c>
      <c r="AA2" s="42" cm="1">
        <f t="array" aca="1" ref="AA2" ca="1">SUBTOTAL(109,OFFSET(AA$4,1,0,AssetCount,1))</f>
        <v>-235000</v>
      </c>
      <c r="AB2" s="42" cm="1">
        <f t="array" aca="1" ref="AB2" ca="1">SUBTOTAL(109,OFFSET(AB$4,1,0,AssetCount,1))</f>
        <v>-200000</v>
      </c>
      <c r="AC2" s="42" cm="1">
        <f t="array" aca="1" ref="AC2" ca="1">SUBTOTAL(109,OFFSET(AC$4,1,0,AssetCount,1))</f>
        <v>3261839</v>
      </c>
      <c r="AD2" s="42" cm="1">
        <f t="array" aca="1" ref="AD2" ca="1">SUBTOTAL(109,OFFSET(AD$4,1,0,AssetCount,1))</f>
        <v>5397789.3611111129</v>
      </c>
      <c r="AE2" s="42" cm="1">
        <f t="array" aca="1" ref="AE2" ca="1">SUBTOTAL(109,OFFSET(AE$4,1,0,AssetCount,1))</f>
        <v>391165.11666666664</v>
      </c>
      <c r="AF2" s="42" cm="1">
        <f t="array" aca="1" ref="AF2" ca="1">SUBTOTAL(109,OFFSET(AF$4,1,0,AssetCount,1))</f>
        <v>8654.5000000000055</v>
      </c>
      <c r="AG2" s="42" cm="1">
        <f t="array" aca="1" ref="AG2" ca="1">SUBTOTAL(109,OFFSET(AG$4,1,0,AssetCount,1))</f>
        <v>399819.61666666664</v>
      </c>
      <c r="AH2" s="42" cm="1">
        <f t="array" aca="1" ref="AH2" ca="1">SUBTOTAL(109,OFFSET(AH$4,1,0,AssetCount,1))</f>
        <v>-5397789.3611111129</v>
      </c>
      <c r="AI2" s="42" cm="1">
        <f t="array" aca="1" ref="AI2" ca="1">SUBTOTAL(109,OFFSET(AI$4,1,0,AssetCount,1))</f>
        <v>-35833.333333333328</v>
      </c>
      <c r="AJ2" s="42" cm="1">
        <f t="array" aca="1" ref="AJ2" ca="1">SUBTOTAL(109,OFFSET(AJ$4,1,0,AssetCount,1))</f>
        <v>363986.28333333333</v>
      </c>
      <c r="AK2" s="42" cm="1">
        <f t="array" aca="1" ref="AK2" ca="1">SUBTOTAL(109,OFFSET(AK$4,1,0,AssetCount,1))</f>
        <v>2897852.7166666663</v>
      </c>
      <c r="AL2" s="42" cm="1">
        <f t="array" aca="1" ref="AL2" ca="1">SUBTOTAL(109,OFFSET(AL$4,1,0,AssetCount,1))</f>
        <v>0</v>
      </c>
      <c r="AM2" s="42" cm="1">
        <f t="array" aca="1" ref="AM2" ca="1">SUBTOTAL(109,OFFSET(AM$4,1,0,AssetCount,1))</f>
        <v>1160682.694444445</v>
      </c>
      <c r="AN2" s="42" cm="1">
        <f t="array" aca="1" ref="AN2" ca="1">SUBTOTAL(109,OFFSET(AN$4,1,0,AssetCount,1))</f>
        <v>-8654.5000000000055</v>
      </c>
      <c r="AO2" s="42" cm="1">
        <f t="array" aca="1" ref="AO2" ca="1">SUBTOTAL(109,OFFSET(AO$4,1,0,AssetCount,1))</f>
        <v>1152028.194444445</v>
      </c>
      <c r="AP2" s="42" cm="1">
        <f t="array" aca="1" ref="AP2" ca="1">SUBTOTAL(109,OFFSET(AP$4,1,0,AssetCount,1))</f>
        <v>-200000</v>
      </c>
      <c r="AQ2" s="42" cm="1">
        <f t="array" aca="1" ref="AQ2" ca="1">SUBTOTAL(109,OFFSET(AQ$4,1,0,AssetCount,1))</f>
        <v>151990</v>
      </c>
      <c r="AR2" s="42" cm="1">
        <f t="array" aca="1" ref="AR2" ca="1">SUBTOTAL(109,OFFSET(AR$4,1,0,AssetCount,1))</f>
        <v>31728.191666666666</v>
      </c>
      <c r="AS2" s="42" cm="1">
        <f t="array" aca="1" ref="AS2" ca="1">SUBTOTAL(109,OFFSET(AS$4,1,0,AssetCount,1))</f>
        <v>808.98611111111836</v>
      </c>
      <c r="AT2" s="42" cm="1">
        <f t="array" aca="1" ref="AT2" ca="1">SUBTOTAL(109,OFFSET(AT$4,1,0,AssetCount,1))</f>
        <v>32537.177777777786</v>
      </c>
      <c r="AU2" s="42" cm="1">
        <f t="array" aca="1" ref="AU2" ca="1">SUBTOTAL(109,OFFSET(AU$4,1,0,AssetCount,1))</f>
        <v>2000080.6388888883</v>
      </c>
      <c r="AV2" s="42" cm="1">
        <f t="array" aca="1" ref="AV2" ca="1">SUBTOTAL(109,OFFSET(AV$4,1,0,AssetCount,1))</f>
        <v>-254256.11666666664</v>
      </c>
      <c r="AW2" s="42" cm="1">
        <f t="array" aca="1" ref="AW2" ca="1">SUBTOTAL(109,OFFSET(AW$4,1,0,AssetCount,1))</f>
        <v>1745824.5222222218</v>
      </c>
      <c r="AX2" s="42" cm="1">
        <f t="array" aca="1" ref="AX2" ca="1">SUBTOTAL(109,OFFSET(AX$4,1,0,AssetCount,1))</f>
        <v>-40924.858333333359</v>
      </c>
      <c r="AY2" s="42" cm="1">
        <f t="array" aca="1" ref="AY2" ca="1">SUBTOTAL(109,OFFSET(AY$4,1,0,AssetCount,1))</f>
        <v>1619763.9722222218</v>
      </c>
      <c r="AZ2" s="42" cm="1">
        <f t="array" aca="1" ref="AZ2" ca="1">SUBTOTAL(109,OFFSET(AZ$4,1,0,AssetCount,1))</f>
        <v>226843.21666666667</v>
      </c>
      <c r="BA2" s="42" cm="1">
        <f t="array" aca="1" ref="BA2" ca="1">SUBTOTAL(109,OFFSET(BA$4,1,0,AssetCount,1))</f>
        <v>1846607.1888888888</v>
      </c>
      <c r="BB2" s="42" cm="1">
        <f t="array" aca="1" ref="BB2" ca="1">SUBTOTAL(109,OFFSET(BB$4,1,0,AssetCount,1))</f>
        <v>-6873.4972222222441</v>
      </c>
      <c r="BC2" s="42" cm="1">
        <f t="array" aca="1" ref="BC2" ca="1">SUBTOTAL(109,OFFSET(BC$4,1,0,AssetCount,1))</f>
        <v>106488.67</v>
      </c>
      <c r="BD2" s="42" cm="1">
        <f t="array" aca="1" ref="BD2" ca="1">SUBTOTAL(109,OFFSET(BD$4,1,0,AssetCount,1))</f>
        <v>-78707.820000000007</v>
      </c>
      <c r="BE2" s="42" cm="1">
        <f t="array" aca="1" ref="BE2" ca="1">SUBTOTAL(109,OFFSET(BE$4,1,0,AssetCount,1))</f>
        <v>27780.850000000002</v>
      </c>
      <c r="BF2" s="42" cm="1">
        <f t="array" aca="1" ref="BF2" ca="1">SUBTOTAL(109,OFFSET(BF$4,1,0,AssetCount,1))</f>
        <v>-9534.3899999999976</v>
      </c>
    </row>
    <row r="3" spans="1:58" s="50" customFormat="1" ht="16" customHeight="1" x14ac:dyDescent="0.25">
      <c r="A3" s="43" t="s">
        <v>363</v>
      </c>
      <c r="B3" s="44"/>
      <c r="C3" s="44"/>
      <c r="D3" s="45"/>
      <c r="E3" s="45"/>
      <c r="F3" s="45"/>
      <c r="G3" s="45"/>
      <c r="H3" s="45"/>
      <c r="I3" s="45"/>
      <c r="J3" s="45"/>
      <c r="K3" s="45"/>
      <c r="L3" s="46"/>
      <c r="M3" s="46"/>
      <c r="N3" s="45"/>
      <c r="O3" s="47"/>
      <c r="P3" s="47"/>
      <c r="Q3" s="45"/>
      <c r="R3" s="45"/>
      <c r="S3" s="47"/>
      <c r="T3" s="48"/>
      <c r="U3" s="45"/>
      <c r="V3" s="45"/>
      <c r="W3" s="45"/>
      <c r="X3" s="112" t="s">
        <v>121</v>
      </c>
      <c r="Y3" s="113"/>
      <c r="Z3" s="113"/>
      <c r="AA3" s="113"/>
      <c r="AB3" s="113"/>
      <c r="AC3" s="114"/>
      <c r="AD3" s="112" t="s">
        <v>122</v>
      </c>
      <c r="AE3" s="113"/>
      <c r="AF3" s="113"/>
      <c r="AG3" s="113"/>
      <c r="AH3" s="113"/>
      <c r="AI3" s="113"/>
      <c r="AJ3" s="114"/>
      <c r="AK3" s="49"/>
      <c r="AL3" s="115" t="s">
        <v>184</v>
      </c>
      <c r="AM3" s="115"/>
      <c r="AN3" s="115"/>
      <c r="AO3" s="115"/>
      <c r="AP3" s="49"/>
      <c r="AQ3" s="49"/>
      <c r="AR3" s="115" t="s">
        <v>150</v>
      </c>
      <c r="AS3" s="115"/>
      <c r="AT3" s="115"/>
      <c r="AU3" s="112" t="s">
        <v>252</v>
      </c>
      <c r="AV3" s="113"/>
      <c r="AW3" s="113"/>
      <c r="AX3" s="114"/>
      <c r="AY3" s="109" t="s">
        <v>237</v>
      </c>
      <c r="AZ3" s="110"/>
      <c r="BA3" s="110"/>
      <c r="BB3" s="111"/>
      <c r="BC3" s="109" t="s">
        <v>245</v>
      </c>
      <c r="BD3" s="110"/>
      <c r="BE3" s="110"/>
      <c r="BF3" s="111"/>
    </row>
    <row r="4" spans="1:58" s="57" customFormat="1" ht="25" x14ac:dyDescent="0.25">
      <c r="A4" s="51" t="s">
        <v>18</v>
      </c>
      <c r="B4" s="51" t="s">
        <v>19</v>
      </c>
      <c r="C4" s="51" t="s">
        <v>5</v>
      </c>
      <c r="D4" s="52" t="s">
        <v>92</v>
      </c>
      <c r="E4" s="52" t="s">
        <v>21</v>
      </c>
      <c r="F4" s="52" t="s">
        <v>235</v>
      </c>
      <c r="G4" s="53" t="s">
        <v>11</v>
      </c>
      <c r="H4" s="53" t="s">
        <v>20</v>
      </c>
      <c r="I4" s="53" t="s">
        <v>106</v>
      </c>
      <c r="J4" s="53" t="s">
        <v>111</v>
      </c>
      <c r="K4" s="53" t="s">
        <v>138</v>
      </c>
      <c r="L4" s="54" t="s">
        <v>127</v>
      </c>
      <c r="M4" s="54" t="s">
        <v>251</v>
      </c>
      <c r="N4" s="53" t="s">
        <v>107</v>
      </c>
      <c r="O4" s="55" t="s">
        <v>151</v>
      </c>
      <c r="P4" s="55" t="s">
        <v>128</v>
      </c>
      <c r="Q4" s="53" t="s">
        <v>207</v>
      </c>
      <c r="R4" s="53" t="s">
        <v>208</v>
      </c>
      <c r="S4" s="55" t="s">
        <v>243</v>
      </c>
      <c r="T4" s="56" t="s">
        <v>236</v>
      </c>
      <c r="U4" s="53" t="s">
        <v>239</v>
      </c>
      <c r="V4" s="53" t="s">
        <v>240</v>
      </c>
      <c r="W4" s="53" t="s">
        <v>244</v>
      </c>
      <c r="X4" s="55" t="s">
        <v>507</v>
      </c>
      <c r="Y4" s="55" t="s">
        <v>114</v>
      </c>
      <c r="Z4" s="55" t="s">
        <v>125</v>
      </c>
      <c r="AA4" s="55" t="s">
        <v>115</v>
      </c>
      <c r="AB4" s="55" t="s">
        <v>117</v>
      </c>
      <c r="AC4" s="55" t="s">
        <v>506</v>
      </c>
      <c r="AD4" s="55" t="s">
        <v>505</v>
      </c>
      <c r="AE4" s="55" t="s">
        <v>119</v>
      </c>
      <c r="AF4" s="55" t="s">
        <v>118</v>
      </c>
      <c r="AG4" s="55" t="s">
        <v>120</v>
      </c>
      <c r="AH4" s="55" t="s">
        <v>508</v>
      </c>
      <c r="AI4" s="55" t="s">
        <v>509</v>
      </c>
      <c r="AJ4" s="55" t="s">
        <v>504</v>
      </c>
      <c r="AK4" s="55" t="s">
        <v>123</v>
      </c>
      <c r="AL4" s="55" t="s">
        <v>501</v>
      </c>
      <c r="AM4" s="55" t="s">
        <v>98</v>
      </c>
      <c r="AN4" s="55" t="s">
        <v>502</v>
      </c>
      <c r="AO4" s="55" t="s">
        <v>503</v>
      </c>
      <c r="AP4" s="55" t="s">
        <v>152</v>
      </c>
      <c r="AQ4" s="55" t="s">
        <v>109</v>
      </c>
      <c r="AR4" s="55" t="s">
        <v>147</v>
      </c>
      <c r="AS4" s="55" t="s">
        <v>148</v>
      </c>
      <c r="AT4" s="55" t="s">
        <v>149</v>
      </c>
      <c r="AU4" s="55" t="s">
        <v>497</v>
      </c>
      <c r="AV4" s="55" t="s">
        <v>498</v>
      </c>
      <c r="AW4" s="55" t="s">
        <v>499</v>
      </c>
      <c r="AX4" s="55" t="s">
        <v>500</v>
      </c>
      <c r="AY4" s="55" t="s">
        <v>493</v>
      </c>
      <c r="AZ4" s="55" t="s">
        <v>494</v>
      </c>
      <c r="BA4" s="55" t="s">
        <v>495</v>
      </c>
      <c r="BB4" s="55" t="s">
        <v>496</v>
      </c>
      <c r="BC4" s="55" t="s">
        <v>489</v>
      </c>
      <c r="BD4" s="55" t="s">
        <v>490</v>
      </c>
      <c r="BE4" s="55" t="s">
        <v>491</v>
      </c>
      <c r="BF4" s="55" t="s">
        <v>492</v>
      </c>
    </row>
    <row r="5" spans="1:58" ht="16" customHeight="1" x14ac:dyDescent="0.25">
      <c r="A5" s="8" t="s">
        <v>272</v>
      </c>
      <c r="B5" s="8">
        <v>99843</v>
      </c>
      <c r="C5" s="8" t="s">
        <v>273</v>
      </c>
      <c r="D5" s="4" t="s">
        <v>91</v>
      </c>
      <c r="E5" s="4" t="s">
        <v>271</v>
      </c>
      <c r="F5" s="4" t="s">
        <v>220</v>
      </c>
      <c r="G5" s="4" t="str" cm="1">
        <f t="array" aca="1" ref="G5" ca="1">IF(COUNTIF(AssetCode,$A5)&gt;1,"E1",IF(ISNA(VLOOKUP($E5,CatAll,1,0))=TRUE,"E2",IF(AND($I5="add!",$J5&lt;&gt;"add!"),"E10",IF(ISNA(VLOOKUP($F5,TaxCode,1,0))=TRUE,"E11","-"))))</f>
        <v>-</v>
      </c>
      <c r="H5" s="4" t="str">
        <f t="shared" ref="H5:H44" ca="1" si="0">IF(ISNA(VLOOKUP($E5,CatAll,2,0))=TRUE,"error!",VLOOKUP($E5,CatAll,2,0))</f>
        <v>LB</v>
      </c>
      <c r="I5" s="33">
        <f t="array" aca="1" ref="I5" ca="1">IF(ISERROR(LARGE(IF(TransAsset=$A5,IF(TransType="ACQ",TransIDDate,"add!"),"add!"),1)),"add!",LARGE(IF(TransAsset=$A5,IF(TransType="ACQ",TransIDDate,"add!"),"add!"),1))</f>
        <v>42205.000127314815</v>
      </c>
      <c r="J5" s="33">
        <f t="array" aca="1" ref="J5" ca="1">IF(ISERROR(LARGE(IF(TransAsset=$A5,TransIDDate,"add!"),1)),"add!",LARGE(IF(TransAsset=$A5,TransIDDate,"add!"),1))</f>
        <v>43891.000555555554</v>
      </c>
      <c r="K5" s="33">
        <f t="array" aca="1" ref="K5" ca="1">IF(ISERROR(LARGE(IF(TransAsset=$A5,IF(TransDate&lt;($I$2+1),TransIDDate,"-"),"-"),1)),"-",LARGE(IF(TransAsset=$A5,IF(TransDate&lt;($I$2+1),TransIDDate,"-"),"-"),1))</f>
        <v>43891.000555555554</v>
      </c>
      <c r="L5" s="33">
        <f t="array" aca="1" ref="L5" ca="1">IF(ISERROR(LARGE(IF(TransAsset=$A5,IF(TransDate&lt;$H$2,TransIDDate,"-"),"-"),1)),"-",LARGE(IF(TransAsset=$A5,IF(TransDate&lt;$H$2,TransIDDate,"-"),"-"),1))</f>
        <v>42205.000127314815</v>
      </c>
      <c r="M5" s="33">
        <f t="array" aca="1" ref="M5" ca="1">IF(ISERROR(LARGE(IF(TransAsset=$A5,IF(TransDate&lt;$J$2,TransIDDate,"-"),"-"),1)),"-",LARGE(IF(TransAsset=$A5,IF(TransDate&lt;$J$2,TransIDDate,"-"),"-"),1))</f>
        <v>43891.000555555554</v>
      </c>
      <c r="N5" s="33" t="str">
        <f t="array" aca="1" ref="N5" ca="1">IF(ISERROR(LARGE(IF(TransAsset=$A5,IF(TransType="DIS",TransIDDate,"-"),"-"),1)),"-",LARGE(IF(TransAsset=$A5,IF(TransType="DIS",TransIDDate,"-"),"-"),1))</f>
        <v>-</v>
      </c>
      <c r="O5" s="34" cm="1">
        <f t="array" aca="1" ref="O5" ca="1">IF($N5&lt;=$I$2,SUMIFS(TransProceeds,TransAsset,$A5,TransType,"DIS"),0)</f>
        <v>0</v>
      </c>
      <c r="P5" s="36" cm="1">
        <f t="array" aca="1" ref="P5" ca="1">IF($I5&lt;=($I$2+1),SUMIFS(TransHCost,TransAsset,$A5,TransIDDate,$J5),0)</f>
        <v>1500000</v>
      </c>
      <c r="Q5" s="28">
        <f t="shared" ref="Q5:Q44" ca="1" si="1">SUMIFS(TransCLife,TransAsset,$A5,TransIDDate,$K5)</f>
        <v>0</v>
      </c>
      <c r="R5" s="28">
        <f t="shared" ref="R5:R44" ca="1" si="2">SUMIFS(TransCRes,TransAsset,$A5,TransIDDate,$K5)</f>
        <v>0</v>
      </c>
      <c r="S5" s="36">
        <f t="shared" ref="S5:S44" ca="1" si="3">IF($I5&lt;=($I$2+1),$P5,0)</f>
        <v>1500000</v>
      </c>
      <c r="T5" s="35">
        <f ca="1">IF(ISNA(MATCH($F5,TaxCode,0))=TRUE,"code?",OFFSET('Set-up'!$D$37,MATCH($F5,TaxCode,0),MATCH($V5,TaxCurMonth,1)-1,1,1))</f>
        <v>0</v>
      </c>
      <c r="U5" s="28">
        <f t="shared" ref="U5:U44" ca="1" si="4">IF(ISNUMBER($I5)=FALSE,0,IF(AND($N5&lt;&gt;"-",$N5&lt;$H$2),0,MAX((((YEAR($H$2)*12)+MONTH($H$2)-1)-((YEAR($I5)*12)+MONTH($I5)-1)),0)))</f>
        <v>56</v>
      </c>
      <c r="V5" s="28">
        <f t="shared" ref="V5:V44" ca="1" si="5">IF(ISNUMBER($I5)=FALSE,0,IF(AND($N5&lt;&gt;"-",$N5&lt;($I$2+1)),0,MAX((((YEAR($I$2)*12)+MONTH($I$2))-((YEAR($I5)*12)+MONTH($I5)-1)),0)))</f>
        <v>68</v>
      </c>
      <c r="W5" s="28">
        <f t="shared" ref="W5:W44" ca="1" si="6">IF(ISNUMBER($I5)=FALSE,0,IF(AND($N5&lt;&gt;"-",$N5&lt;$J$2),0,MAX((((YEAR($J$2)*12)+MONTH($J$2)-1)-((YEAR($I5)*12)+MONTH($I5)-1)),0)))</f>
        <v>67</v>
      </c>
      <c r="X5" s="36">
        <f t="shared" ref="X5:X44" ca="1" si="7">SUMIFS(TransAmount,TransAsset,$A5,TransIDDate,$L5)</f>
        <v>1500000</v>
      </c>
      <c r="Y5" s="36">
        <f t="shared" ref="Y5:Y44" ca="1" si="8">SUMIFS(TransAmount,TransAsset,$A5,TransIDDate,"&gt;="&amp;$H$2,TransIDDate,"&lt;"&amp;($I$2+1),TransType,"ACQ")</f>
        <v>0</v>
      </c>
      <c r="Z5" s="36">
        <f t="shared" ref="Z5:Z44" ca="1" si="9">SUMIFS(TransAmount,TransAsset,$A5,TransIDDate,"&gt;="&amp;$H$2,TransIDDate,"&lt;"&amp;($I$2+1),TransType,"REV")+SUMIFS(TransImpair,TransAsset,$A5,TransIDDate,"&gt;="&amp;$H$2,TransIDDate,"&lt;"&amp;($I$2+1),TransType,"REV")-SUMIFS(TransPCost,TransAsset,$A5,TransIDDate,"&gt;="&amp;$H$2,TransIDDate,"&lt;"&amp;($I$2+1),TransType,"REV")</f>
        <v>0</v>
      </c>
      <c r="AA5" s="36">
        <f t="shared" ref="AA5:AA44" ca="1" si="10">-SUMIFS(TransPCost,TransAsset,$A5,TransIDDate,"&gt;="&amp;$H$2,TransIDDate,"&lt;"&amp;($I$2+1),TransType,"DIS")</f>
        <v>0</v>
      </c>
      <c r="AB5" s="36">
        <f t="shared" ref="AB5:AB44" ca="1" si="11">-SUMIFS(TransImpair,TransAsset,$A5,TransIDDate,"&gt;="&amp;$H$2,TransIDDate,"&lt;"&amp;($I$2+1),TransType,"REV")</f>
        <v>-200000</v>
      </c>
      <c r="AC5" s="36">
        <f ca="1">SUM(X5:AB5)</f>
        <v>1300000</v>
      </c>
      <c r="AD5" s="36" cm="1">
        <f t="array" aca="1" ref="AD5" ca="1">IF($L5=0,0,IF(SUMIFS(TransCLife,TransAsset,$A5,TransIDDate,$L5)=0,0,IF(($X5-(SUMIFS(TransCRes,TransAsset,$A5,TransIDDate,$L5)))/(SUMIFS(TransCLife,TransAsset,$A5,TransIDDate,$L5)*12)*(((YEAR($H$2)*12)+MONTH($H$2))-((YEAR($L5)*12)+MONTH($L5)))&gt;=($X5-SUMIFS(TransCRes,TransAsset,$A5,TransIDDate,$L5)),$X5-SUMIFS(TransCRes,TransAsset,$A5,TransIDDate,$L5),($X5-(SUMIFS(TransCRes,TransAsset,$A5,TransIDDate,$L5)))/(SUMIFS(TransCLife,TransAsset,$A5,TransIDDate,$L5)*12)*(((YEAR($H$2)*12)+MONTH($H$2))-((YEAR($L5)*12)+MONTH($L5))))))</f>
        <v>0</v>
      </c>
      <c r="AE5" s="36">
        <f t="shared" ref="AE5:AE44" si="12">SUMIFS(TransCCYDep,TransAsset,$A5)</f>
        <v>0</v>
      </c>
      <c r="AF5" s="36">
        <f>AG5-AE5</f>
        <v>0</v>
      </c>
      <c r="AG5" s="36">
        <f t="shared" ref="AG5:AG44" si="13">SUMIFS(TransCTYDep,TransAsset,$A5)</f>
        <v>0</v>
      </c>
      <c r="AH5" s="36">
        <f t="shared" ref="AH5:AH44" ca="1" si="14">-SUMIFS(TransCAccDep,TransAsset,$A5,TransIDDate,"&gt;="&amp;$H$2,TransIDDate,"&lt;"&amp;($I$2+1),TransType,"REV")</f>
        <v>0</v>
      </c>
      <c r="AI5" s="36">
        <f t="shared" ref="AI5:AI44" ca="1" si="15">-SUMIFS(TransCAccDep,TransAsset,$A5,TransIDDate,"&gt;="&amp;$H$2,TransIDDate,"&lt;"&amp;($I$2+1),TransType,"DIS")</f>
        <v>0</v>
      </c>
      <c r="AJ5" s="36">
        <f ca="1">SUM(AD5,AG5:AI5)</f>
        <v>0</v>
      </c>
      <c r="AK5" s="36">
        <f ca="1">SUM(AC5,-AJ5)</f>
        <v>1300000</v>
      </c>
      <c r="AL5" s="36">
        <f t="shared" ref="AL5:AL44" ca="1" si="16">SUMIFS(TransRSurplus,TransAsset,$A5,TransIDDate,"&lt;"&amp;$H$2)-SUMIFS(TransRPAccDep,TransAsset,$A5,TransIDDate,"&lt;"&amp;$H$2)</f>
        <v>0</v>
      </c>
      <c r="AM5" s="36">
        <f ca="1">AO5-AN5-AL5</f>
        <v>0</v>
      </c>
      <c r="AN5" s="36">
        <f>-AF5</f>
        <v>0</v>
      </c>
      <c r="AO5" s="36">
        <f t="shared" ref="AO5:AO44" ca="1" si="17">SUMIFS(TransRSurplus,TransAsset,$A5,TransIDDate,"&lt;"&amp;($I$2+1))-SUMIFS(TransRPAccDep,TransAsset,$A5,TransIDDate,"&lt;"&amp;$H$2)-AF5</f>
        <v>0</v>
      </c>
      <c r="AP5" s="36">
        <f t="shared" ref="AP5:AP44" ca="1" si="18">-SUMIFS(TransImpair,TransAsset,$A5,TransIDDate,"&gt;="&amp;$H$2,TransIDDate,"&lt;"&amp;($I$2+1),TransType,"REV")</f>
        <v>-200000</v>
      </c>
      <c r="AQ5" s="36">
        <f t="shared" ref="AQ5:AQ44" ca="1" si="19">SUMIFS(TransProfit,TransAsset,$A5,TransIDDate,"&gt;="&amp;$H$2,TransIDDate,"&lt;"&amp;($I$2+1),TransType,"DIS")</f>
        <v>0</v>
      </c>
      <c r="AR5" s="36">
        <f t="shared" ref="AR5:AR44" ca="1" si="20">SUMIFS(TransCCMDep,TransAsset,$A5)</f>
        <v>0</v>
      </c>
      <c r="AS5" s="36">
        <f ca="1">AT5-AR5</f>
        <v>0</v>
      </c>
      <c r="AT5" s="36">
        <f t="shared" ref="AT5:AT44" ca="1" si="21">SUMIFS(TransCTMDep,TransAsset,$A5)</f>
        <v>0</v>
      </c>
      <c r="AU5" s="36" cm="1">
        <f t="array" aca="1" ref="AU5" ca="1">IF($I5&lt;$H$2,IF(AND($N5&lt;&gt;"-",$N5&lt;$H$2),0,SUMIFS(TransHCost,TransAsset,$A5,TransIDDate,$J5)-SUMIFS(TransPCAccDep,TransAsset,$A5)-SUMIFS(TransImpair,TransAsset,$A5,TransIDDate,"&lt;"&amp;$H$2,TransType,"REV")),0)</f>
        <v>1500000</v>
      </c>
      <c r="AV5" s="36">
        <f ca="1">AW5-AU5</f>
        <v>-200000</v>
      </c>
      <c r="AW5" s="36">
        <f t="shared" ref="AW5:AW44" ca="1" si="22">IF($I5&lt;($I$2+1),IF(AND($N5&lt;&gt;"-",$N5&lt;($I$2+1)),0,$AU5+$Y5-$AE5+$AB5),0)</f>
        <v>1300000</v>
      </c>
      <c r="AX5" s="36" cm="1">
        <f t="array" aca="1" ref="AX5" ca="1">$AW5-IF($I5&lt;$J$2,IF(AND($N5&lt;&gt;"-",$N5&lt;$J$2),0,SUMIFS(TransHCost,TransAsset,$A5,TransIDDate,$J5)-SUMIFS(TransPMAccDep,TransAsset,$A5)-SUMIFS(TransImpair,TransAsset,$A5,TransIDDate,"&lt;"&amp;$J$2,TransType,"REV")),0)</f>
        <v>0</v>
      </c>
      <c r="AY5" s="36">
        <f ca="1">IF(ISNA(MATCH($F5,TaxCode,0))=TRUE,$S5*($U5&gt;0),MAX(($S5*($U5&gt;0))-(($S5-SUMIFS(TransCRes,TransAsset,$A5,TransIDDate,$L5))*(IF($U5&lt;=11,0,MIN(SUM(OFFSET('Set-up'!$D$37,MATCH($F5,TaxCode,0),0,1,MATCH($U5,TaxCumMonth,1)))+MAX(TRUNC(($U5-60)/12)*SUM(OFFSET('Set-up'!$H$37,MATCH($F5,TaxCode,0),0,1,1)),0%),100%))))-(($S5-SUMIFS(TransCRes,TransAsset,$A5,TransIDDate,$L5))*OFFSET('Set-up'!$D$37,MATCH($F5,TaxCode,0),MATCH($U5,TaxCurMonth,1)-1,1,1)*IF(AND($U5-(TRUNC($U5/12)*12)&lt;&gt;0,OFFSET('Set-up'!$J$37,MATCH($F5,TaxCode,0),0,1,1)=0),1,(($U5-(TRUNC($U5/12)*12))/12))),SUMIFS(TransCRes,TransAsset,$A5,TransIDDate,$L5)))</f>
        <v>1500000</v>
      </c>
      <c r="AZ5" s="36">
        <f ca="1">BA5-AY5</f>
        <v>0</v>
      </c>
      <c r="BA5" s="36">
        <f ca="1">IF(ISNA(MATCH($F5,TaxCode,0))=TRUE,$S5*($V5&gt;0),MAX(($S5*($V5&gt;0))-(($S5-$R5)*(IF($V5&lt;=11,0,MIN(SUM(OFFSET('Set-up'!$D$37,MATCH($F5,TaxCode,0),0,1,MATCH($V5,TaxCumMonth,1)))+MAX(TRUNC(($V5-60)/12)*SUM(OFFSET('Set-up'!$H$37,MATCH($F5,TaxCode,0),0,1,1)),0%),100%))))-(($S5-$R5)*OFFSET('Set-up'!$D$37,MATCH($F5,TaxCode,0),MATCH($V5,TaxCurMonth,1)-1,1,1)*IF(AND($V5-(TRUNC($V5/12)*12)&lt;&gt;0,OFFSET('Set-up'!$J$37,MATCH($F5,TaxCode,0),0,1,1)=0),1,(($V5-(TRUNC($V5/12)*12))/12))),$R5*($V5&gt;0)))</f>
        <v>1500000</v>
      </c>
      <c r="BB5" s="36">
        <f ca="1">$BA5-IF(ISNA(MATCH($F5,TaxCode,0))=TRUE,$S5*($W5&gt;0),MAX(($S5*($W5&gt;0))-(($S5-SUMIFS(TransCRes,TransAsset,$A5,TransIDDate,$M5))*(IF($W5&lt;=11,0,MIN(SUM(OFFSET('Set-up'!$D$37,MATCH($F5,TaxCode,0),0,1,MATCH($W5,TaxCumMonth,1)))+MAX(TRUNC(($W5-60)/12)*SUM(OFFSET('Set-up'!$H$37,MATCH($F5,TaxCode,0),0,1,1)),0%),100%))))-(($S5-SUMIFS(TransCRes,TransAsset,$A5,TransIDDate,$M5))*OFFSET('Set-up'!$D$37,MATCH($F5,TaxCode,0),MATCH($W5,TaxCurMonth,1)-1,1,1)*IF(AND($W5-(TRUNC($W5/12)*12)&lt;&gt;0,OFFSET('Set-up'!$J$37,MATCH($F5,TaxCode,0),0,1,1)=0),1,(($W5-(TRUNC($W5/12)*12))/12))),SUMIFS(TransCRes,TransAsset,$A5,TransIDDate,$M5)*($W5&gt;0)))</f>
        <v>0</v>
      </c>
      <c r="BC5" s="36">
        <f>IF(ISNUMBER('Set-up'!$C$9)=FALSE,0,IF($F5="J",0,ROUND(($AU5-$AY5)*'Set-up'!$C$9,2)))</f>
        <v>0</v>
      </c>
      <c r="BD5" s="36">
        <f>BE5-BC5</f>
        <v>0</v>
      </c>
      <c r="BE5" s="36">
        <f>IF(ISNUMBER('Set-up'!$C$9)=FALSE,0,IF($F5="J",0,ROUND(($AW5-$BA5)*'Set-up'!$C$9,2)))</f>
        <v>0</v>
      </c>
      <c r="BF5" s="36">
        <f>IF(ISNUMBER('Set-up'!$C$9)=FALSE,0,IF($F5="J",0,ROUND(($AX5-$BB5)*'Set-up'!$C$9,2)))</f>
        <v>0</v>
      </c>
    </row>
    <row r="6" spans="1:58" ht="16" customHeight="1" x14ac:dyDescent="0.25">
      <c r="A6" s="8" t="s">
        <v>277</v>
      </c>
      <c r="B6" s="8">
        <v>87978921</v>
      </c>
      <c r="C6" s="8" t="s">
        <v>289</v>
      </c>
      <c r="D6" s="4" t="s">
        <v>91</v>
      </c>
      <c r="E6" s="4" t="s">
        <v>267</v>
      </c>
      <c r="F6" s="4" t="s">
        <v>212</v>
      </c>
      <c r="G6" s="4" t="str" cm="1">
        <f t="array" aca="1" ref="G6" ca="1">IF(COUNTIF(AssetCode,$A6)&gt;1,"E1",IF(ISNA(VLOOKUP($E6,CatAll,1,0))=TRUE,"E2",IF(AND($I6="add!",$J6&lt;&gt;"add!"),"E10",IF(ISNA(VLOOKUP($F6,TaxCode,1,0))=TRUE,"E11","-"))))</f>
        <v>-</v>
      </c>
      <c r="H6" s="4" t="str">
        <f t="shared" ca="1" si="0"/>
        <v>PM</v>
      </c>
      <c r="I6" s="33">
        <f t="array" aca="1" ref="I6" ca="1">IF(ISERROR(LARGE(IF(TransAsset=$A6,IF(TransType="ACQ",TransIDDate,"add!"),"add!"),1)),"add!",LARGE(IF(TransAsset=$A6,IF(TransType="ACQ",TransIDDate,"add!"),"add!"),1))</f>
        <v>42205.000162037039</v>
      </c>
      <c r="J6" s="33">
        <f t="array" aca="1" ref="J6" ca="1">IF(ISERROR(LARGE(IF(TransAsset=$A6,TransIDDate,"add!"),1)),"add!",LARGE(IF(TransAsset=$A6,TransIDDate,"add!"),1))</f>
        <v>43891.000601851854</v>
      </c>
      <c r="K6" s="33">
        <f t="array" aca="1" ref="K6" ca="1">IF(ISERROR(LARGE(IF(TransAsset=$A6,IF(TransDate&lt;($I$2+1),TransIDDate,"-"),"-"),1)),"-",LARGE(IF(TransAsset=$A6,IF(TransDate&lt;($I$2+1),TransIDDate,"-"),"-"),1))</f>
        <v>43891.000601851854</v>
      </c>
      <c r="L6" s="33">
        <f t="array" aca="1" ref="L6" ca="1">IF(ISERROR(LARGE(IF(TransAsset=$A6,IF(TransDate&lt;$H$2,TransIDDate,"-"),"-"),1)),"-",LARGE(IF(TransAsset=$A6,IF(TransDate&lt;$H$2,TransIDDate,"-"),"-"),1))</f>
        <v>42205.000162037039</v>
      </c>
      <c r="M6" s="33">
        <f t="array" aca="1" ref="M6" ca="1">IF(ISERROR(LARGE(IF(TransAsset=$A6,IF(TransDate&lt;$J$2,TransIDDate,"-"),"-"),1)),"-",LARGE(IF(TransAsset=$A6,IF(TransDate&lt;$J$2,TransIDDate,"-"),"-"),1))</f>
        <v>43891.000601851854</v>
      </c>
      <c r="N6" s="33" t="str">
        <f t="array" aca="1" ref="N6" ca="1">IF(ISERROR(LARGE(IF(TransAsset=$A6,IF(TransType="DIS",TransIDDate,"-"),"-"),1)),"-",LARGE(IF(TransAsset=$A6,IF(TransType="DIS",TransIDDate,"-"),"-"),1))</f>
        <v>-</v>
      </c>
      <c r="O6" s="34" cm="1">
        <f t="array" aca="1" ref="O6" ca="1">IF($N6&lt;=$I$2,SUMIFS(TransProceeds,TransAsset,$A6,TransType,"DIS"),0)</f>
        <v>0</v>
      </c>
      <c r="P6" s="36" cm="1">
        <f t="array" aca="1" ref="P6" ca="1">IF($I6&lt;=($I$2+1),SUMIFS(TransHCost,TransAsset,$A6,TransIDDate,$J6),0)</f>
        <v>120000</v>
      </c>
      <c r="Q6" s="28">
        <f t="shared" ca="1" si="1"/>
        <v>5</v>
      </c>
      <c r="R6" s="28">
        <f t="shared" ca="1" si="2"/>
        <v>0</v>
      </c>
      <c r="S6" s="36">
        <f t="shared" ca="1" si="3"/>
        <v>120000</v>
      </c>
      <c r="T6" s="35">
        <f ca="1">IF(ISNA(MATCH($F6,TaxCode,0))=TRUE,"code?",OFFSET('Set-up'!$D$37,MATCH($F6,TaxCode,0),MATCH($V6,TaxCurMonth,1)-1,1,1))</f>
        <v>0</v>
      </c>
      <c r="U6" s="28">
        <f t="shared" ca="1" si="4"/>
        <v>56</v>
      </c>
      <c r="V6" s="28">
        <f t="shared" ca="1" si="5"/>
        <v>68</v>
      </c>
      <c r="W6" s="28">
        <f t="shared" ca="1" si="6"/>
        <v>67</v>
      </c>
      <c r="X6" s="36">
        <f t="shared" ca="1" si="7"/>
        <v>120000</v>
      </c>
      <c r="Y6" s="36">
        <f t="shared" ca="1" si="8"/>
        <v>0</v>
      </c>
      <c r="Z6" s="36">
        <f t="shared" ca="1" si="9"/>
        <v>-80000</v>
      </c>
      <c r="AA6" s="36">
        <f t="shared" ca="1" si="10"/>
        <v>0</v>
      </c>
      <c r="AB6" s="36">
        <f t="shared" ca="1" si="11"/>
        <v>0</v>
      </c>
      <c r="AC6" s="36">
        <f t="shared" ref="AC6:AC44" ca="1" si="23">SUM(X6:AB6)</f>
        <v>40000</v>
      </c>
      <c r="AD6" s="36" cm="1">
        <f t="array" aca="1" ref="AD6" ca="1">IF($L6=0,0,IF(SUMIFS(TransCLife,TransAsset,$A6,TransIDDate,$L6)=0,0,IF(($X6-(SUMIFS(TransCRes,TransAsset,$A6,TransIDDate,$L6)))/(SUMIFS(TransCLife,TransAsset,$A6,TransIDDate,$L6)*12)*(((YEAR($H$2)*12)+MONTH($H$2))-((YEAR($L6)*12)+MONTH($L6)))&gt;=($X6-SUMIFS(TransCRes,TransAsset,$A6,TransIDDate,$L6)),$X6-SUMIFS(TransCRes,TransAsset,$A6,TransIDDate,$L6),($X6-(SUMIFS(TransCRes,TransAsset,$A6,TransIDDate,$L6)))/(SUMIFS(TransCLife,TransAsset,$A6,TransIDDate,$L6)*12)*(((YEAR($H$2)*12)+MONTH($H$2))-((YEAR($L6)*12)+MONTH($L6))))))</f>
        <v>112000</v>
      </c>
      <c r="AE6" s="36">
        <f t="shared" ca="1" si="12"/>
        <v>8000</v>
      </c>
      <c r="AF6" s="36">
        <f t="shared" ref="AF6:AF44" ca="1" si="24">AG6-AE6</f>
        <v>0</v>
      </c>
      <c r="AG6" s="36">
        <f t="shared" ca="1" si="13"/>
        <v>8000</v>
      </c>
      <c r="AH6" s="36">
        <f t="shared" ca="1" si="14"/>
        <v>-112000</v>
      </c>
      <c r="AI6" s="36">
        <f t="shared" ca="1" si="15"/>
        <v>0</v>
      </c>
      <c r="AJ6" s="36">
        <f t="shared" ref="AJ6:AJ44" ca="1" si="25">SUM(AD6,AG6:AI6)</f>
        <v>8000</v>
      </c>
      <c r="AK6" s="36">
        <f t="shared" ref="AK6:AK44" ca="1" si="26">SUM(AC6,-AJ6)</f>
        <v>32000</v>
      </c>
      <c r="AL6" s="36">
        <f t="shared" ca="1" si="16"/>
        <v>0</v>
      </c>
      <c r="AM6" s="36">
        <f t="shared" ref="AM6:AM44" ca="1" si="27">AO6-AN6-AL6</f>
        <v>32000</v>
      </c>
      <c r="AN6" s="36">
        <f t="shared" ref="AN6:AN44" ca="1" si="28">-AF6</f>
        <v>0</v>
      </c>
      <c r="AO6" s="36">
        <f t="shared" ca="1" si="17"/>
        <v>32000</v>
      </c>
      <c r="AP6" s="36">
        <f t="shared" ca="1" si="18"/>
        <v>0</v>
      </c>
      <c r="AQ6" s="36">
        <f t="shared" ca="1" si="19"/>
        <v>0</v>
      </c>
      <c r="AR6" s="36">
        <f t="shared" ca="1" si="20"/>
        <v>666.66666666666663</v>
      </c>
      <c r="AS6" s="36">
        <f t="shared" ref="AS6:AS44" ca="1" si="29">AT6-AR6</f>
        <v>0</v>
      </c>
      <c r="AT6" s="36">
        <f t="shared" ca="1" si="21"/>
        <v>666.66666666666663</v>
      </c>
      <c r="AU6" s="36" cm="1">
        <f t="array" aca="1" ref="AU6" ca="1">IF($I6&lt;$H$2,IF(AND($N6&lt;&gt;"-",$N6&lt;$H$2),0,SUMIFS(TransHCost,TransAsset,$A6,TransIDDate,$J6)-SUMIFS(TransPCAccDep,TransAsset,$A6)-SUMIFS(TransImpair,TransAsset,$A6,TransIDDate,"&lt;"&amp;$H$2,TransType,"REV")),0)</f>
        <v>8000</v>
      </c>
      <c r="AV6" s="36">
        <f t="shared" ref="AV6:AV44" ca="1" si="30">AW6-AU6</f>
        <v>-8000</v>
      </c>
      <c r="AW6" s="36">
        <f t="shared" ca="1" si="22"/>
        <v>0</v>
      </c>
      <c r="AX6" s="36" cm="1">
        <f t="array" aca="1" ref="AX6" ca="1">$AW6-IF($I6&lt;$J$2,IF(AND($N6&lt;&gt;"-",$N6&lt;$J$2),0,SUMIFS(TransHCost,TransAsset,$A6,TransIDDate,$J6)-SUMIFS(TransPMAccDep,TransAsset,$A6)-SUMIFS(TransImpair,TransAsset,$A6,TransIDDate,"&lt;"&amp;$J$2,TransType,"REV")),0)</f>
        <v>-666.66666666667152</v>
      </c>
      <c r="AY6" s="36">
        <f ca="1">IF(ISNA(MATCH($F6,TaxCode,0))=TRUE,$S6*($U6&gt;0),MAX(($S6*($U6&gt;0))-(($S6-SUMIFS(TransCRes,TransAsset,$A6,TransIDDate,$L6))*(IF($U6&lt;=11,0,MIN(SUM(OFFSET('Set-up'!$D$37,MATCH($F6,TaxCode,0),0,1,MATCH($U6,TaxCumMonth,1)))+MAX(TRUNC(($U6-60)/12)*SUM(OFFSET('Set-up'!$H$37,MATCH($F6,TaxCode,0),0,1,1)),0%),100%))))-(($S6-SUMIFS(TransCRes,TransAsset,$A6,TransIDDate,$L6))*OFFSET('Set-up'!$D$37,MATCH($F6,TaxCode,0),MATCH($U6,TaxCurMonth,1)-1,1,1)*IF(AND($U6-(TRUNC($U6/12)*12)&lt;&gt;0,OFFSET('Set-up'!$J$37,MATCH($F6,TaxCode,0),0,1,1)=0),1,(($U6-(TRUNC($U6/12)*12))/12))),SUMIFS(TransCRes,TransAsset,$A6,TransIDDate,$L6)))</f>
        <v>0</v>
      </c>
      <c r="AZ6" s="36">
        <f t="shared" ref="AZ6:AZ44" ca="1" si="31">BA6-AY6</f>
        <v>0</v>
      </c>
      <c r="BA6" s="36">
        <f ca="1">IF(ISNA(MATCH($F6,TaxCode,0))=TRUE,$S6*($V6&gt;0),MAX(($S6*($V6&gt;0))-(($S6-$R6)*(IF($V6&lt;=11,0,MIN(SUM(OFFSET('Set-up'!$D$37,MATCH($F6,TaxCode,0),0,1,MATCH($V6,TaxCumMonth,1)))+MAX(TRUNC(($V6-60)/12)*SUM(OFFSET('Set-up'!$H$37,MATCH($F6,TaxCode,0),0,1,1)),0%),100%))))-(($S6-$R6)*OFFSET('Set-up'!$D$37,MATCH($F6,TaxCode,0),MATCH($V6,TaxCurMonth,1)-1,1,1)*IF(AND($V6-(TRUNC($V6/12)*12)&lt;&gt;0,OFFSET('Set-up'!$J$37,MATCH($F6,TaxCode,0),0,1,1)=0),1,(($V6-(TRUNC($V6/12)*12))/12))),$R6*($V6&gt;0)))</f>
        <v>0</v>
      </c>
      <c r="BB6" s="36">
        <f ca="1">$BA6-IF(ISNA(MATCH($F6,TaxCode,0))=TRUE,$S6*($W6&gt;0),MAX(($S6*($W6&gt;0))-(($S6-SUMIFS(TransCRes,TransAsset,$A6,TransIDDate,$M6))*(IF($W6&lt;=11,0,MIN(SUM(OFFSET('Set-up'!$D$37,MATCH($F6,TaxCode,0),0,1,MATCH($W6,TaxCumMonth,1)))+MAX(TRUNC(($W6-60)/12)*SUM(OFFSET('Set-up'!$H$37,MATCH($F6,TaxCode,0),0,1,1)),0%),100%))))-(($S6-SUMIFS(TransCRes,TransAsset,$A6,TransIDDate,$M6))*OFFSET('Set-up'!$D$37,MATCH($F6,TaxCode,0),MATCH($W6,TaxCurMonth,1)-1,1,1)*IF(AND($W6-(TRUNC($W6/12)*12)&lt;&gt;0,OFFSET('Set-up'!$J$37,MATCH($F6,TaxCode,0),0,1,1)=0),1,(($W6-(TRUNC($W6/12)*12))/12))),SUMIFS(TransCRes,TransAsset,$A6,TransIDDate,$M6)*($W6&gt;0)))</f>
        <v>0</v>
      </c>
      <c r="BC6" s="36">
        <f ca="1">IF(ISNUMBER('Set-up'!$C$9)=FALSE,0,IF($F6="J",0,ROUND(($AU6-$AY6)*'Set-up'!$C$9,2)))</f>
        <v>2240</v>
      </c>
      <c r="BD6" s="36">
        <f t="shared" ref="BD6:BD44" ca="1" si="32">BE6-BC6</f>
        <v>-2240</v>
      </c>
      <c r="BE6" s="36">
        <f ca="1">IF(ISNUMBER('Set-up'!$C$9)=FALSE,0,IF($F6="J",0,ROUND(($AW6-$BA6)*'Set-up'!$C$9,2)))</f>
        <v>0</v>
      </c>
      <c r="BF6" s="36">
        <f ca="1">IF(ISNUMBER('Set-up'!$C$9)=FALSE,0,IF($F6="J",0,ROUND(($AX6-$BB6)*'Set-up'!$C$9,2)))</f>
        <v>-186.67</v>
      </c>
    </row>
    <row r="7" spans="1:58" ht="16" customHeight="1" x14ac:dyDescent="0.25">
      <c r="A7" s="8" t="s">
        <v>278</v>
      </c>
      <c r="B7" s="8">
        <v>87879827</v>
      </c>
      <c r="C7" s="8" t="s">
        <v>290</v>
      </c>
      <c r="D7" s="4" t="s">
        <v>91</v>
      </c>
      <c r="E7" s="4" t="s">
        <v>267</v>
      </c>
      <c r="F7" s="4" t="s">
        <v>212</v>
      </c>
      <c r="G7" s="4" t="str" cm="1">
        <f t="array" aca="1" ref="G7" ca="1">IF(COUNTIF(AssetCode,$A7)&gt;1,"E1",IF(ISNA(VLOOKUP($E7,CatAll,1,0))=TRUE,"E2",IF(AND($I7="add!",$J7&lt;&gt;"add!"),"E10",IF(ISNA(VLOOKUP($F7,TaxCode,1,0))=TRUE,"E11","-"))))</f>
        <v>-</v>
      </c>
      <c r="H7" s="4" t="str">
        <f t="shared" ca="1" si="0"/>
        <v>PM</v>
      </c>
      <c r="I7" s="33">
        <f t="array" aca="1" ref="I7" ca="1">IF(ISERROR(LARGE(IF(TransAsset=$A7,IF(TransType="ACQ",TransIDDate,"add!"),"add!"),1)),"add!",LARGE(IF(TransAsset=$A7,IF(TransType="ACQ",TransIDDate,"add!"),"add!"),1))</f>
        <v>42205.000173611108</v>
      </c>
      <c r="J7" s="33">
        <f t="array" aca="1" ref="J7" ca="1">IF(ISERROR(LARGE(IF(TransAsset=$A7,TransIDDate,"add!"),1)),"add!",LARGE(IF(TransAsset=$A7,TransIDDate,"add!"),1))</f>
        <v>43891.000613425924</v>
      </c>
      <c r="K7" s="33">
        <f t="array" aca="1" ref="K7" ca="1">IF(ISERROR(LARGE(IF(TransAsset=$A7,IF(TransDate&lt;($I$2+1),TransIDDate,"-"),"-"),1)),"-",LARGE(IF(TransAsset=$A7,IF(TransDate&lt;($I$2+1),TransIDDate,"-"),"-"),1))</f>
        <v>43891.000613425924</v>
      </c>
      <c r="L7" s="33">
        <f t="array" aca="1" ref="L7" ca="1">IF(ISERROR(LARGE(IF(TransAsset=$A7,IF(TransDate&lt;$H$2,TransIDDate,"-"),"-"),1)),"-",LARGE(IF(TransAsset=$A7,IF(TransDate&lt;$H$2,TransIDDate,"-"),"-"),1))</f>
        <v>42205.000173611108</v>
      </c>
      <c r="M7" s="33">
        <f t="array" aca="1" ref="M7" ca="1">IF(ISERROR(LARGE(IF(TransAsset=$A7,IF(TransDate&lt;$J$2,TransIDDate,"-"),"-"),1)),"-",LARGE(IF(TransAsset=$A7,IF(TransDate&lt;$J$2,TransIDDate,"-"),"-"),1))</f>
        <v>43891.000613425924</v>
      </c>
      <c r="N7" s="33" t="str">
        <f t="array" aca="1" ref="N7" ca="1">IF(ISERROR(LARGE(IF(TransAsset=$A7,IF(TransType="DIS",TransIDDate,"-"),"-"),1)),"-",LARGE(IF(TransAsset=$A7,IF(TransType="DIS",TransIDDate,"-"),"-"),1))</f>
        <v>-</v>
      </c>
      <c r="O7" s="34" cm="1">
        <f t="array" aca="1" ref="O7" ca="1">IF($N7&lt;=$I$2,SUMIFS(TransProceeds,TransAsset,$A7,TransType,"DIS"),0)</f>
        <v>0</v>
      </c>
      <c r="P7" s="36" cm="1">
        <f t="array" aca="1" ref="P7" ca="1">IF($I7&lt;=($I$2+1),SUMIFS(TransHCost,TransAsset,$A7,TransIDDate,$J7),0)</f>
        <v>200000</v>
      </c>
      <c r="Q7" s="28">
        <f t="shared" ca="1" si="1"/>
        <v>5</v>
      </c>
      <c r="R7" s="28">
        <f t="shared" ca="1" si="2"/>
        <v>0</v>
      </c>
      <c r="S7" s="36">
        <f t="shared" ca="1" si="3"/>
        <v>200000</v>
      </c>
      <c r="T7" s="35">
        <f ca="1">IF(ISNA(MATCH($F7,TaxCode,0))=TRUE,"code?",OFFSET('Set-up'!$D$37,MATCH($F7,TaxCode,0),MATCH($V7,TaxCurMonth,1)-1,1,1))</f>
        <v>0</v>
      </c>
      <c r="U7" s="28">
        <f t="shared" ca="1" si="4"/>
        <v>56</v>
      </c>
      <c r="V7" s="28">
        <f t="shared" ca="1" si="5"/>
        <v>68</v>
      </c>
      <c r="W7" s="28">
        <f t="shared" ca="1" si="6"/>
        <v>67</v>
      </c>
      <c r="X7" s="36">
        <f t="shared" ca="1" si="7"/>
        <v>200000</v>
      </c>
      <c r="Y7" s="36">
        <f t="shared" ca="1" si="8"/>
        <v>0</v>
      </c>
      <c r="Z7" s="36">
        <f t="shared" ca="1" si="9"/>
        <v>-140000</v>
      </c>
      <c r="AA7" s="36">
        <f t="shared" ca="1" si="10"/>
        <v>0</v>
      </c>
      <c r="AB7" s="36">
        <f t="shared" ca="1" si="11"/>
        <v>0</v>
      </c>
      <c r="AC7" s="36">
        <f t="shared" ca="1" si="23"/>
        <v>60000</v>
      </c>
      <c r="AD7" s="36" cm="1">
        <f t="array" aca="1" ref="AD7" ca="1">IF($L7=0,0,IF(SUMIFS(TransCLife,TransAsset,$A7,TransIDDate,$L7)=0,0,IF(($X7-(SUMIFS(TransCRes,TransAsset,$A7,TransIDDate,$L7)))/(SUMIFS(TransCLife,TransAsset,$A7,TransIDDate,$L7)*12)*(((YEAR($H$2)*12)+MONTH($H$2))-((YEAR($L7)*12)+MONTH($L7)))&gt;=($X7-SUMIFS(TransCRes,TransAsset,$A7,TransIDDate,$L7)),$X7-SUMIFS(TransCRes,TransAsset,$A7,TransIDDate,$L7),($X7-(SUMIFS(TransCRes,TransAsset,$A7,TransIDDate,$L7)))/(SUMIFS(TransCLife,TransAsset,$A7,TransIDDate,$L7)*12)*(((YEAR($H$2)*12)+MONTH($H$2))-((YEAR($L7)*12)+MONTH($L7))))))</f>
        <v>186666.66666666669</v>
      </c>
      <c r="AE7" s="36">
        <f t="shared" ca="1" si="12"/>
        <v>12000</v>
      </c>
      <c r="AF7" s="36">
        <f t="shared" ca="1" si="24"/>
        <v>0</v>
      </c>
      <c r="AG7" s="36">
        <f t="shared" ca="1" si="13"/>
        <v>12000</v>
      </c>
      <c r="AH7" s="36">
        <f t="shared" ca="1" si="14"/>
        <v>-186666.66666666669</v>
      </c>
      <c r="AI7" s="36">
        <f t="shared" ca="1" si="15"/>
        <v>0</v>
      </c>
      <c r="AJ7" s="36">
        <f t="shared" ca="1" si="25"/>
        <v>12000</v>
      </c>
      <c r="AK7" s="36">
        <f t="shared" ca="1" si="26"/>
        <v>48000</v>
      </c>
      <c r="AL7" s="36">
        <f t="shared" ca="1" si="16"/>
        <v>0</v>
      </c>
      <c r="AM7" s="36">
        <f t="shared" ca="1" si="27"/>
        <v>46666.666666666686</v>
      </c>
      <c r="AN7" s="36">
        <f t="shared" ca="1" si="28"/>
        <v>0</v>
      </c>
      <c r="AO7" s="36">
        <f t="shared" ca="1" si="17"/>
        <v>46666.666666666686</v>
      </c>
      <c r="AP7" s="36">
        <f t="shared" ca="1" si="18"/>
        <v>0</v>
      </c>
      <c r="AQ7" s="36">
        <f t="shared" ca="1" si="19"/>
        <v>0</v>
      </c>
      <c r="AR7" s="36">
        <f t="shared" ca="1" si="20"/>
        <v>1000</v>
      </c>
      <c r="AS7" s="36">
        <f t="shared" ca="1" si="29"/>
        <v>0</v>
      </c>
      <c r="AT7" s="36">
        <f t="shared" ca="1" si="21"/>
        <v>1000</v>
      </c>
      <c r="AU7" s="36" cm="1">
        <f t="array" aca="1" ref="AU7" ca="1">IF($I7&lt;$H$2,IF(AND($N7&lt;&gt;"-",$N7&lt;$H$2),0,SUMIFS(TransHCost,TransAsset,$A7,TransIDDate,$J7)-SUMIFS(TransPCAccDep,TransAsset,$A7)-SUMIFS(TransImpair,TransAsset,$A7,TransIDDate,"&lt;"&amp;$H$2,TransType,"REV")),0)</f>
        <v>13333.333333333314</v>
      </c>
      <c r="AV7" s="36">
        <f t="shared" ca="1" si="30"/>
        <v>-12000</v>
      </c>
      <c r="AW7" s="36">
        <f t="shared" ca="1" si="22"/>
        <v>1333.3333333333139</v>
      </c>
      <c r="AX7" s="36" cm="1">
        <f t="array" aca="1" ref="AX7" ca="1">$AW7-IF($I7&lt;$J$2,IF(AND($N7&lt;&gt;"-",$N7&lt;$J$2),0,SUMIFS(TransHCost,TransAsset,$A7,TransIDDate,$J7)-SUMIFS(TransPMAccDep,TransAsset,$A7)-SUMIFS(TransImpair,TransAsset,$A7,TransIDDate,"&lt;"&amp;$J$2,TransType,"REV")),0)</f>
        <v>-1000</v>
      </c>
      <c r="AY7" s="36">
        <f ca="1">IF(ISNA(MATCH($F7,TaxCode,0))=TRUE,$S7*($U7&gt;0),MAX(($S7*($U7&gt;0))-(($S7-SUMIFS(TransCRes,TransAsset,$A7,TransIDDate,$L7))*(IF($U7&lt;=11,0,MIN(SUM(OFFSET('Set-up'!$D$37,MATCH($F7,TaxCode,0),0,1,MATCH($U7,TaxCumMonth,1)))+MAX(TRUNC(($U7-60)/12)*SUM(OFFSET('Set-up'!$H$37,MATCH($F7,TaxCode,0),0,1,1)),0%),100%))))-(($S7-SUMIFS(TransCRes,TransAsset,$A7,TransIDDate,$L7))*OFFSET('Set-up'!$D$37,MATCH($F7,TaxCode,0),MATCH($U7,TaxCurMonth,1)-1,1,1)*IF(AND($U7-(TRUNC($U7/12)*12)&lt;&gt;0,OFFSET('Set-up'!$J$37,MATCH($F7,TaxCode,0),0,1,1)=0),1,(($U7-(TRUNC($U7/12)*12))/12))),SUMIFS(TransCRes,TransAsset,$A7,TransIDDate,$L7)))</f>
        <v>0</v>
      </c>
      <c r="AZ7" s="36">
        <f t="shared" ca="1" si="31"/>
        <v>0</v>
      </c>
      <c r="BA7" s="36">
        <f ca="1">IF(ISNA(MATCH($F7,TaxCode,0))=TRUE,$S7*($V7&gt;0),MAX(($S7*($V7&gt;0))-(($S7-$R7)*(IF($V7&lt;=11,0,MIN(SUM(OFFSET('Set-up'!$D$37,MATCH($F7,TaxCode,0),0,1,MATCH($V7,TaxCumMonth,1)))+MAX(TRUNC(($V7-60)/12)*SUM(OFFSET('Set-up'!$H$37,MATCH($F7,TaxCode,0),0,1,1)),0%),100%))))-(($S7-$R7)*OFFSET('Set-up'!$D$37,MATCH($F7,TaxCode,0),MATCH($V7,TaxCurMonth,1)-1,1,1)*IF(AND($V7-(TRUNC($V7/12)*12)&lt;&gt;0,OFFSET('Set-up'!$J$37,MATCH($F7,TaxCode,0),0,1,1)=0),1,(($V7-(TRUNC($V7/12)*12))/12))),$R7*($V7&gt;0)))</f>
        <v>0</v>
      </c>
      <c r="BB7" s="36">
        <f ca="1">$BA7-IF(ISNA(MATCH($F7,TaxCode,0))=TRUE,$S7*($W7&gt;0),MAX(($S7*($W7&gt;0))-(($S7-SUMIFS(TransCRes,TransAsset,$A7,TransIDDate,$M7))*(IF($W7&lt;=11,0,MIN(SUM(OFFSET('Set-up'!$D$37,MATCH($F7,TaxCode,0),0,1,MATCH($W7,TaxCumMonth,1)))+MAX(TRUNC(($W7-60)/12)*SUM(OFFSET('Set-up'!$H$37,MATCH($F7,TaxCode,0),0,1,1)),0%),100%))))-(($S7-SUMIFS(TransCRes,TransAsset,$A7,TransIDDate,$M7))*OFFSET('Set-up'!$D$37,MATCH($F7,TaxCode,0),MATCH($W7,TaxCurMonth,1)-1,1,1)*IF(AND($W7-(TRUNC($W7/12)*12)&lt;&gt;0,OFFSET('Set-up'!$J$37,MATCH($F7,TaxCode,0),0,1,1)=0),1,(($W7-(TRUNC($W7/12)*12))/12))),SUMIFS(TransCRes,TransAsset,$A7,TransIDDate,$M7)*($W7&gt;0)))</f>
        <v>0</v>
      </c>
      <c r="BC7" s="36">
        <f ca="1">IF(ISNUMBER('Set-up'!$C$9)=FALSE,0,IF($F7="J",0,ROUND(($AU7-$AY7)*'Set-up'!$C$9,2)))</f>
        <v>3733.33</v>
      </c>
      <c r="BD7" s="36">
        <f t="shared" ca="1" si="32"/>
        <v>-3360</v>
      </c>
      <c r="BE7" s="36">
        <f ca="1">IF(ISNUMBER('Set-up'!$C$9)=FALSE,0,IF($F7="J",0,ROUND(($AW7-$BA7)*'Set-up'!$C$9,2)))</f>
        <v>373.33</v>
      </c>
      <c r="BF7" s="36">
        <f ca="1">IF(ISNUMBER('Set-up'!$C$9)=FALSE,0,IF($F7="J",0,ROUND(($AX7-$BB7)*'Set-up'!$C$9,2)))</f>
        <v>-280</v>
      </c>
    </row>
    <row r="8" spans="1:58" ht="16" customHeight="1" x14ac:dyDescent="0.25">
      <c r="A8" s="8" t="s">
        <v>279</v>
      </c>
      <c r="B8" s="8">
        <v>98099812</v>
      </c>
      <c r="C8" s="8" t="s">
        <v>27</v>
      </c>
      <c r="D8" s="4" t="s">
        <v>91</v>
      </c>
      <c r="E8" s="4" t="s">
        <v>267</v>
      </c>
      <c r="F8" s="4" t="s">
        <v>212</v>
      </c>
      <c r="G8" s="4" t="str" cm="1">
        <f t="array" aca="1" ref="G8" ca="1">IF(COUNTIF(AssetCode,$A8)&gt;1,"E1",IF(ISNA(VLOOKUP($E8,CatAll,1,0))=TRUE,"E2",IF(AND($I8="add!",$J8&lt;&gt;"add!"),"E10",IF(ISNA(VLOOKUP($F8,TaxCode,1,0))=TRUE,"E11","-"))))</f>
        <v>-</v>
      </c>
      <c r="H8" s="4" t="str">
        <f t="shared" ca="1" si="0"/>
        <v>PM</v>
      </c>
      <c r="I8" s="33">
        <f t="array" aca="1" ref="I8" ca="1">IF(ISERROR(LARGE(IF(TransAsset=$A8,IF(TransType="ACQ",TransIDDate,"add!"),"add!"),1)),"add!",LARGE(IF(TransAsset=$A8,IF(TransType="ACQ",TransIDDate,"add!"),"add!"),1))</f>
        <v>42205.000185185185</v>
      </c>
      <c r="J8" s="33">
        <f t="array" aca="1" ref="J8" ca="1">IF(ISERROR(LARGE(IF(TransAsset=$A8,TransIDDate,"add!"),1)),"add!",LARGE(IF(TransAsset=$A8,TransIDDate,"add!"),1))</f>
        <v>43891.000625000001</v>
      </c>
      <c r="K8" s="33">
        <f t="array" aca="1" ref="K8" ca="1">IF(ISERROR(LARGE(IF(TransAsset=$A8,IF(TransDate&lt;($I$2+1),TransIDDate,"-"),"-"),1)),"-",LARGE(IF(TransAsset=$A8,IF(TransDate&lt;($I$2+1),TransIDDate,"-"),"-"),1))</f>
        <v>43891.000625000001</v>
      </c>
      <c r="L8" s="33">
        <f t="array" aca="1" ref="L8" ca="1">IF(ISERROR(LARGE(IF(TransAsset=$A8,IF(TransDate&lt;$H$2,TransIDDate,"-"),"-"),1)),"-",LARGE(IF(TransAsset=$A8,IF(TransDate&lt;$H$2,TransIDDate,"-"),"-"),1))</f>
        <v>42205.000185185185</v>
      </c>
      <c r="M8" s="33">
        <f t="array" aca="1" ref="M8" ca="1">IF(ISERROR(LARGE(IF(TransAsset=$A8,IF(TransDate&lt;$J$2,TransIDDate,"-"),"-"),1)),"-",LARGE(IF(TransAsset=$A8,IF(TransDate&lt;$J$2,TransIDDate,"-"),"-"),1))</f>
        <v>43891.000625000001</v>
      </c>
      <c r="N8" s="33" t="str">
        <f t="array" aca="1" ref="N8" ca="1">IF(ISERROR(LARGE(IF(TransAsset=$A8,IF(TransType="DIS",TransIDDate,"-"),"-"),1)),"-",LARGE(IF(TransAsset=$A8,IF(TransType="DIS",TransIDDate,"-"),"-"),1))</f>
        <v>-</v>
      </c>
      <c r="O8" s="34" cm="1">
        <f t="array" aca="1" ref="O8" ca="1">IF($N8&lt;=$I$2,SUMIFS(TransProceeds,TransAsset,$A8,TransType,"DIS"),0)</f>
        <v>0</v>
      </c>
      <c r="P8" s="36" cm="1">
        <f t="array" aca="1" ref="P8" ca="1">IF($I8&lt;=($I$2+1),SUMIFS(TransHCost,TransAsset,$A8,TransIDDate,$J8),0)</f>
        <v>250000</v>
      </c>
      <c r="Q8" s="28">
        <f t="shared" ca="1" si="1"/>
        <v>5</v>
      </c>
      <c r="R8" s="28">
        <f t="shared" ca="1" si="2"/>
        <v>0</v>
      </c>
      <c r="S8" s="36">
        <f t="shared" ca="1" si="3"/>
        <v>250000</v>
      </c>
      <c r="T8" s="35">
        <f ca="1">IF(ISNA(MATCH($F8,TaxCode,0))=TRUE,"code?",OFFSET('Set-up'!$D$37,MATCH($F8,TaxCode,0),MATCH($V8,TaxCurMonth,1)-1,1,1))</f>
        <v>0</v>
      </c>
      <c r="U8" s="28">
        <f t="shared" ca="1" si="4"/>
        <v>56</v>
      </c>
      <c r="V8" s="28">
        <f t="shared" ca="1" si="5"/>
        <v>68</v>
      </c>
      <c r="W8" s="28">
        <f t="shared" ca="1" si="6"/>
        <v>67</v>
      </c>
      <c r="X8" s="36">
        <f t="shared" ca="1" si="7"/>
        <v>250000</v>
      </c>
      <c r="Y8" s="36">
        <f t="shared" ca="1" si="8"/>
        <v>0</v>
      </c>
      <c r="Z8" s="36">
        <f t="shared" ca="1" si="9"/>
        <v>-175000</v>
      </c>
      <c r="AA8" s="36">
        <f t="shared" ca="1" si="10"/>
        <v>0</v>
      </c>
      <c r="AB8" s="36">
        <f t="shared" ca="1" si="11"/>
        <v>0</v>
      </c>
      <c r="AC8" s="36">
        <f t="shared" ca="1" si="23"/>
        <v>75000</v>
      </c>
      <c r="AD8" s="36" cm="1">
        <f t="array" aca="1" ref="AD8" ca="1">IF($L8=0,0,IF(SUMIFS(TransCLife,TransAsset,$A8,TransIDDate,$L8)=0,0,IF(($X8-(SUMIFS(TransCRes,TransAsset,$A8,TransIDDate,$L8)))/(SUMIFS(TransCLife,TransAsset,$A8,TransIDDate,$L8)*12)*(((YEAR($H$2)*12)+MONTH($H$2))-((YEAR($L8)*12)+MONTH($L8)))&gt;=($X8-SUMIFS(TransCRes,TransAsset,$A8,TransIDDate,$L8)),$X8-SUMIFS(TransCRes,TransAsset,$A8,TransIDDate,$L8),($X8-(SUMIFS(TransCRes,TransAsset,$A8,TransIDDate,$L8)))/(SUMIFS(TransCLife,TransAsset,$A8,TransIDDate,$L8)*12)*(((YEAR($H$2)*12)+MONTH($H$2))-((YEAR($L8)*12)+MONTH($L8))))))</f>
        <v>233333.33333333334</v>
      </c>
      <c r="AE8" s="36">
        <f t="shared" ca="1" si="12"/>
        <v>15000</v>
      </c>
      <c r="AF8" s="36">
        <f t="shared" ca="1" si="24"/>
        <v>0</v>
      </c>
      <c r="AG8" s="36">
        <f t="shared" ca="1" si="13"/>
        <v>15000</v>
      </c>
      <c r="AH8" s="36">
        <f t="shared" ca="1" si="14"/>
        <v>-233333.33333333334</v>
      </c>
      <c r="AI8" s="36">
        <f t="shared" ca="1" si="15"/>
        <v>0</v>
      </c>
      <c r="AJ8" s="36">
        <f t="shared" ca="1" si="25"/>
        <v>15000</v>
      </c>
      <c r="AK8" s="36">
        <f t="shared" ca="1" si="26"/>
        <v>60000</v>
      </c>
      <c r="AL8" s="36">
        <f t="shared" ca="1" si="16"/>
        <v>0</v>
      </c>
      <c r="AM8" s="36">
        <f t="shared" ca="1" si="27"/>
        <v>58333.333333333343</v>
      </c>
      <c r="AN8" s="36">
        <f t="shared" ca="1" si="28"/>
        <v>0</v>
      </c>
      <c r="AO8" s="36">
        <f t="shared" ca="1" si="17"/>
        <v>58333.333333333343</v>
      </c>
      <c r="AP8" s="36">
        <f t="shared" ca="1" si="18"/>
        <v>0</v>
      </c>
      <c r="AQ8" s="36">
        <f t="shared" ca="1" si="19"/>
        <v>0</v>
      </c>
      <c r="AR8" s="36">
        <f t="shared" ca="1" si="20"/>
        <v>1250</v>
      </c>
      <c r="AS8" s="36">
        <f t="shared" ca="1" si="29"/>
        <v>0</v>
      </c>
      <c r="AT8" s="36">
        <f t="shared" ca="1" si="21"/>
        <v>1250</v>
      </c>
      <c r="AU8" s="36" cm="1">
        <f t="array" aca="1" ref="AU8" ca="1">IF($I8&lt;$H$2,IF(AND($N8&lt;&gt;"-",$N8&lt;$H$2),0,SUMIFS(TransHCost,TransAsset,$A8,TransIDDate,$J8)-SUMIFS(TransPCAccDep,TransAsset,$A8)-SUMIFS(TransImpair,TransAsset,$A8,TransIDDate,"&lt;"&amp;$H$2,TransType,"REV")),0)</f>
        <v>16666.666666666657</v>
      </c>
      <c r="AV8" s="36">
        <f t="shared" ca="1" si="30"/>
        <v>-15000</v>
      </c>
      <c r="AW8" s="36">
        <f t="shared" ca="1" si="22"/>
        <v>1666.666666666657</v>
      </c>
      <c r="AX8" s="36" cm="1">
        <f t="array" aca="1" ref="AX8" ca="1">$AW8-IF($I8&lt;$J$2,IF(AND($N8&lt;&gt;"-",$N8&lt;$J$2),0,SUMIFS(TransHCost,TransAsset,$A8,TransIDDate,$J8)-SUMIFS(TransPMAccDep,TransAsset,$A8)-SUMIFS(TransImpair,TransAsset,$A8,TransIDDate,"&lt;"&amp;$J$2,TransType,"REV")),0)</f>
        <v>-1250</v>
      </c>
      <c r="AY8" s="36">
        <f ca="1">IF(ISNA(MATCH($F8,TaxCode,0))=TRUE,$S8*($U8&gt;0),MAX(($S8*($U8&gt;0))-(($S8-SUMIFS(TransCRes,TransAsset,$A8,TransIDDate,$L8))*(IF($U8&lt;=11,0,MIN(SUM(OFFSET('Set-up'!$D$37,MATCH($F8,TaxCode,0),0,1,MATCH($U8,TaxCumMonth,1)))+MAX(TRUNC(($U8-60)/12)*SUM(OFFSET('Set-up'!$H$37,MATCH($F8,TaxCode,0),0,1,1)),0%),100%))))-(($S8-SUMIFS(TransCRes,TransAsset,$A8,TransIDDate,$L8))*OFFSET('Set-up'!$D$37,MATCH($F8,TaxCode,0),MATCH($U8,TaxCurMonth,1)-1,1,1)*IF(AND($U8-(TRUNC($U8/12)*12)&lt;&gt;0,OFFSET('Set-up'!$J$37,MATCH($F8,TaxCode,0),0,1,1)=0),1,(($U8-(TRUNC($U8/12)*12))/12))),SUMIFS(TransCRes,TransAsset,$A8,TransIDDate,$L8)))</f>
        <v>0</v>
      </c>
      <c r="AZ8" s="36">
        <f t="shared" ca="1" si="31"/>
        <v>0</v>
      </c>
      <c r="BA8" s="36">
        <f ca="1">IF(ISNA(MATCH($F8,TaxCode,0))=TRUE,$S8*($V8&gt;0),MAX(($S8*($V8&gt;0))-(($S8-$R8)*(IF($V8&lt;=11,0,MIN(SUM(OFFSET('Set-up'!$D$37,MATCH($F8,TaxCode,0),0,1,MATCH($V8,TaxCumMonth,1)))+MAX(TRUNC(($V8-60)/12)*SUM(OFFSET('Set-up'!$H$37,MATCH($F8,TaxCode,0),0,1,1)),0%),100%))))-(($S8-$R8)*OFFSET('Set-up'!$D$37,MATCH($F8,TaxCode,0),MATCH($V8,TaxCurMonth,1)-1,1,1)*IF(AND($V8-(TRUNC($V8/12)*12)&lt;&gt;0,OFFSET('Set-up'!$J$37,MATCH($F8,TaxCode,0),0,1,1)=0),1,(($V8-(TRUNC($V8/12)*12))/12))),$R8*($V8&gt;0)))</f>
        <v>0</v>
      </c>
      <c r="BB8" s="36">
        <f ca="1">$BA8-IF(ISNA(MATCH($F8,TaxCode,0))=TRUE,$S8*($W8&gt;0),MAX(($S8*($W8&gt;0))-(($S8-SUMIFS(TransCRes,TransAsset,$A8,TransIDDate,$M8))*(IF($W8&lt;=11,0,MIN(SUM(OFFSET('Set-up'!$D$37,MATCH($F8,TaxCode,0),0,1,MATCH($W8,TaxCumMonth,1)))+MAX(TRUNC(($W8-60)/12)*SUM(OFFSET('Set-up'!$H$37,MATCH($F8,TaxCode,0),0,1,1)),0%),100%))))-(($S8-SUMIFS(TransCRes,TransAsset,$A8,TransIDDate,$M8))*OFFSET('Set-up'!$D$37,MATCH($F8,TaxCode,0),MATCH($W8,TaxCurMonth,1)-1,1,1)*IF(AND($W8-(TRUNC($W8/12)*12)&lt;&gt;0,OFFSET('Set-up'!$J$37,MATCH($F8,TaxCode,0),0,1,1)=0),1,(($W8-(TRUNC($W8/12)*12))/12))),SUMIFS(TransCRes,TransAsset,$A8,TransIDDate,$M8)*($W8&gt;0)))</f>
        <v>0</v>
      </c>
      <c r="BC8" s="36">
        <f ca="1">IF(ISNUMBER('Set-up'!$C$9)=FALSE,0,IF($F8="J",0,ROUND(($AU8-$AY8)*'Set-up'!$C$9,2)))</f>
        <v>4666.67</v>
      </c>
      <c r="BD8" s="36">
        <f t="shared" ca="1" si="32"/>
        <v>-4200</v>
      </c>
      <c r="BE8" s="36">
        <f ca="1">IF(ISNUMBER('Set-up'!$C$9)=FALSE,0,IF($F8="J",0,ROUND(($AW8-$BA8)*'Set-up'!$C$9,2)))</f>
        <v>466.67</v>
      </c>
      <c r="BF8" s="36">
        <f ca="1">IF(ISNUMBER('Set-up'!$C$9)=FALSE,0,IF($F8="J",0,ROUND(($AX8-$BB8)*'Set-up'!$C$9,2)))</f>
        <v>-350</v>
      </c>
    </row>
    <row r="9" spans="1:58" ht="16" customHeight="1" x14ac:dyDescent="0.25">
      <c r="A9" s="8" t="s">
        <v>280</v>
      </c>
      <c r="B9" s="8">
        <v>89098801</v>
      </c>
      <c r="C9" s="8" t="s">
        <v>28</v>
      </c>
      <c r="D9" s="4" t="s">
        <v>91</v>
      </c>
      <c r="E9" s="4" t="s">
        <v>267</v>
      </c>
      <c r="F9" s="4" t="s">
        <v>212</v>
      </c>
      <c r="G9" s="4" t="str" cm="1">
        <f t="array" aca="1" ref="G9" ca="1">IF(COUNTIF(AssetCode,$A9)&gt;1,"E1",IF(ISNA(VLOOKUP($E9,CatAll,1,0))=TRUE,"E2",IF(AND($I9="add!",$J9&lt;&gt;"add!"),"E10",IF(ISNA(VLOOKUP($F9,TaxCode,1,0))=TRUE,"E11","-"))))</f>
        <v>-</v>
      </c>
      <c r="H9" s="4" t="str">
        <f t="shared" ca="1" si="0"/>
        <v>PM</v>
      </c>
      <c r="I9" s="33">
        <f t="array" aca="1" ref="I9" ca="1">IF(ISERROR(LARGE(IF(TransAsset=$A9,IF(TransType="ACQ",TransIDDate,"add!"),"add!"),1)),"add!",LARGE(IF(TransAsset=$A9,IF(TransType="ACQ",TransIDDate,"add!"),"add!"),1))</f>
        <v>42205.000196759262</v>
      </c>
      <c r="J9" s="33">
        <f t="array" aca="1" ref="J9" ca="1">IF(ISERROR(LARGE(IF(TransAsset=$A9,TransIDDate,"add!"),1)),"add!",LARGE(IF(TransAsset=$A9,TransIDDate,"add!"),1))</f>
        <v>43891.000636574077</v>
      </c>
      <c r="K9" s="33">
        <f t="array" aca="1" ref="K9" ca="1">IF(ISERROR(LARGE(IF(TransAsset=$A9,IF(TransDate&lt;($I$2+1),TransIDDate,"-"),"-"),1)),"-",LARGE(IF(TransAsset=$A9,IF(TransDate&lt;($I$2+1),TransIDDate,"-"),"-"),1))</f>
        <v>43891.000636574077</v>
      </c>
      <c r="L9" s="33">
        <f t="array" aca="1" ref="L9" ca="1">IF(ISERROR(LARGE(IF(TransAsset=$A9,IF(TransDate&lt;$H$2,TransIDDate,"-"),"-"),1)),"-",LARGE(IF(TransAsset=$A9,IF(TransDate&lt;$H$2,TransIDDate,"-"),"-"),1))</f>
        <v>42205.000196759262</v>
      </c>
      <c r="M9" s="33">
        <f t="array" aca="1" ref="M9" ca="1">IF(ISERROR(LARGE(IF(TransAsset=$A9,IF(TransDate&lt;$J$2,TransIDDate,"-"),"-"),1)),"-",LARGE(IF(TransAsset=$A9,IF(TransDate&lt;$J$2,TransIDDate,"-"),"-"),1))</f>
        <v>43891.000636574077</v>
      </c>
      <c r="N9" s="33" t="str">
        <f t="array" aca="1" ref="N9" ca="1">IF(ISERROR(LARGE(IF(TransAsset=$A9,IF(TransType="DIS",TransIDDate,"-"),"-"),1)),"-",LARGE(IF(TransAsset=$A9,IF(TransType="DIS",TransIDDate,"-"),"-"),1))</f>
        <v>-</v>
      </c>
      <c r="O9" s="34" cm="1">
        <f t="array" aca="1" ref="O9" ca="1">IF($N9&lt;=$I$2,SUMIFS(TransProceeds,TransAsset,$A9,TransType,"DIS"),0)</f>
        <v>0</v>
      </c>
      <c r="P9" s="36" cm="1">
        <f t="array" aca="1" ref="P9" ca="1">IF($I9&lt;=($I$2+1),SUMIFS(TransHCost,TransAsset,$A9,TransIDDate,$J9),0)</f>
        <v>915000</v>
      </c>
      <c r="Q9" s="28">
        <f t="shared" ca="1" si="1"/>
        <v>5</v>
      </c>
      <c r="R9" s="28">
        <f t="shared" ca="1" si="2"/>
        <v>0</v>
      </c>
      <c r="S9" s="36">
        <f t="shared" ca="1" si="3"/>
        <v>915000</v>
      </c>
      <c r="T9" s="35">
        <f ca="1">IF(ISNA(MATCH($F9,TaxCode,0))=TRUE,"code?",OFFSET('Set-up'!$D$37,MATCH($F9,TaxCode,0),MATCH($V9,TaxCurMonth,1)-1,1,1))</f>
        <v>0</v>
      </c>
      <c r="U9" s="28">
        <f t="shared" ca="1" si="4"/>
        <v>56</v>
      </c>
      <c r="V9" s="28">
        <f t="shared" ca="1" si="5"/>
        <v>68</v>
      </c>
      <c r="W9" s="28">
        <f t="shared" ca="1" si="6"/>
        <v>67</v>
      </c>
      <c r="X9" s="36">
        <f t="shared" ca="1" si="7"/>
        <v>915000</v>
      </c>
      <c r="Y9" s="36">
        <f t="shared" ca="1" si="8"/>
        <v>0</v>
      </c>
      <c r="Z9" s="36">
        <f t="shared" ca="1" si="9"/>
        <v>-675000</v>
      </c>
      <c r="AA9" s="36">
        <f t="shared" ca="1" si="10"/>
        <v>0</v>
      </c>
      <c r="AB9" s="36">
        <f t="shared" ca="1" si="11"/>
        <v>0</v>
      </c>
      <c r="AC9" s="36">
        <f t="shared" ca="1" si="23"/>
        <v>240000</v>
      </c>
      <c r="AD9" s="36" cm="1">
        <f t="array" aca="1" ref="AD9" ca="1">IF($L9=0,0,IF(SUMIFS(TransCLife,TransAsset,$A9,TransIDDate,$L9)=0,0,IF(($X9-(SUMIFS(TransCRes,TransAsset,$A9,TransIDDate,$L9)))/(SUMIFS(TransCLife,TransAsset,$A9,TransIDDate,$L9)*12)*(((YEAR($H$2)*12)+MONTH($H$2))-((YEAR($L9)*12)+MONTH($L9)))&gt;=($X9-SUMIFS(TransCRes,TransAsset,$A9,TransIDDate,$L9)),$X9-SUMIFS(TransCRes,TransAsset,$A9,TransIDDate,$L9),($X9-(SUMIFS(TransCRes,TransAsset,$A9,TransIDDate,$L9)))/(SUMIFS(TransCLife,TransAsset,$A9,TransIDDate,$L9)*12)*(((YEAR($H$2)*12)+MONTH($H$2))-((YEAR($L9)*12)+MONTH($L9))))))</f>
        <v>854000</v>
      </c>
      <c r="AE9" s="36">
        <f t="shared" ca="1" si="12"/>
        <v>48000</v>
      </c>
      <c r="AF9" s="36">
        <f t="shared" ca="1" si="24"/>
        <v>0</v>
      </c>
      <c r="AG9" s="36">
        <f t="shared" ca="1" si="13"/>
        <v>48000</v>
      </c>
      <c r="AH9" s="36">
        <f t="shared" ca="1" si="14"/>
        <v>-854000</v>
      </c>
      <c r="AI9" s="36">
        <f t="shared" ca="1" si="15"/>
        <v>0</v>
      </c>
      <c r="AJ9" s="36">
        <f t="shared" ca="1" si="25"/>
        <v>48000</v>
      </c>
      <c r="AK9" s="36">
        <f t="shared" ca="1" si="26"/>
        <v>192000</v>
      </c>
      <c r="AL9" s="36">
        <f t="shared" ca="1" si="16"/>
        <v>0</v>
      </c>
      <c r="AM9" s="36">
        <f t="shared" ca="1" si="27"/>
        <v>179000</v>
      </c>
      <c r="AN9" s="36">
        <f t="shared" ca="1" si="28"/>
        <v>0</v>
      </c>
      <c r="AO9" s="36">
        <f t="shared" ca="1" si="17"/>
        <v>179000</v>
      </c>
      <c r="AP9" s="36">
        <f t="shared" ca="1" si="18"/>
        <v>0</v>
      </c>
      <c r="AQ9" s="36">
        <f t="shared" ca="1" si="19"/>
        <v>0</v>
      </c>
      <c r="AR9" s="36">
        <f t="shared" ca="1" si="20"/>
        <v>4000</v>
      </c>
      <c r="AS9" s="36">
        <f t="shared" ca="1" si="29"/>
        <v>0</v>
      </c>
      <c r="AT9" s="36">
        <f t="shared" ca="1" si="21"/>
        <v>4000</v>
      </c>
      <c r="AU9" s="36" cm="1">
        <f t="array" aca="1" ref="AU9" ca="1">IF($I9&lt;$H$2,IF(AND($N9&lt;&gt;"-",$N9&lt;$H$2),0,SUMIFS(TransHCost,TransAsset,$A9,TransIDDate,$J9)-SUMIFS(TransPCAccDep,TransAsset,$A9)-SUMIFS(TransImpair,TransAsset,$A9,TransIDDate,"&lt;"&amp;$H$2,TransType,"REV")),0)</f>
        <v>61000</v>
      </c>
      <c r="AV9" s="36">
        <f t="shared" ca="1" si="30"/>
        <v>-48000</v>
      </c>
      <c r="AW9" s="36">
        <f t="shared" ca="1" si="22"/>
        <v>13000</v>
      </c>
      <c r="AX9" s="36" cm="1">
        <f t="array" aca="1" ref="AX9" ca="1">$AW9-IF($I9&lt;$J$2,IF(AND($N9&lt;&gt;"-",$N9&lt;$J$2),0,SUMIFS(TransHCost,TransAsset,$A9,TransIDDate,$J9)-SUMIFS(TransPMAccDep,TransAsset,$A9)-SUMIFS(TransImpair,TransAsset,$A9,TransIDDate,"&lt;"&amp;$J$2,TransType,"REV")),0)</f>
        <v>-4000</v>
      </c>
      <c r="AY9" s="36">
        <f ca="1">IF(ISNA(MATCH($F9,TaxCode,0))=TRUE,$S9*($U9&gt;0),MAX(($S9*($U9&gt;0))-(($S9-SUMIFS(TransCRes,TransAsset,$A9,TransIDDate,$L9))*(IF($U9&lt;=11,0,MIN(SUM(OFFSET('Set-up'!$D$37,MATCH($F9,TaxCode,0),0,1,MATCH($U9,TaxCumMonth,1)))+MAX(TRUNC(($U9-60)/12)*SUM(OFFSET('Set-up'!$H$37,MATCH($F9,TaxCode,0),0,1,1)),0%),100%))))-(($S9-SUMIFS(TransCRes,TransAsset,$A9,TransIDDate,$L9))*OFFSET('Set-up'!$D$37,MATCH($F9,TaxCode,0),MATCH($U9,TaxCurMonth,1)-1,1,1)*IF(AND($U9-(TRUNC($U9/12)*12)&lt;&gt;0,OFFSET('Set-up'!$J$37,MATCH($F9,TaxCode,0),0,1,1)=0),1,(($U9-(TRUNC($U9/12)*12))/12))),SUMIFS(TransCRes,TransAsset,$A9,TransIDDate,$L9)))</f>
        <v>0</v>
      </c>
      <c r="AZ9" s="36">
        <f t="shared" ca="1" si="31"/>
        <v>0</v>
      </c>
      <c r="BA9" s="36">
        <f ca="1">IF(ISNA(MATCH($F9,TaxCode,0))=TRUE,$S9*($V9&gt;0),MAX(($S9*($V9&gt;0))-(($S9-$R9)*(IF($V9&lt;=11,0,MIN(SUM(OFFSET('Set-up'!$D$37,MATCH($F9,TaxCode,0),0,1,MATCH($V9,TaxCumMonth,1)))+MAX(TRUNC(($V9-60)/12)*SUM(OFFSET('Set-up'!$H$37,MATCH($F9,TaxCode,0),0,1,1)),0%),100%))))-(($S9-$R9)*OFFSET('Set-up'!$D$37,MATCH($F9,TaxCode,0),MATCH($V9,TaxCurMonth,1)-1,1,1)*IF(AND($V9-(TRUNC($V9/12)*12)&lt;&gt;0,OFFSET('Set-up'!$J$37,MATCH($F9,TaxCode,0),0,1,1)=0),1,(($V9-(TRUNC($V9/12)*12))/12))),$R9*($V9&gt;0)))</f>
        <v>0</v>
      </c>
      <c r="BB9" s="36">
        <f ca="1">$BA9-IF(ISNA(MATCH($F9,TaxCode,0))=TRUE,$S9*($W9&gt;0),MAX(($S9*($W9&gt;0))-(($S9-SUMIFS(TransCRes,TransAsset,$A9,TransIDDate,$M9))*(IF($W9&lt;=11,0,MIN(SUM(OFFSET('Set-up'!$D$37,MATCH($F9,TaxCode,0),0,1,MATCH($W9,TaxCumMonth,1)))+MAX(TRUNC(($W9-60)/12)*SUM(OFFSET('Set-up'!$H$37,MATCH($F9,TaxCode,0),0,1,1)),0%),100%))))-(($S9-SUMIFS(TransCRes,TransAsset,$A9,TransIDDate,$M9))*OFFSET('Set-up'!$D$37,MATCH($F9,TaxCode,0),MATCH($W9,TaxCurMonth,1)-1,1,1)*IF(AND($W9-(TRUNC($W9/12)*12)&lt;&gt;0,OFFSET('Set-up'!$J$37,MATCH($F9,TaxCode,0),0,1,1)=0),1,(($W9-(TRUNC($W9/12)*12))/12))),SUMIFS(TransCRes,TransAsset,$A9,TransIDDate,$M9)*($W9&gt;0)))</f>
        <v>0</v>
      </c>
      <c r="BC9" s="36">
        <f ca="1">IF(ISNUMBER('Set-up'!$C$9)=FALSE,0,IF($F9="J",0,ROUND(($AU9-$AY9)*'Set-up'!$C$9,2)))</f>
        <v>17080</v>
      </c>
      <c r="BD9" s="36">
        <f t="shared" ca="1" si="32"/>
        <v>-13440</v>
      </c>
      <c r="BE9" s="36">
        <f ca="1">IF(ISNUMBER('Set-up'!$C$9)=FALSE,0,IF($F9="J",0,ROUND(($AW9-$BA9)*'Set-up'!$C$9,2)))</f>
        <v>3640</v>
      </c>
      <c r="BF9" s="36">
        <f ca="1">IF(ISNUMBER('Set-up'!$C$9)=FALSE,0,IF($F9="J",0,ROUND(($AX9-$BB9)*'Set-up'!$C$9,2)))</f>
        <v>-1120</v>
      </c>
    </row>
    <row r="10" spans="1:58" ht="16" customHeight="1" x14ac:dyDescent="0.25">
      <c r="A10" s="8" t="s">
        <v>281</v>
      </c>
      <c r="B10" s="8">
        <v>90393132</v>
      </c>
      <c r="C10" s="8" t="s">
        <v>291</v>
      </c>
      <c r="D10" s="4" t="s">
        <v>91</v>
      </c>
      <c r="E10" s="4" t="s">
        <v>267</v>
      </c>
      <c r="F10" s="4" t="s">
        <v>212</v>
      </c>
      <c r="G10" s="4" t="str" cm="1">
        <f t="array" aca="1" ref="G10" ca="1">IF(COUNTIF(AssetCode,$A10)&gt;1,"E1",IF(ISNA(VLOOKUP($E10,CatAll,1,0))=TRUE,"E2",IF(AND($I10="add!",$J10&lt;&gt;"add!"),"E10",IF(ISNA(VLOOKUP($F10,TaxCode,1,0))=TRUE,"E11","-"))))</f>
        <v>-</v>
      </c>
      <c r="H10" s="4" t="str">
        <f t="shared" ca="1" si="0"/>
        <v>PM</v>
      </c>
      <c r="I10" s="33">
        <f t="array" aca="1" ref="I10" ca="1">IF(ISERROR(LARGE(IF(TransAsset=$A10,IF(TransType="ACQ",TransIDDate,"add!"),"add!"),1)),"add!",LARGE(IF(TransAsset=$A10,IF(TransType="ACQ",TransIDDate,"add!"),"add!"),1))</f>
        <v>42205.000208333331</v>
      </c>
      <c r="J10" s="33">
        <f t="array" aca="1" ref="J10" ca="1">IF(ISERROR(LARGE(IF(TransAsset=$A10,TransIDDate,"add!"),1)),"add!",LARGE(IF(TransAsset=$A10,TransIDDate,"add!"),1))</f>
        <v>43891.000648148147</v>
      </c>
      <c r="K10" s="33">
        <f t="array" aca="1" ref="K10" ca="1">IF(ISERROR(LARGE(IF(TransAsset=$A10,IF(TransDate&lt;($I$2+1),TransIDDate,"-"),"-"),1)),"-",LARGE(IF(TransAsset=$A10,IF(TransDate&lt;($I$2+1),TransIDDate,"-"),"-"),1))</f>
        <v>43891.000648148147</v>
      </c>
      <c r="L10" s="33">
        <f t="array" aca="1" ref="L10" ca="1">IF(ISERROR(LARGE(IF(TransAsset=$A10,IF(TransDate&lt;$H$2,TransIDDate,"-"),"-"),1)),"-",LARGE(IF(TransAsset=$A10,IF(TransDate&lt;$H$2,TransIDDate,"-"),"-"),1))</f>
        <v>42205.000208333331</v>
      </c>
      <c r="M10" s="33">
        <f t="array" aca="1" ref="M10" ca="1">IF(ISERROR(LARGE(IF(TransAsset=$A10,IF(TransDate&lt;$J$2,TransIDDate,"-"),"-"),1)),"-",LARGE(IF(TransAsset=$A10,IF(TransDate&lt;$J$2,TransIDDate,"-"),"-"),1))</f>
        <v>43891.000648148147</v>
      </c>
      <c r="N10" s="33" t="str">
        <f t="array" aca="1" ref="N10" ca="1">IF(ISERROR(LARGE(IF(TransAsset=$A10,IF(TransType="DIS",TransIDDate,"-"),"-"),1)),"-",LARGE(IF(TransAsset=$A10,IF(TransType="DIS",TransIDDate,"-"),"-"),1))</f>
        <v>-</v>
      </c>
      <c r="O10" s="34" cm="1">
        <f t="array" aca="1" ref="O10" ca="1">IF($N10&lt;=$I$2,SUMIFS(TransProceeds,TransAsset,$A10,TransType,"DIS"),0)</f>
        <v>0</v>
      </c>
      <c r="P10" s="36" cm="1">
        <f t="array" aca="1" ref="P10" ca="1">IF($I10&lt;=($I$2+1),SUMIFS(TransHCost,TransAsset,$A10,TransIDDate,$J10),0)</f>
        <v>500000</v>
      </c>
      <c r="Q10" s="28">
        <f t="shared" ca="1" si="1"/>
        <v>5</v>
      </c>
      <c r="R10" s="28">
        <f t="shared" ca="1" si="2"/>
        <v>0</v>
      </c>
      <c r="S10" s="36">
        <f t="shared" ca="1" si="3"/>
        <v>500000</v>
      </c>
      <c r="T10" s="35">
        <f ca="1">IF(ISNA(MATCH($F10,TaxCode,0))=TRUE,"code?",OFFSET('Set-up'!$D$37,MATCH($F10,TaxCode,0),MATCH($V10,TaxCurMonth,1)-1,1,1))</f>
        <v>0</v>
      </c>
      <c r="U10" s="28">
        <f t="shared" ca="1" si="4"/>
        <v>56</v>
      </c>
      <c r="V10" s="28">
        <f t="shared" ca="1" si="5"/>
        <v>68</v>
      </c>
      <c r="W10" s="28">
        <f t="shared" ca="1" si="6"/>
        <v>67</v>
      </c>
      <c r="X10" s="36">
        <f t="shared" ca="1" si="7"/>
        <v>500000</v>
      </c>
      <c r="Y10" s="36">
        <f t="shared" ca="1" si="8"/>
        <v>0</v>
      </c>
      <c r="Z10" s="36">
        <f t="shared" ca="1" si="9"/>
        <v>-358000</v>
      </c>
      <c r="AA10" s="36">
        <f t="shared" ca="1" si="10"/>
        <v>0</v>
      </c>
      <c r="AB10" s="36">
        <f t="shared" ca="1" si="11"/>
        <v>0</v>
      </c>
      <c r="AC10" s="36">
        <f t="shared" ca="1" si="23"/>
        <v>142000</v>
      </c>
      <c r="AD10" s="36" cm="1">
        <f t="array" aca="1" ref="AD10" ca="1">IF($L10=0,0,IF(SUMIFS(TransCLife,TransAsset,$A10,TransIDDate,$L10)=0,0,IF(($X10-(SUMIFS(TransCRes,TransAsset,$A10,TransIDDate,$L10)))/(SUMIFS(TransCLife,TransAsset,$A10,TransIDDate,$L10)*12)*(((YEAR($H$2)*12)+MONTH($H$2))-((YEAR($L10)*12)+MONTH($L10)))&gt;=($X10-SUMIFS(TransCRes,TransAsset,$A10,TransIDDate,$L10)),$X10-SUMIFS(TransCRes,TransAsset,$A10,TransIDDate,$L10),($X10-(SUMIFS(TransCRes,TransAsset,$A10,TransIDDate,$L10)))/(SUMIFS(TransCLife,TransAsset,$A10,TransIDDate,$L10)*12)*(((YEAR($H$2)*12)+MONTH($H$2))-((YEAR($L10)*12)+MONTH($L10))))))</f>
        <v>466666.66666666669</v>
      </c>
      <c r="AE10" s="36">
        <f t="shared" ca="1" si="12"/>
        <v>28400</v>
      </c>
      <c r="AF10" s="36">
        <f t="shared" ca="1" si="24"/>
        <v>0</v>
      </c>
      <c r="AG10" s="36">
        <f t="shared" ca="1" si="13"/>
        <v>28400</v>
      </c>
      <c r="AH10" s="36">
        <f t="shared" ca="1" si="14"/>
        <v>-466666.66666666669</v>
      </c>
      <c r="AI10" s="36">
        <f t="shared" ca="1" si="15"/>
        <v>0</v>
      </c>
      <c r="AJ10" s="36">
        <f t="shared" ca="1" si="25"/>
        <v>28400</v>
      </c>
      <c r="AK10" s="36">
        <f t="shared" ca="1" si="26"/>
        <v>113600</v>
      </c>
      <c r="AL10" s="36">
        <f t="shared" ca="1" si="16"/>
        <v>0</v>
      </c>
      <c r="AM10" s="36">
        <f t="shared" ca="1" si="27"/>
        <v>108666.66666666669</v>
      </c>
      <c r="AN10" s="36">
        <f t="shared" ca="1" si="28"/>
        <v>0</v>
      </c>
      <c r="AO10" s="36">
        <f t="shared" ca="1" si="17"/>
        <v>108666.66666666669</v>
      </c>
      <c r="AP10" s="36">
        <f t="shared" ca="1" si="18"/>
        <v>0</v>
      </c>
      <c r="AQ10" s="36">
        <f t="shared" ca="1" si="19"/>
        <v>0</v>
      </c>
      <c r="AR10" s="36">
        <f t="shared" ca="1" si="20"/>
        <v>2366.6666666666665</v>
      </c>
      <c r="AS10" s="36">
        <f t="shared" ca="1" si="29"/>
        <v>0</v>
      </c>
      <c r="AT10" s="36">
        <f t="shared" ca="1" si="21"/>
        <v>2366.6666666666665</v>
      </c>
      <c r="AU10" s="36" cm="1">
        <f t="array" aca="1" ref="AU10" ca="1">IF($I10&lt;$H$2,IF(AND($N10&lt;&gt;"-",$N10&lt;$H$2),0,SUMIFS(TransHCost,TransAsset,$A10,TransIDDate,$J10)-SUMIFS(TransPCAccDep,TransAsset,$A10)-SUMIFS(TransImpair,TransAsset,$A10,TransIDDate,"&lt;"&amp;$H$2,TransType,"REV")),0)</f>
        <v>33333.333333333314</v>
      </c>
      <c r="AV10" s="36">
        <f t="shared" ca="1" si="30"/>
        <v>-28400</v>
      </c>
      <c r="AW10" s="36">
        <f t="shared" ca="1" si="22"/>
        <v>4933.3333333333139</v>
      </c>
      <c r="AX10" s="36" cm="1">
        <f t="array" aca="1" ref="AX10" ca="1">$AW10-IF($I10&lt;$J$2,IF(AND($N10&lt;&gt;"-",$N10&lt;$J$2),0,SUMIFS(TransHCost,TransAsset,$A10,TransIDDate,$J10)-SUMIFS(TransPMAccDep,TransAsset,$A10)-SUMIFS(TransImpair,TransAsset,$A10,TransIDDate,"&lt;"&amp;$J$2,TransType,"REV")),0)</f>
        <v>-2366.6666666666861</v>
      </c>
      <c r="AY10" s="36">
        <f ca="1">IF(ISNA(MATCH($F10,TaxCode,0))=TRUE,$S10*($U10&gt;0),MAX(($S10*($U10&gt;0))-(($S10-SUMIFS(TransCRes,TransAsset,$A10,TransIDDate,$L10))*(IF($U10&lt;=11,0,MIN(SUM(OFFSET('Set-up'!$D$37,MATCH($F10,TaxCode,0),0,1,MATCH($U10,TaxCumMonth,1)))+MAX(TRUNC(($U10-60)/12)*SUM(OFFSET('Set-up'!$H$37,MATCH($F10,TaxCode,0),0,1,1)),0%),100%))))-(($S10-SUMIFS(TransCRes,TransAsset,$A10,TransIDDate,$L10))*OFFSET('Set-up'!$D$37,MATCH($F10,TaxCode,0),MATCH($U10,TaxCurMonth,1)-1,1,1)*IF(AND($U10-(TRUNC($U10/12)*12)&lt;&gt;0,OFFSET('Set-up'!$J$37,MATCH($F10,TaxCode,0),0,1,1)=0),1,(($U10-(TRUNC($U10/12)*12))/12))),SUMIFS(TransCRes,TransAsset,$A10,TransIDDate,$L10)))</f>
        <v>0</v>
      </c>
      <c r="AZ10" s="36">
        <f t="shared" ca="1" si="31"/>
        <v>0</v>
      </c>
      <c r="BA10" s="36">
        <f ca="1">IF(ISNA(MATCH($F10,TaxCode,0))=TRUE,$S10*($V10&gt;0),MAX(($S10*($V10&gt;0))-(($S10-$R10)*(IF($V10&lt;=11,0,MIN(SUM(OFFSET('Set-up'!$D$37,MATCH($F10,TaxCode,0),0,1,MATCH($V10,TaxCumMonth,1)))+MAX(TRUNC(($V10-60)/12)*SUM(OFFSET('Set-up'!$H$37,MATCH($F10,TaxCode,0),0,1,1)),0%),100%))))-(($S10-$R10)*OFFSET('Set-up'!$D$37,MATCH($F10,TaxCode,0),MATCH($V10,TaxCurMonth,1)-1,1,1)*IF(AND($V10-(TRUNC($V10/12)*12)&lt;&gt;0,OFFSET('Set-up'!$J$37,MATCH($F10,TaxCode,0),0,1,1)=0),1,(($V10-(TRUNC($V10/12)*12))/12))),$R10*($V10&gt;0)))</f>
        <v>0</v>
      </c>
      <c r="BB10" s="36">
        <f ca="1">$BA10-IF(ISNA(MATCH($F10,TaxCode,0))=TRUE,$S10*($W10&gt;0),MAX(($S10*($W10&gt;0))-(($S10-SUMIFS(TransCRes,TransAsset,$A10,TransIDDate,$M10))*(IF($W10&lt;=11,0,MIN(SUM(OFFSET('Set-up'!$D$37,MATCH($F10,TaxCode,0),0,1,MATCH($W10,TaxCumMonth,1)))+MAX(TRUNC(($W10-60)/12)*SUM(OFFSET('Set-up'!$H$37,MATCH($F10,TaxCode,0),0,1,1)),0%),100%))))-(($S10-SUMIFS(TransCRes,TransAsset,$A10,TransIDDate,$M10))*OFFSET('Set-up'!$D$37,MATCH($F10,TaxCode,0),MATCH($W10,TaxCurMonth,1)-1,1,1)*IF(AND($W10-(TRUNC($W10/12)*12)&lt;&gt;0,OFFSET('Set-up'!$J$37,MATCH($F10,TaxCode,0),0,1,1)=0),1,(($W10-(TRUNC($W10/12)*12))/12))),SUMIFS(TransCRes,TransAsset,$A10,TransIDDate,$M10)*($W10&gt;0)))</f>
        <v>0</v>
      </c>
      <c r="BC10" s="36">
        <f ca="1">IF(ISNUMBER('Set-up'!$C$9)=FALSE,0,IF($F10="J",0,ROUND(($AU10-$AY10)*'Set-up'!$C$9,2)))</f>
        <v>9333.33</v>
      </c>
      <c r="BD10" s="36">
        <f t="shared" ca="1" si="32"/>
        <v>-7952</v>
      </c>
      <c r="BE10" s="36">
        <f ca="1">IF(ISNUMBER('Set-up'!$C$9)=FALSE,0,IF($F10="J",0,ROUND(($AW10-$BA10)*'Set-up'!$C$9,2)))</f>
        <v>1381.33</v>
      </c>
      <c r="BF10" s="36">
        <f ca="1">IF(ISNUMBER('Set-up'!$C$9)=FALSE,0,IF($F10="J",0,ROUND(($AX10-$BB10)*'Set-up'!$C$9,2)))</f>
        <v>-662.67</v>
      </c>
    </row>
    <row r="11" spans="1:58" ht="16" customHeight="1" x14ac:dyDescent="0.25">
      <c r="A11" s="8" t="s">
        <v>282</v>
      </c>
      <c r="B11" s="8">
        <v>90937839</v>
      </c>
      <c r="C11" s="8" t="s">
        <v>30</v>
      </c>
      <c r="D11" s="4" t="s">
        <v>91</v>
      </c>
      <c r="E11" s="4" t="s">
        <v>267</v>
      </c>
      <c r="F11" s="4" t="s">
        <v>212</v>
      </c>
      <c r="G11" s="4" t="str" cm="1">
        <f t="array" aca="1" ref="G11" ca="1">IF(COUNTIF(AssetCode,$A11)&gt;1,"E1",IF(ISNA(VLOOKUP($E11,CatAll,1,0))=TRUE,"E2",IF(AND($I11="add!",$J11&lt;&gt;"add!"),"E10",IF(ISNA(VLOOKUP($F11,TaxCode,1,0))=TRUE,"E11","-"))))</f>
        <v>-</v>
      </c>
      <c r="H11" s="4" t="str">
        <f t="shared" ca="1" si="0"/>
        <v>PM</v>
      </c>
      <c r="I11" s="33">
        <f t="array" aca="1" ref="I11" ca="1">IF(ISERROR(LARGE(IF(TransAsset=$A11,IF(TransType="ACQ",TransIDDate,"add!"),"add!"),1)),"add!",LARGE(IF(TransAsset=$A11,IF(TransType="ACQ",TransIDDate,"add!"),"add!"),1))</f>
        <v>42205.000219907408</v>
      </c>
      <c r="J11" s="33">
        <f t="array" aca="1" ref="J11" ca="1">IF(ISERROR(LARGE(IF(TransAsset=$A11,TransIDDate,"add!"),1)),"add!",LARGE(IF(TransAsset=$A11,TransIDDate,"add!"),1))</f>
        <v>43891.000659722224</v>
      </c>
      <c r="K11" s="33">
        <f t="array" aca="1" ref="K11" ca="1">IF(ISERROR(LARGE(IF(TransAsset=$A11,IF(TransDate&lt;($I$2+1),TransIDDate,"-"),"-"),1)),"-",LARGE(IF(TransAsset=$A11,IF(TransDate&lt;($I$2+1),TransIDDate,"-"),"-"),1))</f>
        <v>43891.000659722224</v>
      </c>
      <c r="L11" s="33">
        <f t="array" aca="1" ref="L11" ca="1">IF(ISERROR(LARGE(IF(TransAsset=$A11,IF(TransDate&lt;$H$2,TransIDDate,"-"),"-"),1)),"-",LARGE(IF(TransAsset=$A11,IF(TransDate&lt;$H$2,TransIDDate,"-"),"-"),1))</f>
        <v>42205.000219907408</v>
      </c>
      <c r="M11" s="33">
        <f t="array" aca="1" ref="M11" ca="1">IF(ISERROR(LARGE(IF(TransAsset=$A11,IF(TransDate&lt;$J$2,TransIDDate,"-"),"-"),1)),"-",LARGE(IF(TransAsset=$A11,IF(TransDate&lt;$J$2,TransIDDate,"-"),"-"),1))</f>
        <v>43891.000659722224</v>
      </c>
      <c r="N11" s="33" t="str">
        <f t="array" aca="1" ref="N11" ca="1">IF(ISERROR(LARGE(IF(TransAsset=$A11,IF(TransType="DIS",TransIDDate,"-"),"-"),1)),"-",LARGE(IF(TransAsset=$A11,IF(TransType="DIS",TransIDDate,"-"),"-"),1))</f>
        <v>-</v>
      </c>
      <c r="O11" s="34" cm="1">
        <f t="array" aca="1" ref="O11" ca="1">IF($N11&lt;=$I$2,SUMIFS(TransProceeds,TransAsset,$A11,TransType,"DIS"),0)</f>
        <v>0</v>
      </c>
      <c r="P11" s="36" cm="1">
        <f t="array" aca="1" ref="P11" ca="1">IF($I11&lt;=($I$2+1),SUMIFS(TransHCost,TransAsset,$A11,TransIDDate,$J11),0)</f>
        <v>400000</v>
      </c>
      <c r="Q11" s="28">
        <f t="shared" ca="1" si="1"/>
        <v>5</v>
      </c>
      <c r="R11" s="28">
        <f t="shared" ca="1" si="2"/>
        <v>0</v>
      </c>
      <c r="S11" s="36">
        <f t="shared" ca="1" si="3"/>
        <v>400000</v>
      </c>
      <c r="T11" s="35">
        <f ca="1">IF(ISNA(MATCH($F11,TaxCode,0))=TRUE,"code?",OFFSET('Set-up'!$D$37,MATCH($F11,TaxCode,0),MATCH($V11,TaxCurMonth,1)-1,1,1))</f>
        <v>0</v>
      </c>
      <c r="U11" s="28">
        <f t="shared" ca="1" si="4"/>
        <v>56</v>
      </c>
      <c r="V11" s="28">
        <f t="shared" ca="1" si="5"/>
        <v>68</v>
      </c>
      <c r="W11" s="28">
        <f t="shared" ca="1" si="6"/>
        <v>67</v>
      </c>
      <c r="X11" s="36">
        <f t="shared" ca="1" si="7"/>
        <v>400000</v>
      </c>
      <c r="Y11" s="36">
        <f t="shared" ca="1" si="8"/>
        <v>0</v>
      </c>
      <c r="Z11" s="36">
        <f t="shared" ca="1" si="9"/>
        <v>-270000</v>
      </c>
      <c r="AA11" s="36">
        <f t="shared" ca="1" si="10"/>
        <v>0</v>
      </c>
      <c r="AB11" s="36">
        <f t="shared" ca="1" si="11"/>
        <v>0</v>
      </c>
      <c r="AC11" s="36">
        <f t="shared" ca="1" si="23"/>
        <v>130000</v>
      </c>
      <c r="AD11" s="36" cm="1">
        <f t="array" aca="1" ref="AD11" ca="1">IF($L11=0,0,IF(SUMIFS(TransCLife,TransAsset,$A11,TransIDDate,$L11)=0,0,IF(($X11-(SUMIFS(TransCRes,TransAsset,$A11,TransIDDate,$L11)))/(SUMIFS(TransCLife,TransAsset,$A11,TransIDDate,$L11)*12)*(((YEAR($H$2)*12)+MONTH($H$2))-((YEAR($L11)*12)+MONTH($L11)))&gt;=($X11-SUMIFS(TransCRes,TransAsset,$A11,TransIDDate,$L11)),$X11-SUMIFS(TransCRes,TransAsset,$A11,TransIDDate,$L11),($X11-(SUMIFS(TransCRes,TransAsset,$A11,TransIDDate,$L11)))/(SUMIFS(TransCLife,TransAsset,$A11,TransIDDate,$L11)*12)*(((YEAR($H$2)*12)+MONTH($H$2))-((YEAR($L11)*12)+MONTH($L11))))))</f>
        <v>373333.33333333337</v>
      </c>
      <c r="AE11" s="36">
        <f t="shared" ca="1" si="12"/>
        <v>26000</v>
      </c>
      <c r="AF11" s="36">
        <f t="shared" ca="1" si="24"/>
        <v>0</v>
      </c>
      <c r="AG11" s="36">
        <f t="shared" ca="1" si="13"/>
        <v>26000</v>
      </c>
      <c r="AH11" s="36">
        <f t="shared" ca="1" si="14"/>
        <v>-373333.33333333337</v>
      </c>
      <c r="AI11" s="36">
        <f t="shared" ca="1" si="15"/>
        <v>0</v>
      </c>
      <c r="AJ11" s="36">
        <f t="shared" ca="1" si="25"/>
        <v>26000</v>
      </c>
      <c r="AK11" s="36">
        <f t="shared" ca="1" si="26"/>
        <v>104000</v>
      </c>
      <c r="AL11" s="36">
        <f t="shared" ca="1" si="16"/>
        <v>0</v>
      </c>
      <c r="AM11" s="36">
        <f t="shared" ca="1" si="27"/>
        <v>103333.33333333337</v>
      </c>
      <c r="AN11" s="36">
        <f t="shared" ca="1" si="28"/>
        <v>0</v>
      </c>
      <c r="AO11" s="36">
        <f t="shared" ca="1" si="17"/>
        <v>103333.33333333337</v>
      </c>
      <c r="AP11" s="36">
        <f t="shared" ca="1" si="18"/>
        <v>0</v>
      </c>
      <c r="AQ11" s="36">
        <f t="shared" ca="1" si="19"/>
        <v>0</v>
      </c>
      <c r="AR11" s="36">
        <f t="shared" ca="1" si="20"/>
        <v>2166.6666666666665</v>
      </c>
      <c r="AS11" s="36">
        <f t="shared" ca="1" si="29"/>
        <v>0</v>
      </c>
      <c r="AT11" s="36">
        <f t="shared" ca="1" si="21"/>
        <v>2166.6666666666665</v>
      </c>
      <c r="AU11" s="36" cm="1">
        <f t="array" aca="1" ref="AU11" ca="1">IF($I11&lt;$H$2,IF(AND($N11&lt;&gt;"-",$N11&lt;$H$2),0,SUMIFS(TransHCost,TransAsset,$A11,TransIDDate,$J11)-SUMIFS(TransPCAccDep,TransAsset,$A11)-SUMIFS(TransImpair,TransAsset,$A11,TransIDDate,"&lt;"&amp;$H$2,TransType,"REV")),0)</f>
        <v>26666.666666666628</v>
      </c>
      <c r="AV11" s="36">
        <f t="shared" ca="1" si="30"/>
        <v>-26000</v>
      </c>
      <c r="AW11" s="36">
        <f t="shared" ca="1" si="22"/>
        <v>666.66666666662786</v>
      </c>
      <c r="AX11" s="36" cm="1">
        <f t="array" aca="1" ref="AX11" ca="1">$AW11-IF($I11&lt;$J$2,IF(AND($N11&lt;&gt;"-",$N11&lt;$J$2),0,SUMIFS(TransHCost,TransAsset,$A11,TransIDDate,$J11)-SUMIFS(TransPMAccDep,TransAsset,$A11)-SUMIFS(TransImpair,TransAsset,$A11,TransIDDate,"&lt;"&amp;$J$2,TransType,"REV")),0)</f>
        <v>-2166.6666666666861</v>
      </c>
      <c r="AY11" s="36">
        <f ca="1">IF(ISNA(MATCH($F11,TaxCode,0))=TRUE,$S11*($U11&gt;0),MAX(($S11*($U11&gt;0))-(($S11-SUMIFS(TransCRes,TransAsset,$A11,TransIDDate,$L11))*(IF($U11&lt;=11,0,MIN(SUM(OFFSET('Set-up'!$D$37,MATCH($F11,TaxCode,0),0,1,MATCH($U11,TaxCumMonth,1)))+MAX(TRUNC(($U11-60)/12)*SUM(OFFSET('Set-up'!$H$37,MATCH($F11,TaxCode,0),0,1,1)),0%),100%))))-(($S11-SUMIFS(TransCRes,TransAsset,$A11,TransIDDate,$L11))*OFFSET('Set-up'!$D$37,MATCH($F11,TaxCode,0),MATCH($U11,TaxCurMonth,1)-1,1,1)*IF(AND($U11-(TRUNC($U11/12)*12)&lt;&gt;0,OFFSET('Set-up'!$J$37,MATCH($F11,TaxCode,0),0,1,1)=0),1,(($U11-(TRUNC($U11/12)*12))/12))),SUMIFS(TransCRes,TransAsset,$A11,TransIDDate,$L11)))</f>
        <v>0</v>
      </c>
      <c r="AZ11" s="36">
        <f t="shared" ca="1" si="31"/>
        <v>0</v>
      </c>
      <c r="BA11" s="36">
        <f ca="1">IF(ISNA(MATCH($F11,TaxCode,0))=TRUE,$S11*($V11&gt;0),MAX(($S11*($V11&gt;0))-(($S11-$R11)*(IF($V11&lt;=11,0,MIN(SUM(OFFSET('Set-up'!$D$37,MATCH($F11,TaxCode,0),0,1,MATCH($V11,TaxCumMonth,1)))+MAX(TRUNC(($V11-60)/12)*SUM(OFFSET('Set-up'!$H$37,MATCH($F11,TaxCode,0),0,1,1)),0%),100%))))-(($S11-$R11)*OFFSET('Set-up'!$D$37,MATCH($F11,TaxCode,0),MATCH($V11,TaxCurMonth,1)-1,1,1)*IF(AND($V11-(TRUNC($V11/12)*12)&lt;&gt;0,OFFSET('Set-up'!$J$37,MATCH($F11,TaxCode,0),0,1,1)=0),1,(($V11-(TRUNC($V11/12)*12))/12))),$R11*($V11&gt;0)))</f>
        <v>0</v>
      </c>
      <c r="BB11" s="36">
        <f ca="1">$BA11-IF(ISNA(MATCH($F11,TaxCode,0))=TRUE,$S11*($W11&gt;0),MAX(($S11*($W11&gt;0))-(($S11-SUMIFS(TransCRes,TransAsset,$A11,TransIDDate,$M11))*(IF($W11&lt;=11,0,MIN(SUM(OFFSET('Set-up'!$D$37,MATCH($F11,TaxCode,0),0,1,MATCH($W11,TaxCumMonth,1)))+MAX(TRUNC(($W11-60)/12)*SUM(OFFSET('Set-up'!$H$37,MATCH($F11,TaxCode,0),0,1,1)),0%),100%))))-(($S11-SUMIFS(TransCRes,TransAsset,$A11,TransIDDate,$M11))*OFFSET('Set-up'!$D$37,MATCH($F11,TaxCode,0),MATCH($W11,TaxCurMonth,1)-1,1,1)*IF(AND($W11-(TRUNC($W11/12)*12)&lt;&gt;0,OFFSET('Set-up'!$J$37,MATCH($F11,TaxCode,0),0,1,1)=0),1,(($W11-(TRUNC($W11/12)*12))/12))),SUMIFS(TransCRes,TransAsset,$A11,TransIDDate,$M11)*($W11&gt;0)))</f>
        <v>0</v>
      </c>
      <c r="BC11" s="36">
        <f ca="1">IF(ISNUMBER('Set-up'!$C$9)=FALSE,0,IF($F11="J",0,ROUND(($AU11-$AY11)*'Set-up'!$C$9,2)))</f>
        <v>7466.67</v>
      </c>
      <c r="BD11" s="36">
        <f t="shared" ca="1" si="32"/>
        <v>-7280</v>
      </c>
      <c r="BE11" s="36">
        <f ca="1">IF(ISNUMBER('Set-up'!$C$9)=FALSE,0,IF($F11="J",0,ROUND(($AW11-$BA11)*'Set-up'!$C$9,2)))</f>
        <v>186.67</v>
      </c>
      <c r="BF11" s="36">
        <f ca="1">IF(ISNUMBER('Set-up'!$C$9)=FALSE,0,IF($F11="J",0,ROUND(($AX11-$BB11)*'Set-up'!$C$9,2)))</f>
        <v>-606.66999999999996</v>
      </c>
    </row>
    <row r="12" spans="1:58" ht="16" customHeight="1" x14ac:dyDescent="0.25">
      <c r="A12" s="8" t="s">
        <v>283</v>
      </c>
      <c r="B12" s="8">
        <v>13800981</v>
      </c>
      <c r="C12" s="8" t="s">
        <v>31</v>
      </c>
      <c r="D12" s="4" t="s">
        <v>91</v>
      </c>
      <c r="E12" s="4" t="s">
        <v>267</v>
      </c>
      <c r="F12" s="4" t="s">
        <v>212</v>
      </c>
      <c r="G12" s="4" t="str" cm="1">
        <f t="array" aca="1" ref="G12" ca="1">IF(COUNTIF(AssetCode,$A12)&gt;1,"E1",IF(ISNA(VLOOKUP($E12,CatAll,1,0))=TRUE,"E2",IF(AND($I12="add!",$J12&lt;&gt;"add!"),"E10",IF(ISNA(VLOOKUP($F12,TaxCode,1,0))=TRUE,"E11","-"))))</f>
        <v>-</v>
      </c>
      <c r="H12" s="4" t="str">
        <f t="shared" ca="1" si="0"/>
        <v>PM</v>
      </c>
      <c r="I12" s="33">
        <f t="array" aca="1" ref="I12" ca="1">IF(ISERROR(LARGE(IF(TransAsset=$A12,IF(TransType="ACQ",TransIDDate,"add!"),"add!"),1)),"add!",LARGE(IF(TransAsset=$A12,IF(TransType="ACQ",TransIDDate,"add!"),"add!"),1))</f>
        <v>42205.000231481485</v>
      </c>
      <c r="J12" s="33">
        <f t="array" aca="1" ref="J12" ca="1">IF(ISERROR(LARGE(IF(TransAsset=$A12,TransIDDate,"add!"),1)),"add!",LARGE(IF(TransAsset=$A12,TransIDDate,"add!"),1))</f>
        <v>43891.000671296293</v>
      </c>
      <c r="K12" s="33">
        <f t="array" aca="1" ref="K12" ca="1">IF(ISERROR(LARGE(IF(TransAsset=$A12,IF(TransDate&lt;($I$2+1),TransIDDate,"-"),"-"),1)),"-",LARGE(IF(TransAsset=$A12,IF(TransDate&lt;($I$2+1),TransIDDate,"-"),"-"),1))</f>
        <v>43891.000671296293</v>
      </c>
      <c r="L12" s="33">
        <f t="array" aca="1" ref="L12" ca="1">IF(ISERROR(LARGE(IF(TransAsset=$A12,IF(TransDate&lt;$H$2,TransIDDate,"-"),"-"),1)),"-",LARGE(IF(TransAsset=$A12,IF(TransDate&lt;$H$2,TransIDDate,"-"),"-"),1))</f>
        <v>42205.000231481485</v>
      </c>
      <c r="M12" s="33">
        <f t="array" aca="1" ref="M12" ca="1">IF(ISERROR(LARGE(IF(TransAsset=$A12,IF(TransDate&lt;$J$2,TransIDDate,"-"),"-"),1)),"-",LARGE(IF(TransAsset=$A12,IF(TransDate&lt;$J$2,TransIDDate,"-"),"-"),1))</f>
        <v>43891.000671296293</v>
      </c>
      <c r="N12" s="33" t="str">
        <f t="array" aca="1" ref="N12" ca="1">IF(ISERROR(LARGE(IF(TransAsset=$A12,IF(TransType="DIS",TransIDDate,"-"),"-"),1)),"-",LARGE(IF(TransAsset=$A12,IF(TransType="DIS",TransIDDate,"-"),"-"),1))</f>
        <v>-</v>
      </c>
      <c r="O12" s="34" cm="1">
        <f t="array" aca="1" ref="O12" ca="1">IF($N12&lt;=$I$2,SUMIFS(TransProceeds,TransAsset,$A12,TransType,"DIS"),0)</f>
        <v>0</v>
      </c>
      <c r="P12" s="36" cm="1">
        <f t="array" aca="1" ref="P12" ca="1">IF($I12&lt;=($I$2+1),SUMIFS(TransHCost,TransAsset,$A12,TransIDDate,$J12),0)</f>
        <v>260000</v>
      </c>
      <c r="Q12" s="28">
        <f t="shared" ca="1" si="1"/>
        <v>5</v>
      </c>
      <c r="R12" s="28">
        <f t="shared" ca="1" si="2"/>
        <v>0</v>
      </c>
      <c r="S12" s="36">
        <f t="shared" ca="1" si="3"/>
        <v>260000</v>
      </c>
      <c r="T12" s="35">
        <f ca="1">IF(ISNA(MATCH($F12,TaxCode,0))=TRUE,"code?",OFFSET('Set-up'!$D$37,MATCH($F12,TaxCode,0),MATCH($V12,TaxCurMonth,1)-1,1,1))</f>
        <v>0</v>
      </c>
      <c r="U12" s="28">
        <f t="shared" ca="1" si="4"/>
        <v>56</v>
      </c>
      <c r="V12" s="28">
        <f t="shared" ca="1" si="5"/>
        <v>68</v>
      </c>
      <c r="W12" s="28">
        <f t="shared" ca="1" si="6"/>
        <v>67</v>
      </c>
      <c r="X12" s="36">
        <f t="shared" ca="1" si="7"/>
        <v>260000</v>
      </c>
      <c r="Y12" s="36">
        <f t="shared" ca="1" si="8"/>
        <v>0</v>
      </c>
      <c r="Z12" s="36">
        <f t="shared" ca="1" si="9"/>
        <v>-185000</v>
      </c>
      <c r="AA12" s="36">
        <f t="shared" ca="1" si="10"/>
        <v>0</v>
      </c>
      <c r="AB12" s="36">
        <f t="shared" ca="1" si="11"/>
        <v>0</v>
      </c>
      <c r="AC12" s="36">
        <f t="shared" ca="1" si="23"/>
        <v>75000</v>
      </c>
      <c r="AD12" s="36" cm="1">
        <f t="array" aca="1" ref="AD12" ca="1">IF($L12=0,0,IF(SUMIFS(TransCLife,TransAsset,$A12,TransIDDate,$L12)=0,0,IF(($X12-(SUMIFS(TransCRes,TransAsset,$A12,TransIDDate,$L12)))/(SUMIFS(TransCLife,TransAsset,$A12,TransIDDate,$L12)*12)*(((YEAR($H$2)*12)+MONTH($H$2))-((YEAR($L12)*12)+MONTH($L12)))&gt;=($X12-SUMIFS(TransCRes,TransAsset,$A12,TransIDDate,$L12)),$X12-SUMIFS(TransCRes,TransAsset,$A12,TransIDDate,$L12),($X12-(SUMIFS(TransCRes,TransAsset,$A12,TransIDDate,$L12)))/(SUMIFS(TransCLife,TransAsset,$A12,TransIDDate,$L12)*12)*(((YEAR($H$2)*12)+MONTH($H$2))-((YEAR($L12)*12)+MONTH($L12))))))</f>
        <v>242666.66666666666</v>
      </c>
      <c r="AE12" s="36">
        <f t="shared" ca="1" si="12"/>
        <v>15000</v>
      </c>
      <c r="AF12" s="36">
        <f t="shared" ca="1" si="24"/>
        <v>0</v>
      </c>
      <c r="AG12" s="36">
        <f t="shared" ca="1" si="13"/>
        <v>15000</v>
      </c>
      <c r="AH12" s="36">
        <f t="shared" ca="1" si="14"/>
        <v>-242666.66666666666</v>
      </c>
      <c r="AI12" s="36">
        <f t="shared" ca="1" si="15"/>
        <v>0</v>
      </c>
      <c r="AJ12" s="36">
        <f t="shared" ca="1" si="25"/>
        <v>15000</v>
      </c>
      <c r="AK12" s="36">
        <f t="shared" ca="1" si="26"/>
        <v>60000</v>
      </c>
      <c r="AL12" s="36">
        <f t="shared" ca="1" si="16"/>
        <v>0</v>
      </c>
      <c r="AM12" s="36">
        <f t="shared" ca="1" si="27"/>
        <v>57666.666666666657</v>
      </c>
      <c r="AN12" s="36">
        <f t="shared" ca="1" si="28"/>
        <v>0</v>
      </c>
      <c r="AO12" s="36">
        <f t="shared" ca="1" si="17"/>
        <v>57666.666666666657</v>
      </c>
      <c r="AP12" s="36">
        <f t="shared" ca="1" si="18"/>
        <v>0</v>
      </c>
      <c r="AQ12" s="36">
        <f t="shared" ca="1" si="19"/>
        <v>0</v>
      </c>
      <c r="AR12" s="36">
        <f t="shared" ca="1" si="20"/>
        <v>1250</v>
      </c>
      <c r="AS12" s="36">
        <f t="shared" ca="1" si="29"/>
        <v>0</v>
      </c>
      <c r="AT12" s="36">
        <f t="shared" ca="1" si="21"/>
        <v>1250</v>
      </c>
      <c r="AU12" s="36" cm="1">
        <f t="array" aca="1" ref="AU12" ca="1">IF($I12&lt;$H$2,IF(AND($N12&lt;&gt;"-",$N12&lt;$H$2),0,SUMIFS(TransHCost,TransAsset,$A12,TransIDDate,$J12)-SUMIFS(TransPCAccDep,TransAsset,$A12)-SUMIFS(TransImpair,TransAsset,$A12,TransIDDate,"&lt;"&amp;$H$2,TransType,"REV")),0)</f>
        <v>17333.333333333343</v>
      </c>
      <c r="AV12" s="36">
        <f t="shared" ca="1" si="30"/>
        <v>-15000</v>
      </c>
      <c r="AW12" s="36">
        <f t="shared" ca="1" si="22"/>
        <v>2333.333333333343</v>
      </c>
      <c r="AX12" s="36" cm="1">
        <f t="array" aca="1" ref="AX12" ca="1">$AW12-IF($I12&lt;$J$2,IF(AND($N12&lt;&gt;"-",$N12&lt;$J$2),0,SUMIFS(TransHCost,TransAsset,$A12,TransIDDate,$J12)-SUMIFS(TransPMAccDep,TransAsset,$A12)-SUMIFS(TransImpair,TransAsset,$A12,TransIDDate,"&lt;"&amp;$J$2,TransType,"REV")),0)</f>
        <v>-1250</v>
      </c>
      <c r="AY12" s="36">
        <f ca="1">IF(ISNA(MATCH($F12,TaxCode,0))=TRUE,$S12*($U12&gt;0),MAX(($S12*($U12&gt;0))-(($S12-SUMIFS(TransCRes,TransAsset,$A12,TransIDDate,$L12))*(IF($U12&lt;=11,0,MIN(SUM(OFFSET('Set-up'!$D$37,MATCH($F12,TaxCode,0),0,1,MATCH($U12,TaxCumMonth,1)))+MAX(TRUNC(($U12-60)/12)*SUM(OFFSET('Set-up'!$H$37,MATCH($F12,TaxCode,0),0,1,1)),0%),100%))))-(($S12-SUMIFS(TransCRes,TransAsset,$A12,TransIDDate,$L12))*OFFSET('Set-up'!$D$37,MATCH($F12,TaxCode,0),MATCH($U12,TaxCurMonth,1)-1,1,1)*IF(AND($U12-(TRUNC($U12/12)*12)&lt;&gt;0,OFFSET('Set-up'!$J$37,MATCH($F12,TaxCode,0),0,1,1)=0),1,(($U12-(TRUNC($U12/12)*12))/12))),SUMIFS(TransCRes,TransAsset,$A12,TransIDDate,$L12)))</f>
        <v>0</v>
      </c>
      <c r="AZ12" s="36">
        <f t="shared" ca="1" si="31"/>
        <v>0</v>
      </c>
      <c r="BA12" s="36">
        <f ca="1">IF(ISNA(MATCH($F12,TaxCode,0))=TRUE,$S12*($V12&gt;0),MAX(($S12*($V12&gt;0))-(($S12-$R12)*(IF($V12&lt;=11,0,MIN(SUM(OFFSET('Set-up'!$D$37,MATCH($F12,TaxCode,0),0,1,MATCH($V12,TaxCumMonth,1)))+MAX(TRUNC(($V12-60)/12)*SUM(OFFSET('Set-up'!$H$37,MATCH($F12,TaxCode,0),0,1,1)),0%),100%))))-(($S12-$R12)*OFFSET('Set-up'!$D$37,MATCH($F12,TaxCode,0),MATCH($V12,TaxCurMonth,1)-1,1,1)*IF(AND($V12-(TRUNC($V12/12)*12)&lt;&gt;0,OFFSET('Set-up'!$J$37,MATCH($F12,TaxCode,0),0,1,1)=0),1,(($V12-(TRUNC($V12/12)*12))/12))),$R12*($V12&gt;0)))</f>
        <v>0</v>
      </c>
      <c r="BB12" s="36">
        <f ca="1">$BA12-IF(ISNA(MATCH($F12,TaxCode,0))=TRUE,$S12*($W12&gt;0),MAX(($S12*($W12&gt;0))-(($S12-SUMIFS(TransCRes,TransAsset,$A12,TransIDDate,$M12))*(IF($W12&lt;=11,0,MIN(SUM(OFFSET('Set-up'!$D$37,MATCH($F12,TaxCode,0),0,1,MATCH($W12,TaxCumMonth,1)))+MAX(TRUNC(($W12-60)/12)*SUM(OFFSET('Set-up'!$H$37,MATCH($F12,TaxCode,0),0,1,1)),0%),100%))))-(($S12-SUMIFS(TransCRes,TransAsset,$A12,TransIDDate,$M12))*OFFSET('Set-up'!$D$37,MATCH($F12,TaxCode,0),MATCH($W12,TaxCurMonth,1)-1,1,1)*IF(AND($W12-(TRUNC($W12/12)*12)&lt;&gt;0,OFFSET('Set-up'!$J$37,MATCH($F12,TaxCode,0),0,1,1)=0),1,(($W12-(TRUNC($W12/12)*12))/12))),SUMIFS(TransCRes,TransAsset,$A12,TransIDDate,$M12)*($W12&gt;0)))</f>
        <v>0</v>
      </c>
      <c r="BC12" s="36">
        <f ca="1">IF(ISNUMBER('Set-up'!$C$9)=FALSE,0,IF($F12="J",0,ROUND(($AU12-$AY12)*'Set-up'!$C$9,2)))</f>
        <v>4853.33</v>
      </c>
      <c r="BD12" s="36">
        <f t="shared" ca="1" si="32"/>
        <v>-4200</v>
      </c>
      <c r="BE12" s="36">
        <f ca="1">IF(ISNUMBER('Set-up'!$C$9)=FALSE,0,IF($F12="J",0,ROUND(($AW12-$BA12)*'Set-up'!$C$9,2)))</f>
        <v>653.33000000000004</v>
      </c>
      <c r="BF12" s="36">
        <f ca="1">IF(ISNUMBER('Set-up'!$C$9)=FALSE,0,IF($F12="J",0,ROUND(($AX12-$BB12)*'Set-up'!$C$9,2)))</f>
        <v>-350</v>
      </c>
    </row>
    <row r="13" spans="1:58" ht="16" customHeight="1" x14ac:dyDescent="0.25">
      <c r="A13" s="8" t="s">
        <v>284</v>
      </c>
      <c r="B13" s="8">
        <v>38838389</v>
      </c>
      <c r="C13" s="8" t="s">
        <v>253</v>
      </c>
      <c r="D13" s="4" t="s">
        <v>91</v>
      </c>
      <c r="E13" s="4" t="s">
        <v>267</v>
      </c>
      <c r="F13" s="4" t="s">
        <v>212</v>
      </c>
      <c r="G13" s="4" t="str" cm="1">
        <f t="array" aca="1" ref="G13" ca="1">IF(COUNTIF(AssetCode,$A13)&gt;1,"E1",IF(ISNA(VLOOKUP($E13,CatAll,1,0))=TRUE,"E2",IF(AND($I13="add!",$J13&lt;&gt;"add!"),"E10",IF(ISNA(VLOOKUP($F13,TaxCode,1,0))=TRUE,"E11","-"))))</f>
        <v>-</v>
      </c>
      <c r="H13" s="4" t="str">
        <f t="shared" ca="1" si="0"/>
        <v>PM</v>
      </c>
      <c r="I13" s="33">
        <f t="array" aca="1" ref="I13" ca="1">IF(ISERROR(LARGE(IF(TransAsset=$A13,IF(TransType="ACQ",TransIDDate,"add!"),"add!"),1)),"add!",LARGE(IF(TransAsset=$A13,IF(TransType="ACQ",TransIDDate,"add!"),"add!"),1))</f>
        <v>42205.000243055554</v>
      </c>
      <c r="J13" s="33">
        <f t="array" aca="1" ref="J13" ca="1">IF(ISERROR(LARGE(IF(TransAsset=$A13,TransIDDate,"add!"),1)),"add!",LARGE(IF(TransAsset=$A13,TransIDDate,"add!"),1))</f>
        <v>43891.00068287037</v>
      </c>
      <c r="K13" s="33">
        <f t="array" aca="1" ref="K13" ca="1">IF(ISERROR(LARGE(IF(TransAsset=$A13,IF(TransDate&lt;($I$2+1),TransIDDate,"-"),"-"),1)),"-",LARGE(IF(TransAsset=$A13,IF(TransDate&lt;($I$2+1),TransIDDate,"-"),"-"),1))</f>
        <v>43891.00068287037</v>
      </c>
      <c r="L13" s="33">
        <f t="array" aca="1" ref="L13" ca="1">IF(ISERROR(LARGE(IF(TransAsset=$A13,IF(TransDate&lt;$H$2,TransIDDate,"-"),"-"),1)),"-",LARGE(IF(TransAsset=$A13,IF(TransDate&lt;$H$2,TransIDDate,"-"),"-"),1))</f>
        <v>42205.000243055554</v>
      </c>
      <c r="M13" s="33">
        <f t="array" aca="1" ref="M13" ca="1">IF(ISERROR(LARGE(IF(TransAsset=$A13,IF(TransDate&lt;$J$2,TransIDDate,"-"),"-"),1)),"-",LARGE(IF(TransAsset=$A13,IF(TransDate&lt;$J$2,TransIDDate,"-"),"-"),1))</f>
        <v>43891.00068287037</v>
      </c>
      <c r="N13" s="33" t="str">
        <f t="array" aca="1" ref="N13" ca="1">IF(ISERROR(LARGE(IF(TransAsset=$A13,IF(TransType="DIS",TransIDDate,"-"),"-"),1)),"-",LARGE(IF(TransAsset=$A13,IF(TransType="DIS",TransIDDate,"-"),"-"),1))</f>
        <v>-</v>
      </c>
      <c r="O13" s="34" cm="1">
        <f t="array" aca="1" ref="O13" ca="1">IF($N13&lt;=$I$2,SUMIFS(TransProceeds,TransAsset,$A13,TransType,"DIS"),0)</f>
        <v>0</v>
      </c>
      <c r="P13" s="36" cm="1">
        <f t="array" aca="1" ref="P13" ca="1">IF($I13&lt;=($I$2+1),SUMIFS(TransHCost,TransAsset,$A13,TransIDDate,$J13),0)</f>
        <v>295000</v>
      </c>
      <c r="Q13" s="28">
        <f t="shared" ca="1" si="1"/>
        <v>5</v>
      </c>
      <c r="R13" s="28">
        <f t="shared" ca="1" si="2"/>
        <v>0</v>
      </c>
      <c r="S13" s="36">
        <f t="shared" ca="1" si="3"/>
        <v>295000</v>
      </c>
      <c r="T13" s="35">
        <f ca="1">IF(ISNA(MATCH($F13,TaxCode,0))=TRUE,"code?",OFFSET('Set-up'!$D$37,MATCH($F13,TaxCode,0),MATCH($V13,TaxCurMonth,1)-1,1,1))</f>
        <v>0</v>
      </c>
      <c r="U13" s="28">
        <f t="shared" ca="1" si="4"/>
        <v>56</v>
      </c>
      <c r="V13" s="28">
        <f t="shared" ca="1" si="5"/>
        <v>68</v>
      </c>
      <c r="W13" s="28">
        <f t="shared" ca="1" si="6"/>
        <v>67</v>
      </c>
      <c r="X13" s="36">
        <f t="shared" ca="1" si="7"/>
        <v>295000</v>
      </c>
      <c r="Y13" s="36">
        <f t="shared" ca="1" si="8"/>
        <v>0</v>
      </c>
      <c r="Z13" s="36">
        <f t="shared" ca="1" si="9"/>
        <v>-205000</v>
      </c>
      <c r="AA13" s="36">
        <f t="shared" ca="1" si="10"/>
        <v>0</v>
      </c>
      <c r="AB13" s="36">
        <f t="shared" ca="1" si="11"/>
        <v>0</v>
      </c>
      <c r="AC13" s="36">
        <f t="shared" ca="1" si="23"/>
        <v>90000</v>
      </c>
      <c r="AD13" s="36" cm="1">
        <f t="array" aca="1" ref="AD13" ca="1">IF($L13=0,0,IF(SUMIFS(TransCLife,TransAsset,$A13,TransIDDate,$L13)=0,0,IF(($X13-(SUMIFS(TransCRes,TransAsset,$A13,TransIDDate,$L13)))/(SUMIFS(TransCLife,TransAsset,$A13,TransIDDate,$L13)*12)*(((YEAR($H$2)*12)+MONTH($H$2))-((YEAR($L13)*12)+MONTH($L13)))&gt;=($X13-SUMIFS(TransCRes,TransAsset,$A13,TransIDDate,$L13)),$X13-SUMIFS(TransCRes,TransAsset,$A13,TransIDDate,$L13),($X13-(SUMIFS(TransCRes,TransAsset,$A13,TransIDDate,$L13)))/(SUMIFS(TransCLife,TransAsset,$A13,TransIDDate,$L13)*12)*(((YEAR($H$2)*12)+MONTH($H$2))-((YEAR($L13)*12)+MONTH($L13))))))</f>
        <v>275333.33333333337</v>
      </c>
      <c r="AE13" s="36">
        <f t="shared" ca="1" si="12"/>
        <v>18000</v>
      </c>
      <c r="AF13" s="36">
        <f t="shared" ca="1" si="24"/>
        <v>0</v>
      </c>
      <c r="AG13" s="36">
        <f t="shared" ca="1" si="13"/>
        <v>18000</v>
      </c>
      <c r="AH13" s="36">
        <f t="shared" ca="1" si="14"/>
        <v>-275333.33333333337</v>
      </c>
      <c r="AI13" s="36">
        <f t="shared" ca="1" si="15"/>
        <v>0</v>
      </c>
      <c r="AJ13" s="36">
        <f t="shared" ca="1" si="25"/>
        <v>18000</v>
      </c>
      <c r="AK13" s="36">
        <f t="shared" ca="1" si="26"/>
        <v>72000</v>
      </c>
      <c r="AL13" s="36">
        <f t="shared" ca="1" si="16"/>
        <v>0</v>
      </c>
      <c r="AM13" s="36">
        <f t="shared" ca="1" si="27"/>
        <v>70333.333333333372</v>
      </c>
      <c r="AN13" s="36">
        <f t="shared" ca="1" si="28"/>
        <v>0</v>
      </c>
      <c r="AO13" s="36">
        <f t="shared" ca="1" si="17"/>
        <v>70333.333333333372</v>
      </c>
      <c r="AP13" s="36">
        <f t="shared" ca="1" si="18"/>
        <v>0</v>
      </c>
      <c r="AQ13" s="36">
        <f t="shared" ca="1" si="19"/>
        <v>0</v>
      </c>
      <c r="AR13" s="36">
        <f t="shared" ca="1" si="20"/>
        <v>1500</v>
      </c>
      <c r="AS13" s="36">
        <f t="shared" ca="1" si="29"/>
        <v>0</v>
      </c>
      <c r="AT13" s="36">
        <f t="shared" ca="1" si="21"/>
        <v>1500</v>
      </c>
      <c r="AU13" s="36" cm="1">
        <f t="array" aca="1" ref="AU13" ca="1">IF($I13&lt;$H$2,IF(AND($N13&lt;&gt;"-",$N13&lt;$H$2),0,SUMIFS(TransHCost,TransAsset,$A13,TransIDDate,$J13)-SUMIFS(TransPCAccDep,TransAsset,$A13)-SUMIFS(TransImpair,TransAsset,$A13,TransIDDate,"&lt;"&amp;$H$2,TransType,"REV")),0)</f>
        <v>19666.666666666628</v>
      </c>
      <c r="AV13" s="36">
        <f t="shared" ca="1" si="30"/>
        <v>-18000</v>
      </c>
      <c r="AW13" s="36">
        <f t="shared" ca="1" si="22"/>
        <v>1666.6666666666279</v>
      </c>
      <c r="AX13" s="36" cm="1">
        <f t="array" aca="1" ref="AX13" ca="1">$AW13-IF($I13&lt;$J$2,IF(AND($N13&lt;&gt;"-",$N13&lt;$J$2),0,SUMIFS(TransHCost,TransAsset,$A13,TransIDDate,$J13)-SUMIFS(TransPMAccDep,TransAsset,$A13)-SUMIFS(TransImpair,TransAsset,$A13,TransIDDate,"&lt;"&amp;$J$2,TransType,"REV")),0)</f>
        <v>-1500</v>
      </c>
      <c r="AY13" s="36">
        <f ca="1">IF(ISNA(MATCH($F13,TaxCode,0))=TRUE,$S13*($U13&gt;0),MAX(($S13*($U13&gt;0))-(($S13-SUMIFS(TransCRes,TransAsset,$A13,TransIDDate,$L13))*(IF($U13&lt;=11,0,MIN(SUM(OFFSET('Set-up'!$D$37,MATCH($F13,TaxCode,0),0,1,MATCH($U13,TaxCumMonth,1)))+MAX(TRUNC(($U13-60)/12)*SUM(OFFSET('Set-up'!$H$37,MATCH($F13,TaxCode,0),0,1,1)),0%),100%))))-(($S13-SUMIFS(TransCRes,TransAsset,$A13,TransIDDate,$L13))*OFFSET('Set-up'!$D$37,MATCH($F13,TaxCode,0),MATCH($U13,TaxCurMonth,1)-1,1,1)*IF(AND($U13-(TRUNC($U13/12)*12)&lt;&gt;0,OFFSET('Set-up'!$J$37,MATCH($F13,TaxCode,0),0,1,1)=0),1,(($U13-(TRUNC($U13/12)*12))/12))),SUMIFS(TransCRes,TransAsset,$A13,TransIDDate,$L13)))</f>
        <v>0</v>
      </c>
      <c r="AZ13" s="36">
        <f t="shared" ca="1" si="31"/>
        <v>0</v>
      </c>
      <c r="BA13" s="36">
        <f ca="1">IF(ISNA(MATCH($F13,TaxCode,0))=TRUE,$S13*($V13&gt;0),MAX(($S13*($V13&gt;0))-(($S13-$R13)*(IF($V13&lt;=11,0,MIN(SUM(OFFSET('Set-up'!$D$37,MATCH($F13,TaxCode,0),0,1,MATCH($V13,TaxCumMonth,1)))+MAX(TRUNC(($V13-60)/12)*SUM(OFFSET('Set-up'!$H$37,MATCH($F13,TaxCode,0),0,1,1)),0%),100%))))-(($S13-$R13)*OFFSET('Set-up'!$D$37,MATCH($F13,TaxCode,0),MATCH($V13,TaxCurMonth,1)-1,1,1)*IF(AND($V13-(TRUNC($V13/12)*12)&lt;&gt;0,OFFSET('Set-up'!$J$37,MATCH($F13,TaxCode,0),0,1,1)=0),1,(($V13-(TRUNC($V13/12)*12))/12))),$R13*($V13&gt;0)))</f>
        <v>0</v>
      </c>
      <c r="BB13" s="36">
        <f ca="1">$BA13-IF(ISNA(MATCH($F13,TaxCode,0))=TRUE,$S13*($W13&gt;0),MAX(($S13*($W13&gt;0))-(($S13-SUMIFS(TransCRes,TransAsset,$A13,TransIDDate,$M13))*(IF($W13&lt;=11,0,MIN(SUM(OFFSET('Set-up'!$D$37,MATCH($F13,TaxCode,0),0,1,MATCH($W13,TaxCumMonth,1)))+MAX(TRUNC(($W13-60)/12)*SUM(OFFSET('Set-up'!$H$37,MATCH($F13,TaxCode,0),0,1,1)),0%),100%))))-(($S13-SUMIFS(TransCRes,TransAsset,$A13,TransIDDate,$M13))*OFFSET('Set-up'!$D$37,MATCH($F13,TaxCode,0),MATCH($W13,TaxCurMonth,1)-1,1,1)*IF(AND($W13-(TRUNC($W13/12)*12)&lt;&gt;0,OFFSET('Set-up'!$J$37,MATCH($F13,TaxCode,0),0,1,1)=0),1,(($W13-(TRUNC($W13/12)*12))/12))),SUMIFS(TransCRes,TransAsset,$A13,TransIDDate,$M13)*($W13&gt;0)))</f>
        <v>0</v>
      </c>
      <c r="BC13" s="36">
        <f ca="1">IF(ISNUMBER('Set-up'!$C$9)=FALSE,0,IF($F13="J",0,ROUND(($AU13-$AY13)*'Set-up'!$C$9,2)))</f>
        <v>5506.67</v>
      </c>
      <c r="BD13" s="36">
        <f t="shared" ca="1" si="32"/>
        <v>-5040</v>
      </c>
      <c r="BE13" s="36">
        <f ca="1">IF(ISNUMBER('Set-up'!$C$9)=FALSE,0,IF($F13="J",0,ROUND(($AW13-$BA13)*'Set-up'!$C$9,2)))</f>
        <v>466.67</v>
      </c>
      <c r="BF13" s="36">
        <f ca="1">IF(ISNUMBER('Set-up'!$C$9)=FALSE,0,IF($F13="J",0,ROUND(($AX13-$BB13)*'Set-up'!$C$9,2)))</f>
        <v>-420</v>
      </c>
    </row>
    <row r="14" spans="1:58" ht="16" customHeight="1" x14ac:dyDescent="0.25">
      <c r="A14" s="8" t="s">
        <v>285</v>
      </c>
      <c r="B14" s="8">
        <v>13763761</v>
      </c>
      <c r="C14" s="8" t="s">
        <v>32</v>
      </c>
      <c r="D14" s="4" t="s">
        <v>91</v>
      </c>
      <c r="E14" s="4" t="s">
        <v>267</v>
      </c>
      <c r="F14" s="4" t="s">
        <v>212</v>
      </c>
      <c r="G14" s="4" t="str" cm="1">
        <f t="array" aca="1" ref="G14" ca="1">IF(COUNTIF(AssetCode,$A14)&gt;1,"E1",IF(ISNA(VLOOKUP($E14,CatAll,1,0))=TRUE,"E2",IF(AND($I14="add!",$J14&lt;&gt;"add!"),"E10",IF(ISNA(VLOOKUP($F14,TaxCode,1,0))=TRUE,"E11","-"))))</f>
        <v>-</v>
      </c>
      <c r="H14" s="4" t="str">
        <f t="shared" ca="1" si="0"/>
        <v>PM</v>
      </c>
      <c r="I14" s="33">
        <f t="array" aca="1" ref="I14" ca="1">IF(ISERROR(LARGE(IF(TransAsset=$A14,IF(TransType="ACQ",TransIDDate,"add!"),"add!"),1)),"add!",LARGE(IF(TransAsset=$A14,IF(TransType="ACQ",TransIDDate,"add!"),"add!"),1))</f>
        <v>42205.000254629631</v>
      </c>
      <c r="J14" s="33">
        <f t="array" aca="1" ref="J14" ca="1">IF(ISERROR(LARGE(IF(TransAsset=$A14,TransIDDate,"add!"),1)),"add!",LARGE(IF(TransAsset=$A14,TransIDDate,"add!"),1))</f>
        <v>43891.000694444447</v>
      </c>
      <c r="K14" s="33">
        <f t="array" aca="1" ref="K14" ca="1">IF(ISERROR(LARGE(IF(TransAsset=$A14,IF(TransDate&lt;($I$2+1),TransIDDate,"-"),"-"),1)),"-",LARGE(IF(TransAsset=$A14,IF(TransDate&lt;($I$2+1),TransIDDate,"-"),"-"),1))</f>
        <v>43891.000694444447</v>
      </c>
      <c r="L14" s="33">
        <f t="array" aca="1" ref="L14" ca="1">IF(ISERROR(LARGE(IF(TransAsset=$A14,IF(TransDate&lt;$H$2,TransIDDate,"-"),"-"),1)),"-",LARGE(IF(TransAsset=$A14,IF(TransDate&lt;$H$2,TransIDDate,"-"),"-"),1))</f>
        <v>42205.000254629631</v>
      </c>
      <c r="M14" s="33">
        <f t="array" aca="1" ref="M14" ca="1">IF(ISERROR(LARGE(IF(TransAsset=$A14,IF(TransDate&lt;$J$2,TransIDDate,"-"),"-"),1)),"-",LARGE(IF(TransAsset=$A14,IF(TransDate&lt;$J$2,TransIDDate,"-"),"-"),1))</f>
        <v>43891.000694444447</v>
      </c>
      <c r="N14" s="33" t="str">
        <f t="array" aca="1" ref="N14" ca="1">IF(ISERROR(LARGE(IF(TransAsset=$A14,IF(TransType="DIS",TransIDDate,"-"),"-"),1)),"-",LARGE(IF(TransAsset=$A14,IF(TransType="DIS",TransIDDate,"-"),"-"),1))</f>
        <v>-</v>
      </c>
      <c r="O14" s="34" cm="1">
        <f t="array" aca="1" ref="O14" ca="1">IF($N14&lt;=$I$2,SUMIFS(TransProceeds,TransAsset,$A14,TransType,"DIS"),0)</f>
        <v>0</v>
      </c>
      <c r="P14" s="36" cm="1">
        <f t="array" aca="1" ref="P14" ca="1">IF($I14&lt;=($I$2+1),SUMIFS(TransHCost,TransAsset,$A14,TransIDDate,$J14),0)</f>
        <v>750000</v>
      </c>
      <c r="Q14" s="28">
        <f t="shared" ca="1" si="1"/>
        <v>5</v>
      </c>
      <c r="R14" s="28">
        <f t="shared" ca="1" si="2"/>
        <v>0</v>
      </c>
      <c r="S14" s="36">
        <f t="shared" ca="1" si="3"/>
        <v>750000</v>
      </c>
      <c r="T14" s="35">
        <f ca="1">IF(ISNA(MATCH($F14,TaxCode,0))=TRUE,"code?",OFFSET('Set-up'!$D$37,MATCH($F14,TaxCode,0),MATCH($V14,TaxCurMonth,1)-1,1,1))</f>
        <v>0</v>
      </c>
      <c r="U14" s="28">
        <f t="shared" ca="1" si="4"/>
        <v>56</v>
      </c>
      <c r="V14" s="28">
        <f t="shared" ca="1" si="5"/>
        <v>68</v>
      </c>
      <c r="W14" s="28">
        <f t="shared" ca="1" si="6"/>
        <v>67</v>
      </c>
      <c r="X14" s="36">
        <f t="shared" ca="1" si="7"/>
        <v>750000</v>
      </c>
      <c r="Y14" s="36">
        <f t="shared" ca="1" si="8"/>
        <v>0</v>
      </c>
      <c r="Z14" s="36">
        <f t="shared" ca="1" si="9"/>
        <v>-520000</v>
      </c>
      <c r="AA14" s="36">
        <f t="shared" ca="1" si="10"/>
        <v>0</v>
      </c>
      <c r="AB14" s="36">
        <f t="shared" ca="1" si="11"/>
        <v>0</v>
      </c>
      <c r="AC14" s="36">
        <f t="shared" ca="1" si="23"/>
        <v>230000</v>
      </c>
      <c r="AD14" s="36" cm="1">
        <f t="array" aca="1" ref="AD14" ca="1">IF($L14=0,0,IF(SUMIFS(TransCLife,TransAsset,$A14,TransIDDate,$L14)=0,0,IF(($X14-(SUMIFS(TransCRes,TransAsset,$A14,TransIDDate,$L14)))/(SUMIFS(TransCLife,TransAsset,$A14,TransIDDate,$L14)*12)*(((YEAR($H$2)*12)+MONTH($H$2))-((YEAR($L14)*12)+MONTH($L14)))&gt;=($X14-SUMIFS(TransCRes,TransAsset,$A14,TransIDDate,$L14)),$X14-SUMIFS(TransCRes,TransAsset,$A14,TransIDDate,$L14),($X14-(SUMIFS(TransCRes,TransAsset,$A14,TransIDDate,$L14)))/(SUMIFS(TransCLife,TransAsset,$A14,TransIDDate,$L14)*12)*(((YEAR($H$2)*12)+MONTH($H$2))-((YEAR($L14)*12)+MONTH($L14))))))</f>
        <v>700000</v>
      </c>
      <c r="AE14" s="36">
        <f t="shared" ca="1" si="12"/>
        <v>46000</v>
      </c>
      <c r="AF14" s="36">
        <f t="shared" ca="1" si="24"/>
        <v>0</v>
      </c>
      <c r="AG14" s="36">
        <f t="shared" ca="1" si="13"/>
        <v>46000</v>
      </c>
      <c r="AH14" s="36">
        <f t="shared" ca="1" si="14"/>
        <v>-700000</v>
      </c>
      <c r="AI14" s="36">
        <f t="shared" ca="1" si="15"/>
        <v>0</v>
      </c>
      <c r="AJ14" s="36">
        <f t="shared" ca="1" si="25"/>
        <v>46000</v>
      </c>
      <c r="AK14" s="36">
        <f t="shared" ca="1" si="26"/>
        <v>184000</v>
      </c>
      <c r="AL14" s="36">
        <f t="shared" ca="1" si="16"/>
        <v>0</v>
      </c>
      <c r="AM14" s="36">
        <f t="shared" ca="1" si="27"/>
        <v>180000</v>
      </c>
      <c r="AN14" s="36">
        <f t="shared" ca="1" si="28"/>
        <v>0</v>
      </c>
      <c r="AO14" s="36">
        <f t="shared" ca="1" si="17"/>
        <v>180000</v>
      </c>
      <c r="AP14" s="36">
        <f t="shared" ca="1" si="18"/>
        <v>0</v>
      </c>
      <c r="AQ14" s="36">
        <f t="shared" ca="1" si="19"/>
        <v>0</v>
      </c>
      <c r="AR14" s="36">
        <f t="shared" ca="1" si="20"/>
        <v>3833.3333333333335</v>
      </c>
      <c r="AS14" s="36">
        <f t="shared" ca="1" si="29"/>
        <v>0</v>
      </c>
      <c r="AT14" s="36">
        <f t="shared" ca="1" si="21"/>
        <v>3833.3333333333335</v>
      </c>
      <c r="AU14" s="36" cm="1">
        <f t="array" aca="1" ref="AU14" ca="1">IF($I14&lt;$H$2,IF(AND($N14&lt;&gt;"-",$N14&lt;$H$2),0,SUMIFS(TransHCost,TransAsset,$A14,TransIDDate,$J14)-SUMIFS(TransPCAccDep,TransAsset,$A14)-SUMIFS(TransImpair,TransAsset,$A14,TransIDDate,"&lt;"&amp;$H$2,TransType,"REV")),0)</f>
        <v>50000</v>
      </c>
      <c r="AV14" s="36">
        <f t="shared" ca="1" si="30"/>
        <v>-46000</v>
      </c>
      <c r="AW14" s="36">
        <f t="shared" ca="1" si="22"/>
        <v>4000</v>
      </c>
      <c r="AX14" s="36" cm="1">
        <f t="array" aca="1" ref="AX14" ca="1">$AW14-IF($I14&lt;$J$2,IF(AND($N14&lt;&gt;"-",$N14&lt;$J$2),0,SUMIFS(TransHCost,TransAsset,$A14,TransIDDate,$J14)-SUMIFS(TransPMAccDep,TransAsset,$A14)-SUMIFS(TransImpair,TransAsset,$A14,TransIDDate,"&lt;"&amp;$J$2,TransType,"REV")),0)</f>
        <v>-3833.3333333333721</v>
      </c>
      <c r="AY14" s="36">
        <f ca="1">IF(ISNA(MATCH($F14,TaxCode,0))=TRUE,$S14*($U14&gt;0),MAX(($S14*($U14&gt;0))-(($S14-SUMIFS(TransCRes,TransAsset,$A14,TransIDDate,$L14))*(IF($U14&lt;=11,0,MIN(SUM(OFFSET('Set-up'!$D$37,MATCH($F14,TaxCode,0),0,1,MATCH($U14,TaxCumMonth,1)))+MAX(TRUNC(($U14-60)/12)*SUM(OFFSET('Set-up'!$H$37,MATCH($F14,TaxCode,0),0,1,1)),0%),100%))))-(($S14-SUMIFS(TransCRes,TransAsset,$A14,TransIDDate,$L14))*OFFSET('Set-up'!$D$37,MATCH($F14,TaxCode,0),MATCH($U14,TaxCurMonth,1)-1,1,1)*IF(AND($U14-(TRUNC($U14/12)*12)&lt;&gt;0,OFFSET('Set-up'!$J$37,MATCH($F14,TaxCode,0),0,1,1)=0),1,(($U14-(TRUNC($U14/12)*12))/12))),SUMIFS(TransCRes,TransAsset,$A14,TransIDDate,$L14)))</f>
        <v>0</v>
      </c>
      <c r="AZ14" s="36">
        <f t="shared" ca="1" si="31"/>
        <v>0</v>
      </c>
      <c r="BA14" s="36">
        <f ca="1">IF(ISNA(MATCH($F14,TaxCode,0))=TRUE,$S14*($V14&gt;0),MAX(($S14*($V14&gt;0))-(($S14-$R14)*(IF($V14&lt;=11,0,MIN(SUM(OFFSET('Set-up'!$D$37,MATCH($F14,TaxCode,0),0,1,MATCH($V14,TaxCumMonth,1)))+MAX(TRUNC(($V14-60)/12)*SUM(OFFSET('Set-up'!$H$37,MATCH($F14,TaxCode,0),0,1,1)),0%),100%))))-(($S14-$R14)*OFFSET('Set-up'!$D$37,MATCH($F14,TaxCode,0),MATCH($V14,TaxCurMonth,1)-1,1,1)*IF(AND($V14-(TRUNC($V14/12)*12)&lt;&gt;0,OFFSET('Set-up'!$J$37,MATCH($F14,TaxCode,0),0,1,1)=0),1,(($V14-(TRUNC($V14/12)*12))/12))),$R14*($V14&gt;0)))</f>
        <v>0</v>
      </c>
      <c r="BB14" s="36">
        <f ca="1">$BA14-IF(ISNA(MATCH($F14,TaxCode,0))=TRUE,$S14*($W14&gt;0),MAX(($S14*($W14&gt;0))-(($S14-SUMIFS(TransCRes,TransAsset,$A14,TransIDDate,$M14))*(IF($W14&lt;=11,0,MIN(SUM(OFFSET('Set-up'!$D$37,MATCH($F14,TaxCode,0),0,1,MATCH($W14,TaxCumMonth,1)))+MAX(TRUNC(($W14-60)/12)*SUM(OFFSET('Set-up'!$H$37,MATCH($F14,TaxCode,0),0,1,1)),0%),100%))))-(($S14-SUMIFS(TransCRes,TransAsset,$A14,TransIDDate,$M14))*OFFSET('Set-up'!$D$37,MATCH($F14,TaxCode,0),MATCH($W14,TaxCurMonth,1)-1,1,1)*IF(AND($W14-(TRUNC($W14/12)*12)&lt;&gt;0,OFFSET('Set-up'!$J$37,MATCH($F14,TaxCode,0),0,1,1)=0),1,(($W14-(TRUNC($W14/12)*12))/12))),SUMIFS(TransCRes,TransAsset,$A14,TransIDDate,$M14)*($W14&gt;0)))</f>
        <v>0</v>
      </c>
      <c r="BC14" s="36">
        <f ca="1">IF(ISNUMBER('Set-up'!$C$9)=FALSE,0,IF($F14="J",0,ROUND(($AU14-$AY14)*'Set-up'!$C$9,2)))</f>
        <v>14000</v>
      </c>
      <c r="BD14" s="36">
        <f t="shared" ca="1" si="32"/>
        <v>-12880</v>
      </c>
      <c r="BE14" s="36">
        <f ca="1">IF(ISNUMBER('Set-up'!$C$9)=FALSE,0,IF($F14="J",0,ROUND(($AW14-$BA14)*'Set-up'!$C$9,2)))</f>
        <v>1120</v>
      </c>
      <c r="BF14" s="36">
        <f ca="1">IF(ISNUMBER('Set-up'!$C$9)=FALSE,0,IF($F14="J",0,ROUND(($AX14-$BB14)*'Set-up'!$C$9,2)))</f>
        <v>-1073.33</v>
      </c>
    </row>
    <row r="15" spans="1:58" ht="16" customHeight="1" x14ac:dyDescent="0.25">
      <c r="A15" s="8" t="s">
        <v>286</v>
      </c>
      <c r="B15" s="8">
        <v>31837864</v>
      </c>
      <c r="C15" s="8" t="s">
        <v>292</v>
      </c>
      <c r="D15" s="4" t="s">
        <v>91</v>
      </c>
      <c r="E15" s="4" t="s">
        <v>267</v>
      </c>
      <c r="F15" s="4" t="s">
        <v>212</v>
      </c>
      <c r="G15" s="4" t="str" cm="1">
        <f t="array" aca="1" ref="G15" ca="1">IF(COUNTIF(AssetCode,$A15)&gt;1,"E1",IF(ISNA(VLOOKUP($E15,CatAll,1,0))=TRUE,"E2",IF(AND($I15="add!",$J15&lt;&gt;"add!"),"E10",IF(ISNA(VLOOKUP($F15,TaxCode,1,0))=TRUE,"E11","-"))))</f>
        <v>-</v>
      </c>
      <c r="H15" s="4" t="str">
        <f t="shared" ca="1" si="0"/>
        <v>PM</v>
      </c>
      <c r="I15" s="33">
        <f t="array" aca="1" ref="I15" ca="1">IF(ISERROR(LARGE(IF(TransAsset=$A15,IF(TransType="ACQ",TransIDDate,"add!"),"add!"),1)),"add!",LARGE(IF(TransAsset=$A15,IF(TransType="ACQ",TransIDDate,"add!"),"add!"),1))</f>
        <v>42205.0002662037</v>
      </c>
      <c r="J15" s="33">
        <f t="array" aca="1" ref="J15" ca="1">IF(ISERROR(LARGE(IF(TransAsset=$A15,TransIDDate,"add!"),1)),"add!",LARGE(IF(TransAsset=$A15,TransIDDate,"add!"),1))</f>
        <v>43891.000706018516</v>
      </c>
      <c r="K15" s="33">
        <f t="array" aca="1" ref="K15" ca="1">IF(ISERROR(LARGE(IF(TransAsset=$A15,IF(TransDate&lt;($I$2+1),TransIDDate,"-"),"-"),1)),"-",LARGE(IF(TransAsset=$A15,IF(TransDate&lt;($I$2+1),TransIDDate,"-"),"-"),1))</f>
        <v>43891.000706018516</v>
      </c>
      <c r="L15" s="33">
        <f t="array" aca="1" ref="L15" ca="1">IF(ISERROR(LARGE(IF(TransAsset=$A15,IF(TransDate&lt;$H$2,TransIDDate,"-"),"-"),1)),"-",LARGE(IF(TransAsset=$A15,IF(TransDate&lt;$H$2,TransIDDate,"-"),"-"),1))</f>
        <v>42205.0002662037</v>
      </c>
      <c r="M15" s="33">
        <f t="array" aca="1" ref="M15" ca="1">IF(ISERROR(LARGE(IF(TransAsset=$A15,IF(TransDate&lt;$J$2,TransIDDate,"-"),"-"),1)),"-",LARGE(IF(TransAsset=$A15,IF(TransDate&lt;$J$2,TransIDDate,"-"),"-"),1))</f>
        <v>43891.000706018516</v>
      </c>
      <c r="N15" s="33" t="str">
        <f t="array" aca="1" ref="N15" ca="1">IF(ISERROR(LARGE(IF(TransAsset=$A15,IF(TransType="DIS",TransIDDate,"-"),"-"),1)),"-",LARGE(IF(TransAsset=$A15,IF(TransType="DIS",TransIDDate,"-"),"-"),1))</f>
        <v>-</v>
      </c>
      <c r="O15" s="34" cm="1">
        <f t="array" aca="1" ref="O15" ca="1">IF($N15&lt;=$I$2,SUMIFS(TransProceeds,TransAsset,$A15,TransType,"DIS"),0)</f>
        <v>0</v>
      </c>
      <c r="P15" s="36" cm="1">
        <f t="array" aca="1" ref="P15" ca="1">IF($I15&lt;=($I$2+1),SUMIFS(TransHCost,TransAsset,$A15,TransIDDate,$J15),0)</f>
        <v>422200</v>
      </c>
      <c r="Q15" s="28">
        <f t="shared" ca="1" si="1"/>
        <v>5</v>
      </c>
      <c r="R15" s="28">
        <f t="shared" ca="1" si="2"/>
        <v>0</v>
      </c>
      <c r="S15" s="36">
        <f t="shared" ca="1" si="3"/>
        <v>422200</v>
      </c>
      <c r="T15" s="35">
        <f ca="1">IF(ISNA(MATCH($F15,TaxCode,0))=TRUE,"code?",OFFSET('Set-up'!$D$37,MATCH($F15,TaxCode,0),MATCH($V15,TaxCurMonth,1)-1,1,1))</f>
        <v>0</v>
      </c>
      <c r="U15" s="28">
        <f t="shared" ca="1" si="4"/>
        <v>56</v>
      </c>
      <c r="V15" s="28">
        <f t="shared" ca="1" si="5"/>
        <v>68</v>
      </c>
      <c r="W15" s="28">
        <f t="shared" ca="1" si="6"/>
        <v>67</v>
      </c>
      <c r="X15" s="36">
        <f t="shared" ca="1" si="7"/>
        <v>422200</v>
      </c>
      <c r="Y15" s="36">
        <f t="shared" ca="1" si="8"/>
        <v>0</v>
      </c>
      <c r="Z15" s="36">
        <f t="shared" ca="1" si="9"/>
        <v>-302200</v>
      </c>
      <c r="AA15" s="36">
        <f t="shared" ca="1" si="10"/>
        <v>0</v>
      </c>
      <c r="AB15" s="36">
        <f t="shared" ca="1" si="11"/>
        <v>0</v>
      </c>
      <c r="AC15" s="36">
        <f t="shared" ca="1" si="23"/>
        <v>120000</v>
      </c>
      <c r="AD15" s="36" cm="1">
        <f t="array" aca="1" ref="AD15" ca="1">IF($L15=0,0,IF(SUMIFS(TransCLife,TransAsset,$A15,TransIDDate,$L15)=0,0,IF(($X15-(SUMIFS(TransCRes,TransAsset,$A15,TransIDDate,$L15)))/(SUMIFS(TransCLife,TransAsset,$A15,TransIDDate,$L15)*12)*(((YEAR($H$2)*12)+MONTH($H$2))-((YEAR($L15)*12)+MONTH($L15)))&gt;=($X15-SUMIFS(TransCRes,TransAsset,$A15,TransIDDate,$L15)),$X15-SUMIFS(TransCRes,TransAsset,$A15,TransIDDate,$L15),($X15-(SUMIFS(TransCRes,TransAsset,$A15,TransIDDate,$L15)))/(SUMIFS(TransCLife,TransAsset,$A15,TransIDDate,$L15)*12)*(((YEAR($H$2)*12)+MONTH($H$2))-((YEAR($L15)*12)+MONTH($L15))))))</f>
        <v>394053.33333333337</v>
      </c>
      <c r="AE15" s="36">
        <f t="shared" ca="1" si="12"/>
        <v>24000</v>
      </c>
      <c r="AF15" s="36">
        <f t="shared" ca="1" si="24"/>
        <v>0</v>
      </c>
      <c r="AG15" s="36">
        <f t="shared" ca="1" si="13"/>
        <v>24000</v>
      </c>
      <c r="AH15" s="36">
        <f t="shared" ca="1" si="14"/>
        <v>-394053.33333333337</v>
      </c>
      <c r="AI15" s="36">
        <f t="shared" ca="1" si="15"/>
        <v>0</v>
      </c>
      <c r="AJ15" s="36">
        <f t="shared" ca="1" si="25"/>
        <v>24000</v>
      </c>
      <c r="AK15" s="36">
        <f t="shared" ca="1" si="26"/>
        <v>96000</v>
      </c>
      <c r="AL15" s="36">
        <f t="shared" ca="1" si="16"/>
        <v>0</v>
      </c>
      <c r="AM15" s="36">
        <f t="shared" ca="1" si="27"/>
        <v>91853.333333333372</v>
      </c>
      <c r="AN15" s="36">
        <f t="shared" ca="1" si="28"/>
        <v>0</v>
      </c>
      <c r="AO15" s="36">
        <f t="shared" ca="1" si="17"/>
        <v>91853.333333333372</v>
      </c>
      <c r="AP15" s="36">
        <f t="shared" ca="1" si="18"/>
        <v>0</v>
      </c>
      <c r="AQ15" s="36">
        <f t="shared" ca="1" si="19"/>
        <v>0</v>
      </c>
      <c r="AR15" s="36">
        <f t="shared" ca="1" si="20"/>
        <v>2000</v>
      </c>
      <c r="AS15" s="36">
        <f t="shared" ca="1" si="29"/>
        <v>0</v>
      </c>
      <c r="AT15" s="36">
        <f t="shared" ca="1" si="21"/>
        <v>2000</v>
      </c>
      <c r="AU15" s="36" cm="1">
        <f t="array" aca="1" ref="AU15" ca="1">IF($I15&lt;$H$2,IF(AND($N15&lt;&gt;"-",$N15&lt;$H$2),0,SUMIFS(TransHCost,TransAsset,$A15,TransIDDate,$J15)-SUMIFS(TransPCAccDep,TransAsset,$A15)-SUMIFS(TransImpair,TransAsset,$A15,TransIDDate,"&lt;"&amp;$H$2,TransType,"REV")),0)</f>
        <v>28146.666666666628</v>
      </c>
      <c r="AV15" s="36">
        <f t="shared" ca="1" si="30"/>
        <v>-24000</v>
      </c>
      <c r="AW15" s="36">
        <f t="shared" ca="1" si="22"/>
        <v>4146.6666666666279</v>
      </c>
      <c r="AX15" s="36" cm="1">
        <f t="array" aca="1" ref="AX15" ca="1">$AW15-IF($I15&lt;$J$2,IF(AND($N15&lt;&gt;"-",$N15&lt;$J$2),0,SUMIFS(TransHCost,TransAsset,$A15,TransIDDate,$J15)-SUMIFS(TransPMAccDep,TransAsset,$A15)-SUMIFS(TransImpair,TransAsset,$A15,TransIDDate,"&lt;"&amp;$J$2,TransType,"REV")),0)</f>
        <v>-2000</v>
      </c>
      <c r="AY15" s="36">
        <f ca="1">IF(ISNA(MATCH($F15,TaxCode,0))=TRUE,$S15*($U15&gt;0),MAX(($S15*($U15&gt;0))-(($S15-SUMIFS(TransCRes,TransAsset,$A15,TransIDDate,$L15))*(IF($U15&lt;=11,0,MIN(SUM(OFFSET('Set-up'!$D$37,MATCH($F15,TaxCode,0),0,1,MATCH($U15,TaxCumMonth,1)))+MAX(TRUNC(($U15-60)/12)*SUM(OFFSET('Set-up'!$H$37,MATCH($F15,TaxCode,0),0,1,1)),0%),100%))))-(($S15-SUMIFS(TransCRes,TransAsset,$A15,TransIDDate,$L15))*OFFSET('Set-up'!$D$37,MATCH($F15,TaxCode,0),MATCH($U15,TaxCurMonth,1)-1,1,1)*IF(AND($U15-(TRUNC($U15/12)*12)&lt;&gt;0,OFFSET('Set-up'!$J$37,MATCH($F15,TaxCode,0),0,1,1)=0),1,(($U15-(TRUNC($U15/12)*12))/12))),SUMIFS(TransCRes,TransAsset,$A15,TransIDDate,$L15)))</f>
        <v>0</v>
      </c>
      <c r="AZ15" s="36">
        <f t="shared" ca="1" si="31"/>
        <v>0</v>
      </c>
      <c r="BA15" s="36">
        <f ca="1">IF(ISNA(MATCH($F15,TaxCode,0))=TRUE,$S15*($V15&gt;0),MAX(($S15*($V15&gt;0))-(($S15-$R15)*(IF($V15&lt;=11,0,MIN(SUM(OFFSET('Set-up'!$D$37,MATCH($F15,TaxCode,0),0,1,MATCH($V15,TaxCumMonth,1)))+MAX(TRUNC(($V15-60)/12)*SUM(OFFSET('Set-up'!$H$37,MATCH($F15,TaxCode,0),0,1,1)),0%),100%))))-(($S15-$R15)*OFFSET('Set-up'!$D$37,MATCH($F15,TaxCode,0),MATCH($V15,TaxCurMonth,1)-1,1,1)*IF(AND($V15-(TRUNC($V15/12)*12)&lt;&gt;0,OFFSET('Set-up'!$J$37,MATCH($F15,TaxCode,0),0,1,1)=0),1,(($V15-(TRUNC($V15/12)*12))/12))),$R15*($V15&gt;0)))</f>
        <v>0</v>
      </c>
      <c r="BB15" s="36">
        <f ca="1">$BA15-IF(ISNA(MATCH($F15,TaxCode,0))=TRUE,$S15*($W15&gt;0),MAX(($S15*($W15&gt;0))-(($S15-SUMIFS(TransCRes,TransAsset,$A15,TransIDDate,$M15))*(IF($W15&lt;=11,0,MIN(SUM(OFFSET('Set-up'!$D$37,MATCH($F15,TaxCode,0),0,1,MATCH($W15,TaxCumMonth,1)))+MAX(TRUNC(($W15-60)/12)*SUM(OFFSET('Set-up'!$H$37,MATCH($F15,TaxCode,0),0,1,1)),0%),100%))))-(($S15-SUMIFS(TransCRes,TransAsset,$A15,TransIDDate,$M15))*OFFSET('Set-up'!$D$37,MATCH($F15,TaxCode,0),MATCH($W15,TaxCurMonth,1)-1,1,1)*IF(AND($W15-(TRUNC($W15/12)*12)&lt;&gt;0,OFFSET('Set-up'!$J$37,MATCH($F15,TaxCode,0),0,1,1)=0),1,(($W15-(TRUNC($W15/12)*12))/12))),SUMIFS(TransCRes,TransAsset,$A15,TransIDDate,$M15)*($W15&gt;0)))</f>
        <v>0</v>
      </c>
      <c r="BC15" s="36">
        <f ca="1">IF(ISNUMBER('Set-up'!$C$9)=FALSE,0,IF($F15="J",0,ROUND(($AU15-$AY15)*'Set-up'!$C$9,2)))</f>
        <v>7881.07</v>
      </c>
      <c r="BD15" s="36">
        <f t="shared" ca="1" si="32"/>
        <v>-6720</v>
      </c>
      <c r="BE15" s="36">
        <f ca="1">IF(ISNUMBER('Set-up'!$C$9)=FALSE,0,IF($F15="J",0,ROUND(($AW15-$BA15)*'Set-up'!$C$9,2)))</f>
        <v>1161.07</v>
      </c>
      <c r="BF15" s="36">
        <f ca="1">IF(ISNUMBER('Set-up'!$C$9)=FALSE,0,IF($F15="J",0,ROUND(($AX15-$BB15)*'Set-up'!$C$9,2)))</f>
        <v>-560</v>
      </c>
    </row>
    <row r="16" spans="1:58" ht="16" customHeight="1" x14ac:dyDescent="0.25">
      <c r="A16" s="8" t="s">
        <v>287</v>
      </c>
      <c r="B16" s="8">
        <v>19837364</v>
      </c>
      <c r="C16" s="8" t="s">
        <v>293</v>
      </c>
      <c r="D16" s="4" t="s">
        <v>91</v>
      </c>
      <c r="E16" s="4" t="s">
        <v>267</v>
      </c>
      <c r="F16" s="4" t="s">
        <v>212</v>
      </c>
      <c r="G16" s="4" t="str" cm="1">
        <f t="array" aca="1" ref="G16" ca="1">IF(COUNTIF(AssetCode,$A16)&gt;1,"E1",IF(ISNA(VLOOKUP($E16,CatAll,1,0))=TRUE,"E2",IF(AND($I16="add!",$J16&lt;&gt;"add!"),"E10",IF(ISNA(VLOOKUP($F16,TaxCode,1,0))=TRUE,"E11","-"))))</f>
        <v>-</v>
      </c>
      <c r="H16" s="4" t="str">
        <f t="shared" ca="1" si="0"/>
        <v>PM</v>
      </c>
      <c r="I16" s="33">
        <f t="array" aca="1" ref="I16" ca="1">IF(ISERROR(LARGE(IF(TransAsset=$A16,IF(TransType="ACQ",TransIDDate,"add!"),"add!"),1)),"add!",LARGE(IF(TransAsset=$A16,IF(TransType="ACQ",TransIDDate,"add!"),"add!"),1))</f>
        <v>42205.000277777777</v>
      </c>
      <c r="J16" s="33">
        <f t="array" aca="1" ref="J16" ca="1">IF(ISERROR(LARGE(IF(TransAsset=$A16,TransIDDate,"add!"),1)),"add!",LARGE(IF(TransAsset=$A16,TransIDDate,"add!"),1))</f>
        <v>44239.000949074078</v>
      </c>
      <c r="K16" s="33">
        <f t="array" aca="1" ref="K16" ca="1">IF(ISERROR(LARGE(IF(TransAsset=$A16,IF(TransDate&lt;($I$2+1),TransIDDate,"-"),"-"),1)),"-",LARGE(IF(TransAsset=$A16,IF(TransDate&lt;($I$2+1),TransIDDate,"-"),"-"),1))</f>
        <v>44239.000949074078</v>
      </c>
      <c r="L16" s="33">
        <f t="array" aca="1" ref="L16" ca="1">IF(ISERROR(LARGE(IF(TransAsset=$A16,IF(TransDate&lt;$H$2,TransIDDate,"-"),"-"),1)),"-",LARGE(IF(TransAsset=$A16,IF(TransDate&lt;$H$2,TransIDDate,"-"),"-"),1))</f>
        <v>42205.000277777777</v>
      </c>
      <c r="M16" s="33">
        <f t="array" aca="1" ref="M16" ca="1">IF(ISERROR(LARGE(IF(TransAsset=$A16,IF(TransDate&lt;$J$2,TransIDDate,"-"),"-"),1)),"-",LARGE(IF(TransAsset=$A16,IF(TransDate&lt;$J$2,TransIDDate,"-"),"-"),1))</f>
        <v>43891.000717592593</v>
      </c>
      <c r="N16" s="33">
        <f t="array" aca="1" ref="N16" ca="1">IF(ISERROR(LARGE(IF(TransAsset=$A16,IF(TransType="DIS",TransIDDate,"-"),"-"),1)),"-",LARGE(IF(TransAsset=$A16,IF(TransType="DIS",TransIDDate,"-"),"-"),1))</f>
        <v>44239.000949074078</v>
      </c>
      <c r="O16" s="34" cm="1">
        <f t="array" aca="1" ref="O16" ca="1">IF($N16&lt;=$I$2,SUMIFS(TransProceeds,TransAsset,$A16,TransType,"DIS"),0)</f>
        <v>150000</v>
      </c>
      <c r="P16" s="36" cm="1">
        <f t="array" aca="1" ref="P16" ca="1">IF($I16&lt;=($I$2+1),SUMIFS(TransHCost,TransAsset,$A16,TransIDDate,$J16),0)</f>
        <v>660450</v>
      </c>
      <c r="Q16" s="28">
        <f t="shared" ca="1" si="1"/>
        <v>0</v>
      </c>
      <c r="R16" s="28">
        <f t="shared" ca="1" si="2"/>
        <v>0</v>
      </c>
      <c r="S16" s="36">
        <f t="shared" ca="1" si="3"/>
        <v>660450</v>
      </c>
      <c r="T16" s="35">
        <f ca="1">IF(ISNA(MATCH($F16,TaxCode,0))=TRUE,"code?",OFFSET('Set-up'!$D$37,MATCH($F16,TaxCode,0),MATCH($V16,TaxCurMonth,1)-1,1,1))</f>
        <v>0.5</v>
      </c>
      <c r="U16" s="28">
        <f t="shared" ca="1" si="4"/>
        <v>56</v>
      </c>
      <c r="V16" s="28">
        <f t="shared" ca="1" si="5"/>
        <v>0</v>
      </c>
      <c r="W16" s="28">
        <f t="shared" ca="1" si="6"/>
        <v>67</v>
      </c>
      <c r="X16" s="36">
        <f t="shared" ca="1" si="7"/>
        <v>660450</v>
      </c>
      <c r="Y16" s="36">
        <f t="shared" ca="1" si="8"/>
        <v>0</v>
      </c>
      <c r="Z16" s="36">
        <f t="shared" ca="1" si="9"/>
        <v>-470450</v>
      </c>
      <c r="AA16" s="36">
        <f t="shared" ca="1" si="10"/>
        <v>-190000</v>
      </c>
      <c r="AB16" s="36">
        <f t="shared" ca="1" si="11"/>
        <v>0</v>
      </c>
      <c r="AC16" s="36">
        <f t="shared" ca="1" si="23"/>
        <v>0</v>
      </c>
      <c r="AD16" s="36" cm="1">
        <f t="array" aca="1" ref="AD16" ca="1">IF($L16=0,0,IF(SUMIFS(TransCLife,TransAsset,$A16,TransIDDate,$L16)=0,0,IF(($X16-(SUMIFS(TransCRes,TransAsset,$A16,TransIDDate,$L16)))/(SUMIFS(TransCLife,TransAsset,$A16,TransIDDate,$L16)*12)*(((YEAR($H$2)*12)+MONTH($H$2))-((YEAR($L16)*12)+MONTH($L16)))&gt;=($X16-SUMIFS(TransCRes,TransAsset,$A16,TransIDDate,$L16)),$X16-SUMIFS(TransCRes,TransAsset,$A16,TransIDDate,$L16),($X16-(SUMIFS(TransCRes,TransAsset,$A16,TransIDDate,$L16)))/(SUMIFS(TransCLife,TransAsset,$A16,TransIDDate,$L16)*12)*(((YEAR($H$2)*12)+MONTH($H$2))-((YEAR($L16)*12)+MONTH($L16))))))</f>
        <v>616420</v>
      </c>
      <c r="AE16" s="36">
        <f t="shared" ca="1" si="12"/>
        <v>34833.333333333328</v>
      </c>
      <c r="AF16" s="36">
        <f t="shared" ca="1" si="24"/>
        <v>0</v>
      </c>
      <c r="AG16" s="36">
        <f t="shared" ca="1" si="13"/>
        <v>34833.333333333328</v>
      </c>
      <c r="AH16" s="36">
        <f t="shared" ca="1" si="14"/>
        <v>-616420</v>
      </c>
      <c r="AI16" s="36">
        <f t="shared" ca="1" si="15"/>
        <v>-34833.333333333328</v>
      </c>
      <c r="AJ16" s="36">
        <f t="shared" ca="1" si="25"/>
        <v>0</v>
      </c>
      <c r="AK16" s="36">
        <f t="shared" ca="1" si="26"/>
        <v>0</v>
      </c>
      <c r="AL16" s="36">
        <f t="shared" ca="1" si="16"/>
        <v>0</v>
      </c>
      <c r="AM16" s="36">
        <f t="shared" ca="1" si="27"/>
        <v>0</v>
      </c>
      <c r="AN16" s="36">
        <f t="shared" ca="1" si="28"/>
        <v>0</v>
      </c>
      <c r="AO16" s="36">
        <f t="shared" ca="1" si="17"/>
        <v>0</v>
      </c>
      <c r="AP16" s="36">
        <f t="shared" ca="1" si="18"/>
        <v>0</v>
      </c>
      <c r="AQ16" s="36">
        <f t="shared" ca="1" si="19"/>
        <v>140803.33333333331</v>
      </c>
      <c r="AR16" s="36">
        <f t="shared" ca="1" si="20"/>
        <v>0</v>
      </c>
      <c r="AS16" s="36">
        <f t="shared" ca="1" si="29"/>
        <v>0</v>
      </c>
      <c r="AT16" s="36">
        <f t="shared" ca="1" si="21"/>
        <v>0</v>
      </c>
      <c r="AU16" s="36" cm="1">
        <f t="array" aca="1" ref="AU16" ca="1">IF($I16&lt;$H$2,IF(AND($N16&lt;&gt;"-",$N16&lt;$H$2),0,SUMIFS(TransHCost,TransAsset,$A16,TransIDDate,$J16)-SUMIFS(TransPCAccDep,TransAsset,$A16)-SUMIFS(TransImpair,TransAsset,$A16,TransIDDate,"&lt;"&amp;$H$2,TransType,"REV")),0)</f>
        <v>44030</v>
      </c>
      <c r="AV16" s="36">
        <f t="shared" ca="1" si="30"/>
        <v>-44030</v>
      </c>
      <c r="AW16" s="36">
        <f t="shared" ca="1" si="22"/>
        <v>0</v>
      </c>
      <c r="AX16" s="36" cm="1">
        <f t="array" aca="1" ref="AX16" ca="1">$AW16-IF($I16&lt;$J$2,IF(AND($N16&lt;&gt;"-",$N16&lt;$J$2),0,SUMIFS(TransHCost,TransAsset,$A16,TransIDDate,$J16)-SUMIFS(TransPMAccDep,TransAsset,$A16)-SUMIFS(TransImpair,TransAsset,$A16,TransIDDate,"&lt;"&amp;$J$2,TransType,"REV")),0)</f>
        <v>-9196.6666666666279</v>
      </c>
      <c r="AY16" s="36">
        <f ca="1">IF(ISNA(MATCH($F16,TaxCode,0))=TRUE,$S16*($U16&gt;0),MAX(($S16*($U16&gt;0))-(($S16-SUMIFS(TransCRes,TransAsset,$A16,TransIDDate,$L16))*(IF($U16&lt;=11,0,MIN(SUM(OFFSET('Set-up'!$D$37,MATCH($F16,TaxCode,0),0,1,MATCH($U16,TaxCumMonth,1)))+MAX(TRUNC(($U16-60)/12)*SUM(OFFSET('Set-up'!$H$37,MATCH($F16,TaxCode,0),0,1,1)),0%),100%))))-(($S16-SUMIFS(TransCRes,TransAsset,$A16,TransIDDate,$L16))*OFFSET('Set-up'!$D$37,MATCH($F16,TaxCode,0),MATCH($U16,TaxCurMonth,1)-1,1,1)*IF(AND($U16-(TRUNC($U16/12)*12)&lt;&gt;0,OFFSET('Set-up'!$J$37,MATCH($F16,TaxCode,0),0,1,1)=0),1,(($U16-(TRUNC($U16/12)*12))/12))),SUMIFS(TransCRes,TransAsset,$A16,TransIDDate,$L16)))</f>
        <v>0</v>
      </c>
      <c r="AZ16" s="36">
        <f t="shared" ca="1" si="31"/>
        <v>0</v>
      </c>
      <c r="BA16" s="36">
        <f ca="1">IF(ISNA(MATCH($F16,TaxCode,0))=TRUE,$S16*($V16&gt;0),MAX(($S16*($V16&gt;0))-(($S16-$R16)*(IF($V16&lt;=11,0,MIN(SUM(OFFSET('Set-up'!$D$37,MATCH($F16,TaxCode,0),0,1,MATCH($V16,TaxCumMonth,1)))+MAX(TRUNC(($V16-60)/12)*SUM(OFFSET('Set-up'!$H$37,MATCH($F16,TaxCode,0),0,1,1)),0%),100%))))-(($S16-$R16)*OFFSET('Set-up'!$D$37,MATCH($F16,TaxCode,0),MATCH($V16,TaxCurMonth,1)-1,1,1)*IF(AND($V16-(TRUNC($V16/12)*12)&lt;&gt;0,OFFSET('Set-up'!$J$37,MATCH($F16,TaxCode,0),0,1,1)=0),1,(($V16-(TRUNC($V16/12)*12))/12))),$R16*($V16&gt;0)))</f>
        <v>0</v>
      </c>
      <c r="BB16" s="36">
        <f ca="1">$BA16-IF(ISNA(MATCH($F16,TaxCode,0))=TRUE,$S16*($W16&gt;0),MAX(($S16*($W16&gt;0))-(($S16-SUMIFS(TransCRes,TransAsset,$A16,TransIDDate,$M16))*(IF($W16&lt;=11,0,MIN(SUM(OFFSET('Set-up'!$D$37,MATCH($F16,TaxCode,0),0,1,MATCH($W16,TaxCumMonth,1)))+MAX(TRUNC(($W16-60)/12)*SUM(OFFSET('Set-up'!$H$37,MATCH($F16,TaxCode,0),0,1,1)),0%),100%))))-(($S16-SUMIFS(TransCRes,TransAsset,$A16,TransIDDate,$M16))*OFFSET('Set-up'!$D$37,MATCH($F16,TaxCode,0),MATCH($W16,TaxCurMonth,1)-1,1,1)*IF(AND($W16-(TRUNC($W16/12)*12)&lt;&gt;0,OFFSET('Set-up'!$J$37,MATCH($F16,TaxCode,0),0,1,1)=0),1,(($W16-(TRUNC($W16/12)*12))/12))),SUMIFS(TransCRes,TransAsset,$A16,TransIDDate,$M16)*($W16&gt;0)))</f>
        <v>0</v>
      </c>
      <c r="BC16" s="36">
        <f ca="1">IF(ISNUMBER('Set-up'!$C$9)=FALSE,0,IF($F16="J",0,ROUND(($AU16-$AY16)*'Set-up'!$C$9,2)))</f>
        <v>12328.4</v>
      </c>
      <c r="BD16" s="36">
        <f t="shared" ca="1" si="32"/>
        <v>-12328.4</v>
      </c>
      <c r="BE16" s="36">
        <f ca="1">IF(ISNUMBER('Set-up'!$C$9)=FALSE,0,IF($F16="J",0,ROUND(($AW16-$BA16)*'Set-up'!$C$9,2)))</f>
        <v>0</v>
      </c>
      <c r="BF16" s="36">
        <f ca="1">IF(ISNUMBER('Set-up'!$C$9)=FALSE,0,IF($F16="J",0,ROUND(($AX16-$BB16)*'Set-up'!$C$9,2)))</f>
        <v>-2575.0700000000002</v>
      </c>
    </row>
    <row r="17" spans="1:58" ht="16" customHeight="1" x14ac:dyDescent="0.25">
      <c r="A17" s="8" t="s">
        <v>288</v>
      </c>
      <c r="B17" s="8">
        <v>13565135</v>
      </c>
      <c r="C17" s="8" t="s">
        <v>38</v>
      </c>
      <c r="D17" s="4" t="s">
        <v>91</v>
      </c>
      <c r="E17" s="4" t="s">
        <v>267</v>
      </c>
      <c r="F17" s="4" t="s">
        <v>212</v>
      </c>
      <c r="G17" s="4" t="str" cm="1">
        <f t="array" aca="1" ref="G17" ca="1">IF(COUNTIF(AssetCode,$A17)&gt;1,"E1",IF(ISNA(VLOOKUP($E17,CatAll,1,0))=TRUE,"E2",IF(AND($I17="add!",$J17&lt;&gt;"add!"),"E10",IF(ISNA(VLOOKUP($F17,TaxCode,1,0))=TRUE,"E11","-"))))</f>
        <v>-</v>
      </c>
      <c r="H17" s="4" t="str">
        <f t="shared" ca="1" si="0"/>
        <v>PM</v>
      </c>
      <c r="I17" s="33">
        <f t="array" aca="1" ref="I17" ca="1">IF(ISERROR(LARGE(IF(TransAsset=$A17,IF(TransType="ACQ",TransIDDate,"add!"),"add!"),1)),"add!",LARGE(IF(TransAsset=$A17,IF(TransType="ACQ",TransIDDate,"add!"),"add!"),1))</f>
        <v>42205.000289351854</v>
      </c>
      <c r="J17" s="33">
        <f t="array" aca="1" ref="J17" ca="1">IF(ISERROR(LARGE(IF(TransAsset=$A17,TransIDDate,"add!"),1)),"add!",LARGE(IF(TransAsset=$A17,TransIDDate,"add!"),1))</f>
        <v>43891.00072916667</v>
      </c>
      <c r="K17" s="33">
        <f t="array" aca="1" ref="K17" ca="1">IF(ISERROR(LARGE(IF(TransAsset=$A17,IF(TransDate&lt;($I$2+1),TransIDDate,"-"),"-"),1)),"-",LARGE(IF(TransAsset=$A17,IF(TransDate&lt;($I$2+1),TransIDDate,"-"),"-"),1))</f>
        <v>43891.00072916667</v>
      </c>
      <c r="L17" s="33">
        <f t="array" aca="1" ref="L17" ca="1">IF(ISERROR(LARGE(IF(TransAsset=$A17,IF(TransDate&lt;$H$2,TransIDDate,"-"),"-"),1)),"-",LARGE(IF(TransAsset=$A17,IF(TransDate&lt;$H$2,TransIDDate,"-"),"-"),1))</f>
        <v>42205.000289351854</v>
      </c>
      <c r="M17" s="33">
        <f t="array" aca="1" ref="M17" ca="1">IF(ISERROR(LARGE(IF(TransAsset=$A17,IF(TransDate&lt;$J$2,TransIDDate,"-"),"-"),1)),"-",LARGE(IF(TransAsset=$A17,IF(TransDate&lt;$J$2,TransIDDate,"-"),"-"),1))</f>
        <v>43891.00072916667</v>
      </c>
      <c r="N17" s="33" t="str">
        <f t="array" aca="1" ref="N17" ca="1">IF(ISERROR(LARGE(IF(TransAsset=$A17,IF(TransType="DIS",TransIDDate,"-"),"-"),1)),"-",LARGE(IF(TransAsset=$A17,IF(TransType="DIS",TransIDDate,"-"),"-"),1))</f>
        <v>-</v>
      </c>
      <c r="O17" s="34" cm="1">
        <f t="array" aca="1" ref="O17" ca="1">IF($N17&lt;=$I$2,SUMIFS(TransProceeds,TransAsset,$A17,TransType,"DIS"),0)</f>
        <v>0</v>
      </c>
      <c r="P17" s="36" cm="1">
        <f t="array" aca="1" ref="P17" ca="1">IF($I17&lt;=($I$2+1),SUMIFS(TransHCost,TransAsset,$A17,TransIDDate,$J17),0)</f>
        <v>354600</v>
      </c>
      <c r="Q17" s="28">
        <f t="shared" ca="1" si="1"/>
        <v>5</v>
      </c>
      <c r="R17" s="28">
        <f t="shared" ca="1" si="2"/>
        <v>0</v>
      </c>
      <c r="S17" s="36">
        <f t="shared" ca="1" si="3"/>
        <v>354600</v>
      </c>
      <c r="T17" s="35">
        <f ca="1">IF(ISNA(MATCH($F17,TaxCode,0))=TRUE,"code?",OFFSET('Set-up'!$D$37,MATCH($F17,TaxCode,0),MATCH($V17,TaxCurMonth,1)-1,1,1))</f>
        <v>0</v>
      </c>
      <c r="U17" s="28">
        <f t="shared" ca="1" si="4"/>
        <v>56</v>
      </c>
      <c r="V17" s="28">
        <f t="shared" ca="1" si="5"/>
        <v>68</v>
      </c>
      <c r="W17" s="28">
        <f t="shared" ca="1" si="6"/>
        <v>67</v>
      </c>
      <c r="X17" s="36">
        <f t="shared" ca="1" si="7"/>
        <v>354600</v>
      </c>
      <c r="Y17" s="36">
        <f t="shared" ca="1" si="8"/>
        <v>0</v>
      </c>
      <c r="Z17" s="36">
        <f t="shared" ca="1" si="9"/>
        <v>-254130</v>
      </c>
      <c r="AA17" s="36">
        <f t="shared" ca="1" si="10"/>
        <v>0</v>
      </c>
      <c r="AB17" s="36">
        <f t="shared" ca="1" si="11"/>
        <v>0</v>
      </c>
      <c r="AC17" s="36">
        <f t="shared" ca="1" si="23"/>
        <v>100470</v>
      </c>
      <c r="AD17" s="36" cm="1">
        <f t="array" aca="1" ref="AD17" ca="1">IF($L17=0,0,IF(SUMIFS(TransCLife,TransAsset,$A17,TransIDDate,$L17)=0,0,IF(($X17-(SUMIFS(TransCRes,TransAsset,$A17,TransIDDate,$L17)))/(SUMIFS(TransCLife,TransAsset,$A17,TransIDDate,$L17)*12)*(((YEAR($H$2)*12)+MONTH($H$2))-((YEAR($L17)*12)+MONTH($L17)))&gt;=($X17-SUMIFS(TransCRes,TransAsset,$A17,TransIDDate,$L17)),$X17-SUMIFS(TransCRes,TransAsset,$A17,TransIDDate,$L17),($X17-(SUMIFS(TransCRes,TransAsset,$A17,TransIDDate,$L17)))/(SUMIFS(TransCLife,TransAsset,$A17,TransIDDate,$L17)*12)*(((YEAR($H$2)*12)+MONTH($H$2))-((YEAR($L17)*12)+MONTH($L17))))))</f>
        <v>330960</v>
      </c>
      <c r="AE17" s="36">
        <f t="shared" ca="1" si="12"/>
        <v>20094</v>
      </c>
      <c r="AF17" s="36">
        <f t="shared" ca="1" si="24"/>
        <v>0</v>
      </c>
      <c r="AG17" s="36">
        <f t="shared" ca="1" si="13"/>
        <v>20094</v>
      </c>
      <c r="AH17" s="36">
        <f t="shared" ca="1" si="14"/>
        <v>-330960</v>
      </c>
      <c r="AI17" s="36">
        <f t="shared" ca="1" si="15"/>
        <v>0</v>
      </c>
      <c r="AJ17" s="36">
        <f t="shared" ca="1" si="25"/>
        <v>20094</v>
      </c>
      <c r="AK17" s="36">
        <f t="shared" ca="1" si="26"/>
        <v>80376</v>
      </c>
      <c r="AL17" s="36">
        <f t="shared" ca="1" si="16"/>
        <v>0</v>
      </c>
      <c r="AM17" s="36">
        <f t="shared" ca="1" si="27"/>
        <v>76830</v>
      </c>
      <c r="AN17" s="36">
        <f t="shared" ca="1" si="28"/>
        <v>0</v>
      </c>
      <c r="AO17" s="36">
        <f t="shared" ca="1" si="17"/>
        <v>76830</v>
      </c>
      <c r="AP17" s="36">
        <f t="shared" ca="1" si="18"/>
        <v>0</v>
      </c>
      <c r="AQ17" s="36">
        <f t="shared" ca="1" si="19"/>
        <v>0</v>
      </c>
      <c r="AR17" s="36">
        <f t="shared" ca="1" si="20"/>
        <v>1674.5</v>
      </c>
      <c r="AS17" s="36">
        <f t="shared" ca="1" si="29"/>
        <v>0</v>
      </c>
      <c r="AT17" s="36">
        <f t="shared" ca="1" si="21"/>
        <v>1674.5</v>
      </c>
      <c r="AU17" s="36" cm="1">
        <f t="array" aca="1" ref="AU17" ca="1">IF($I17&lt;$H$2,IF(AND($N17&lt;&gt;"-",$N17&lt;$H$2),0,SUMIFS(TransHCost,TransAsset,$A17,TransIDDate,$J17)-SUMIFS(TransPCAccDep,TransAsset,$A17)-SUMIFS(TransImpair,TransAsset,$A17,TransIDDate,"&lt;"&amp;$H$2,TransType,"REV")),0)</f>
        <v>23640</v>
      </c>
      <c r="AV17" s="36">
        <f t="shared" ca="1" si="30"/>
        <v>-20094</v>
      </c>
      <c r="AW17" s="36">
        <f t="shared" ca="1" si="22"/>
        <v>3546</v>
      </c>
      <c r="AX17" s="36" cm="1">
        <f t="array" aca="1" ref="AX17" ca="1">$AW17-IF($I17&lt;$J$2,IF(AND($N17&lt;&gt;"-",$N17&lt;$J$2),0,SUMIFS(TransHCost,TransAsset,$A17,TransIDDate,$J17)-SUMIFS(TransPMAccDep,TransAsset,$A17)-SUMIFS(TransImpair,TransAsset,$A17,TransIDDate,"&lt;"&amp;$J$2,TransType,"REV")),0)</f>
        <v>-1674.5</v>
      </c>
      <c r="AY17" s="36">
        <f ca="1">IF(ISNA(MATCH($F17,TaxCode,0))=TRUE,$S17*($U17&gt;0),MAX(($S17*($U17&gt;0))-(($S17-SUMIFS(TransCRes,TransAsset,$A17,TransIDDate,$L17))*(IF($U17&lt;=11,0,MIN(SUM(OFFSET('Set-up'!$D$37,MATCH($F17,TaxCode,0),0,1,MATCH($U17,TaxCumMonth,1)))+MAX(TRUNC(($U17-60)/12)*SUM(OFFSET('Set-up'!$H$37,MATCH($F17,TaxCode,0),0,1,1)),0%),100%))))-(($S17-SUMIFS(TransCRes,TransAsset,$A17,TransIDDate,$L17))*OFFSET('Set-up'!$D$37,MATCH($F17,TaxCode,0),MATCH($U17,TaxCurMonth,1)-1,1,1)*IF(AND($U17-(TRUNC($U17/12)*12)&lt;&gt;0,OFFSET('Set-up'!$J$37,MATCH($F17,TaxCode,0),0,1,1)=0),1,(($U17-(TRUNC($U17/12)*12))/12))),SUMIFS(TransCRes,TransAsset,$A17,TransIDDate,$L17)))</f>
        <v>0</v>
      </c>
      <c r="AZ17" s="36">
        <f t="shared" ca="1" si="31"/>
        <v>0</v>
      </c>
      <c r="BA17" s="36">
        <f ca="1">IF(ISNA(MATCH($F17,TaxCode,0))=TRUE,$S17*($V17&gt;0),MAX(($S17*($V17&gt;0))-(($S17-$R17)*(IF($V17&lt;=11,0,MIN(SUM(OFFSET('Set-up'!$D$37,MATCH($F17,TaxCode,0),0,1,MATCH($V17,TaxCumMonth,1)))+MAX(TRUNC(($V17-60)/12)*SUM(OFFSET('Set-up'!$H$37,MATCH($F17,TaxCode,0),0,1,1)),0%),100%))))-(($S17-$R17)*OFFSET('Set-up'!$D$37,MATCH($F17,TaxCode,0),MATCH($V17,TaxCurMonth,1)-1,1,1)*IF(AND($V17-(TRUNC($V17/12)*12)&lt;&gt;0,OFFSET('Set-up'!$J$37,MATCH($F17,TaxCode,0),0,1,1)=0),1,(($V17-(TRUNC($V17/12)*12))/12))),$R17*($V17&gt;0)))</f>
        <v>0</v>
      </c>
      <c r="BB17" s="36">
        <f ca="1">$BA17-IF(ISNA(MATCH($F17,TaxCode,0))=TRUE,$S17*($W17&gt;0),MAX(($S17*($W17&gt;0))-(($S17-SUMIFS(TransCRes,TransAsset,$A17,TransIDDate,$M17))*(IF($W17&lt;=11,0,MIN(SUM(OFFSET('Set-up'!$D$37,MATCH($F17,TaxCode,0),0,1,MATCH($W17,TaxCumMonth,1)))+MAX(TRUNC(($W17-60)/12)*SUM(OFFSET('Set-up'!$H$37,MATCH($F17,TaxCode,0),0,1,1)),0%),100%))))-(($S17-SUMIFS(TransCRes,TransAsset,$A17,TransIDDate,$M17))*OFFSET('Set-up'!$D$37,MATCH($F17,TaxCode,0),MATCH($W17,TaxCurMonth,1)-1,1,1)*IF(AND($W17-(TRUNC($W17/12)*12)&lt;&gt;0,OFFSET('Set-up'!$J$37,MATCH($F17,TaxCode,0),0,1,1)=0),1,(($W17-(TRUNC($W17/12)*12))/12))),SUMIFS(TransCRes,TransAsset,$A17,TransIDDate,$M17)*($W17&gt;0)))</f>
        <v>0</v>
      </c>
      <c r="BC17" s="36">
        <f ca="1">IF(ISNUMBER('Set-up'!$C$9)=FALSE,0,IF($F17="J",0,ROUND(($AU17-$AY17)*'Set-up'!$C$9,2)))</f>
        <v>6619.2</v>
      </c>
      <c r="BD17" s="36">
        <f t="shared" ca="1" si="32"/>
        <v>-5626.32</v>
      </c>
      <c r="BE17" s="36">
        <f ca="1">IF(ISNUMBER('Set-up'!$C$9)=FALSE,0,IF($F17="J",0,ROUND(($AW17-$BA17)*'Set-up'!$C$9,2)))</f>
        <v>992.88</v>
      </c>
      <c r="BF17" s="36">
        <f ca="1">IF(ISNUMBER('Set-up'!$C$9)=FALSE,0,IF($F17="J",0,ROUND(($AX17-$BB17)*'Set-up'!$C$9,2)))</f>
        <v>-468.86</v>
      </c>
    </row>
    <row r="18" spans="1:58" ht="16" customHeight="1" x14ac:dyDescent="0.25">
      <c r="A18" s="8" t="s">
        <v>328</v>
      </c>
      <c r="B18" s="8">
        <v>65645278</v>
      </c>
      <c r="C18" s="8" t="s">
        <v>23</v>
      </c>
      <c r="D18" s="4" t="s">
        <v>91</v>
      </c>
      <c r="E18" s="4" t="s">
        <v>267</v>
      </c>
      <c r="F18" s="4" t="s">
        <v>212</v>
      </c>
      <c r="G18" s="4" t="str" cm="1">
        <f t="array" aca="1" ref="G18" ca="1">IF(COUNTIF(AssetCode,$A18)&gt;1,"E1",IF(ISNA(VLOOKUP($E18,CatAll,1,0))=TRUE,"E2",IF(AND($I18="add!",$J18&lt;&gt;"add!"),"E10",IF(ISNA(VLOOKUP($F18,TaxCode,1,0))=TRUE,"E11","-"))))</f>
        <v>-</v>
      </c>
      <c r="H18" s="4" t="str">
        <f t="shared" ca="1" si="0"/>
        <v>PM</v>
      </c>
      <c r="I18" s="33">
        <f t="array" aca="1" ref="I18" ca="1">IF(ISERROR(LARGE(IF(TransAsset=$A18,IF(TransType="ACQ",TransIDDate,"add!"),"add!"),1)),"add!",LARGE(IF(TransAsset=$A18,IF(TransType="ACQ",TransIDDate,"add!"),"add!"),1))</f>
        <v>42623.000381944446</v>
      </c>
      <c r="J18" s="33">
        <f t="array" aca="1" ref="J18" ca="1">IF(ISERROR(LARGE(IF(TransAsset=$A18,TransIDDate,"add!"),1)),"add!",LARGE(IF(TransAsset=$A18,TransIDDate,"add!"),1))</f>
        <v>43891.000740740739</v>
      </c>
      <c r="K18" s="33">
        <f t="array" aca="1" ref="K18" ca="1">IF(ISERROR(LARGE(IF(TransAsset=$A18,IF(TransDate&lt;($I$2+1),TransIDDate,"-"),"-"),1)),"-",LARGE(IF(TransAsset=$A18,IF(TransDate&lt;($I$2+1),TransIDDate,"-"),"-"),1))</f>
        <v>43891.000740740739</v>
      </c>
      <c r="L18" s="33">
        <f t="array" aca="1" ref="L18" ca="1">IF(ISERROR(LARGE(IF(TransAsset=$A18,IF(TransDate&lt;$H$2,TransIDDate,"-"),"-"),1)),"-",LARGE(IF(TransAsset=$A18,IF(TransDate&lt;$H$2,TransIDDate,"-"),"-"),1))</f>
        <v>42623.000381944446</v>
      </c>
      <c r="M18" s="33">
        <f t="array" aca="1" ref="M18" ca="1">IF(ISERROR(LARGE(IF(TransAsset=$A18,IF(TransDate&lt;$J$2,TransIDDate,"-"),"-"),1)),"-",LARGE(IF(TransAsset=$A18,IF(TransDate&lt;$J$2,TransIDDate,"-"),"-"),1))</f>
        <v>43891.000740740739</v>
      </c>
      <c r="N18" s="33" t="str">
        <f t="array" aca="1" ref="N18" ca="1">IF(ISERROR(LARGE(IF(TransAsset=$A18,IF(TransType="DIS",TransIDDate,"-"),"-"),1)),"-",LARGE(IF(TransAsset=$A18,IF(TransType="DIS",TransIDDate,"-"),"-"),1))</f>
        <v>-</v>
      </c>
      <c r="O18" s="34" cm="1">
        <f t="array" aca="1" ref="O18" ca="1">IF($N18&lt;=$I$2,SUMIFS(TransProceeds,TransAsset,$A18,TransType,"DIS"),0)</f>
        <v>0</v>
      </c>
      <c r="P18" s="36" cm="1">
        <f t="array" aca="1" ref="P18" ca="1">IF($I18&lt;=($I$2+1),SUMIFS(TransHCost,TransAsset,$A18,TransIDDate,$J18),0)</f>
        <v>12500</v>
      </c>
      <c r="Q18" s="28">
        <f t="shared" ca="1" si="1"/>
        <v>5</v>
      </c>
      <c r="R18" s="28">
        <f t="shared" ca="1" si="2"/>
        <v>0</v>
      </c>
      <c r="S18" s="36">
        <f t="shared" ca="1" si="3"/>
        <v>12500</v>
      </c>
      <c r="T18" s="35">
        <f ca="1">IF(ISNA(MATCH($F18,TaxCode,0))=TRUE,"code?",OFFSET('Set-up'!$D$37,MATCH($F18,TaxCode,0),MATCH($V18,TaxCurMonth,1)-1,1,1))</f>
        <v>0</v>
      </c>
      <c r="U18" s="28">
        <f t="shared" ca="1" si="4"/>
        <v>42</v>
      </c>
      <c r="V18" s="28">
        <f t="shared" ca="1" si="5"/>
        <v>54</v>
      </c>
      <c r="W18" s="28">
        <f t="shared" ca="1" si="6"/>
        <v>53</v>
      </c>
      <c r="X18" s="36">
        <f t="shared" ca="1" si="7"/>
        <v>12500</v>
      </c>
      <c r="Y18" s="36">
        <f t="shared" ca="1" si="8"/>
        <v>0</v>
      </c>
      <c r="Z18" s="36">
        <f t="shared" ca="1" si="9"/>
        <v>-2500</v>
      </c>
      <c r="AA18" s="36">
        <f t="shared" ca="1" si="10"/>
        <v>0</v>
      </c>
      <c r="AB18" s="36">
        <f t="shared" ca="1" si="11"/>
        <v>0</v>
      </c>
      <c r="AC18" s="36">
        <f t="shared" ca="1" si="23"/>
        <v>10000</v>
      </c>
      <c r="AD18" s="36" cm="1">
        <f t="array" aca="1" ref="AD18" ca="1">IF($L18=0,0,IF(SUMIFS(TransCLife,TransAsset,$A18,TransIDDate,$L18)=0,0,IF(($X18-(SUMIFS(TransCRes,TransAsset,$A18,TransIDDate,$L18)))/(SUMIFS(TransCLife,TransAsset,$A18,TransIDDate,$L18)*12)*(((YEAR($H$2)*12)+MONTH($H$2))-((YEAR($L18)*12)+MONTH($L18)))&gt;=($X18-SUMIFS(TransCRes,TransAsset,$A18,TransIDDate,$L18)),$X18-SUMIFS(TransCRes,TransAsset,$A18,TransIDDate,$L18),($X18-(SUMIFS(TransCRes,TransAsset,$A18,TransIDDate,$L18)))/(SUMIFS(TransCLife,TransAsset,$A18,TransIDDate,$L18)*12)*(((YEAR($H$2)*12)+MONTH($H$2))-((YEAR($L18)*12)+MONTH($L18))))))</f>
        <v>8750</v>
      </c>
      <c r="AE18" s="36">
        <f t="shared" ca="1" si="12"/>
        <v>2000</v>
      </c>
      <c r="AF18" s="36">
        <f t="shared" ca="1" si="24"/>
        <v>0</v>
      </c>
      <c r="AG18" s="36">
        <f t="shared" ca="1" si="13"/>
        <v>2000</v>
      </c>
      <c r="AH18" s="36">
        <f t="shared" ca="1" si="14"/>
        <v>-8750</v>
      </c>
      <c r="AI18" s="36">
        <f t="shared" ca="1" si="15"/>
        <v>0</v>
      </c>
      <c r="AJ18" s="36">
        <f t="shared" ca="1" si="25"/>
        <v>2000</v>
      </c>
      <c r="AK18" s="36">
        <f t="shared" ca="1" si="26"/>
        <v>8000</v>
      </c>
      <c r="AL18" s="36">
        <f t="shared" ca="1" si="16"/>
        <v>0</v>
      </c>
      <c r="AM18" s="36">
        <f t="shared" ca="1" si="27"/>
        <v>6250</v>
      </c>
      <c r="AN18" s="36">
        <f t="shared" ca="1" si="28"/>
        <v>0</v>
      </c>
      <c r="AO18" s="36">
        <f t="shared" ca="1" si="17"/>
        <v>6250</v>
      </c>
      <c r="AP18" s="36">
        <f t="shared" ca="1" si="18"/>
        <v>0</v>
      </c>
      <c r="AQ18" s="36">
        <f t="shared" ca="1" si="19"/>
        <v>0</v>
      </c>
      <c r="AR18" s="36">
        <f t="shared" ca="1" si="20"/>
        <v>166.66666666666666</v>
      </c>
      <c r="AS18" s="36">
        <f t="shared" ca="1" si="29"/>
        <v>0</v>
      </c>
      <c r="AT18" s="36">
        <f t="shared" ca="1" si="21"/>
        <v>166.66666666666666</v>
      </c>
      <c r="AU18" s="36" cm="1">
        <f t="array" aca="1" ref="AU18" ca="1">IF($I18&lt;$H$2,IF(AND($N18&lt;&gt;"-",$N18&lt;$H$2),0,SUMIFS(TransHCost,TransAsset,$A18,TransIDDate,$J18)-SUMIFS(TransPCAccDep,TransAsset,$A18)-SUMIFS(TransImpair,TransAsset,$A18,TransIDDate,"&lt;"&amp;$H$2,TransType,"REV")),0)</f>
        <v>3750</v>
      </c>
      <c r="AV18" s="36">
        <f t="shared" ca="1" si="30"/>
        <v>-2000</v>
      </c>
      <c r="AW18" s="36">
        <f t="shared" ca="1" si="22"/>
        <v>1750</v>
      </c>
      <c r="AX18" s="36" cm="1">
        <f t="array" aca="1" ref="AX18" ca="1">$AW18-IF($I18&lt;$J$2,IF(AND($N18&lt;&gt;"-",$N18&lt;$J$2),0,SUMIFS(TransHCost,TransAsset,$A18,TransIDDate,$J18)-SUMIFS(TransPMAccDep,TransAsset,$A18)-SUMIFS(TransImpair,TransAsset,$A18,TransIDDate,"&lt;"&amp;$J$2,TransType,"REV")),0)</f>
        <v>-166.66666666666606</v>
      </c>
      <c r="AY18" s="36">
        <f ca="1">IF(ISNA(MATCH($F18,TaxCode,0))=TRUE,$S18*($U18&gt;0),MAX(($S18*($U18&gt;0))-(($S18-SUMIFS(TransCRes,TransAsset,$A18,TransIDDate,$L18))*(IF($U18&lt;=11,0,MIN(SUM(OFFSET('Set-up'!$D$37,MATCH($F18,TaxCode,0),0,1,MATCH($U18,TaxCumMonth,1)))+MAX(TRUNC(($U18-60)/12)*SUM(OFFSET('Set-up'!$H$37,MATCH($F18,TaxCode,0),0,1,1)),0%),100%))))-(($S18-SUMIFS(TransCRes,TransAsset,$A18,TransIDDate,$L18))*OFFSET('Set-up'!$D$37,MATCH($F18,TaxCode,0),MATCH($U18,TaxCurMonth,1)-1,1,1)*IF(AND($U18-(TRUNC($U18/12)*12)&lt;&gt;0,OFFSET('Set-up'!$J$37,MATCH($F18,TaxCode,0),0,1,1)=0),1,(($U18-(TRUNC($U18/12)*12))/12))),SUMIFS(TransCRes,TransAsset,$A18,TransIDDate,$L18)))</f>
        <v>0</v>
      </c>
      <c r="AZ18" s="36">
        <f t="shared" ca="1" si="31"/>
        <v>0</v>
      </c>
      <c r="BA18" s="36">
        <f ca="1">IF(ISNA(MATCH($F18,TaxCode,0))=TRUE,$S18*($V18&gt;0),MAX(($S18*($V18&gt;0))-(($S18-$R18)*(IF($V18&lt;=11,0,MIN(SUM(OFFSET('Set-up'!$D$37,MATCH($F18,TaxCode,0),0,1,MATCH($V18,TaxCumMonth,1)))+MAX(TRUNC(($V18-60)/12)*SUM(OFFSET('Set-up'!$H$37,MATCH($F18,TaxCode,0),0,1,1)),0%),100%))))-(($S18-$R18)*OFFSET('Set-up'!$D$37,MATCH($F18,TaxCode,0),MATCH($V18,TaxCurMonth,1)-1,1,1)*IF(AND($V18-(TRUNC($V18/12)*12)&lt;&gt;0,OFFSET('Set-up'!$J$37,MATCH($F18,TaxCode,0),0,1,1)=0),1,(($V18-(TRUNC($V18/12)*12))/12))),$R18*($V18&gt;0)))</f>
        <v>0</v>
      </c>
      <c r="BB18" s="36">
        <f ca="1">$BA18-IF(ISNA(MATCH($F18,TaxCode,0))=TRUE,$S18*($W18&gt;0),MAX(($S18*($W18&gt;0))-(($S18-SUMIFS(TransCRes,TransAsset,$A18,TransIDDate,$M18))*(IF($W18&lt;=11,0,MIN(SUM(OFFSET('Set-up'!$D$37,MATCH($F18,TaxCode,0),0,1,MATCH($W18,TaxCumMonth,1)))+MAX(TRUNC(($W18-60)/12)*SUM(OFFSET('Set-up'!$H$37,MATCH($F18,TaxCode,0),0,1,1)),0%),100%))))-(($S18-SUMIFS(TransCRes,TransAsset,$A18,TransIDDate,$M18))*OFFSET('Set-up'!$D$37,MATCH($F18,TaxCode,0),MATCH($W18,TaxCurMonth,1)-1,1,1)*IF(AND($W18-(TRUNC($W18/12)*12)&lt;&gt;0,OFFSET('Set-up'!$J$37,MATCH($F18,TaxCode,0),0,1,1)=0),1,(($W18-(TRUNC($W18/12)*12))/12))),SUMIFS(TransCRes,TransAsset,$A18,TransIDDate,$M18)*($W18&gt;0)))</f>
        <v>0</v>
      </c>
      <c r="BC18" s="36">
        <f ca="1">IF(ISNUMBER('Set-up'!$C$9)=FALSE,0,IF($F18="J",0,ROUND(($AU18-$AY18)*'Set-up'!$C$9,2)))</f>
        <v>1050</v>
      </c>
      <c r="BD18" s="36">
        <f t="shared" ca="1" si="32"/>
        <v>-560</v>
      </c>
      <c r="BE18" s="36">
        <f ca="1">IF(ISNUMBER('Set-up'!$C$9)=FALSE,0,IF($F18="J",0,ROUND(($AW18-$BA18)*'Set-up'!$C$9,2)))</f>
        <v>490</v>
      </c>
      <c r="BF18" s="36">
        <f ca="1">IF(ISNUMBER('Set-up'!$C$9)=FALSE,0,IF($F18="J",0,ROUND(($AX18-$BB18)*'Set-up'!$C$9,2)))</f>
        <v>-46.67</v>
      </c>
    </row>
    <row r="19" spans="1:58" ht="16" customHeight="1" x14ac:dyDescent="0.25">
      <c r="A19" s="8" t="s">
        <v>329</v>
      </c>
      <c r="B19" s="8">
        <v>98290098</v>
      </c>
      <c r="C19" s="8" t="s">
        <v>26</v>
      </c>
      <c r="D19" s="4" t="s">
        <v>91</v>
      </c>
      <c r="E19" s="4" t="s">
        <v>267</v>
      </c>
      <c r="F19" s="4" t="s">
        <v>212</v>
      </c>
      <c r="G19" s="4" t="str" cm="1">
        <f t="array" aca="1" ref="G19" ca="1">IF(COUNTIF(AssetCode,$A19)&gt;1,"E1",IF(ISNA(VLOOKUP($E19,CatAll,1,0))=TRUE,"E2",IF(AND($I19="add!",$J19&lt;&gt;"add!"),"E10",IF(ISNA(VLOOKUP($F19,TaxCode,1,0))=TRUE,"E11","-"))))</f>
        <v>-</v>
      </c>
      <c r="H19" s="4" t="str">
        <f t="shared" ca="1" si="0"/>
        <v>PM</v>
      </c>
      <c r="I19" s="33">
        <f t="array" aca="1" ref="I19" ca="1">IF(ISERROR(LARGE(IF(TransAsset=$A19,IF(TransType="ACQ",TransIDDate,"add!"),"add!"),1)),"add!",LARGE(IF(TransAsset=$A19,IF(TransType="ACQ",TransIDDate,"add!"),"add!"),1))</f>
        <v>42811.000405092593</v>
      </c>
      <c r="J19" s="33">
        <f t="array" aca="1" ref="J19" ca="1">IF(ISERROR(LARGE(IF(TransAsset=$A19,TransIDDate,"add!"),1)),"add!",LARGE(IF(TransAsset=$A19,TransIDDate,"add!"),1))</f>
        <v>43891.000752314816</v>
      </c>
      <c r="K19" s="33">
        <f t="array" aca="1" ref="K19" ca="1">IF(ISERROR(LARGE(IF(TransAsset=$A19,IF(TransDate&lt;($I$2+1),TransIDDate,"-"),"-"),1)),"-",LARGE(IF(TransAsset=$A19,IF(TransDate&lt;($I$2+1),TransIDDate,"-"),"-"),1))</f>
        <v>43891.000752314816</v>
      </c>
      <c r="L19" s="33">
        <f t="array" aca="1" ref="L19" ca="1">IF(ISERROR(LARGE(IF(TransAsset=$A19,IF(TransDate&lt;$H$2,TransIDDate,"-"),"-"),1)),"-",LARGE(IF(TransAsset=$A19,IF(TransDate&lt;$H$2,TransIDDate,"-"),"-"),1))</f>
        <v>42811.000405092593</v>
      </c>
      <c r="M19" s="33">
        <f t="array" aca="1" ref="M19" ca="1">IF(ISERROR(LARGE(IF(TransAsset=$A19,IF(TransDate&lt;$J$2,TransIDDate,"-"),"-"),1)),"-",LARGE(IF(TransAsset=$A19,IF(TransDate&lt;$J$2,TransIDDate,"-"),"-"),1))</f>
        <v>43891.000752314816</v>
      </c>
      <c r="N19" s="33" t="str">
        <f t="array" aca="1" ref="N19" ca="1">IF(ISERROR(LARGE(IF(TransAsset=$A19,IF(TransType="DIS",TransIDDate,"-"),"-"),1)),"-",LARGE(IF(TransAsset=$A19,IF(TransType="DIS",TransIDDate,"-"),"-"),1))</f>
        <v>-</v>
      </c>
      <c r="O19" s="34" cm="1">
        <f t="array" aca="1" ref="O19" ca="1">IF($N19&lt;=$I$2,SUMIFS(TransProceeds,TransAsset,$A19,TransType,"DIS"),0)</f>
        <v>0</v>
      </c>
      <c r="P19" s="36" cm="1">
        <f t="array" aca="1" ref="P19" ca="1">IF($I19&lt;=($I$2+1),SUMIFS(TransHCost,TransAsset,$A19,TransIDDate,$J19),0)</f>
        <v>70000</v>
      </c>
      <c r="Q19" s="28">
        <f t="shared" ca="1" si="1"/>
        <v>5</v>
      </c>
      <c r="R19" s="28">
        <f t="shared" ca="1" si="2"/>
        <v>0</v>
      </c>
      <c r="S19" s="36">
        <f t="shared" ca="1" si="3"/>
        <v>70000</v>
      </c>
      <c r="T19" s="35">
        <f ca="1">IF(ISNA(MATCH($F19,TaxCode,0))=TRUE,"code?",OFFSET('Set-up'!$D$37,MATCH($F19,TaxCode,0),MATCH($V19,TaxCurMonth,1)-1,1,1))</f>
        <v>0</v>
      </c>
      <c r="U19" s="28">
        <f t="shared" ca="1" si="4"/>
        <v>36</v>
      </c>
      <c r="V19" s="28">
        <f t="shared" ca="1" si="5"/>
        <v>48</v>
      </c>
      <c r="W19" s="28">
        <f t="shared" ca="1" si="6"/>
        <v>47</v>
      </c>
      <c r="X19" s="36">
        <f t="shared" ca="1" si="7"/>
        <v>70000</v>
      </c>
      <c r="Y19" s="36">
        <f t="shared" ca="1" si="8"/>
        <v>0</v>
      </c>
      <c r="Z19" s="36">
        <f t="shared" ca="1" si="9"/>
        <v>-20000</v>
      </c>
      <c r="AA19" s="36">
        <f t="shared" ca="1" si="10"/>
        <v>0</v>
      </c>
      <c r="AB19" s="36">
        <f t="shared" ca="1" si="11"/>
        <v>0</v>
      </c>
      <c r="AC19" s="36">
        <f t="shared" ca="1" si="23"/>
        <v>50000</v>
      </c>
      <c r="AD19" s="36" cm="1">
        <f t="array" aca="1" ref="AD19" ca="1">IF($L19=0,0,IF(SUMIFS(TransCLife,TransAsset,$A19,TransIDDate,$L19)=0,0,IF(($X19-(SUMIFS(TransCRes,TransAsset,$A19,TransIDDate,$L19)))/(SUMIFS(TransCLife,TransAsset,$A19,TransIDDate,$L19)*12)*(((YEAR($H$2)*12)+MONTH($H$2))-((YEAR($L19)*12)+MONTH($L19)))&gt;=($X19-SUMIFS(TransCRes,TransAsset,$A19,TransIDDate,$L19)),$X19-SUMIFS(TransCRes,TransAsset,$A19,TransIDDate,$L19),($X19-(SUMIFS(TransCRes,TransAsset,$A19,TransIDDate,$L19)))/(SUMIFS(TransCLife,TransAsset,$A19,TransIDDate,$L19)*12)*(((YEAR($H$2)*12)+MONTH($H$2))-((YEAR($L19)*12)+MONTH($L19))))))</f>
        <v>42000</v>
      </c>
      <c r="AE19" s="36">
        <f t="shared" ca="1" si="12"/>
        <v>10000</v>
      </c>
      <c r="AF19" s="36">
        <f t="shared" ca="1" si="24"/>
        <v>0</v>
      </c>
      <c r="AG19" s="36">
        <f t="shared" ca="1" si="13"/>
        <v>10000</v>
      </c>
      <c r="AH19" s="36">
        <f t="shared" ca="1" si="14"/>
        <v>-42000</v>
      </c>
      <c r="AI19" s="36">
        <f t="shared" ca="1" si="15"/>
        <v>0</v>
      </c>
      <c r="AJ19" s="36">
        <f t="shared" ca="1" si="25"/>
        <v>10000</v>
      </c>
      <c r="AK19" s="36">
        <f t="shared" ca="1" si="26"/>
        <v>40000</v>
      </c>
      <c r="AL19" s="36">
        <f t="shared" ca="1" si="16"/>
        <v>0</v>
      </c>
      <c r="AM19" s="36">
        <f t="shared" ca="1" si="27"/>
        <v>22000</v>
      </c>
      <c r="AN19" s="36">
        <f t="shared" ca="1" si="28"/>
        <v>0</v>
      </c>
      <c r="AO19" s="36">
        <f t="shared" ca="1" si="17"/>
        <v>22000</v>
      </c>
      <c r="AP19" s="36">
        <f t="shared" ca="1" si="18"/>
        <v>0</v>
      </c>
      <c r="AQ19" s="36">
        <f t="shared" ca="1" si="19"/>
        <v>0</v>
      </c>
      <c r="AR19" s="36">
        <f t="shared" ca="1" si="20"/>
        <v>833.33333333333337</v>
      </c>
      <c r="AS19" s="36">
        <f t="shared" ca="1" si="29"/>
        <v>0</v>
      </c>
      <c r="AT19" s="36">
        <f t="shared" ca="1" si="21"/>
        <v>833.33333333333337</v>
      </c>
      <c r="AU19" s="36" cm="1">
        <f t="array" aca="1" ref="AU19" ca="1">IF($I19&lt;$H$2,IF(AND($N19&lt;&gt;"-",$N19&lt;$H$2),0,SUMIFS(TransHCost,TransAsset,$A19,TransIDDate,$J19)-SUMIFS(TransPCAccDep,TransAsset,$A19)-SUMIFS(TransImpair,TransAsset,$A19,TransIDDate,"&lt;"&amp;$H$2,TransType,"REV")),0)</f>
        <v>28000</v>
      </c>
      <c r="AV19" s="36">
        <f t="shared" ca="1" si="30"/>
        <v>-10000</v>
      </c>
      <c r="AW19" s="36">
        <f t="shared" ca="1" si="22"/>
        <v>18000</v>
      </c>
      <c r="AX19" s="36" cm="1">
        <f t="array" aca="1" ref="AX19" ca="1">$AW19-IF($I19&lt;$J$2,IF(AND($N19&lt;&gt;"-",$N19&lt;$J$2),0,SUMIFS(TransHCost,TransAsset,$A19,TransIDDate,$J19)-SUMIFS(TransPMAccDep,TransAsset,$A19)-SUMIFS(TransImpair,TransAsset,$A19,TransIDDate,"&lt;"&amp;$J$2,TransType,"REV")),0)</f>
        <v>-833.33333333332848</v>
      </c>
      <c r="AY19" s="36">
        <f ca="1">IF(ISNA(MATCH($F19,TaxCode,0))=TRUE,$S19*($U19&gt;0),MAX(($S19*($U19&gt;0))-(($S19-SUMIFS(TransCRes,TransAsset,$A19,TransIDDate,$L19))*(IF($U19&lt;=11,0,MIN(SUM(OFFSET('Set-up'!$D$37,MATCH($F19,TaxCode,0),0,1,MATCH($U19,TaxCumMonth,1)))+MAX(TRUNC(($U19-60)/12)*SUM(OFFSET('Set-up'!$H$37,MATCH($F19,TaxCode,0),0,1,1)),0%),100%))))-(($S19-SUMIFS(TransCRes,TransAsset,$A19,TransIDDate,$L19))*OFFSET('Set-up'!$D$37,MATCH($F19,TaxCode,0),MATCH($U19,TaxCurMonth,1)-1,1,1)*IF(AND($U19-(TRUNC($U19/12)*12)&lt;&gt;0,OFFSET('Set-up'!$J$37,MATCH($F19,TaxCode,0),0,1,1)=0),1,(($U19-(TRUNC($U19/12)*12))/12))),SUMIFS(TransCRes,TransAsset,$A19,TransIDDate,$L19)))</f>
        <v>0</v>
      </c>
      <c r="AZ19" s="36">
        <f t="shared" ca="1" si="31"/>
        <v>0</v>
      </c>
      <c r="BA19" s="36">
        <f ca="1">IF(ISNA(MATCH($F19,TaxCode,0))=TRUE,$S19*($V19&gt;0),MAX(($S19*($V19&gt;0))-(($S19-$R19)*(IF($V19&lt;=11,0,MIN(SUM(OFFSET('Set-up'!$D$37,MATCH($F19,TaxCode,0),0,1,MATCH($V19,TaxCumMonth,1)))+MAX(TRUNC(($V19-60)/12)*SUM(OFFSET('Set-up'!$H$37,MATCH($F19,TaxCode,0),0,1,1)),0%),100%))))-(($S19-$R19)*OFFSET('Set-up'!$D$37,MATCH($F19,TaxCode,0),MATCH($V19,TaxCurMonth,1)-1,1,1)*IF(AND($V19-(TRUNC($V19/12)*12)&lt;&gt;0,OFFSET('Set-up'!$J$37,MATCH($F19,TaxCode,0),0,1,1)=0),1,(($V19-(TRUNC($V19/12)*12))/12))),$R19*($V19&gt;0)))</f>
        <v>0</v>
      </c>
      <c r="BB19" s="36">
        <f ca="1">$BA19-IF(ISNA(MATCH($F19,TaxCode,0))=TRUE,$S19*($W19&gt;0),MAX(($S19*($W19&gt;0))-(($S19-SUMIFS(TransCRes,TransAsset,$A19,TransIDDate,$M19))*(IF($W19&lt;=11,0,MIN(SUM(OFFSET('Set-up'!$D$37,MATCH($F19,TaxCode,0),0,1,MATCH($W19,TaxCumMonth,1)))+MAX(TRUNC(($W19-60)/12)*SUM(OFFSET('Set-up'!$H$37,MATCH($F19,TaxCode,0),0,1,1)),0%),100%))))-(($S19-SUMIFS(TransCRes,TransAsset,$A19,TransIDDate,$M19))*OFFSET('Set-up'!$D$37,MATCH($F19,TaxCode,0),MATCH($W19,TaxCurMonth,1)-1,1,1)*IF(AND($W19-(TRUNC($W19/12)*12)&lt;&gt;0,OFFSET('Set-up'!$J$37,MATCH($F19,TaxCode,0),0,1,1)=0),1,(($W19-(TRUNC($W19/12)*12))/12))),SUMIFS(TransCRes,TransAsset,$A19,TransIDDate,$M19)*($W19&gt;0)))</f>
        <v>0</v>
      </c>
      <c r="BC19" s="36">
        <f ca="1">IF(ISNUMBER('Set-up'!$C$9)=FALSE,0,IF($F19="J",0,ROUND(($AU19-$AY19)*'Set-up'!$C$9,2)))</f>
        <v>7840</v>
      </c>
      <c r="BD19" s="36">
        <f t="shared" ca="1" si="32"/>
        <v>-2800</v>
      </c>
      <c r="BE19" s="36">
        <f ca="1">IF(ISNUMBER('Set-up'!$C$9)=FALSE,0,IF($F19="J",0,ROUND(($AW19-$BA19)*'Set-up'!$C$9,2)))</f>
        <v>5040</v>
      </c>
      <c r="BF19" s="36">
        <f ca="1">IF(ISNUMBER('Set-up'!$C$9)=FALSE,0,IF($F19="J",0,ROUND(($AX19-$BB19)*'Set-up'!$C$9,2)))</f>
        <v>-233.33</v>
      </c>
    </row>
    <row r="20" spans="1:58" ht="16" customHeight="1" x14ac:dyDescent="0.25">
      <c r="A20" s="8" t="s">
        <v>330</v>
      </c>
      <c r="B20" s="8">
        <v>64267464</v>
      </c>
      <c r="C20" s="8" t="s">
        <v>339</v>
      </c>
      <c r="D20" s="4" t="s">
        <v>91</v>
      </c>
      <c r="E20" s="4" t="s">
        <v>267</v>
      </c>
      <c r="F20" s="4" t="s">
        <v>212</v>
      </c>
      <c r="G20" s="4" t="str" cm="1">
        <f t="array" aca="1" ref="G20" ca="1">IF(COUNTIF(AssetCode,$A20)&gt;1,"E1",IF(ISNA(VLOOKUP($E20,CatAll,1,0))=TRUE,"E2",IF(AND($I20="add!",$J20&lt;&gt;"add!"),"E10",IF(ISNA(VLOOKUP($F20,TaxCode,1,0))=TRUE,"E11","-"))))</f>
        <v>-</v>
      </c>
      <c r="H20" s="4" t="str">
        <f t="shared" ca="1" si="0"/>
        <v>PM</v>
      </c>
      <c r="I20" s="33">
        <f t="array" aca="1" ref="I20" ca="1">IF(ISERROR(LARGE(IF(TransAsset=$A20,IF(TransType="ACQ",TransIDDate,"add!"),"add!"),1)),"add!",LARGE(IF(TransAsset=$A20,IF(TransType="ACQ",TransIDDate,"add!"),"add!"),1))</f>
        <v>43263.000451388885</v>
      </c>
      <c r="J20" s="33">
        <f t="array" aca="1" ref="J20" ca="1">IF(ISERROR(LARGE(IF(TransAsset=$A20,TransIDDate,"add!"),1)),"add!",LARGE(IF(TransAsset=$A20,TransIDDate,"add!"),1))</f>
        <v>43891.000763888886</v>
      </c>
      <c r="K20" s="33">
        <f t="array" aca="1" ref="K20" ca="1">IF(ISERROR(LARGE(IF(TransAsset=$A20,IF(TransDate&lt;($I$2+1),TransIDDate,"-"),"-"),1)),"-",LARGE(IF(TransAsset=$A20,IF(TransDate&lt;($I$2+1),TransIDDate,"-"),"-"),1))</f>
        <v>43891.000763888886</v>
      </c>
      <c r="L20" s="33">
        <f t="array" aca="1" ref="L20" ca="1">IF(ISERROR(LARGE(IF(TransAsset=$A20,IF(TransDate&lt;$H$2,TransIDDate,"-"),"-"),1)),"-",LARGE(IF(TransAsset=$A20,IF(TransDate&lt;$H$2,TransIDDate,"-"),"-"),1))</f>
        <v>43263.000451388885</v>
      </c>
      <c r="M20" s="33">
        <f t="array" aca="1" ref="M20" ca="1">IF(ISERROR(LARGE(IF(TransAsset=$A20,IF(TransDate&lt;$J$2,TransIDDate,"-"),"-"),1)),"-",LARGE(IF(TransAsset=$A20,IF(TransDate&lt;$J$2,TransIDDate,"-"),"-"),1))</f>
        <v>43891.000763888886</v>
      </c>
      <c r="N20" s="33" t="str">
        <f t="array" aca="1" ref="N20" ca="1">IF(ISERROR(LARGE(IF(TransAsset=$A20,IF(TransType="DIS",TransIDDate,"-"),"-"),1)),"-",LARGE(IF(TransAsset=$A20,IF(TransType="DIS",TransIDDate,"-"),"-"),1))</f>
        <v>-</v>
      </c>
      <c r="O20" s="34" cm="1">
        <f t="array" aca="1" ref="O20" ca="1">IF($N20&lt;=$I$2,SUMIFS(TransProceeds,TransAsset,$A20,TransType,"DIS"),0)</f>
        <v>0</v>
      </c>
      <c r="P20" s="36" cm="1">
        <f t="array" aca="1" ref="P20" ca="1">IF($I20&lt;=($I$2+1),SUMIFS(TransHCost,TransAsset,$A20,TransIDDate,$J20),0)</f>
        <v>15000</v>
      </c>
      <c r="Q20" s="28">
        <f t="shared" ca="1" si="1"/>
        <v>5</v>
      </c>
      <c r="R20" s="28">
        <f t="shared" ca="1" si="2"/>
        <v>0</v>
      </c>
      <c r="S20" s="36">
        <f t="shared" ca="1" si="3"/>
        <v>15000</v>
      </c>
      <c r="T20" s="35">
        <f ca="1">IF(ISNA(MATCH($F20,TaxCode,0))=TRUE,"code?",OFFSET('Set-up'!$D$37,MATCH($F20,TaxCode,0),MATCH($V20,TaxCurMonth,1)-1,1,1))</f>
        <v>0.2</v>
      </c>
      <c r="U20" s="28">
        <f t="shared" ca="1" si="4"/>
        <v>21</v>
      </c>
      <c r="V20" s="28">
        <f t="shared" ca="1" si="5"/>
        <v>33</v>
      </c>
      <c r="W20" s="28">
        <f t="shared" ca="1" si="6"/>
        <v>32</v>
      </c>
      <c r="X20" s="36">
        <f t="shared" ca="1" si="7"/>
        <v>15000</v>
      </c>
      <c r="Y20" s="36">
        <f t="shared" ca="1" si="8"/>
        <v>0</v>
      </c>
      <c r="Z20" s="36">
        <f t="shared" ca="1" si="9"/>
        <v>5000</v>
      </c>
      <c r="AA20" s="36">
        <f t="shared" ca="1" si="10"/>
        <v>0</v>
      </c>
      <c r="AB20" s="36">
        <f t="shared" ca="1" si="11"/>
        <v>0</v>
      </c>
      <c r="AC20" s="36">
        <f t="shared" ca="1" si="23"/>
        <v>20000</v>
      </c>
      <c r="AD20" s="36" cm="1">
        <f t="array" aca="1" ref="AD20" ca="1">IF($L20=0,0,IF(SUMIFS(TransCLife,TransAsset,$A20,TransIDDate,$L20)=0,0,IF(($X20-(SUMIFS(TransCRes,TransAsset,$A20,TransIDDate,$L20)))/(SUMIFS(TransCLife,TransAsset,$A20,TransIDDate,$L20)*12)*(((YEAR($H$2)*12)+MONTH($H$2))-((YEAR($L20)*12)+MONTH($L20)))&gt;=($X20-SUMIFS(TransCRes,TransAsset,$A20,TransIDDate,$L20)),$X20-SUMIFS(TransCRes,TransAsset,$A20,TransIDDate,$L20),($X20-(SUMIFS(TransCRes,TransAsset,$A20,TransIDDate,$L20)))/(SUMIFS(TransCLife,TransAsset,$A20,TransIDDate,$L20)*12)*(((YEAR($H$2)*12)+MONTH($H$2))-((YEAR($L20)*12)+MONTH($L20))))))</f>
        <v>5250</v>
      </c>
      <c r="AE20" s="36">
        <f t="shared" ca="1" si="12"/>
        <v>3000</v>
      </c>
      <c r="AF20" s="36">
        <f t="shared" ca="1" si="24"/>
        <v>1000</v>
      </c>
      <c r="AG20" s="36">
        <f t="shared" ca="1" si="13"/>
        <v>4000</v>
      </c>
      <c r="AH20" s="36">
        <f t="shared" ca="1" si="14"/>
        <v>-5250</v>
      </c>
      <c r="AI20" s="36">
        <f t="shared" ca="1" si="15"/>
        <v>0</v>
      </c>
      <c r="AJ20" s="36">
        <f t="shared" ca="1" si="25"/>
        <v>4000</v>
      </c>
      <c r="AK20" s="36">
        <f t="shared" ca="1" si="26"/>
        <v>16000</v>
      </c>
      <c r="AL20" s="36">
        <f t="shared" ca="1" si="16"/>
        <v>0</v>
      </c>
      <c r="AM20" s="36">
        <f t="shared" ca="1" si="27"/>
        <v>10250</v>
      </c>
      <c r="AN20" s="36">
        <f t="shared" ca="1" si="28"/>
        <v>-1000</v>
      </c>
      <c r="AO20" s="36">
        <f t="shared" ca="1" si="17"/>
        <v>9250</v>
      </c>
      <c r="AP20" s="36">
        <f t="shared" ca="1" si="18"/>
        <v>0</v>
      </c>
      <c r="AQ20" s="36">
        <f t="shared" ca="1" si="19"/>
        <v>0</v>
      </c>
      <c r="AR20" s="36">
        <f t="shared" ca="1" si="20"/>
        <v>250</v>
      </c>
      <c r="AS20" s="36">
        <f t="shared" ca="1" si="29"/>
        <v>83.333333333333314</v>
      </c>
      <c r="AT20" s="36">
        <f t="shared" ca="1" si="21"/>
        <v>333.33333333333331</v>
      </c>
      <c r="AU20" s="36" cm="1">
        <f t="array" aca="1" ref="AU20" ca="1">IF($I20&lt;$H$2,IF(AND($N20&lt;&gt;"-",$N20&lt;$H$2),0,SUMIFS(TransHCost,TransAsset,$A20,TransIDDate,$J20)-SUMIFS(TransPCAccDep,TransAsset,$A20)-SUMIFS(TransImpair,TransAsset,$A20,TransIDDate,"&lt;"&amp;$H$2,TransType,"REV")),0)</f>
        <v>9750</v>
      </c>
      <c r="AV20" s="36">
        <f t="shared" ca="1" si="30"/>
        <v>-3000</v>
      </c>
      <c r="AW20" s="36">
        <f t="shared" ca="1" si="22"/>
        <v>6750</v>
      </c>
      <c r="AX20" s="36" cm="1">
        <f t="array" aca="1" ref="AX20" ca="1">$AW20-IF($I20&lt;$J$2,IF(AND($N20&lt;&gt;"-",$N20&lt;$J$2),0,SUMIFS(TransHCost,TransAsset,$A20,TransIDDate,$J20)-SUMIFS(TransPMAccDep,TransAsset,$A20)-SUMIFS(TransImpair,TransAsset,$A20,TransIDDate,"&lt;"&amp;$J$2,TransType,"REV")),0)</f>
        <v>-250</v>
      </c>
      <c r="AY20" s="36">
        <f ca="1">IF(ISNA(MATCH($F20,TaxCode,0))=TRUE,$S20*($U20&gt;0),MAX(($S20*($U20&gt;0))-(($S20-SUMIFS(TransCRes,TransAsset,$A20,TransIDDate,$L20))*(IF($U20&lt;=11,0,MIN(SUM(OFFSET('Set-up'!$D$37,MATCH($F20,TaxCode,0),0,1,MATCH($U20,TaxCumMonth,1)))+MAX(TRUNC(($U20-60)/12)*SUM(OFFSET('Set-up'!$H$37,MATCH($F20,TaxCode,0),0,1,1)),0%),100%))))-(($S20-SUMIFS(TransCRes,TransAsset,$A20,TransIDDate,$L20))*OFFSET('Set-up'!$D$37,MATCH($F20,TaxCode,0),MATCH($U20,TaxCurMonth,1)-1,1,1)*IF(AND($U20-(TRUNC($U20/12)*12)&lt;&gt;0,OFFSET('Set-up'!$J$37,MATCH($F20,TaxCode,0),0,1,1)=0),1,(($U20-(TRUNC($U20/12)*12))/12))),SUMIFS(TransCRes,TransAsset,$A20,TransIDDate,$L20)))</f>
        <v>3000</v>
      </c>
      <c r="AZ20" s="36">
        <f t="shared" ca="1" si="31"/>
        <v>-3000</v>
      </c>
      <c r="BA20" s="36">
        <f ca="1">IF(ISNA(MATCH($F20,TaxCode,0))=TRUE,$S20*($V20&gt;0),MAX(($S20*($V20&gt;0))-(($S20-$R20)*(IF($V20&lt;=11,0,MIN(SUM(OFFSET('Set-up'!$D$37,MATCH($F20,TaxCode,0),0,1,MATCH($V20,TaxCumMonth,1)))+MAX(TRUNC(($V20-60)/12)*SUM(OFFSET('Set-up'!$H$37,MATCH($F20,TaxCode,0),0,1,1)),0%),100%))))-(($S20-$R20)*OFFSET('Set-up'!$D$37,MATCH($F20,TaxCode,0),MATCH($V20,TaxCurMonth,1)-1,1,1)*IF(AND($V20-(TRUNC($V20/12)*12)&lt;&gt;0,OFFSET('Set-up'!$J$37,MATCH($F20,TaxCode,0),0,1,1)=0),1,(($V20-(TRUNC($V20/12)*12))/12))),$R20*($V20&gt;0)))</f>
        <v>0</v>
      </c>
      <c r="BB20" s="36">
        <f ca="1">$BA20-IF(ISNA(MATCH($F20,TaxCode,0))=TRUE,$S20*($W20&gt;0),MAX(($S20*($W20&gt;0))-(($S20-SUMIFS(TransCRes,TransAsset,$A20,TransIDDate,$M20))*(IF($W20&lt;=11,0,MIN(SUM(OFFSET('Set-up'!$D$37,MATCH($F20,TaxCode,0),0,1,MATCH($W20,TaxCumMonth,1)))+MAX(TRUNC(($W20-60)/12)*SUM(OFFSET('Set-up'!$H$37,MATCH($F20,TaxCode,0),0,1,1)),0%),100%))))-(($S20-SUMIFS(TransCRes,TransAsset,$A20,TransIDDate,$M20))*OFFSET('Set-up'!$D$37,MATCH($F20,TaxCode,0),MATCH($W20,TaxCurMonth,1)-1,1,1)*IF(AND($W20-(TRUNC($W20/12)*12)&lt;&gt;0,OFFSET('Set-up'!$J$37,MATCH($F20,TaxCode,0),0,1,1)=0),1,(($W20-(TRUNC($W20/12)*12))/12))),SUMIFS(TransCRes,TransAsset,$A20,TransIDDate,$M20)*($W20&gt;0)))</f>
        <v>0</v>
      </c>
      <c r="BC20" s="36">
        <f ca="1">IF(ISNUMBER('Set-up'!$C$9)=FALSE,0,IF($F20="J",0,ROUND(($AU20-$AY20)*'Set-up'!$C$9,2)))</f>
        <v>1890</v>
      </c>
      <c r="BD20" s="36">
        <f t="shared" ca="1" si="32"/>
        <v>0</v>
      </c>
      <c r="BE20" s="36">
        <f ca="1">IF(ISNUMBER('Set-up'!$C$9)=FALSE,0,IF($F20="J",0,ROUND(($AW20-$BA20)*'Set-up'!$C$9,2)))</f>
        <v>1890</v>
      </c>
      <c r="BF20" s="36">
        <f ca="1">IF(ISNUMBER('Set-up'!$C$9)=FALSE,0,IF($F20="J",0,ROUND(($AX20-$BB20)*'Set-up'!$C$9,2)))</f>
        <v>-70</v>
      </c>
    </row>
    <row r="21" spans="1:58" ht="16" customHeight="1" x14ac:dyDescent="0.25">
      <c r="A21" s="8" t="s">
        <v>331</v>
      </c>
      <c r="B21" s="8">
        <v>92849829</v>
      </c>
      <c r="C21" s="8" t="s">
        <v>29</v>
      </c>
      <c r="D21" s="4" t="s">
        <v>91</v>
      </c>
      <c r="E21" s="4" t="s">
        <v>267</v>
      </c>
      <c r="F21" s="4" t="s">
        <v>212</v>
      </c>
      <c r="G21" s="4" t="str" cm="1">
        <f t="array" aca="1" ref="G21" ca="1">IF(COUNTIF(AssetCode,$A21)&gt;1,"E1",IF(ISNA(VLOOKUP($E21,CatAll,1,0))=TRUE,"E2",IF(AND($I21="add!",$J21&lt;&gt;"add!"),"E10",IF(ISNA(VLOOKUP($F21,TaxCode,1,0))=TRUE,"E11","-"))))</f>
        <v>-</v>
      </c>
      <c r="H21" s="4" t="str">
        <f t="shared" ca="1" si="0"/>
        <v>PM</v>
      </c>
      <c r="I21" s="33">
        <f t="array" aca="1" ref="I21" ca="1">IF(ISERROR(LARGE(IF(TransAsset=$A21,IF(TransType="ACQ",TransIDDate,"add!"),"add!"),1)),"add!",LARGE(IF(TransAsset=$A21,IF(TransType="ACQ",TransIDDate,"add!"),"add!"),1))</f>
        <v>44058.000914351855</v>
      </c>
      <c r="J21" s="33">
        <f t="array" aca="1" ref="J21" ca="1">IF(ISERROR(LARGE(IF(TransAsset=$A21,TransIDDate,"add!"),1)),"add!",LARGE(IF(TransAsset=$A21,TransIDDate,"add!"),1))</f>
        <v>44058.000914351855</v>
      </c>
      <c r="K21" s="33">
        <f t="array" aca="1" ref="K21" ca="1">IF(ISERROR(LARGE(IF(TransAsset=$A21,IF(TransDate&lt;($I$2+1),TransIDDate,"-"),"-"),1)),"-",LARGE(IF(TransAsset=$A21,IF(TransDate&lt;($I$2+1),TransIDDate,"-"),"-"),1))</f>
        <v>44058.000914351855</v>
      </c>
      <c r="L21" s="33" t="str">
        <f t="array" aca="1" ref="L21" ca="1">IF(ISERROR(LARGE(IF(TransAsset=$A21,IF(TransDate&lt;$H$2,TransIDDate,"-"),"-"),1)),"-",LARGE(IF(TransAsset=$A21,IF(TransDate&lt;$H$2,TransIDDate,"-"),"-"),1))</f>
        <v>-</v>
      </c>
      <c r="M21" s="33">
        <f t="array" aca="1" ref="M21" ca="1">IF(ISERROR(LARGE(IF(TransAsset=$A21,IF(TransDate&lt;$J$2,TransIDDate,"-"),"-"),1)),"-",LARGE(IF(TransAsset=$A21,IF(TransDate&lt;$J$2,TransIDDate,"-"),"-"),1))</f>
        <v>44058.000914351855</v>
      </c>
      <c r="N21" s="33" t="str">
        <f t="array" aca="1" ref="N21" ca="1">IF(ISERROR(LARGE(IF(TransAsset=$A21,IF(TransType="DIS",TransIDDate,"-"),"-"),1)),"-",LARGE(IF(TransAsset=$A21,IF(TransType="DIS",TransIDDate,"-"),"-"),1))</f>
        <v>-</v>
      </c>
      <c r="O21" s="34" cm="1">
        <f t="array" aca="1" ref="O21" ca="1">IF($N21&lt;=$I$2,SUMIFS(TransProceeds,TransAsset,$A21,TransType,"DIS"),0)</f>
        <v>0</v>
      </c>
      <c r="P21" s="36" cm="1">
        <f t="array" aca="1" ref="P21" ca="1">IF($I21&lt;=($I$2+1),SUMIFS(TransHCost,TransAsset,$A21,TransIDDate,$J21),0)</f>
        <v>3420</v>
      </c>
      <c r="Q21" s="28">
        <f t="shared" ca="1" si="1"/>
        <v>5</v>
      </c>
      <c r="R21" s="28">
        <f t="shared" ca="1" si="2"/>
        <v>0</v>
      </c>
      <c r="S21" s="36">
        <f t="shared" ca="1" si="3"/>
        <v>3420</v>
      </c>
      <c r="T21" s="35">
        <f ca="1">IF(ISNA(MATCH($F21,TaxCode,0))=TRUE,"code?",OFFSET('Set-up'!$D$37,MATCH($F21,TaxCode,0),MATCH($V21,TaxCurMonth,1)-1,1,1))</f>
        <v>0.5</v>
      </c>
      <c r="U21" s="28">
        <f t="shared" ca="1" si="4"/>
        <v>0</v>
      </c>
      <c r="V21" s="28">
        <f t="shared" ca="1" si="5"/>
        <v>7</v>
      </c>
      <c r="W21" s="28">
        <f t="shared" ca="1" si="6"/>
        <v>6</v>
      </c>
      <c r="X21" s="36">
        <f t="shared" ca="1" si="7"/>
        <v>0</v>
      </c>
      <c r="Y21" s="36">
        <f t="shared" ca="1" si="8"/>
        <v>3420</v>
      </c>
      <c r="Z21" s="36">
        <f t="shared" ca="1" si="9"/>
        <v>0</v>
      </c>
      <c r="AA21" s="36">
        <f t="shared" ca="1" si="10"/>
        <v>0</v>
      </c>
      <c r="AB21" s="36">
        <f t="shared" ca="1" si="11"/>
        <v>0</v>
      </c>
      <c r="AC21" s="36">
        <f t="shared" ca="1" si="23"/>
        <v>3420</v>
      </c>
      <c r="AD21" s="36" cm="1">
        <f t="array" aca="1" ref="AD21" ca="1">IF($L21=0,0,IF(SUMIFS(TransCLife,TransAsset,$A21,TransIDDate,$L21)=0,0,IF(($X21-(SUMIFS(TransCRes,TransAsset,$A21,TransIDDate,$L21)))/(SUMIFS(TransCLife,TransAsset,$A21,TransIDDate,$L21)*12)*(((YEAR($H$2)*12)+MONTH($H$2))-((YEAR($L21)*12)+MONTH($L21)))&gt;=($X21-SUMIFS(TransCRes,TransAsset,$A21,TransIDDate,$L21)),$X21-SUMIFS(TransCRes,TransAsset,$A21,TransIDDate,$L21),($X21-(SUMIFS(TransCRes,TransAsset,$A21,TransIDDate,$L21)))/(SUMIFS(TransCLife,TransAsset,$A21,TransIDDate,$L21)*12)*(((YEAR($H$2)*12)+MONTH($H$2))-((YEAR($L21)*12)+MONTH($L21))))))</f>
        <v>0</v>
      </c>
      <c r="AE21" s="36">
        <f t="shared" ca="1" si="12"/>
        <v>399</v>
      </c>
      <c r="AF21" s="36">
        <f t="shared" ca="1" si="24"/>
        <v>0</v>
      </c>
      <c r="AG21" s="36">
        <f t="shared" ca="1" si="13"/>
        <v>399</v>
      </c>
      <c r="AH21" s="36">
        <f t="shared" ca="1" si="14"/>
        <v>0</v>
      </c>
      <c r="AI21" s="36">
        <f t="shared" ca="1" si="15"/>
        <v>0</v>
      </c>
      <c r="AJ21" s="36">
        <f t="shared" ca="1" si="25"/>
        <v>399</v>
      </c>
      <c r="AK21" s="36">
        <f t="shared" ca="1" si="26"/>
        <v>3021</v>
      </c>
      <c r="AL21" s="36">
        <f t="shared" ca="1" si="16"/>
        <v>0</v>
      </c>
      <c r="AM21" s="36">
        <f t="shared" ca="1" si="27"/>
        <v>0</v>
      </c>
      <c r="AN21" s="36">
        <f t="shared" ca="1" si="28"/>
        <v>0</v>
      </c>
      <c r="AO21" s="36">
        <f t="shared" ca="1" si="17"/>
        <v>0</v>
      </c>
      <c r="AP21" s="36">
        <f t="shared" ca="1" si="18"/>
        <v>0</v>
      </c>
      <c r="AQ21" s="36">
        <f t="shared" ca="1" si="19"/>
        <v>0</v>
      </c>
      <c r="AR21" s="36">
        <f t="shared" ca="1" si="20"/>
        <v>57</v>
      </c>
      <c r="AS21" s="36">
        <f t="shared" ca="1" si="29"/>
        <v>0</v>
      </c>
      <c r="AT21" s="36">
        <f t="shared" ca="1" si="21"/>
        <v>57</v>
      </c>
      <c r="AU21" s="36" cm="1">
        <f t="array" aca="1" ref="AU21" ca="1">IF($I21&lt;$H$2,IF(AND($N21&lt;&gt;"-",$N21&lt;$H$2),0,SUMIFS(TransHCost,TransAsset,$A21,TransIDDate,$J21)-SUMIFS(TransPCAccDep,TransAsset,$A21)-SUMIFS(TransImpair,TransAsset,$A21,TransIDDate,"&lt;"&amp;$H$2,TransType,"REV")),0)</f>
        <v>0</v>
      </c>
      <c r="AV21" s="36">
        <f t="shared" ca="1" si="30"/>
        <v>3021</v>
      </c>
      <c r="AW21" s="36">
        <f t="shared" ca="1" si="22"/>
        <v>3021</v>
      </c>
      <c r="AX21" s="36" cm="1">
        <f t="array" aca="1" ref="AX21" ca="1">$AW21-IF($I21&lt;$J$2,IF(AND($N21&lt;&gt;"-",$N21&lt;$J$2),0,SUMIFS(TransHCost,TransAsset,$A21,TransIDDate,$J21)-SUMIFS(TransPMAccDep,TransAsset,$A21)-SUMIFS(TransImpair,TransAsset,$A21,TransIDDate,"&lt;"&amp;$J$2,TransType,"REV")),0)</f>
        <v>-57</v>
      </c>
      <c r="AY21" s="36">
        <f ca="1">IF(ISNA(MATCH($F21,TaxCode,0))=TRUE,$S21*($U21&gt;0),MAX(($S21*($U21&gt;0))-(($S21-SUMIFS(TransCRes,TransAsset,$A21,TransIDDate,$L21))*(IF($U21&lt;=11,0,MIN(SUM(OFFSET('Set-up'!$D$37,MATCH($F21,TaxCode,0),0,1,MATCH($U21,TaxCumMonth,1)))+MAX(TRUNC(($U21-60)/12)*SUM(OFFSET('Set-up'!$H$37,MATCH($F21,TaxCode,0),0,1,1)),0%),100%))))-(($S21-SUMIFS(TransCRes,TransAsset,$A21,TransIDDate,$L21))*OFFSET('Set-up'!$D$37,MATCH($F21,TaxCode,0),MATCH($U21,TaxCurMonth,1)-1,1,1)*IF(AND($U21-(TRUNC($U21/12)*12)&lt;&gt;0,OFFSET('Set-up'!$J$37,MATCH($F21,TaxCode,0),0,1,1)=0),1,(($U21-(TRUNC($U21/12)*12))/12))),SUMIFS(TransCRes,TransAsset,$A21,TransIDDate,$L21)))</f>
        <v>0</v>
      </c>
      <c r="AZ21" s="36">
        <f t="shared" ca="1" si="31"/>
        <v>1710</v>
      </c>
      <c r="BA21" s="36">
        <f ca="1">IF(ISNA(MATCH($F21,TaxCode,0))=TRUE,$S21*($V21&gt;0),MAX(($S21*($V21&gt;0))-(($S21-$R21)*(IF($V21&lt;=11,0,MIN(SUM(OFFSET('Set-up'!$D$37,MATCH($F21,TaxCode,0),0,1,MATCH($V21,TaxCumMonth,1)))+MAX(TRUNC(($V21-60)/12)*SUM(OFFSET('Set-up'!$H$37,MATCH($F21,TaxCode,0),0,1,1)),0%),100%))))-(($S21-$R21)*OFFSET('Set-up'!$D$37,MATCH($F21,TaxCode,0),MATCH($V21,TaxCurMonth,1)-1,1,1)*IF(AND($V21-(TRUNC($V21/12)*12)&lt;&gt;0,OFFSET('Set-up'!$J$37,MATCH($F21,TaxCode,0),0,1,1)=0),1,(($V21-(TRUNC($V21/12)*12))/12))),$R21*($V21&gt;0)))</f>
        <v>1710</v>
      </c>
      <c r="BB21" s="36">
        <f ca="1">$BA21-IF(ISNA(MATCH($F21,TaxCode,0))=TRUE,$S21*($W21&gt;0),MAX(($S21*($W21&gt;0))-(($S21-SUMIFS(TransCRes,TransAsset,$A21,TransIDDate,$M21))*(IF($W21&lt;=11,0,MIN(SUM(OFFSET('Set-up'!$D$37,MATCH($F21,TaxCode,0),0,1,MATCH($W21,TaxCumMonth,1)))+MAX(TRUNC(($W21-60)/12)*SUM(OFFSET('Set-up'!$H$37,MATCH($F21,TaxCode,0),0,1,1)),0%),100%))))-(($S21-SUMIFS(TransCRes,TransAsset,$A21,TransIDDate,$M21))*OFFSET('Set-up'!$D$37,MATCH($F21,TaxCode,0),MATCH($W21,TaxCurMonth,1)-1,1,1)*IF(AND($W21-(TRUNC($W21/12)*12)&lt;&gt;0,OFFSET('Set-up'!$J$37,MATCH($F21,TaxCode,0),0,1,1)=0),1,(($W21-(TRUNC($W21/12)*12))/12))),SUMIFS(TransCRes,TransAsset,$A21,TransIDDate,$M21)*($W21&gt;0)))</f>
        <v>0</v>
      </c>
      <c r="BC21" s="36">
        <f ca="1">IF(ISNUMBER('Set-up'!$C$9)=FALSE,0,IF($F21="J",0,ROUND(($AU21-$AY21)*'Set-up'!$C$9,2)))</f>
        <v>0</v>
      </c>
      <c r="BD21" s="36">
        <f t="shared" ca="1" si="32"/>
        <v>367.08</v>
      </c>
      <c r="BE21" s="36">
        <f ca="1">IF(ISNUMBER('Set-up'!$C$9)=FALSE,0,IF($F21="J",0,ROUND(($AW21-$BA21)*'Set-up'!$C$9,2)))</f>
        <v>367.08</v>
      </c>
      <c r="BF21" s="36">
        <f ca="1">IF(ISNUMBER('Set-up'!$C$9)=FALSE,0,IF($F21="J",0,ROUND(($AX21-$BB21)*'Set-up'!$C$9,2)))</f>
        <v>-15.96</v>
      </c>
    </row>
    <row r="22" spans="1:58" ht="16" customHeight="1" x14ac:dyDescent="0.25">
      <c r="A22" s="8" t="s">
        <v>332</v>
      </c>
      <c r="B22" s="8">
        <v>902942</v>
      </c>
      <c r="C22" s="8" t="s">
        <v>33</v>
      </c>
      <c r="D22" s="4" t="s">
        <v>327</v>
      </c>
      <c r="E22" s="4" t="s">
        <v>267</v>
      </c>
      <c r="F22" s="4" t="s">
        <v>212</v>
      </c>
      <c r="G22" s="4" t="str" cm="1">
        <f t="array" aca="1" ref="G22" ca="1">IF(COUNTIF(AssetCode,$A22)&gt;1,"E1",IF(ISNA(VLOOKUP($E22,CatAll,1,0))=TRUE,"E2",IF(AND($I22="add!",$J22&lt;&gt;"add!"),"E10",IF(ISNA(VLOOKUP($F22,TaxCode,1,0))=TRUE,"E11","-"))))</f>
        <v>-</v>
      </c>
      <c r="H22" s="4" t="str">
        <f t="shared" ca="1" si="0"/>
        <v>PM</v>
      </c>
      <c r="I22" s="33">
        <f t="array" aca="1" ref="I22" ca="1">IF(ISERROR(LARGE(IF(TransAsset=$A22,IF(TransType="ACQ",TransIDDate,"add!"),"add!"),1)),"add!",LARGE(IF(TransAsset=$A22,IF(TransType="ACQ",TransIDDate,"add!"),"add!"),1))</f>
        <v>44216.000937500001</v>
      </c>
      <c r="J22" s="33">
        <f t="array" aca="1" ref="J22" ca="1">IF(ISERROR(LARGE(IF(TransAsset=$A22,TransIDDate,"add!"),1)),"add!",LARGE(IF(TransAsset=$A22,TransIDDate,"add!"),1))</f>
        <v>44216.000937500001</v>
      </c>
      <c r="K22" s="33">
        <f t="array" aca="1" ref="K22" ca="1">IF(ISERROR(LARGE(IF(TransAsset=$A22,IF(TransDate&lt;($I$2+1),TransIDDate,"-"),"-"),1)),"-",LARGE(IF(TransAsset=$A22,IF(TransDate&lt;($I$2+1),TransIDDate,"-"),"-"),1))</f>
        <v>44216.000937500001</v>
      </c>
      <c r="L22" s="33" t="str">
        <f t="array" aca="1" ref="L22" ca="1">IF(ISERROR(LARGE(IF(TransAsset=$A22,IF(TransDate&lt;$H$2,TransIDDate,"-"),"-"),1)),"-",LARGE(IF(TransAsset=$A22,IF(TransDate&lt;$H$2,TransIDDate,"-"),"-"),1))</f>
        <v>-</v>
      </c>
      <c r="M22" s="33">
        <f t="array" aca="1" ref="M22" ca="1">IF(ISERROR(LARGE(IF(TransAsset=$A22,IF(TransDate&lt;$J$2,TransIDDate,"-"),"-"),1)),"-",LARGE(IF(TransAsset=$A22,IF(TransDate&lt;$J$2,TransIDDate,"-"),"-"),1))</f>
        <v>44216.000937500001</v>
      </c>
      <c r="N22" s="33" t="str">
        <f t="array" aca="1" ref="N22" ca="1">IF(ISERROR(LARGE(IF(TransAsset=$A22,IF(TransType="DIS",TransIDDate,"-"),"-"),1)),"-",LARGE(IF(TransAsset=$A22,IF(TransType="DIS",TransIDDate,"-"),"-"),1))</f>
        <v>-</v>
      </c>
      <c r="O22" s="34" cm="1">
        <f t="array" aca="1" ref="O22" ca="1">IF($N22&lt;=$I$2,SUMIFS(TransProceeds,TransAsset,$A22,TransType,"DIS"),0)</f>
        <v>0</v>
      </c>
      <c r="P22" s="36" cm="1">
        <f t="array" aca="1" ref="P22" ca="1">IF($I22&lt;=($I$2+1),SUMIFS(TransHCost,TransAsset,$A22,TransIDDate,$J22),0)</f>
        <v>65000</v>
      </c>
      <c r="Q22" s="28">
        <f t="shared" ca="1" si="1"/>
        <v>5</v>
      </c>
      <c r="R22" s="28">
        <f t="shared" ca="1" si="2"/>
        <v>5000</v>
      </c>
      <c r="S22" s="36">
        <f t="shared" ca="1" si="3"/>
        <v>65000</v>
      </c>
      <c r="T22" s="35">
        <f ca="1">IF(ISNA(MATCH($F22,TaxCode,0))=TRUE,"code?",OFFSET('Set-up'!$D$37,MATCH($F22,TaxCode,0),MATCH($V22,TaxCurMonth,1)-1,1,1))</f>
        <v>0.5</v>
      </c>
      <c r="U22" s="28">
        <f t="shared" ca="1" si="4"/>
        <v>0</v>
      </c>
      <c r="V22" s="28">
        <f t="shared" ca="1" si="5"/>
        <v>2</v>
      </c>
      <c r="W22" s="28">
        <f t="shared" ca="1" si="6"/>
        <v>1</v>
      </c>
      <c r="X22" s="36">
        <f t="shared" ca="1" si="7"/>
        <v>0</v>
      </c>
      <c r="Y22" s="36">
        <f t="shared" ca="1" si="8"/>
        <v>65000</v>
      </c>
      <c r="Z22" s="36">
        <f t="shared" ca="1" si="9"/>
        <v>0</v>
      </c>
      <c r="AA22" s="36">
        <f t="shared" ca="1" si="10"/>
        <v>0</v>
      </c>
      <c r="AB22" s="36">
        <f t="shared" ca="1" si="11"/>
        <v>0</v>
      </c>
      <c r="AC22" s="36">
        <f t="shared" ca="1" si="23"/>
        <v>65000</v>
      </c>
      <c r="AD22" s="36" cm="1">
        <f t="array" aca="1" ref="AD22" ca="1">IF($L22=0,0,IF(SUMIFS(TransCLife,TransAsset,$A22,TransIDDate,$L22)=0,0,IF(($X22-(SUMIFS(TransCRes,TransAsset,$A22,TransIDDate,$L22)))/(SUMIFS(TransCLife,TransAsset,$A22,TransIDDate,$L22)*12)*(((YEAR($H$2)*12)+MONTH($H$2))-((YEAR($L22)*12)+MONTH($L22)))&gt;=($X22-SUMIFS(TransCRes,TransAsset,$A22,TransIDDate,$L22)),$X22-SUMIFS(TransCRes,TransAsset,$A22,TransIDDate,$L22),($X22-(SUMIFS(TransCRes,TransAsset,$A22,TransIDDate,$L22)))/(SUMIFS(TransCLife,TransAsset,$A22,TransIDDate,$L22)*12)*(((YEAR($H$2)*12)+MONTH($H$2))-((YEAR($L22)*12)+MONTH($L22))))))</f>
        <v>0</v>
      </c>
      <c r="AE22" s="36">
        <f t="shared" ca="1" si="12"/>
        <v>2000</v>
      </c>
      <c r="AF22" s="36">
        <f t="shared" ca="1" si="24"/>
        <v>0</v>
      </c>
      <c r="AG22" s="36">
        <f t="shared" ca="1" si="13"/>
        <v>2000</v>
      </c>
      <c r="AH22" s="36">
        <f t="shared" ca="1" si="14"/>
        <v>0</v>
      </c>
      <c r="AI22" s="36">
        <f t="shared" ca="1" si="15"/>
        <v>0</v>
      </c>
      <c r="AJ22" s="36">
        <f t="shared" ca="1" si="25"/>
        <v>2000</v>
      </c>
      <c r="AK22" s="36">
        <f t="shared" ca="1" si="26"/>
        <v>63000</v>
      </c>
      <c r="AL22" s="36">
        <f t="shared" ca="1" si="16"/>
        <v>0</v>
      </c>
      <c r="AM22" s="36">
        <f t="shared" ca="1" si="27"/>
        <v>0</v>
      </c>
      <c r="AN22" s="36">
        <f t="shared" ca="1" si="28"/>
        <v>0</v>
      </c>
      <c r="AO22" s="36">
        <f t="shared" ca="1" si="17"/>
        <v>0</v>
      </c>
      <c r="AP22" s="36">
        <f t="shared" ca="1" si="18"/>
        <v>0</v>
      </c>
      <c r="AQ22" s="36">
        <f t="shared" ca="1" si="19"/>
        <v>0</v>
      </c>
      <c r="AR22" s="36">
        <f t="shared" ca="1" si="20"/>
        <v>1000</v>
      </c>
      <c r="AS22" s="36">
        <f t="shared" ca="1" si="29"/>
        <v>0</v>
      </c>
      <c r="AT22" s="36">
        <f t="shared" ca="1" si="21"/>
        <v>1000</v>
      </c>
      <c r="AU22" s="36" cm="1">
        <f t="array" aca="1" ref="AU22" ca="1">IF($I22&lt;$H$2,IF(AND($N22&lt;&gt;"-",$N22&lt;$H$2),0,SUMIFS(TransHCost,TransAsset,$A22,TransIDDate,$J22)-SUMIFS(TransPCAccDep,TransAsset,$A22)-SUMIFS(TransImpair,TransAsset,$A22,TransIDDate,"&lt;"&amp;$H$2,TransType,"REV")),0)</f>
        <v>0</v>
      </c>
      <c r="AV22" s="36">
        <f t="shared" ca="1" si="30"/>
        <v>63000</v>
      </c>
      <c r="AW22" s="36">
        <f t="shared" ca="1" si="22"/>
        <v>63000</v>
      </c>
      <c r="AX22" s="36" cm="1">
        <f t="array" aca="1" ref="AX22" ca="1">$AW22-IF($I22&lt;$J$2,IF(AND($N22&lt;&gt;"-",$N22&lt;$J$2),0,SUMIFS(TransHCost,TransAsset,$A22,TransIDDate,$J22)-SUMIFS(TransPMAccDep,TransAsset,$A22)-SUMIFS(TransImpair,TransAsset,$A22,TransIDDate,"&lt;"&amp;$J$2,TransType,"REV")),0)</f>
        <v>-1000</v>
      </c>
      <c r="AY22" s="36">
        <f ca="1">IF(ISNA(MATCH($F22,TaxCode,0))=TRUE,$S22*($U22&gt;0),MAX(($S22*($U22&gt;0))-(($S22-SUMIFS(TransCRes,TransAsset,$A22,TransIDDate,$L22))*(IF($U22&lt;=11,0,MIN(SUM(OFFSET('Set-up'!$D$37,MATCH($F22,TaxCode,0),0,1,MATCH($U22,TaxCumMonth,1)))+MAX(TRUNC(($U22-60)/12)*SUM(OFFSET('Set-up'!$H$37,MATCH($F22,TaxCode,0),0,1,1)),0%),100%))))-(($S22-SUMIFS(TransCRes,TransAsset,$A22,TransIDDate,$L22))*OFFSET('Set-up'!$D$37,MATCH($F22,TaxCode,0),MATCH($U22,TaxCurMonth,1)-1,1,1)*IF(AND($U22-(TRUNC($U22/12)*12)&lt;&gt;0,OFFSET('Set-up'!$J$37,MATCH($F22,TaxCode,0),0,1,1)=0),1,(($U22-(TRUNC($U22/12)*12))/12))),SUMIFS(TransCRes,TransAsset,$A22,TransIDDate,$L22)))</f>
        <v>0</v>
      </c>
      <c r="AZ22" s="36">
        <f t="shared" ca="1" si="31"/>
        <v>35000</v>
      </c>
      <c r="BA22" s="36">
        <f ca="1">IF(ISNA(MATCH($F22,TaxCode,0))=TRUE,$S22*($V22&gt;0),MAX(($S22*($V22&gt;0))-(($S22-$R22)*(IF($V22&lt;=11,0,MIN(SUM(OFFSET('Set-up'!$D$37,MATCH($F22,TaxCode,0),0,1,MATCH($V22,TaxCumMonth,1)))+MAX(TRUNC(($V22-60)/12)*SUM(OFFSET('Set-up'!$H$37,MATCH($F22,TaxCode,0),0,1,1)),0%),100%))))-(($S22-$R22)*OFFSET('Set-up'!$D$37,MATCH($F22,TaxCode,0),MATCH($V22,TaxCurMonth,1)-1,1,1)*IF(AND($V22-(TRUNC($V22/12)*12)&lt;&gt;0,OFFSET('Set-up'!$J$37,MATCH($F22,TaxCode,0),0,1,1)=0),1,(($V22-(TRUNC($V22/12)*12))/12))),$R22*($V22&gt;0)))</f>
        <v>35000</v>
      </c>
      <c r="BB22" s="36">
        <f ca="1">$BA22-IF(ISNA(MATCH($F22,TaxCode,0))=TRUE,$S22*($W22&gt;0),MAX(($S22*($W22&gt;0))-(($S22-SUMIFS(TransCRes,TransAsset,$A22,TransIDDate,$M22))*(IF($W22&lt;=11,0,MIN(SUM(OFFSET('Set-up'!$D$37,MATCH($F22,TaxCode,0),0,1,MATCH($W22,TaxCumMonth,1)))+MAX(TRUNC(($W22-60)/12)*SUM(OFFSET('Set-up'!$H$37,MATCH($F22,TaxCode,0),0,1,1)),0%),100%))))-(($S22-SUMIFS(TransCRes,TransAsset,$A22,TransIDDate,$M22))*OFFSET('Set-up'!$D$37,MATCH($F22,TaxCode,0),MATCH($W22,TaxCurMonth,1)-1,1,1)*IF(AND($W22-(TRUNC($W22/12)*12)&lt;&gt;0,OFFSET('Set-up'!$J$37,MATCH($F22,TaxCode,0),0,1,1)=0),1,(($W22-(TRUNC($W22/12)*12))/12))),SUMIFS(TransCRes,TransAsset,$A22,TransIDDate,$M22)*($W22&gt;0)))</f>
        <v>0</v>
      </c>
      <c r="BC22" s="36">
        <f ca="1">IF(ISNUMBER('Set-up'!$C$9)=FALSE,0,IF($F22="J",0,ROUND(($AU22-$AY22)*'Set-up'!$C$9,2)))</f>
        <v>0</v>
      </c>
      <c r="BD22" s="36">
        <f t="shared" ca="1" si="32"/>
        <v>7840</v>
      </c>
      <c r="BE22" s="36">
        <f ca="1">IF(ISNUMBER('Set-up'!$C$9)=FALSE,0,IF($F22="J",0,ROUND(($AW22-$BA22)*'Set-up'!$C$9,2)))</f>
        <v>7840</v>
      </c>
      <c r="BF22" s="36">
        <f ca="1">IF(ISNUMBER('Set-up'!$C$9)=FALSE,0,IF($F22="J",0,ROUND(($AX22-$BB22)*'Set-up'!$C$9,2)))</f>
        <v>-280</v>
      </c>
    </row>
    <row r="23" spans="1:58" ht="16" customHeight="1" x14ac:dyDescent="0.25">
      <c r="A23" s="8" t="s">
        <v>294</v>
      </c>
      <c r="B23" s="8">
        <v>783642</v>
      </c>
      <c r="C23" s="8" t="s">
        <v>24</v>
      </c>
      <c r="D23" s="4" t="s">
        <v>91</v>
      </c>
      <c r="E23" s="4" t="s">
        <v>269</v>
      </c>
      <c r="F23" s="4" t="s">
        <v>211</v>
      </c>
      <c r="G23" s="4" t="str" cm="1">
        <f t="array" aca="1" ref="G23" ca="1">IF(COUNTIF(AssetCode,$A23)&gt;1,"E1",IF(ISNA(VLOOKUP($E23,CatAll,1,0))=TRUE,"E2",IF(AND($I23="add!",$J23&lt;&gt;"add!"),"E10",IF(ISNA(VLOOKUP($F23,TaxCode,1,0))=TRUE,"E11","-"))))</f>
        <v>-</v>
      </c>
      <c r="H23" s="4" t="str">
        <f t="shared" ca="1" si="0"/>
        <v>PM</v>
      </c>
      <c r="I23" s="33">
        <f t="array" aca="1" ref="I23" ca="1">IF(ISERROR(LARGE(IF(TransAsset=$A23,IF(TransType="ACQ",TransIDDate,"add!"),"add!"),1)),"add!",LARGE(IF(TransAsset=$A23,IF(TransType="ACQ",TransIDDate,"add!"),"add!"),1))</f>
        <v>42205.000300925924</v>
      </c>
      <c r="J23" s="33">
        <f t="array" aca="1" ref="J23" ca="1">IF(ISERROR(LARGE(IF(TransAsset=$A23,TransIDDate,"add!"),1)),"add!",LARGE(IF(TransAsset=$A23,TransIDDate,"add!"),1))</f>
        <v>43891.000775462962</v>
      </c>
      <c r="K23" s="33">
        <f t="array" aca="1" ref="K23" ca="1">IF(ISERROR(LARGE(IF(TransAsset=$A23,IF(TransDate&lt;($I$2+1),TransIDDate,"-"),"-"),1)),"-",LARGE(IF(TransAsset=$A23,IF(TransDate&lt;($I$2+1),TransIDDate,"-"),"-"),1))</f>
        <v>43891.000775462962</v>
      </c>
      <c r="L23" s="33">
        <f t="array" aca="1" ref="L23" ca="1">IF(ISERROR(LARGE(IF(TransAsset=$A23,IF(TransDate&lt;$H$2,TransIDDate,"-"),"-"),1)),"-",LARGE(IF(TransAsset=$A23,IF(TransDate&lt;$H$2,TransIDDate,"-"),"-"),1))</f>
        <v>42205.000300925924</v>
      </c>
      <c r="M23" s="33">
        <f t="array" aca="1" ref="M23" ca="1">IF(ISERROR(LARGE(IF(TransAsset=$A23,IF(TransDate&lt;$J$2,TransIDDate,"-"),"-"),1)),"-",LARGE(IF(TransAsset=$A23,IF(TransDate&lt;$J$2,TransIDDate,"-"),"-"),1))</f>
        <v>43891.000775462962</v>
      </c>
      <c r="N23" s="33" t="str">
        <f t="array" aca="1" ref="N23" ca="1">IF(ISERROR(LARGE(IF(TransAsset=$A23,IF(TransType="DIS",TransIDDate,"-"),"-"),1)),"-",LARGE(IF(TransAsset=$A23,IF(TransType="DIS",TransIDDate,"-"),"-"),1))</f>
        <v>-</v>
      </c>
      <c r="O23" s="34" cm="1">
        <f t="array" aca="1" ref="O23" ca="1">IF($N23&lt;=$I$2,SUMIFS(TransProceeds,TransAsset,$A23,TransType,"DIS"),0)</f>
        <v>0</v>
      </c>
      <c r="P23" s="36" cm="1">
        <f t="array" aca="1" ref="P23" ca="1">IF($I23&lt;=($I$2+1),SUMIFS(TransHCost,TransAsset,$A23,TransIDDate,$J23),0)</f>
        <v>15000</v>
      </c>
      <c r="Q23" s="28">
        <f t="shared" ca="1" si="1"/>
        <v>5</v>
      </c>
      <c r="R23" s="28">
        <f t="shared" ca="1" si="2"/>
        <v>0</v>
      </c>
      <c r="S23" s="36">
        <f t="shared" ca="1" si="3"/>
        <v>15000</v>
      </c>
      <c r="T23" s="35">
        <f ca="1">IF(ISNA(MATCH($F23,TaxCode,0))=TRUE,"code?",OFFSET('Set-up'!$D$37,MATCH($F23,TaxCode,0),MATCH($V23,TaxCurMonth,1)-1,1,1))</f>
        <v>0.2</v>
      </c>
      <c r="U23" s="28">
        <f t="shared" ca="1" si="4"/>
        <v>56</v>
      </c>
      <c r="V23" s="28">
        <f t="shared" ca="1" si="5"/>
        <v>68</v>
      </c>
      <c r="W23" s="28">
        <f t="shared" ca="1" si="6"/>
        <v>67</v>
      </c>
      <c r="X23" s="36">
        <f t="shared" ca="1" si="7"/>
        <v>15000</v>
      </c>
      <c r="Y23" s="36">
        <f t="shared" ca="1" si="8"/>
        <v>0</v>
      </c>
      <c r="Z23" s="36">
        <f t="shared" ca="1" si="9"/>
        <v>-10000</v>
      </c>
      <c r="AA23" s="36">
        <f t="shared" ca="1" si="10"/>
        <v>0</v>
      </c>
      <c r="AB23" s="36">
        <f t="shared" ca="1" si="11"/>
        <v>0</v>
      </c>
      <c r="AC23" s="36">
        <f t="shared" ca="1" si="23"/>
        <v>5000</v>
      </c>
      <c r="AD23" s="36" cm="1">
        <f t="array" aca="1" ref="AD23" ca="1">IF($L23=0,0,IF(SUMIFS(TransCLife,TransAsset,$A23,TransIDDate,$L23)=0,0,IF(($X23-(SUMIFS(TransCRes,TransAsset,$A23,TransIDDate,$L23)))/(SUMIFS(TransCLife,TransAsset,$A23,TransIDDate,$L23)*12)*(((YEAR($H$2)*12)+MONTH($H$2))-((YEAR($L23)*12)+MONTH($L23)))&gt;=($X23-SUMIFS(TransCRes,TransAsset,$A23,TransIDDate,$L23)),$X23-SUMIFS(TransCRes,TransAsset,$A23,TransIDDate,$L23),($X23-(SUMIFS(TransCRes,TransAsset,$A23,TransIDDate,$L23)))/(SUMIFS(TransCLife,TransAsset,$A23,TransIDDate,$L23)*12)*(((YEAR($H$2)*12)+MONTH($H$2))-((YEAR($L23)*12)+MONTH($L23))))))</f>
        <v>14000</v>
      </c>
      <c r="AE23" s="36">
        <f t="shared" ca="1" si="12"/>
        <v>1000</v>
      </c>
      <c r="AF23" s="36">
        <f t="shared" ca="1" si="24"/>
        <v>0</v>
      </c>
      <c r="AG23" s="36">
        <f t="shared" ca="1" si="13"/>
        <v>1000</v>
      </c>
      <c r="AH23" s="36">
        <f t="shared" ca="1" si="14"/>
        <v>-14000</v>
      </c>
      <c r="AI23" s="36">
        <f t="shared" ca="1" si="15"/>
        <v>0</v>
      </c>
      <c r="AJ23" s="36">
        <f t="shared" ca="1" si="25"/>
        <v>1000</v>
      </c>
      <c r="AK23" s="36">
        <f t="shared" ca="1" si="26"/>
        <v>4000</v>
      </c>
      <c r="AL23" s="36">
        <f t="shared" ca="1" si="16"/>
        <v>0</v>
      </c>
      <c r="AM23" s="36">
        <f t="shared" ca="1" si="27"/>
        <v>4000</v>
      </c>
      <c r="AN23" s="36">
        <f t="shared" ca="1" si="28"/>
        <v>0</v>
      </c>
      <c r="AO23" s="36">
        <f t="shared" ca="1" si="17"/>
        <v>4000</v>
      </c>
      <c r="AP23" s="36">
        <f t="shared" ca="1" si="18"/>
        <v>0</v>
      </c>
      <c r="AQ23" s="36">
        <f t="shared" ca="1" si="19"/>
        <v>0</v>
      </c>
      <c r="AR23" s="36">
        <f t="shared" ca="1" si="20"/>
        <v>83.333333333333329</v>
      </c>
      <c r="AS23" s="36">
        <f t="shared" ca="1" si="29"/>
        <v>0</v>
      </c>
      <c r="AT23" s="36">
        <f t="shared" ca="1" si="21"/>
        <v>83.333333333333329</v>
      </c>
      <c r="AU23" s="36" cm="1">
        <f t="array" aca="1" ref="AU23" ca="1">IF($I23&lt;$H$2,IF(AND($N23&lt;&gt;"-",$N23&lt;$H$2),0,SUMIFS(TransHCost,TransAsset,$A23,TransIDDate,$J23)-SUMIFS(TransPCAccDep,TransAsset,$A23)-SUMIFS(TransImpair,TransAsset,$A23,TransIDDate,"&lt;"&amp;$H$2,TransType,"REV")),0)</f>
        <v>1000</v>
      </c>
      <c r="AV23" s="36">
        <f t="shared" ca="1" si="30"/>
        <v>-1000</v>
      </c>
      <c r="AW23" s="36">
        <f t="shared" ca="1" si="22"/>
        <v>0</v>
      </c>
      <c r="AX23" s="36" cm="1">
        <f t="array" aca="1" ref="AX23" ca="1">$AW23-IF($I23&lt;$J$2,IF(AND($N23&lt;&gt;"-",$N23&lt;$J$2),0,SUMIFS(TransHCost,TransAsset,$A23,TransIDDate,$J23)-SUMIFS(TransPMAccDep,TransAsset,$A23)-SUMIFS(TransImpair,TransAsset,$A23,TransIDDate,"&lt;"&amp;$J$2,TransType,"REV")),0)</f>
        <v>-83.33333333333394</v>
      </c>
      <c r="AY23" s="36">
        <f ca="1">IF(ISNA(MATCH($F23,TaxCode,0))=TRUE,$S23*($U23&gt;0),MAX(($S23*($U23&gt;0))-(($S23-SUMIFS(TransCRes,TransAsset,$A23,TransIDDate,$L23))*(IF($U23&lt;=11,0,MIN(SUM(OFFSET('Set-up'!$D$37,MATCH($F23,TaxCode,0),0,1,MATCH($U23,TaxCumMonth,1)))+MAX(TRUNC(($U23-60)/12)*SUM(OFFSET('Set-up'!$H$37,MATCH($F23,TaxCode,0),0,1,1)),0%),100%))))-(($S23-SUMIFS(TransCRes,TransAsset,$A23,TransIDDate,$L23))*OFFSET('Set-up'!$D$37,MATCH($F23,TaxCode,0),MATCH($U23,TaxCurMonth,1)-1,1,1)*IF(AND($U23-(TRUNC($U23/12)*12)&lt;&gt;0,OFFSET('Set-up'!$J$37,MATCH($F23,TaxCode,0),0,1,1)=0),1,(($U23-(TRUNC($U23/12)*12))/12))),SUMIFS(TransCRes,TransAsset,$A23,TransIDDate,$L23)))</f>
        <v>1000</v>
      </c>
      <c r="AZ23" s="36">
        <f t="shared" ca="1" si="31"/>
        <v>-1000</v>
      </c>
      <c r="BA23" s="36">
        <f ca="1">IF(ISNA(MATCH($F23,TaxCode,0))=TRUE,$S23*($V23&gt;0),MAX(($S23*($V23&gt;0))-(($S23-$R23)*(IF($V23&lt;=11,0,MIN(SUM(OFFSET('Set-up'!$D$37,MATCH($F23,TaxCode,0),0,1,MATCH($V23,TaxCumMonth,1)))+MAX(TRUNC(($V23-60)/12)*SUM(OFFSET('Set-up'!$H$37,MATCH($F23,TaxCode,0),0,1,1)),0%),100%))))-(($S23-$R23)*OFFSET('Set-up'!$D$37,MATCH($F23,TaxCode,0),MATCH($V23,TaxCurMonth,1)-1,1,1)*IF(AND($V23-(TRUNC($V23/12)*12)&lt;&gt;0,OFFSET('Set-up'!$J$37,MATCH($F23,TaxCode,0),0,1,1)=0),1,(($V23-(TRUNC($V23/12)*12))/12))),$R23*($V23&gt;0)))</f>
        <v>0</v>
      </c>
      <c r="BB23" s="36">
        <f ca="1">$BA23-IF(ISNA(MATCH($F23,TaxCode,0))=TRUE,$S23*($W23&gt;0),MAX(($S23*($W23&gt;0))-(($S23-SUMIFS(TransCRes,TransAsset,$A23,TransIDDate,$M23))*(IF($W23&lt;=11,0,MIN(SUM(OFFSET('Set-up'!$D$37,MATCH($F23,TaxCode,0),0,1,MATCH($W23,TaxCumMonth,1)))+MAX(TRUNC(($W23-60)/12)*SUM(OFFSET('Set-up'!$H$37,MATCH($F23,TaxCode,0),0,1,1)),0%),100%))))-(($S23-SUMIFS(TransCRes,TransAsset,$A23,TransIDDate,$M23))*OFFSET('Set-up'!$D$37,MATCH($F23,TaxCode,0),MATCH($W23,TaxCurMonth,1)-1,1,1)*IF(AND($W23-(TRUNC($W23/12)*12)&lt;&gt;0,OFFSET('Set-up'!$J$37,MATCH($F23,TaxCode,0),0,1,1)=0),1,(($W23-(TRUNC($W23/12)*12))/12))),SUMIFS(TransCRes,TransAsset,$A23,TransIDDate,$M23)*($W23&gt;0)))</f>
        <v>0</v>
      </c>
      <c r="BC23" s="36">
        <f ca="1">IF(ISNUMBER('Set-up'!$C$9)=FALSE,0,IF($F23="J",0,ROUND(($AU23-$AY23)*'Set-up'!$C$9,2)))</f>
        <v>0</v>
      </c>
      <c r="BD23" s="36">
        <f t="shared" ca="1" si="32"/>
        <v>0</v>
      </c>
      <c r="BE23" s="36">
        <f ca="1">IF(ISNUMBER('Set-up'!$C$9)=FALSE,0,IF($F23="J",0,ROUND(($AW23-$BA23)*'Set-up'!$C$9,2)))</f>
        <v>0</v>
      </c>
      <c r="BF23" s="36">
        <f ca="1">IF(ISNUMBER('Set-up'!$C$9)=FALSE,0,IF($F23="J",0,ROUND(($AX23-$BB23)*'Set-up'!$C$9,2)))</f>
        <v>-23.33</v>
      </c>
    </row>
    <row r="24" spans="1:58" ht="16" customHeight="1" x14ac:dyDescent="0.25">
      <c r="A24" s="8" t="s">
        <v>295</v>
      </c>
      <c r="B24" s="8">
        <v>998239</v>
      </c>
      <c r="C24" s="8" t="s">
        <v>25</v>
      </c>
      <c r="D24" s="4" t="s">
        <v>91</v>
      </c>
      <c r="E24" s="4" t="s">
        <v>269</v>
      </c>
      <c r="F24" s="4" t="s">
        <v>211</v>
      </c>
      <c r="G24" s="4" t="str" cm="1">
        <f t="array" aca="1" ref="G24" ca="1">IF(COUNTIF(AssetCode,$A24)&gt;1,"E1",IF(ISNA(VLOOKUP($E24,CatAll,1,0))=TRUE,"E2",IF(AND($I24="add!",$J24&lt;&gt;"add!"),"E10",IF(ISNA(VLOOKUP($F24,TaxCode,1,0))=TRUE,"E11","-"))))</f>
        <v>-</v>
      </c>
      <c r="H24" s="4" t="str">
        <f t="shared" ca="1" si="0"/>
        <v>PM</v>
      </c>
      <c r="I24" s="33">
        <f t="array" aca="1" ref="I24" ca="1">IF(ISERROR(LARGE(IF(TransAsset=$A24,IF(TransType="ACQ",TransIDDate,"add!"),"add!"),1)),"add!",LARGE(IF(TransAsset=$A24,IF(TransType="ACQ",TransIDDate,"add!"),"add!"),1))</f>
        <v>42205.0003125</v>
      </c>
      <c r="J24" s="33">
        <f t="array" aca="1" ref="J24" ca="1">IF(ISERROR(LARGE(IF(TransAsset=$A24,TransIDDate,"add!"),1)),"add!",LARGE(IF(TransAsset=$A24,TransIDDate,"add!"),1))</f>
        <v>43891.000787037039</v>
      </c>
      <c r="K24" s="33">
        <f t="array" aca="1" ref="K24" ca="1">IF(ISERROR(LARGE(IF(TransAsset=$A24,IF(TransDate&lt;($I$2+1),TransIDDate,"-"),"-"),1)),"-",LARGE(IF(TransAsset=$A24,IF(TransDate&lt;($I$2+1),TransIDDate,"-"),"-"),1))</f>
        <v>43891.000787037039</v>
      </c>
      <c r="L24" s="33">
        <f t="array" aca="1" ref="L24" ca="1">IF(ISERROR(LARGE(IF(TransAsset=$A24,IF(TransDate&lt;$H$2,TransIDDate,"-"),"-"),1)),"-",LARGE(IF(TransAsset=$A24,IF(TransDate&lt;$H$2,TransIDDate,"-"),"-"),1))</f>
        <v>42205.0003125</v>
      </c>
      <c r="M24" s="33">
        <f t="array" aca="1" ref="M24" ca="1">IF(ISERROR(LARGE(IF(TransAsset=$A24,IF(TransDate&lt;$J$2,TransIDDate,"-"),"-"),1)),"-",LARGE(IF(TransAsset=$A24,IF(TransDate&lt;$J$2,TransIDDate,"-"),"-"),1))</f>
        <v>43891.000787037039</v>
      </c>
      <c r="N24" s="33" t="str">
        <f t="array" aca="1" ref="N24" ca="1">IF(ISERROR(LARGE(IF(TransAsset=$A24,IF(TransType="DIS",TransIDDate,"-"),"-"),1)),"-",LARGE(IF(TransAsset=$A24,IF(TransType="DIS",TransIDDate,"-"),"-"),1))</f>
        <v>-</v>
      </c>
      <c r="O24" s="34" cm="1">
        <f t="array" aca="1" ref="O24" ca="1">IF($N24&lt;=$I$2,SUMIFS(TransProceeds,TransAsset,$A24,TransType,"DIS"),0)</f>
        <v>0</v>
      </c>
      <c r="P24" s="36" cm="1">
        <f t="array" aca="1" ref="P24" ca="1">IF($I24&lt;=($I$2+1),SUMIFS(TransHCost,TransAsset,$A24,TransIDDate,$J24),0)</f>
        <v>1500</v>
      </c>
      <c r="Q24" s="28">
        <f t="shared" ca="1" si="1"/>
        <v>5</v>
      </c>
      <c r="R24" s="28">
        <f t="shared" ca="1" si="2"/>
        <v>0</v>
      </c>
      <c r="S24" s="36">
        <f t="shared" ca="1" si="3"/>
        <v>1500</v>
      </c>
      <c r="T24" s="35">
        <f ca="1">IF(ISNA(MATCH($F24,TaxCode,0))=TRUE,"code?",OFFSET('Set-up'!$D$37,MATCH($F24,TaxCode,0),MATCH($V24,TaxCurMonth,1)-1,1,1))</f>
        <v>0.2</v>
      </c>
      <c r="U24" s="28">
        <f t="shared" ca="1" si="4"/>
        <v>56</v>
      </c>
      <c r="V24" s="28">
        <f t="shared" ca="1" si="5"/>
        <v>68</v>
      </c>
      <c r="W24" s="28">
        <f t="shared" ca="1" si="6"/>
        <v>67</v>
      </c>
      <c r="X24" s="36">
        <f t="shared" ca="1" si="7"/>
        <v>1500</v>
      </c>
      <c r="Y24" s="36">
        <f t="shared" ca="1" si="8"/>
        <v>0</v>
      </c>
      <c r="Z24" s="36">
        <f t="shared" ca="1" si="9"/>
        <v>1500</v>
      </c>
      <c r="AA24" s="36">
        <f t="shared" ca="1" si="10"/>
        <v>0</v>
      </c>
      <c r="AB24" s="36">
        <f t="shared" ca="1" si="11"/>
        <v>0</v>
      </c>
      <c r="AC24" s="36">
        <f t="shared" ca="1" si="23"/>
        <v>3000</v>
      </c>
      <c r="AD24" s="36" cm="1">
        <f t="array" aca="1" ref="AD24" ca="1">IF($L24=0,0,IF(SUMIFS(TransCLife,TransAsset,$A24,TransIDDate,$L24)=0,0,IF(($X24-(SUMIFS(TransCRes,TransAsset,$A24,TransIDDate,$L24)))/(SUMIFS(TransCLife,TransAsset,$A24,TransIDDate,$L24)*12)*(((YEAR($H$2)*12)+MONTH($H$2))-((YEAR($L24)*12)+MONTH($L24)))&gt;=($X24-SUMIFS(TransCRes,TransAsset,$A24,TransIDDate,$L24)),$X24-SUMIFS(TransCRes,TransAsset,$A24,TransIDDate,$L24),($X24-(SUMIFS(TransCRes,TransAsset,$A24,TransIDDate,$L24)))/(SUMIFS(TransCLife,TransAsset,$A24,TransIDDate,$L24)*12)*(((YEAR($H$2)*12)+MONTH($H$2))-((YEAR($L24)*12)+MONTH($L24))))))</f>
        <v>1400</v>
      </c>
      <c r="AE24" s="36">
        <f t="shared" ca="1" si="12"/>
        <v>100</v>
      </c>
      <c r="AF24" s="36">
        <f t="shared" ca="1" si="24"/>
        <v>500</v>
      </c>
      <c r="AG24" s="36">
        <f t="shared" ca="1" si="13"/>
        <v>600</v>
      </c>
      <c r="AH24" s="36">
        <f t="shared" ca="1" si="14"/>
        <v>-1400</v>
      </c>
      <c r="AI24" s="36">
        <f t="shared" ca="1" si="15"/>
        <v>0</v>
      </c>
      <c r="AJ24" s="36">
        <f t="shared" ca="1" si="25"/>
        <v>600</v>
      </c>
      <c r="AK24" s="36">
        <f t="shared" ca="1" si="26"/>
        <v>2400</v>
      </c>
      <c r="AL24" s="36">
        <f t="shared" ca="1" si="16"/>
        <v>0</v>
      </c>
      <c r="AM24" s="36">
        <f t="shared" ca="1" si="27"/>
        <v>2900</v>
      </c>
      <c r="AN24" s="36">
        <f t="shared" ca="1" si="28"/>
        <v>-500</v>
      </c>
      <c r="AO24" s="36">
        <f t="shared" ca="1" si="17"/>
        <v>2400</v>
      </c>
      <c r="AP24" s="36">
        <f t="shared" ca="1" si="18"/>
        <v>0</v>
      </c>
      <c r="AQ24" s="36">
        <f t="shared" ca="1" si="19"/>
        <v>0</v>
      </c>
      <c r="AR24" s="36">
        <f t="shared" ca="1" si="20"/>
        <v>0</v>
      </c>
      <c r="AS24" s="36">
        <f t="shared" ca="1" si="29"/>
        <v>50</v>
      </c>
      <c r="AT24" s="36">
        <f t="shared" ca="1" si="21"/>
        <v>50</v>
      </c>
      <c r="AU24" s="36" cm="1">
        <f t="array" aca="1" ref="AU24" ca="1">IF($I24&lt;$H$2,IF(AND($N24&lt;&gt;"-",$N24&lt;$H$2),0,SUMIFS(TransHCost,TransAsset,$A24,TransIDDate,$J24)-SUMIFS(TransPCAccDep,TransAsset,$A24)-SUMIFS(TransImpair,TransAsset,$A24,TransIDDate,"&lt;"&amp;$H$2,TransType,"REV")),0)</f>
        <v>100</v>
      </c>
      <c r="AV24" s="36">
        <f t="shared" ca="1" si="30"/>
        <v>-100</v>
      </c>
      <c r="AW24" s="36">
        <f t="shared" ca="1" si="22"/>
        <v>0</v>
      </c>
      <c r="AX24" s="36" cm="1">
        <f t="array" aca="1" ref="AX24" ca="1">$AW24-IF($I24&lt;$J$2,IF(AND($N24&lt;&gt;"-",$N24&lt;$J$2),0,SUMIFS(TransHCost,TransAsset,$A24,TransIDDate,$J24)-SUMIFS(TransPMAccDep,TransAsset,$A24)-SUMIFS(TransImpair,TransAsset,$A24,TransIDDate,"&lt;"&amp;$J$2,TransType,"REV")),0)</f>
        <v>0</v>
      </c>
      <c r="AY24" s="36">
        <f ca="1">IF(ISNA(MATCH($F24,TaxCode,0))=TRUE,$S24*($U24&gt;0),MAX(($S24*($U24&gt;0))-(($S24-SUMIFS(TransCRes,TransAsset,$A24,TransIDDate,$L24))*(IF($U24&lt;=11,0,MIN(SUM(OFFSET('Set-up'!$D$37,MATCH($F24,TaxCode,0),0,1,MATCH($U24,TaxCumMonth,1)))+MAX(TRUNC(($U24-60)/12)*SUM(OFFSET('Set-up'!$H$37,MATCH($F24,TaxCode,0),0,1,1)),0%),100%))))-(($S24-SUMIFS(TransCRes,TransAsset,$A24,TransIDDate,$L24))*OFFSET('Set-up'!$D$37,MATCH($F24,TaxCode,0),MATCH($U24,TaxCurMonth,1)-1,1,1)*IF(AND($U24-(TRUNC($U24/12)*12)&lt;&gt;0,OFFSET('Set-up'!$J$37,MATCH($F24,TaxCode,0),0,1,1)=0),1,(($U24-(TRUNC($U24/12)*12))/12))),SUMIFS(TransCRes,TransAsset,$A24,TransIDDate,$L24)))</f>
        <v>100</v>
      </c>
      <c r="AZ24" s="36">
        <f t="shared" ca="1" si="31"/>
        <v>-100</v>
      </c>
      <c r="BA24" s="36">
        <f ca="1">IF(ISNA(MATCH($F24,TaxCode,0))=TRUE,$S24*($V24&gt;0),MAX(($S24*($V24&gt;0))-(($S24-$R24)*(IF($V24&lt;=11,0,MIN(SUM(OFFSET('Set-up'!$D$37,MATCH($F24,TaxCode,0),0,1,MATCH($V24,TaxCumMonth,1)))+MAX(TRUNC(($V24-60)/12)*SUM(OFFSET('Set-up'!$H$37,MATCH($F24,TaxCode,0),0,1,1)),0%),100%))))-(($S24-$R24)*OFFSET('Set-up'!$D$37,MATCH($F24,TaxCode,0),MATCH($V24,TaxCurMonth,1)-1,1,1)*IF(AND($V24-(TRUNC($V24/12)*12)&lt;&gt;0,OFFSET('Set-up'!$J$37,MATCH($F24,TaxCode,0),0,1,1)=0),1,(($V24-(TRUNC($V24/12)*12))/12))),$R24*($V24&gt;0)))</f>
        <v>0</v>
      </c>
      <c r="BB24" s="36">
        <f ca="1">$BA24-IF(ISNA(MATCH($F24,TaxCode,0))=TRUE,$S24*($W24&gt;0),MAX(($S24*($W24&gt;0))-(($S24-SUMIFS(TransCRes,TransAsset,$A24,TransIDDate,$M24))*(IF($W24&lt;=11,0,MIN(SUM(OFFSET('Set-up'!$D$37,MATCH($F24,TaxCode,0),0,1,MATCH($W24,TaxCumMonth,1)))+MAX(TRUNC(($W24-60)/12)*SUM(OFFSET('Set-up'!$H$37,MATCH($F24,TaxCode,0),0,1,1)),0%),100%))))-(($S24-SUMIFS(TransCRes,TransAsset,$A24,TransIDDate,$M24))*OFFSET('Set-up'!$D$37,MATCH($F24,TaxCode,0),MATCH($W24,TaxCurMonth,1)-1,1,1)*IF(AND($W24-(TRUNC($W24/12)*12)&lt;&gt;0,OFFSET('Set-up'!$J$37,MATCH($F24,TaxCode,0),0,1,1)=0),1,(($W24-(TRUNC($W24/12)*12))/12))),SUMIFS(TransCRes,TransAsset,$A24,TransIDDate,$M24)*($W24&gt;0)))</f>
        <v>0</v>
      </c>
      <c r="BC24" s="36">
        <f ca="1">IF(ISNUMBER('Set-up'!$C$9)=FALSE,0,IF($F24="J",0,ROUND(($AU24-$AY24)*'Set-up'!$C$9,2)))</f>
        <v>0</v>
      </c>
      <c r="BD24" s="36">
        <f t="shared" ca="1" si="32"/>
        <v>0</v>
      </c>
      <c r="BE24" s="36">
        <f ca="1">IF(ISNUMBER('Set-up'!$C$9)=FALSE,0,IF($F24="J",0,ROUND(($AW24-$BA24)*'Set-up'!$C$9,2)))</f>
        <v>0</v>
      </c>
      <c r="BF24" s="36">
        <f ca="1">IF(ISNUMBER('Set-up'!$C$9)=FALSE,0,IF($F24="J",0,ROUND(($AX24-$BB24)*'Set-up'!$C$9,2)))</f>
        <v>0</v>
      </c>
    </row>
    <row r="25" spans="1:58" ht="16" customHeight="1" x14ac:dyDescent="0.25">
      <c r="A25" s="8" t="s">
        <v>296</v>
      </c>
      <c r="B25" s="8">
        <v>367627</v>
      </c>
      <c r="C25" s="8" t="s">
        <v>254</v>
      </c>
      <c r="D25" s="4" t="s">
        <v>91</v>
      </c>
      <c r="E25" s="4" t="s">
        <v>269</v>
      </c>
      <c r="F25" s="4" t="s">
        <v>211</v>
      </c>
      <c r="G25" s="4" t="str" cm="1">
        <f t="array" aca="1" ref="G25" ca="1">IF(COUNTIF(AssetCode,$A25)&gt;1,"E1",IF(ISNA(VLOOKUP($E25,CatAll,1,0))=TRUE,"E2",IF(AND($I25="add!",$J25&lt;&gt;"add!"),"E10",IF(ISNA(VLOOKUP($F25,TaxCode,1,0))=TRUE,"E11","-"))))</f>
        <v>-</v>
      </c>
      <c r="H25" s="4" t="str">
        <f t="shared" ca="1" si="0"/>
        <v>PM</v>
      </c>
      <c r="I25" s="33">
        <f t="array" aca="1" ref="I25" ca="1">IF(ISERROR(LARGE(IF(TransAsset=$A25,IF(TransType="ACQ",TransIDDate,"add!"),"add!"),1)),"add!",LARGE(IF(TransAsset=$A25,IF(TransType="ACQ",TransIDDate,"add!"),"add!"),1))</f>
        <v>42205.000324074077</v>
      </c>
      <c r="J25" s="33">
        <f t="array" aca="1" ref="J25" ca="1">IF(ISERROR(LARGE(IF(TransAsset=$A25,TransIDDate,"add!"),1)),"add!",LARGE(IF(TransAsset=$A25,TransIDDate,"add!"),1))</f>
        <v>43891.000798611109</v>
      </c>
      <c r="K25" s="33">
        <f t="array" aca="1" ref="K25" ca="1">IF(ISERROR(LARGE(IF(TransAsset=$A25,IF(TransDate&lt;($I$2+1),TransIDDate,"-"),"-"),1)),"-",LARGE(IF(TransAsset=$A25,IF(TransDate&lt;($I$2+1),TransIDDate,"-"),"-"),1))</f>
        <v>43891.000798611109</v>
      </c>
      <c r="L25" s="33">
        <f t="array" aca="1" ref="L25" ca="1">IF(ISERROR(LARGE(IF(TransAsset=$A25,IF(TransDate&lt;$H$2,TransIDDate,"-"),"-"),1)),"-",LARGE(IF(TransAsset=$A25,IF(TransDate&lt;$H$2,TransIDDate,"-"),"-"),1))</f>
        <v>42205.000324074077</v>
      </c>
      <c r="M25" s="33">
        <f t="array" aca="1" ref="M25" ca="1">IF(ISERROR(LARGE(IF(TransAsset=$A25,IF(TransDate&lt;$J$2,TransIDDate,"-"),"-"),1)),"-",LARGE(IF(TransAsset=$A25,IF(TransDate&lt;$J$2,TransIDDate,"-"),"-"),1))</f>
        <v>43891.000798611109</v>
      </c>
      <c r="N25" s="33" t="str">
        <f t="array" aca="1" ref="N25" ca="1">IF(ISERROR(LARGE(IF(TransAsset=$A25,IF(TransType="DIS",TransIDDate,"-"),"-"),1)),"-",LARGE(IF(TransAsset=$A25,IF(TransType="DIS",TransIDDate,"-"),"-"),1))</f>
        <v>-</v>
      </c>
      <c r="O25" s="34" cm="1">
        <f t="array" aca="1" ref="O25" ca="1">IF($N25&lt;=$I$2,SUMIFS(TransProceeds,TransAsset,$A25,TransType,"DIS"),0)</f>
        <v>0</v>
      </c>
      <c r="P25" s="36" cm="1">
        <f t="array" aca="1" ref="P25" ca="1">IF($I25&lt;=($I$2+1),SUMIFS(TransHCost,TransAsset,$A25,TransIDDate,$J25),0)</f>
        <v>42200</v>
      </c>
      <c r="Q25" s="28">
        <f t="shared" ca="1" si="1"/>
        <v>5</v>
      </c>
      <c r="R25" s="28">
        <f t="shared" ca="1" si="2"/>
        <v>0</v>
      </c>
      <c r="S25" s="36">
        <f t="shared" ca="1" si="3"/>
        <v>42200</v>
      </c>
      <c r="T25" s="35">
        <f ca="1">IF(ISNA(MATCH($F25,TaxCode,0))=TRUE,"code?",OFFSET('Set-up'!$D$37,MATCH($F25,TaxCode,0),MATCH($V25,TaxCurMonth,1)-1,1,1))</f>
        <v>0.2</v>
      </c>
      <c r="U25" s="28">
        <f t="shared" ca="1" si="4"/>
        <v>56</v>
      </c>
      <c r="V25" s="28">
        <f t="shared" ca="1" si="5"/>
        <v>68</v>
      </c>
      <c r="W25" s="28">
        <f t="shared" ca="1" si="6"/>
        <v>67</v>
      </c>
      <c r="X25" s="36">
        <f t="shared" ca="1" si="7"/>
        <v>42200</v>
      </c>
      <c r="Y25" s="36">
        <f t="shared" ca="1" si="8"/>
        <v>0</v>
      </c>
      <c r="Z25" s="36">
        <f t="shared" ca="1" si="9"/>
        <v>-27700</v>
      </c>
      <c r="AA25" s="36">
        <f t="shared" ca="1" si="10"/>
        <v>0</v>
      </c>
      <c r="AB25" s="36">
        <f t="shared" ca="1" si="11"/>
        <v>0</v>
      </c>
      <c r="AC25" s="36">
        <f t="shared" ca="1" si="23"/>
        <v>14500</v>
      </c>
      <c r="AD25" s="36" cm="1">
        <f t="array" aca="1" ref="AD25" ca="1">IF($L25=0,0,IF(SUMIFS(TransCLife,TransAsset,$A25,TransIDDate,$L25)=0,0,IF(($X25-(SUMIFS(TransCRes,TransAsset,$A25,TransIDDate,$L25)))/(SUMIFS(TransCLife,TransAsset,$A25,TransIDDate,$L25)*12)*(((YEAR($H$2)*12)+MONTH($H$2))-((YEAR($L25)*12)+MONTH($L25)))&gt;=($X25-SUMIFS(TransCRes,TransAsset,$A25,TransIDDate,$L25)),$X25-SUMIFS(TransCRes,TransAsset,$A25,TransIDDate,$L25),($X25-(SUMIFS(TransCRes,TransAsset,$A25,TransIDDate,$L25)))/(SUMIFS(TransCLife,TransAsset,$A25,TransIDDate,$L25)*12)*(((YEAR($H$2)*12)+MONTH($H$2))-((YEAR($L25)*12)+MONTH($L25))))))</f>
        <v>39386.666666666672</v>
      </c>
      <c r="AE25" s="36">
        <f t="shared" ca="1" si="12"/>
        <v>2813.3333333333285</v>
      </c>
      <c r="AF25" s="36">
        <f t="shared" ca="1" si="24"/>
        <v>86.666666666671517</v>
      </c>
      <c r="AG25" s="36">
        <f t="shared" ca="1" si="13"/>
        <v>2900</v>
      </c>
      <c r="AH25" s="36">
        <f t="shared" ca="1" si="14"/>
        <v>-39386.666666666672</v>
      </c>
      <c r="AI25" s="36">
        <f t="shared" ca="1" si="15"/>
        <v>0</v>
      </c>
      <c r="AJ25" s="36">
        <f t="shared" ca="1" si="25"/>
        <v>2900</v>
      </c>
      <c r="AK25" s="36">
        <f t="shared" ca="1" si="26"/>
        <v>11600</v>
      </c>
      <c r="AL25" s="36">
        <f t="shared" ca="1" si="16"/>
        <v>0</v>
      </c>
      <c r="AM25" s="36">
        <f t="shared" ca="1" si="27"/>
        <v>11686.666666666672</v>
      </c>
      <c r="AN25" s="36">
        <f t="shared" ca="1" si="28"/>
        <v>-86.666666666671517</v>
      </c>
      <c r="AO25" s="36">
        <f t="shared" ca="1" si="17"/>
        <v>11600</v>
      </c>
      <c r="AP25" s="36">
        <f t="shared" ca="1" si="18"/>
        <v>0</v>
      </c>
      <c r="AQ25" s="36">
        <f t="shared" ca="1" si="19"/>
        <v>0</v>
      </c>
      <c r="AR25" s="36">
        <f t="shared" ca="1" si="20"/>
        <v>154.99999999999272</v>
      </c>
      <c r="AS25" s="36">
        <f t="shared" ca="1" si="29"/>
        <v>86.666666666673933</v>
      </c>
      <c r="AT25" s="36">
        <f t="shared" ca="1" si="21"/>
        <v>241.66666666666666</v>
      </c>
      <c r="AU25" s="36" cm="1">
        <f t="array" aca="1" ref="AU25" ca="1">IF($I25&lt;$H$2,IF(AND($N25&lt;&gt;"-",$N25&lt;$H$2),0,SUMIFS(TransHCost,TransAsset,$A25,TransIDDate,$J25)-SUMIFS(TransPCAccDep,TransAsset,$A25)-SUMIFS(TransImpair,TransAsset,$A25,TransIDDate,"&lt;"&amp;$H$2,TransType,"REV")),0)</f>
        <v>2813.3333333333285</v>
      </c>
      <c r="AV25" s="36">
        <f t="shared" ca="1" si="30"/>
        <v>-2813.3333333333285</v>
      </c>
      <c r="AW25" s="36">
        <f t="shared" ca="1" si="22"/>
        <v>0</v>
      </c>
      <c r="AX25" s="36" cm="1">
        <f t="array" aca="1" ref="AX25" ca="1">$AW25-IF($I25&lt;$J$2,IF(AND($N25&lt;&gt;"-",$N25&lt;$J$2),0,SUMIFS(TransHCost,TransAsset,$A25,TransIDDate,$J25)-SUMIFS(TransPMAccDep,TransAsset,$A25)-SUMIFS(TransImpair,TransAsset,$A25,TransIDDate,"&lt;"&amp;$J$2,TransType,"REV")),0)</f>
        <v>-154.99999999999272</v>
      </c>
      <c r="AY25" s="36">
        <f ca="1">IF(ISNA(MATCH($F25,TaxCode,0))=TRUE,$S25*($U25&gt;0),MAX(($S25*($U25&gt;0))-(($S25-SUMIFS(TransCRes,TransAsset,$A25,TransIDDate,$L25))*(IF($U25&lt;=11,0,MIN(SUM(OFFSET('Set-up'!$D$37,MATCH($F25,TaxCode,0),0,1,MATCH($U25,TaxCumMonth,1)))+MAX(TRUNC(($U25-60)/12)*SUM(OFFSET('Set-up'!$H$37,MATCH($F25,TaxCode,0),0,1,1)),0%),100%))))-(($S25-SUMIFS(TransCRes,TransAsset,$A25,TransIDDate,$L25))*OFFSET('Set-up'!$D$37,MATCH($F25,TaxCode,0),MATCH($U25,TaxCurMonth,1)-1,1,1)*IF(AND($U25-(TRUNC($U25/12)*12)&lt;&gt;0,OFFSET('Set-up'!$J$37,MATCH($F25,TaxCode,0),0,1,1)=0),1,(($U25-(TRUNC($U25/12)*12))/12))),SUMIFS(TransCRes,TransAsset,$A25,TransIDDate,$L25)))</f>
        <v>2813.3333333333339</v>
      </c>
      <c r="AZ25" s="36">
        <f t="shared" ca="1" si="31"/>
        <v>-2813.3333333333339</v>
      </c>
      <c r="BA25" s="36">
        <f ca="1">IF(ISNA(MATCH($F25,TaxCode,0))=TRUE,$S25*($V25&gt;0),MAX(($S25*($V25&gt;0))-(($S25-$R25)*(IF($V25&lt;=11,0,MIN(SUM(OFFSET('Set-up'!$D$37,MATCH($F25,TaxCode,0),0,1,MATCH($V25,TaxCumMonth,1)))+MAX(TRUNC(($V25-60)/12)*SUM(OFFSET('Set-up'!$H$37,MATCH($F25,TaxCode,0),0,1,1)),0%),100%))))-(($S25-$R25)*OFFSET('Set-up'!$D$37,MATCH($F25,TaxCode,0),MATCH($V25,TaxCurMonth,1)-1,1,1)*IF(AND($V25-(TRUNC($V25/12)*12)&lt;&gt;0,OFFSET('Set-up'!$J$37,MATCH($F25,TaxCode,0),0,1,1)=0),1,(($V25-(TRUNC($V25/12)*12))/12))),$R25*($V25&gt;0)))</f>
        <v>0</v>
      </c>
      <c r="BB25" s="36">
        <f ca="1">$BA25-IF(ISNA(MATCH($F25,TaxCode,0))=TRUE,$S25*($W25&gt;0),MAX(($S25*($W25&gt;0))-(($S25-SUMIFS(TransCRes,TransAsset,$A25,TransIDDate,$M25))*(IF($W25&lt;=11,0,MIN(SUM(OFFSET('Set-up'!$D$37,MATCH($F25,TaxCode,0),0,1,MATCH($W25,TaxCumMonth,1)))+MAX(TRUNC(($W25-60)/12)*SUM(OFFSET('Set-up'!$H$37,MATCH($F25,TaxCode,0),0,1,1)),0%),100%))))-(($S25-SUMIFS(TransCRes,TransAsset,$A25,TransIDDate,$M25))*OFFSET('Set-up'!$D$37,MATCH($F25,TaxCode,0),MATCH($W25,TaxCurMonth,1)-1,1,1)*IF(AND($W25-(TRUNC($W25/12)*12)&lt;&gt;0,OFFSET('Set-up'!$J$37,MATCH($F25,TaxCode,0),0,1,1)=0),1,(($W25-(TRUNC($W25/12)*12))/12))),SUMIFS(TransCRes,TransAsset,$A25,TransIDDate,$M25)*($W25&gt;0)))</f>
        <v>0</v>
      </c>
      <c r="BC25" s="36">
        <f ca="1">IF(ISNUMBER('Set-up'!$C$9)=FALSE,0,IF($F25="J",0,ROUND(($AU25-$AY25)*'Set-up'!$C$9,2)))</f>
        <v>0</v>
      </c>
      <c r="BD25" s="36">
        <f t="shared" ca="1" si="32"/>
        <v>0</v>
      </c>
      <c r="BE25" s="36">
        <f ca="1">IF(ISNUMBER('Set-up'!$C$9)=FALSE,0,IF($F25="J",0,ROUND(($AW25-$BA25)*'Set-up'!$C$9,2)))</f>
        <v>0</v>
      </c>
      <c r="BF25" s="36">
        <f ca="1">IF(ISNUMBER('Set-up'!$C$9)=FALSE,0,IF($F25="J",0,ROUND(($AX25-$BB25)*'Set-up'!$C$9,2)))</f>
        <v>-43.4</v>
      </c>
    </row>
    <row r="26" spans="1:58" ht="16" customHeight="1" x14ac:dyDescent="0.25">
      <c r="A26" s="8" t="s">
        <v>297</v>
      </c>
      <c r="B26" s="8">
        <v>636489</v>
      </c>
      <c r="C26" s="8" t="s">
        <v>34</v>
      </c>
      <c r="D26" s="4" t="s">
        <v>91</v>
      </c>
      <c r="E26" s="4" t="s">
        <v>269</v>
      </c>
      <c r="F26" s="4" t="s">
        <v>211</v>
      </c>
      <c r="G26" s="4" t="str" cm="1">
        <f t="array" aca="1" ref="G26" ca="1">IF(COUNTIF(AssetCode,$A26)&gt;1,"E1",IF(ISNA(VLOOKUP($E26,CatAll,1,0))=TRUE,"E2",IF(AND($I26="add!",$J26&lt;&gt;"add!"),"E10",IF(ISNA(VLOOKUP($F26,TaxCode,1,0))=TRUE,"E11","-"))))</f>
        <v>-</v>
      </c>
      <c r="H26" s="4" t="str">
        <f t="shared" ca="1" si="0"/>
        <v>PM</v>
      </c>
      <c r="I26" s="33">
        <f t="array" aca="1" ref="I26" ca="1">IF(ISERROR(LARGE(IF(TransAsset=$A26,IF(TransType="ACQ",TransIDDate,"add!"),"add!"),1)),"add!",LARGE(IF(TransAsset=$A26,IF(TransType="ACQ",TransIDDate,"add!"),"add!"),1))</f>
        <v>42205.000335648147</v>
      </c>
      <c r="J26" s="33">
        <f t="array" aca="1" ref="J26" ca="1">IF(ISERROR(LARGE(IF(TransAsset=$A26,TransIDDate,"add!"),1)),"add!",LARGE(IF(TransAsset=$A26,TransIDDate,"add!"),1))</f>
        <v>43891.000810185185</v>
      </c>
      <c r="K26" s="33">
        <f t="array" aca="1" ref="K26" ca="1">IF(ISERROR(LARGE(IF(TransAsset=$A26,IF(TransDate&lt;($I$2+1),TransIDDate,"-"),"-"),1)),"-",LARGE(IF(TransAsset=$A26,IF(TransDate&lt;($I$2+1),TransIDDate,"-"),"-"),1))</f>
        <v>43891.000810185185</v>
      </c>
      <c r="L26" s="33">
        <f t="array" aca="1" ref="L26" ca="1">IF(ISERROR(LARGE(IF(TransAsset=$A26,IF(TransDate&lt;$H$2,TransIDDate,"-"),"-"),1)),"-",LARGE(IF(TransAsset=$A26,IF(TransDate&lt;$H$2,TransIDDate,"-"),"-"),1))</f>
        <v>42205.000335648147</v>
      </c>
      <c r="M26" s="33">
        <f t="array" aca="1" ref="M26" ca="1">IF(ISERROR(LARGE(IF(TransAsset=$A26,IF(TransDate&lt;$J$2,TransIDDate,"-"),"-"),1)),"-",LARGE(IF(TransAsset=$A26,IF(TransDate&lt;$J$2,TransIDDate,"-"),"-"),1))</f>
        <v>43891.000810185185</v>
      </c>
      <c r="N26" s="33" t="str">
        <f t="array" aca="1" ref="N26" ca="1">IF(ISERROR(LARGE(IF(TransAsset=$A26,IF(TransType="DIS",TransIDDate,"-"),"-"),1)),"-",LARGE(IF(TransAsset=$A26,IF(TransType="DIS",TransIDDate,"-"),"-"),1))</f>
        <v>-</v>
      </c>
      <c r="O26" s="34" cm="1">
        <f t="array" aca="1" ref="O26" ca="1">IF($N26&lt;=$I$2,SUMIFS(TransProceeds,TransAsset,$A26,TransType,"DIS"),0)</f>
        <v>0</v>
      </c>
      <c r="P26" s="36" cm="1">
        <f t="array" aca="1" ref="P26" ca="1">IF($I26&lt;=($I$2+1),SUMIFS(TransHCost,TransAsset,$A26,TransIDDate,$J26),0)</f>
        <v>36900</v>
      </c>
      <c r="Q26" s="28">
        <f t="shared" ca="1" si="1"/>
        <v>5</v>
      </c>
      <c r="R26" s="28">
        <f t="shared" ca="1" si="2"/>
        <v>0</v>
      </c>
      <c r="S26" s="36">
        <f t="shared" ca="1" si="3"/>
        <v>36900</v>
      </c>
      <c r="T26" s="35">
        <f ca="1">IF(ISNA(MATCH($F26,TaxCode,0))=TRUE,"code?",OFFSET('Set-up'!$D$37,MATCH($F26,TaxCode,0),MATCH($V26,TaxCurMonth,1)-1,1,1))</f>
        <v>0.2</v>
      </c>
      <c r="U26" s="28">
        <f t="shared" ca="1" si="4"/>
        <v>56</v>
      </c>
      <c r="V26" s="28">
        <f t="shared" ca="1" si="5"/>
        <v>68</v>
      </c>
      <c r="W26" s="28">
        <f t="shared" ca="1" si="6"/>
        <v>67</v>
      </c>
      <c r="X26" s="36">
        <f t="shared" ca="1" si="7"/>
        <v>36900</v>
      </c>
      <c r="Y26" s="36">
        <f t="shared" ca="1" si="8"/>
        <v>0</v>
      </c>
      <c r="Z26" s="36">
        <f t="shared" ca="1" si="9"/>
        <v>-26445</v>
      </c>
      <c r="AA26" s="36">
        <f t="shared" ca="1" si="10"/>
        <v>0</v>
      </c>
      <c r="AB26" s="36">
        <f t="shared" ca="1" si="11"/>
        <v>0</v>
      </c>
      <c r="AC26" s="36">
        <f t="shared" ca="1" si="23"/>
        <v>10455</v>
      </c>
      <c r="AD26" s="36" cm="1">
        <f t="array" aca="1" ref="AD26" ca="1">IF($L26=0,0,IF(SUMIFS(TransCLife,TransAsset,$A26,TransIDDate,$L26)=0,0,IF(($X26-(SUMIFS(TransCRes,TransAsset,$A26,TransIDDate,$L26)))/(SUMIFS(TransCLife,TransAsset,$A26,TransIDDate,$L26)*12)*(((YEAR($H$2)*12)+MONTH($H$2))-((YEAR($L26)*12)+MONTH($L26)))&gt;=($X26-SUMIFS(TransCRes,TransAsset,$A26,TransIDDate,$L26)),$X26-SUMIFS(TransCRes,TransAsset,$A26,TransIDDate,$L26),($X26-(SUMIFS(TransCRes,TransAsset,$A26,TransIDDate,$L26)))/(SUMIFS(TransCLife,TransAsset,$A26,TransIDDate,$L26)*12)*(((YEAR($H$2)*12)+MONTH($H$2))-((YEAR($L26)*12)+MONTH($L26))))))</f>
        <v>34440</v>
      </c>
      <c r="AE26" s="36">
        <f t="shared" ca="1" si="12"/>
        <v>2091</v>
      </c>
      <c r="AF26" s="36">
        <f t="shared" ca="1" si="24"/>
        <v>0</v>
      </c>
      <c r="AG26" s="36">
        <f t="shared" ca="1" si="13"/>
        <v>2091</v>
      </c>
      <c r="AH26" s="36">
        <f t="shared" ca="1" si="14"/>
        <v>-34440</v>
      </c>
      <c r="AI26" s="36">
        <f t="shared" ca="1" si="15"/>
        <v>0</v>
      </c>
      <c r="AJ26" s="36">
        <f t="shared" ca="1" si="25"/>
        <v>2091</v>
      </c>
      <c r="AK26" s="36">
        <f t="shared" ca="1" si="26"/>
        <v>8364</v>
      </c>
      <c r="AL26" s="36">
        <f t="shared" ca="1" si="16"/>
        <v>0</v>
      </c>
      <c r="AM26" s="36">
        <f t="shared" ca="1" si="27"/>
        <v>7995</v>
      </c>
      <c r="AN26" s="36">
        <f t="shared" ca="1" si="28"/>
        <v>0</v>
      </c>
      <c r="AO26" s="36">
        <f t="shared" ca="1" si="17"/>
        <v>7995</v>
      </c>
      <c r="AP26" s="36">
        <f t="shared" ca="1" si="18"/>
        <v>0</v>
      </c>
      <c r="AQ26" s="36">
        <f t="shared" ca="1" si="19"/>
        <v>0</v>
      </c>
      <c r="AR26" s="36">
        <f t="shared" ca="1" si="20"/>
        <v>174.25</v>
      </c>
      <c r="AS26" s="36">
        <f t="shared" ca="1" si="29"/>
        <v>0</v>
      </c>
      <c r="AT26" s="36">
        <f t="shared" ca="1" si="21"/>
        <v>174.25</v>
      </c>
      <c r="AU26" s="36" cm="1">
        <f t="array" aca="1" ref="AU26" ca="1">IF($I26&lt;$H$2,IF(AND($N26&lt;&gt;"-",$N26&lt;$H$2),0,SUMIFS(TransHCost,TransAsset,$A26,TransIDDate,$J26)-SUMIFS(TransPCAccDep,TransAsset,$A26)-SUMIFS(TransImpair,TransAsset,$A26,TransIDDate,"&lt;"&amp;$H$2,TransType,"REV")),0)</f>
        <v>2460</v>
      </c>
      <c r="AV26" s="36">
        <f t="shared" ca="1" si="30"/>
        <v>-2091</v>
      </c>
      <c r="AW26" s="36">
        <f t="shared" ca="1" si="22"/>
        <v>369</v>
      </c>
      <c r="AX26" s="36" cm="1">
        <f t="array" aca="1" ref="AX26" ca="1">$AW26-IF($I26&lt;$J$2,IF(AND($N26&lt;&gt;"-",$N26&lt;$J$2),0,SUMIFS(TransHCost,TransAsset,$A26,TransIDDate,$J26)-SUMIFS(TransPMAccDep,TransAsset,$A26)-SUMIFS(TransImpair,TransAsset,$A26,TransIDDate,"&lt;"&amp;$J$2,TransType,"REV")),0)</f>
        <v>-174.25</v>
      </c>
      <c r="AY26" s="36">
        <f ca="1">IF(ISNA(MATCH($F26,TaxCode,0))=TRUE,$S26*($U26&gt;0),MAX(($S26*($U26&gt;0))-(($S26-SUMIFS(TransCRes,TransAsset,$A26,TransIDDate,$L26))*(IF($U26&lt;=11,0,MIN(SUM(OFFSET('Set-up'!$D$37,MATCH($F26,TaxCode,0),0,1,MATCH($U26,TaxCumMonth,1)))+MAX(TRUNC(($U26-60)/12)*SUM(OFFSET('Set-up'!$H$37,MATCH($F26,TaxCode,0),0,1,1)),0%),100%))))-(($S26-SUMIFS(TransCRes,TransAsset,$A26,TransIDDate,$L26))*OFFSET('Set-up'!$D$37,MATCH($F26,TaxCode,0),MATCH($U26,TaxCurMonth,1)-1,1,1)*IF(AND($U26-(TRUNC($U26/12)*12)&lt;&gt;0,OFFSET('Set-up'!$J$37,MATCH($F26,TaxCode,0),0,1,1)=0),1,(($U26-(TRUNC($U26/12)*12))/12))),SUMIFS(TransCRes,TransAsset,$A26,TransIDDate,$L26)))</f>
        <v>2460</v>
      </c>
      <c r="AZ26" s="36">
        <f t="shared" ca="1" si="31"/>
        <v>-2460</v>
      </c>
      <c r="BA26" s="36">
        <f ca="1">IF(ISNA(MATCH($F26,TaxCode,0))=TRUE,$S26*($V26&gt;0),MAX(($S26*($V26&gt;0))-(($S26-$R26)*(IF($V26&lt;=11,0,MIN(SUM(OFFSET('Set-up'!$D$37,MATCH($F26,TaxCode,0),0,1,MATCH($V26,TaxCumMonth,1)))+MAX(TRUNC(($V26-60)/12)*SUM(OFFSET('Set-up'!$H$37,MATCH($F26,TaxCode,0),0,1,1)),0%),100%))))-(($S26-$R26)*OFFSET('Set-up'!$D$37,MATCH($F26,TaxCode,0),MATCH($V26,TaxCurMonth,1)-1,1,1)*IF(AND($V26-(TRUNC($V26/12)*12)&lt;&gt;0,OFFSET('Set-up'!$J$37,MATCH($F26,TaxCode,0),0,1,1)=0),1,(($V26-(TRUNC($V26/12)*12))/12))),$R26*($V26&gt;0)))</f>
        <v>0</v>
      </c>
      <c r="BB26" s="36">
        <f ca="1">$BA26-IF(ISNA(MATCH($F26,TaxCode,0))=TRUE,$S26*($W26&gt;0),MAX(($S26*($W26&gt;0))-(($S26-SUMIFS(TransCRes,TransAsset,$A26,TransIDDate,$M26))*(IF($W26&lt;=11,0,MIN(SUM(OFFSET('Set-up'!$D$37,MATCH($F26,TaxCode,0),0,1,MATCH($W26,TaxCumMonth,1)))+MAX(TRUNC(($W26-60)/12)*SUM(OFFSET('Set-up'!$H$37,MATCH($F26,TaxCode,0),0,1,1)),0%),100%))))-(($S26-SUMIFS(TransCRes,TransAsset,$A26,TransIDDate,$M26))*OFFSET('Set-up'!$D$37,MATCH($F26,TaxCode,0),MATCH($W26,TaxCurMonth,1)-1,1,1)*IF(AND($W26-(TRUNC($W26/12)*12)&lt;&gt;0,OFFSET('Set-up'!$J$37,MATCH($F26,TaxCode,0),0,1,1)=0),1,(($W26-(TRUNC($W26/12)*12))/12))),SUMIFS(TransCRes,TransAsset,$A26,TransIDDate,$M26)*($W26&gt;0)))</f>
        <v>0</v>
      </c>
      <c r="BC26" s="36">
        <f ca="1">IF(ISNUMBER('Set-up'!$C$9)=FALSE,0,IF($F26="J",0,ROUND(($AU26-$AY26)*'Set-up'!$C$9,2)))</f>
        <v>0</v>
      </c>
      <c r="BD26" s="36">
        <f t="shared" ca="1" si="32"/>
        <v>103.32</v>
      </c>
      <c r="BE26" s="36">
        <f ca="1">IF(ISNUMBER('Set-up'!$C$9)=FALSE,0,IF($F26="J",0,ROUND(($AW26-$BA26)*'Set-up'!$C$9,2)))</f>
        <v>103.32</v>
      </c>
      <c r="BF26" s="36">
        <f ca="1">IF(ISNUMBER('Set-up'!$C$9)=FALSE,0,IF($F26="J",0,ROUND(($AX26-$BB26)*'Set-up'!$C$9,2)))</f>
        <v>-48.79</v>
      </c>
    </row>
    <row r="27" spans="1:58" ht="16" customHeight="1" x14ac:dyDescent="0.25">
      <c r="A27" s="8" t="s">
        <v>298</v>
      </c>
      <c r="B27" s="8">
        <v>226563</v>
      </c>
      <c r="C27" s="8" t="s">
        <v>35</v>
      </c>
      <c r="D27" s="4" t="s">
        <v>91</v>
      </c>
      <c r="E27" s="4" t="s">
        <v>269</v>
      </c>
      <c r="F27" s="4" t="s">
        <v>211</v>
      </c>
      <c r="G27" s="4" t="str" cm="1">
        <f t="array" aca="1" ref="G27" ca="1">IF(COUNTIF(AssetCode,$A27)&gt;1,"E1",IF(ISNA(VLOOKUP($E27,CatAll,1,0))=TRUE,"E2",IF(AND($I27="add!",$J27&lt;&gt;"add!"),"E10",IF(ISNA(VLOOKUP($F27,TaxCode,1,0))=TRUE,"E11","-"))))</f>
        <v>-</v>
      </c>
      <c r="H27" s="4" t="str">
        <f t="shared" ca="1" si="0"/>
        <v>PM</v>
      </c>
      <c r="I27" s="33">
        <f t="array" aca="1" ref="I27" ca="1">IF(ISERROR(LARGE(IF(TransAsset=$A27,IF(TransType="ACQ",TransIDDate,"add!"),"add!"),1)),"add!",LARGE(IF(TransAsset=$A27,IF(TransType="ACQ",TransIDDate,"add!"),"add!"),1))</f>
        <v>42205.000347222223</v>
      </c>
      <c r="J27" s="33">
        <f t="array" aca="1" ref="J27" ca="1">IF(ISERROR(LARGE(IF(TransAsset=$A27,TransIDDate,"add!"),1)),"add!",LARGE(IF(TransAsset=$A27,TransIDDate,"add!"),1))</f>
        <v>43891.000821759262</v>
      </c>
      <c r="K27" s="33">
        <f t="array" aca="1" ref="K27" ca="1">IF(ISERROR(LARGE(IF(TransAsset=$A27,IF(TransDate&lt;($I$2+1),TransIDDate,"-"),"-"),1)),"-",LARGE(IF(TransAsset=$A27,IF(TransDate&lt;($I$2+1),TransIDDate,"-"),"-"),1))</f>
        <v>43891.000821759262</v>
      </c>
      <c r="L27" s="33">
        <f t="array" aca="1" ref="L27" ca="1">IF(ISERROR(LARGE(IF(TransAsset=$A27,IF(TransDate&lt;$H$2,TransIDDate,"-"),"-"),1)),"-",LARGE(IF(TransAsset=$A27,IF(TransDate&lt;$H$2,TransIDDate,"-"),"-"),1))</f>
        <v>42205.000347222223</v>
      </c>
      <c r="M27" s="33">
        <f t="array" aca="1" ref="M27" ca="1">IF(ISERROR(LARGE(IF(TransAsset=$A27,IF(TransDate&lt;$J$2,TransIDDate,"-"),"-"),1)),"-",LARGE(IF(TransAsset=$A27,IF(TransDate&lt;$J$2,TransIDDate,"-"),"-"),1))</f>
        <v>43891.000821759262</v>
      </c>
      <c r="N27" s="33" t="str">
        <f t="array" aca="1" ref="N27" ca="1">IF(ISERROR(LARGE(IF(TransAsset=$A27,IF(TransType="DIS",TransIDDate,"-"),"-"),1)),"-",LARGE(IF(TransAsset=$A27,IF(TransType="DIS",TransIDDate,"-"),"-"),1))</f>
        <v>-</v>
      </c>
      <c r="O27" s="34" cm="1">
        <f t="array" aca="1" ref="O27" ca="1">IF($N27&lt;=$I$2,SUMIFS(TransProceeds,TransAsset,$A27,TransType,"DIS"),0)</f>
        <v>0</v>
      </c>
      <c r="P27" s="36" cm="1">
        <f t="array" aca="1" ref="P27" ca="1">IF($I27&lt;=($I$2+1),SUMIFS(TransHCost,TransAsset,$A27,TransIDDate,$J27),0)</f>
        <v>49950</v>
      </c>
      <c r="Q27" s="28">
        <f t="shared" ca="1" si="1"/>
        <v>5</v>
      </c>
      <c r="R27" s="28">
        <f t="shared" ca="1" si="2"/>
        <v>0</v>
      </c>
      <c r="S27" s="36">
        <f t="shared" ca="1" si="3"/>
        <v>49950</v>
      </c>
      <c r="T27" s="35">
        <f ca="1">IF(ISNA(MATCH($F27,TaxCode,0))=TRUE,"code?",OFFSET('Set-up'!$D$37,MATCH($F27,TaxCode,0),MATCH($V27,TaxCurMonth,1)-1,1,1))</f>
        <v>0.2</v>
      </c>
      <c r="U27" s="28">
        <f t="shared" ca="1" si="4"/>
        <v>56</v>
      </c>
      <c r="V27" s="28">
        <f t="shared" ca="1" si="5"/>
        <v>68</v>
      </c>
      <c r="W27" s="28">
        <f t="shared" ca="1" si="6"/>
        <v>67</v>
      </c>
      <c r="X27" s="36">
        <f t="shared" ca="1" si="7"/>
        <v>49950</v>
      </c>
      <c r="Y27" s="36">
        <f t="shared" ca="1" si="8"/>
        <v>0</v>
      </c>
      <c r="Z27" s="36">
        <f t="shared" ca="1" si="9"/>
        <v>-34950</v>
      </c>
      <c r="AA27" s="36">
        <f t="shared" ca="1" si="10"/>
        <v>0</v>
      </c>
      <c r="AB27" s="36">
        <f t="shared" ca="1" si="11"/>
        <v>0</v>
      </c>
      <c r="AC27" s="36">
        <f t="shared" ca="1" si="23"/>
        <v>15000</v>
      </c>
      <c r="AD27" s="36" cm="1">
        <f t="array" aca="1" ref="AD27" ca="1">IF($L27=0,0,IF(SUMIFS(TransCLife,TransAsset,$A27,TransIDDate,$L27)=0,0,IF(($X27-(SUMIFS(TransCRes,TransAsset,$A27,TransIDDate,$L27)))/(SUMIFS(TransCLife,TransAsset,$A27,TransIDDate,$L27)*12)*(((YEAR($H$2)*12)+MONTH($H$2))-((YEAR($L27)*12)+MONTH($L27)))&gt;=($X27-SUMIFS(TransCRes,TransAsset,$A27,TransIDDate,$L27)),$X27-SUMIFS(TransCRes,TransAsset,$A27,TransIDDate,$L27),($X27-(SUMIFS(TransCRes,TransAsset,$A27,TransIDDate,$L27)))/(SUMIFS(TransCLife,TransAsset,$A27,TransIDDate,$L27)*12)*(((YEAR($H$2)*12)+MONTH($H$2))-((YEAR($L27)*12)+MONTH($L27))))))</f>
        <v>46620</v>
      </c>
      <c r="AE27" s="36">
        <f t="shared" ca="1" si="12"/>
        <v>3000</v>
      </c>
      <c r="AF27" s="36">
        <f t="shared" ca="1" si="24"/>
        <v>0</v>
      </c>
      <c r="AG27" s="36">
        <f t="shared" ca="1" si="13"/>
        <v>3000</v>
      </c>
      <c r="AH27" s="36">
        <f t="shared" ca="1" si="14"/>
        <v>-46620</v>
      </c>
      <c r="AI27" s="36">
        <f t="shared" ca="1" si="15"/>
        <v>0</v>
      </c>
      <c r="AJ27" s="36">
        <f t="shared" ca="1" si="25"/>
        <v>3000</v>
      </c>
      <c r="AK27" s="36">
        <f t="shared" ca="1" si="26"/>
        <v>12000</v>
      </c>
      <c r="AL27" s="36">
        <f t="shared" ca="1" si="16"/>
        <v>0</v>
      </c>
      <c r="AM27" s="36">
        <f t="shared" ca="1" si="27"/>
        <v>11670</v>
      </c>
      <c r="AN27" s="36">
        <f t="shared" ca="1" si="28"/>
        <v>0</v>
      </c>
      <c r="AO27" s="36">
        <f t="shared" ca="1" si="17"/>
        <v>11670</v>
      </c>
      <c r="AP27" s="36">
        <f t="shared" ca="1" si="18"/>
        <v>0</v>
      </c>
      <c r="AQ27" s="36">
        <f t="shared" ca="1" si="19"/>
        <v>0</v>
      </c>
      <c r="AR27" s="36">
        <f t="shared" ca="1" si="20"/>
        <v>250</v>
      </c>
      <c r="AS27" s="36">
        <f t="shared" ca="1" si="29"/>
        <v>0</v>
      </c>
      <c r="AT27" s="36">
        <f t="shared" ca="1" si="21"/>
        <v>250</v>
      </c>
      <c r="AU27" s="36" cm="1">
        <f t="array" aca="1" ref="AU27" ca="1">IF($I27&lt;$H$2,IF(AND($N27&lt;&gt;"-",$N27&lt;$H$2),0,SUMIFS(TransHCost,TransAsset,$A27,TransIDDate,$J27)-SUMIFS(TransPCAccDep,TransAsset,$A27)-SUMIFS(TransImpair,TransAsset,$A27,TransIDDate,"&lt;"&amp;$H$2,TransType,"REV")),0)</f>
        <v>3330</v>
      </c>
      <c r="AV27" s="36">
        <f t="shared" ca="1" si="30"/>
        <v>-3000</v>
      </c>
      <c r="AW27" s="36">
        <f t="shared" ca="1" si="22"/>
        <v>330</v>
      </c>
      <c r="AX27" s="36" cm="1">
        <f t="array" aca="1" ref="AX27" ca="1">$AW27-IF($I27&lt;$J$2,IF(AND($N27&lt;&gt;"-",$N27&lt;$J$2),0,SUMIFS(TransHCost,TransAsset,$A27,TransIDDate,$J27)-SUMIFS(TransPMAccDep,TransAsset,$A27)-SUMIFS(TransImpair,TransAsset,$A27,TransIDDate,"&lt;"&amp;$J$2,TransType,"REV")),0)</f>
        <v>-250</v>
      </c>
      <c r="AY27" s="36">
        <f ca="1">IF(ISNA(MATCH($F27,TaxCode,0))=TRUE,$S27*($U27&gt;0),MAX(($S27*($U27&gt;0))-(($S27-SUMIFS(TransCRes,TransAsset,$A27,TransIDDate,$L27))*(IF($U27&lt;=11,0,MIN(SUM(OFFSET('Set-up'!$D$37,MATCH($F27,TaxCode,0),0,1,MATCH($U27,TaxCumMonth,1)))+MAX(TRUNC(($U27-60)/12)*SUM(OFFSET('Set-up'!$H$37,MATCH($F27,TaxCode,0),0,1,1)),0%),100%))))-(($S27-SUMIFS(TransCRes,TransAsset,$A27,TransIDDate,$L27))*OFFSET('Set-up'!$D$37,MATCH($F27,TaxCode,0),MATCH($U27,TaxCurMonth,1)-1,1,1)*IF(AND($U27-(TRUNC($U27/12)*12)&lt;&gt;0,OFFSET('Set-up'!$J$37,MATCH($F27,TaxCode,0),0,1,1)=0),1,(($U27-(TRUNC($U27/12)*12))/12))),SUMIFS(TransCRes,TransAsset,$A27,TransIDDate,$L27)))</f>
        <v>3330</v>
      </c>
      <c r="AZ27" s="36">
        <f t="shared" ca="1" si="31"/>
        <v>-3330</v>
      </c>
      <c r="BA27" s="36">
        <f ca="1">IF(ISNA(MATCH($F27,TaxCode,0))=TRUE,$S27*($V27&gt;0),MAX(($S27*($V27&gt;0))-(($S27-$R27)*(IF($V27&lt;=11,0,MIN(SUM(OFFSET('Set-up'!$D$37,MATCH($F27,TaxCode,0),0,1,MATCH($V27,TaxCumMonth,1)))+MAX(TRUNC(($V27-60)/12)*SUM(OFFSET('Set-up'!$H$37,MATCH($F27,TaxCode,0),0,1,1)),0%),100%))))-(($S27-$R27)*OFFSET('Set-up'!$D$37,MATCH($F27,TaxCode,0),MATCH($V27,TaxCurMonth,1)-1,1,1)*IF(AND($V27-(TRUNC($V27/12)*12)&lt;&gt;0,OFFSET('Set-up'!$J$37,MATCH($F27,TaxCode,0),0,1,1)=0),1,(($V27-(TRUNC($V27/12)*12))/12))),$R27*($V27&gt;0)))</f>
        <v>0</v>
      </c>
      <c r="BB27" s="36">
        <f ca="1">$BA27-IF(ISNA(MATCH($F27,TaxCode,0))=TRUE,$S27*($W27&gt;0),MAX(($S27*($W27&gt;0))-(($S27-SUMIFS(TransCRes,TransAsset,$A27,TransIDDate,$M27))*(IF($W27&lt;=11,0,MIN(SUM(OFFSET('Set-up'!$D$37,MATCH($F27,TaxCode,0),0,1,MATCH($W27,TaxCumMonth,1)))+MAX(TRUNC(($W27-60)/12)*SUM(OFFSET('Set-up'!$H$37,MATCH($F27,TaxCode,0),0,1,1)),0%),100%))))-(($S27-SUMIFS(TransCRes,TransAsset,$A27,TransIDDate,$M27))*OFFSET('Set-up'!$D$37,MATCH($F27,TaxCode,0),MATCH($W27,TaxCurMonth,1)-1,1,1)*IF(AND($W27-(TRUNC($W27/12)*12)&lt;&gt;0,OFFSET('Set-up'!$J$37,MATCH($F27,TaxCode,0),0,1,1)=0),1,(($W27-(TRUNC($W27/12)*12))/12))),SUMIFS(TransCRes,TransAsset,$A27,TransIDDate,$M27)*($W27&gt;0)))</f>
        <v>0</v>
      </c>
      <c r="BC27" s="36">
        <f ca="1">IF(ISNUMBER('Set-up'!$C$9)=FALSE,0,IF($F27="J",0,ROUND(($AU27-$AY27)*'Set-up'!$C$9,2)))</f>
        <v>0</v>
      </c>
      <c r="BD27" s="36">
        <f t="shared" ca="1" si="32"/>
        <v>92.4</v>
      </c>
      <c r="BE27" s="36">
        <f ca="1">IF(ISNUMBER('Set-up'!$C$9)=FALSE,0,IF($F27="J",0,ROUND(($AW27-$BA27)*'Set-up'!$C$9,2)))</f>
        <v>92.4</v>
      </c>
      <c r="BF27" s="36">
        <f ca="1">IF(ISNUMBER('Set-up'!$C$9)=FALSE,0,IF($F27="J",0,ROUND(($AX27-$BB27)*'Set-up'!$C$9,2)))</f>
        <v>-70</v>
      </c>
    </row>
    <row r="28" spans="1:58" ht="16" customHeight="1" x14ac:dyDescent="0.25">
      <c r="A28" s="8" t="s">
        <v>299</v>
      </c>
      <c r="B28" s="8">
        <v>287484</v>
      </c>
      <c r="C28" s="8" t="s">
        <v>36</v>
      </c>
      <c r="D28" s="4" t="s">
        <v>91</v>
      </c>
      <c r="E28" s="4" t="s">
        <v>269</v>
      </c>
      <c r="F28" s="4" t="s">
        <v>211</v>
      </c>
      <c r="G28" s="4" t="str" cm="1">
        <f t="array" aca="1" ref="G28" ca="1">IF(COUNTIF(AssetCode,$A28)&gt;1,"E1",IF(ISNA(VLOOKUP($E28,CatAll,1,0))=TRUE,"E2",IF(AND($I28="add!",$J28&lt;&gt;"add!"),"E10",IF(ISNA(VLOOKUP($F28,TaxCode,1,0))=TRUE,"E11","-"))))</f>
        <v>-</v>
      </c>
      <c r="H28" s="4" t="str">
        <f t="shared" ca="1" si="0"/>
        <v>PM</v>
      </c>
      <c r="I28" s="33">
        <f t="array" aca="1" ref="I28" ca="1">IF(ISERROR(LARGE(IF(TransAsset=$A28,IF(TransType="ACQ",TransIDDate,"add!"),"add!"),1)),"add!",LARGE(IF(TransAsset=$A28,IF(TransType="ACQ",TransIDDate,"add!"),"add!"),1))</f>
        <v>42205.000358796293</v>
      </c>
      <c r="J28" s="33">
        <f t="array" aca="1" ref="J28" ca="1">IF(ISERROR(LARGE(IF(TransAsset=$A28,TransIDDate,"add!"),1)),"add!",LARGE(IF(TransAsset=$A28,TransIDDate,"add!"),1))</f>
        <v>43891.000833333332</v>
      </c>
      <c r="K28" s="33">
        <f t="array" aca="1" ref="K28" ca="1">IF(ISERROR(LARGE(IF(TransAsset=$A28,IF(TransDate&lt;($I$2+1),TransIDDate,"-"),"-"),1)),"-",LARGE(IF(TransAsset=$A28,IF(TransDate&lt;($I$2+1),TransIDDate,"-"),"-"),1))</f>
        <v>43891.000833333332</v>
      </c>
      <c r="L28" s="33">
        <f t="array" aca="1" ref="L28" ca="1">IF(ISERROR(LARGE(IF(TransAsset=$A28,IF(TransDate&lt;$H$2,TransIDDate,"-"),"-"),1)),"-",LARGE(IF(TransAsset=$A28,IF(TransDate&lt;$H$2,TransIDDate,"-"),"-"),1))</f>
        <v>42205.000358796293</v>
      </c>
      <c r="M28" s="33">
        <f t="array" aca="1" ref="M28" ca="1">IF(ISERROR(LARGE(IF(TransAsset=$A28,IF(TransDate&lt;$J$2,TransIDDate,"-"),"-"),1)),"-",LARGE(IF(TransAsset=$A28,IF(TransDate&lt;$J$2,TransIDDate,"-"),"-"),1))</f>
        <v>43891.000833333332</v>
      </c>
      <c r="N28" s="33" t="str">
        <f t="array" aca="1" ref="N28" ca="1">IF(ISERROR(LARGE(IF(TransAsset=$A28,IF(TransType="DIS",TransIDDate,"-"),"-"),1)),"-",LARGE(IF(TransAsset=$A28,IF(TransType="DIS",TransIDDate,"-"),"-"),1))</f>
        <v>-</v>
      </c>
      <c r="O28" s="34" cm="1">
        <f t="array" aca="1" ref="O28" ca="1">IF($N28&lt;=$I$2,SUMIFS(TransProceeds,TransAsset,$A28,TransType,"DIS"),0)</f>
        <v>0</v>
      </c>
      <c r="P28" s="36" cm="1">
        <f t="array" aca="1" ref="P28" ca="1">IF($I28&lt;=($I$2+1),SUMIFS(TransHCost,TransAsset,$A28,TransIDDate,$J28),0)</f>
        <v>113130</v>
      </c>
      <c r="Q28" s="28">
        <f t="shared" ca="1" si="1"/>
        <v>5</v>
      </c>
      <c r="R28" s="28">
        <f t="shared" ca="1" si="2"/>
        <v>0</v>
      </c>
      <c r="S28" s="36">
        <f t="shared" ca="1" si="3"/>
        <v>113130</v>
      </c>
      <c r="T28" s="35">
        <f ca="1">IF(ISNA(MATCH($F28,TaxCode,0))=TRUE,"code?",OFFSET('Set-up'!$D$37,MATCH($F28,TaxCode,0),MATCH($V28,TaxCurMonth,1)-1,1,1))</f>
        <v>0.2</v>
      </c>
      <c r="U28" s="28">
        <f t="shared" ca="1" si="4"/>
        <v>56</v>
      </c>
      <c r="V28" s="28">
        <f t="shared" ca="1" si="5"/>
        <v>68</v>
      </c>
      <c r="W28" s="28">
        <f t="shared" ca="1" si="6"/>
        <v>67</v>
      </c>
      <c r="X28" s="36">
        <f t="shared" ca="1" si="7"/>
        <v>113130</v>
      </c>
      <c r="Y28" s="36">
        <f t="shared" ca="1" si="8"/>
        <v>0</v>
      </c>
      <c r="Z28" s="36">
        <f t="shared" ca="1" si="9"/>
        <v>-80630</v>
      </c>
      <c r="AA28" s="36">
        <f t="shared" ca="1" si="10"/>
        <v>0</v>
      </c>
      <c r="AB28" s="36">
        <f t="shared" ca="1" si="11"/>
        <v>0</v>
      </c>
      <c r="AC28" s="36">
        <f t="shared" ca="1" si="23"/>
        <v>32500</v>
      </c>
      <c r="AD28" s="36" cm="1">
        <f t="array" aca="1" ref="AD28" ca="1">IF($L28=0,0,IF(SUMIFS(TransCLife,TransAsset,$A28,TransIDDate,$L28)=0,0,IF(($X28-(SUMIFS(TransCRes,TransAsset,$A28,TransIDDate,$L28)))/(SUMIFS(TransCLife,TransAsset,$A28,TransIDDate,$L28)*12)*(((YEAR($H$2)*12)+MONTH($H$2))-((YEAR($L28)*12)+MONTH($L28)))&gt;=($X28-SUMIFS(TransCRes,TransAsset,$A28,TransIDDate,$L28)),$X28-SUMIFS(TransCRes,TransAsset,$A28,TransIDDate,$L28),($X28-(SUMIFS(TransCRes,TransAsset,$A28,TransIDDate,$L28)))/(SUMIFS(TransCLife,TransAsset,$A28,TransIDDate,$L28)*12)*(((YEAR($H$2)*12)+MONTH($H$2))-((YEAR($L28)*12)+MONTH($L28))))))</f>
        <v>105588</v>
      </c>
      <c r="AE28" s="36">
        <f t="shared" ca="1" si="12"/>
        <v>6500</v>
      </c>
      <c r="AF28" s="36">
        <f t="shared" ca="1" si="24"/>
        <v>0</v>
      </c>
      <c r="AG28" s="36">
        <f t="shared" ca="1" si="13"/>
        <v>6500</v>
      </c>
      <c r="AH28" s="36">
        <f t="shared" ca="1" si="14"/>
        <v>-105588</v>
      </c>
      <c r="AI28" s="36">
        <f t="shared" ca="1" si="15"/>
        <v>0</v>
      </c>
      <c r="AJ28" s="36">
        <f t="shared" ca="1" si="25"/>
        <v>6500</v>
      </c>
      <c r="AK28" s="36">
        <f t="shared" ca="1" si="26"/>
        <v>26000</v>
      </c>
      <c r="AL28" s="36">
        <f t="shared" ca="1" si="16"/>
        <v>0</v>
      </c>
      <c r="AM28" s="36">
        <f t="shared" ca="1" si="27"/>
        <v>24958</v>
      </c>
      <c r="AN28" s="36">
        <f t="shared" ca="1" si="28"/>
        <v>0</v>
      </c>
      <c r="AO28" s="36">
        <f t="shared" ca="1" si="17"/>
        <v>24958</v>
      </c>
      <c r="AP28" s="36">
        <f t="shared" ca="1" si="18"/>
        <v>0</v>
      </c>
      <c r="AQ28" s="36">
        <f t="shared" ca="1" si="19"/>
        <v>0</v>
      </c>
      <c r="AR28" s="36">
        <f t="shared" ca="1" si="20"/>
        <v>541.66666666666663</v>
      </c>
      <c r="AS28" s="36">
        <f t="shared" ca="1" si="29"/>
        <v>0</v>
      </c>
      <c r="AT28" s="36">
        <f t="shared" ca="1" si="21"/>
        <v>541.66666666666663</v>
      </c>
      <c r="AU28" s="36" cm="1">
        <f t="array" aca="1" ref="AU28" ca="1">IF($I28&lt;$H$2,IF(AND($N28&lt;&gt;"-",$N28&lt;$H$2),0,SUMIFS(TransHCost,TransAsset,$A28,TransIDDate,$J28)-SUMIFS(TransPCAccDep,TransAsset,$A28)-SUMIFS(TransImpair,TransAsset,$A28,TransIDDate,"&lt;"&amp;$H$2,TransType,"REV")),0)</f>
        <v>7542</v>
      </c>
      <c r="AV28" s="36">
        <f t="shared" ca="1" si="30"/>
        <v>-6500</v>
      </c>
      <c r="AW28" s="36">
        <f t="shared" ca="1" si="22"/>
        <v>1042</v>
      </c>
      <c r="AX28" s="36" cm="1">
        <f t="array" aca="1" ref="AX28" ca="1">$AW28-IF($I28&lt;$J$2,IF(AND($N28&lt;&gt;"-",$N28&lt;$J$2),0,SUMIFS(TransHCost,TransAsset,$A28,TransIDDate,$J28)-SUMIFS(TransPMAccDep,TransAsset,$A28)-SUMIFS(TransImpair,TransAsset,$A28,TransIDDate,"&lt;"&amp;$J$2,TransType,"REV")),0)</f>
        <v>-541.66666666667152</v>
      </c>
      <c r="AY28" s="36">
        <f ca="1">IF(ISNA(MATCH($F28,TaxCode,0))=TRUE,$S28*($U28&gt;0),MAX(($S28*($U28&gt;0))-(($S28-SUMIFS(TransCRes,TransAsset,$A28,TransIDDate,$L28))*(IF($U28&lt;=11,0,MIN(SUM(OFFSET('Set-up'!$D$37,MATCH($F28,TaxCode,0),0,1,MATCH($U28,TaxCumMonth,1)))+MAX(TRUNC(($U28-60)/12)*SUM(OFFSET('Set-up'!$H$37,MATCH($F28,TaxCode,0),0,1,1)),0%),100%))))-(($S28-SUMIFS(TransCRes,TransAsset,$A28,TransIDDate,$L28))*OFFSET('Set-up'!$D$37,MATCH($F28,TaxCode,0),MATCH($U28,TaxCurMonth,1)-1,1,1)*IF(AND($U28-(TRUNC($U28/12)*12)&lt;&gt;0,OFFSET('Set-up'!$J$37,MATCH($F28,TaxCode,0),0,1,1)=0),1,(($U28-(TRUNC($U28/12)*12))/12))),SUMIFS(TransCRes,TransAsset,$A28,TransIDDate,$L28)))</f>
        <v>7542</v>
      </c>
      <c r="AZ28" s="36">
        <f t="shared" ca="1" si="31"/>
        <v>-7542</v>
      </c>
      <c r="BA28" s="36">
        <f ca="1">IF(ISNA(MATCH($F28,TaxCode,0))=TRUE,$S28*($V28&gt;0),MAX(($S28*($V28&gt;0))-(($S28-$R28)*(IF($V28&lt;=11,0,MIN(SUM(OFFSET('Set-up'!$D$37,MATCH($F28,TaxCode,0),0,1,MATCH($V28,TaxCumMonth,1)))+MAX(TRUNC(($V28-60)/12)*SUM(OFFSET('Set-up'!$H$37,MATCH($F28,TaxCode,0),0,1,1)),0%),100%))))-(($S28-$R28)*OFFSET('Set-up'!$D$37,MATCH($F28,TaxCode,0),MATCH($V28,TaxCurMonth,1)-1,1,1)*IF(AND($V28-(TRUNC($V28/12)*12)&lt;&gt;0,OFFSET('Set-up'!$J$37,MATCH($F28,TaxCode,0),0,1,1)=0),1,(($V28-(TRUNC($V28/12)*12))/12))),$R28*($V28&gt;0)))</f>
        <v>0</v>
      </c>
      <c r="BB28" s="36">
        <f ca="1">$BA28-IF(ISNA(MATCH($F28,TaxCode,0))=TRUE,$S28*($W28&gt;0),MAX(($S28*($W28&gt;0))-(($S28-SUMIFS(TransCRes,TransAsset,$A28,TransIDDate,$M28))*(IF($W28&lt;=11,0,MIN(SUM(OFFSET('Set-up'!$D$37,MATCH($F28,TaxCode,0),0,1,MATCH($W28,TaxCumMonth,1)))+MAX(TRUNC(($W28-60)/12)*SUM(OFFSET('Set-up'!$H$37,MATCH($F28,TaxCode,0),0,1,1)),0%),100%))))-(($S28-SUMIFS(TransCRes,TransAsset,$A28,TransIDDate,$M28))*OFFSET('Set-up'!$D$37,MATCH($F28,TaxCode,0),MATCH($W28,TaxCurMonth,1)-1,1,1)*IF(AND($W28-(TRUNC($W28/12)*12)&lt;&gt;0,OFFSET('Set-up'!$J$37,MATCH($F28,TaxCode,0),0,1,1)=0),1,(($W28-(TRUNC($W28/12)*12))/12))),SUMIFS(TransCRes,TransAsset,$A28,TransIDDate,$M28)*($W28&gt;0)))</f>
        <v>0</v>
      </c>
      <c r="BC28" s="36">
        <f ca="1">IF(ISNUMBER('Set-up'!$C$9)=FALSE,0,IF($F28="J",0,ROUND(($AU28-$AY28)*'Set-up'!$C$9,2)))</f>
        <v>0</v>
      </c>
      <c r="BD28" s="36">
        <f t="shared" ca="1" si="32"/>
        <v>291.76</v>
      </c>
      <c r="BE28" s="36">
        <f ca="1">IF(ISNUMBER('Set-up'!$C$9)=FALSE,0,IF($F28="J",0,ROUND(($AW28-$BA28)*'Set-up'!$C$9,2)))</f>
        <v>291.76</v>
      </c>
      <c r="BF28" s="36">
        <f ca="1">IF(ISNUMBER('Set-up'!$C$9)=FALSE,0,IF($F28="J",0,ROUND(($AX28-$BB28)*'Set-up'!$C$9,2)))</f>
        <v>-151.66999999999999</v>
      </c>
    </row>
    <row r="29" spans="1:58" ht="16" customHeight="1" x14ac:dyDescent="0.25">
      <c r="A29" s="8" t="s">
        <v>340</v>
      </c>
      <c r="B29" s="8">
        <v>878347</v>
      </c>
      <c r="C29" s="8" t="s">
        <v>255</v>
      </c>
      <c r="D29" s="4" t="s">
        <v>91</v>
      </c>
      <c r="E29" s="4" t="s">
        <v>269</v>
      </c>
      <c r="F29" s="4" t="s">
        <v>211</v>
      </c>
      <c r="G29" s="4" t="str" cm="1">
        <f t="array" aca="1" ref="G29" ca="1">IF(COUNTIF(AssetCode,$A29)&gt;1,"E1",IF(ISNA(VLOOKUP($E29,CatAll,1,0))=TRUE,"E2",IF(AND($I29="add!",$J29&lt;&gt;"add!"),"E10",IF(ISNA(VLOOKUP($F29,TaxCode,1,0))=TRUE,"E11","-"))))</f>
        <v>-</v>
      </c>
      <c r="H29" s="4" t="str">
        <f t="shared" ca="1" si="0"/>
        <v>PM</v>
      </c>
      <c r="I29" s="33">
        <f t="array" aca="1" ref="I29" ca="1">IF(ISERROR(LARGE(IF(TransAsset=$A29,IF(TransType="ACQ",TransIDDate,"add!"),"add!"),1)),"add!",LARGE(IF(TransAsset=$A29,IF(TransType="ACQ",TransIDDate,"add!"),"add!"),1))</f>
        <v>42655.000393518516</v>
      </c>
      <c r="J29" s="33">
        <f t="array" aca="1" ref="J29" ca="1">IF(ISERROR(LARGE(IF(TransAsset=$A29,TransIDDate,"add!"),1)),"add!",LARGE(IF(TransAsset=$A29,TransIDDate,"add!"),1))</f>
        <v>43891.000844907408</v>
      </c>
      <c r="K29" s="33">
        <f t="array" aca="1" ref="K29" ca="1">IF(ISERROR(LARGE(IF(TransAsset=$A29,IF(TransDate&lt;($I$2+1),TransIDDate,"-"),"-"),1)),"-",LARGE(IF(TransAsset=$A29,IF(TransDate&lt;($I$2+1),TransIDDate,"-"),"-"),1))</f>
        <v>43891.000844907408</v>
      </c>
      <c r="L29" s="33">
        <f t="array" aca="1" ref="L29" ca="1">IF(ISERROR(LARGE(IF(TransAsset=$A29,IF(TransDate&lt;$H$2,TransIDDate,"-"),"-"),1)),"-",LARGE(IF(TransAsset=$A29,IF(TransDate&lt;$H$2,TransIDDate,"-"),"-"),1))</f>
        <v>42655.000393518516</v>
      </c>
      <c r="M29" s="33">
        <f t="array" aca="1" ref="M29" ca="1">IF(ISERROR(LARGE(IF(TransAsset=$A29,IF(TransDate&lt;$J$2,TransIDDate,"-"),"-"),1)),"-",LARGE(IF(TransAsset=$A29,IF(TransDate&lt;$J$2,TransIDDate,"-"),"-"),1))</f>
        <v>43891.000844907408</v>
      </c>
      <c r="N29" s="33" t="str">
        <f t="array" aca="1" ref="N29" ca="1">IF(ISERROR(LARGE(IF(TransAsset=$A29,IF(TransType="DIS",TransIDDate,"-"),"-"),1)),"-",LARGE(IF(TransAsset=$A29,IF(TransType="DIS",TransIDDate,"-"),"-"),1))</f>
        <v>-</v>
      </c>
      <c r="O29" s="34" cm="1">
        <f t="array" aca="1" ref="O29" ca="1">IF($N29&lt;=$I$2,SUMIFS(TransProceeds,TransAsset,$A29,TransType,"DIS"),0)</f>
        <v>0</v>
      </c>
      <c r="P29" s="36" cm="1">
        <f t="array" aca="1" ref="P29" ca="1">IF($I29&lt;=($I$2+1),SUMIFS(TransHCost,TransAsset,$A29,TransIDDate,$J29),0)</f>
        <v>6890</v>
      </c>
      <c r="Q29" s="28">
        <f t="shared" ca="1" si="1"/>
        <v>5</v>
      </c>
      <c r="R29" s="28">
        <f t="shared" ca="1" si="2"/>
        <v>0</v>
      </c>
      <c r="S29" s="36">
        <f t="shared" ca="1" si="3"/>
        <v>6890</v>
      </c>
      <c r="T29" s="35">
        <f ca="1">IF(ISNA(MATCH($F29,TaxCode,0))=TRUE,"code?",OFFSET('Set-up'!$D$37,MATCH($F29,TaxCode,0),MATCH($V29,TaxCurMonth,1)-1,1,1))</f>
        <v>0.2</v>
      </c>
      <c r="U29" s="28">
        <f t="shared" ca="1" si="4"/>
        <v>41</v>
      </c>
      <c r="V29" s="28">
        <f t="shared" ca="1" si="5"/>
        <v>53</v>
      </c>
      <c r="W29" s="28">
        <f t="shared" ca="1" si="6"/>
        <v>52</v>
      </c>
      <c r="X29" s="36">
        <f t="shared" ca="1" si="7"/>
        <v>6890</v>
      </c>
      <c r="Y29" s="36">
        <f t="shared" ca="1" si="8"/>
        <v>0</v>
      </c>
      <c r="Z29" s="36">
        <f t="shared" ca="1" si="9"/>
        <v>110</v>
      </c>
      <c r="AA29" s="36">
        <f t="shared" ca="1" si="10"/>
        <v>0</v>
      </c>
      <c r="AB29" s="36">
        <f t="shared" ca="1" si="11"/>
        <v>0</v>
      </c>
      <c r="AC29" s="36">
        <f t="shared" ca="1" si="23"/>
        <v>7000</v>
      </c>
      <c r="AD29" s="36" cm="1">
        <f t="array" aca="1" ref="AD29" ca="1">IF($L29=0,0,IF(SUMIFS(TransCLife,TransAsset,$A29,TransIDDate,$L29)=0,0,IF(($X29-(SUMIFS(TransCRes,TransAsset,$A29,TransIDDate,$L29)))/(SUMIFS(TransCLife,TransAsset,$A29,TransIDDate,$L29)*12)*(((YEAR($H$2)*12)+MONTH($H$2))-((YEAR($L29)*12)+MONTH($L29)))&gt;=($X29-SUMIFS(TransCRes,TransAsset,$A29,TransIDDate,$L29)),$X29-SUMIFS(TransCRes,TransAsset,$A29,TransIDDate,$L29),($X29-(SUMIFS(TransCRes,TransAsset,$A29,TransIDDate,$L29)))/(SUMIFS(TransCLife,TransAsset,$A29,TransIDDate,$L29)*12)*(((YEAR($H$2)*12)+MONTH($H$2))-((YEAR($L29)*12)+MONTH($L29))))))</f>
        <v>4708.1666666666661</v>
      </c>
      <c r="AE29" s="36">
        <f t="shared" ca="1" si="12"/>
        <v>1378</v>
      </c>
      <c r="AF29" s="36">
        <f t="shared" ca="1" si="24"/>
        <v>22</v>
      </c>
      <c r="AG29" s="36">
        <f t="shared" ca="1" si="13"/>
        <v>1400</v>
      </c>
      <c r="AH29" s="36">
        <f t="shared" ca="1" si="14"/>
        <v>-4708.1666666666661</v>
      </c>
      <c r="AI29" s="36">
        <f t="shared" ca="1" si="15"/>
        <v>0</v>
      </c>
      <c r="AJ29" s="36">
        <f t="shared" ca="1" si="25"/>
        <v>1400</v>
      </c>
      <c r="AK29" s="36">
        <f t="shared" ca="1" si="26"/>
        <v>5600</v>
      </c>
      <c r="AL29" s="36">
        <f t="shared" ca="1" si="16"/>
        <v>0</v>
      </c>
      <c r="AM29" s="36">
        <f t="shared" ca="1" si="27"/>
        <v>4818.1666666666661</v>
      </c>
      <c r="AN29" s="36">
        <f t="shared" ca="1" si="28"/>
        <v>-22</v>
      </c>
      <c r="AO29" s="36">
        <f t="shared" ca="1" si="17"/>
        <v>4796.1666666666661</v>
      </c>
      <c r="AP29" s="36">
        <f t="shared" ca="1" si="18"/>
        <v>0</v>
      </c>
      <c r="AQ29" s="36">
        <f t="shared" ca="1" si="19"/>
        <v>0</v>
      </c>
      <c r="AR29" s="36">
        <f t="shared" ca="1" si="20"/>
        <v>114.83333333333333</v>
      </c>
      <c r="AS29" s="36">
        <f t="shared" ca="1" si="29"/>
        <v>1.8333333333333428</v>
      </c>
      <c r="AT29" s="36">
        <f t="shared" ca="1" si="21"/>
        <v>116.66666666666667</v>
      </c>
      <c r="AU29" s="36" cm="1">
        <f t="array" aca="1" ref="AU29" ca="1">IF($I29&lt;$H$2,IF(AND($N29&lt;&gt;"-",$N29&lt;$H$2),0,SUMIFS(TransHCost,TransAsset,$A29,TransIDDate,$J29)-SUMIFS(TransPCAccDep,TransAsset,$A29)-SUMIFS(TransImpair,TransAsset,$A29,TransIDDate,"&lt;"&amp;$H$2,TransType,"REV")),0)</f>
        <v>2181.8333333333339</v>
      </c>
      <c r="AV29" s="36">
        <f t="shared" ca="1" si="30"/>
        <v>-1378</v>
      </c>
      <c r="AW29" s="36">
        <f t="shared" ca="1" si="22"/>
        <v>803.83333333333394</v>
      </c>
      <c r="AX29" s="36" cm="1">
        <f t="array" aca="1" ref="AX29" ca="1">$AW29-IF($I29&lt;$J$2,IF(AND($N29&lt;&gt;"-",$N29&lt;$J$2),0,SUMIFS(TransHCost,TransAsset,$A29,TransIDDate,$J29)-SUMIFS(TransPMAccDep,TransAsset,$A29)-SUMIFS(TransImpair,TransAsset,$A29,TransIDDate,"&lt;"&amp;$J$2,TransType,"REV")),0)</f>
        <v>-114.83333333333394</v>
      </c>
      <c r="AY29" s="36">
        <f ca="1">IF(ISNA(MATCH($F29,TaxCode,0))=TRUE,$S29*($U29&gt;0),MAX(($S29*($U29&gt;0))-(($S29-SUMIFS(TransCRes,TransAsset,$A29,TransIDDate,$L29))*(IF($U29&lt;=11,0,MIN(SUM(OFFSET('Set-up'!$D$37,MATCH($F29,TaxCode,0),0,1,MATCH($U29,TaxCumMonth,1)))+MAX(TRUNC(($U29-60)/12)*SUM(OFFSET('Set-up'!$H$37,MATCH($F29,TaxCode,0),0,1,1)),0%),100%))))-(($S29-SUMIFS(TransCRes,TransAsset,$A29,TransIDDate,$L29))*OFFSET('Set-up'!$D$37,MATCH($F29,TaxCode,0),MATCH($U29,TaxCurMonth,1)-1,1,1)*IF(AND($U29-(TRUNC($U29/12)*12)&lt;&gt;0,OFFSET('Set-up'!$J$37,MATCH($F29,TaxCode,0),0,1,1)=0),1,(($U29-(TRUNC($U29/12)*12))/12))),SUMIFS(TransCRes,TransAsset,$A29,TransIDDate,$L29)))</f>
        <v>2181.8333333333321</v>
      </c>
      <c r="AZ29" s="36">
        <f t="shared" ca="1" si="31"/>
        <v>-1377.9999999999989</v>
      </c>
      <c r="BA29" s="36">
        <f ca="1">IF(ISNA(MATCH($F29,TaxCode,0))=TRUE,$S29*($V29&gt;0),MAX(($S29*($V29&gt;0))-(($S29-$R29)*(IF($V29&lt;=11,0,MIN(SUM(OFFSET('Set-up'!$D$37,MATCH($F29,TaxCode,0),0,1,MATCH($V29,TaxCumMonth,1)))+MAX(TRUNC(($V29-60)/12)*SUM(OFFSET('Set-up'!$H$37,MATCH($F29,TaxCode,0),0,1,1)),0%),100%))))-(($S29-$R29)*OFFSET('Set-up'!$D$37,MATCH($F29,TaxCode,0),MATCH($V29,TaxCurMonth,1)-1,1,1)*IF(AND($V29-(TRUNC($V29/12)*12)&lt;&gt;0,OFFSET('Set-up'!$J$37,MATCH($F29,TaxCode,0),0,1,1)=0),1,(($V29-(TRUNC($V29/12)*12))/12))),$R29*($V29&gt;0)))</f>
        <v>803.83333333333326</v>
      </c>
      <c r="BB29" s="36">
        <f ca="1">$BA29-IF(ISNA(MATCH($F29,TaxCode,0))=TRUE,$S29*($W29&gt;0),MAX(($S29*($W29&gt;0))-(($S29-SUMIFS(TransCRes,TransAsset,$A29,TransIDDate,$M29))*(IF($W29&lt;=11,0,MIN(SUM(OFFSET('Set-up'!$D$37,MATCH($F29,TaxCode,0),0,1,MATCH($W29,TaxCumMonth,1)))+MAX(TRUNC(($W29-60)/12)*SUM(OFFSET('Set-up'!$H$37,MATCH($F29,TaxCode,0),0,1,1)),0%),100%))))-(($S29-SUMIFS(TransCRes,TransAsset,$A29,TransIDDate,$M29))*OFFSET('Set-up'!$D$37,MATCH($F29,TaxCode,0),MATCH($W29,TaxCurMonth,1)-1,1,1)*IF(AND($W29-(TRUNC($W29/12)*12)&lt;&gt;0,OFFSET('Set-up'!$J$37,MATCH($F29,TaxCode,0),0,1,1)=0),1,(($W29-(TRUNC($W29/12)*12))/12))),SUMIFS(TransCRes,TransAsset,$A29,TransIDDate,$M29)*($W29&gt;0)))</f>
        <v>-114.83333333333348</v>
      </c>
      <c r="BC29" s="36">
        <f ca="1">IF(ISNUMBER('Set-up'!$C$9)=FALSE,0,IF($F29="J",0,ROUND(($AU29-$AY29)*'Set-up'!$C$9,2)))</f>
        <v>0</v>
      </c>
      <c r="BD29" s="36">
        <f t="shared" ca="1" si="32"/>
        <v>0</v>
      </c>
      <c r="BE29" s="36">
        <f ca="1">IF(ISNUMBER('Set-up'!$C$9)=FALSE,0,IF($F29="J",0,ROUND(($AW29-$BA29)*'Set-up'!$C$9,2)))</f>
        <v>0</v>
      </c>
      <c r="BF29" s="36">
        <f ca="1">IF(ISNUMBER('Set-up'!$C$9)=FALSE,0,IF($F29="J",0,ROUND(($AX29-$BB29)*'Set-up'!$C$9,2)))</f>
        <v>0</v>
      </c>
    </row>
    <row r="30" spans="1:58" ht="16" customHeight="1" x14ac:dyDescent="0.25">
      <c r="A30" s="8" t="s">
        <v>341</v>
      </c>
      <c r="B30" s="8" t="s">
        <v>345</v>
      </c>
      <c r="C30" s="8" t="s">
        <v>256</v>
      </c>
      <c r="D30" s="4" t="s">
        <v>91</v>
      </c>
      <c r="E30" s="4" t="s">
        <v>269</v>
      </c>
      <c r="F30" s="4" t="s">
        <v>211</v>
      </c>
      <c r="G30" s="4" t="str" cm="1">
        <f t="array" aca="1" ref="G30" ca="1">IF(COUNTIF(AssetCode,$A30)&gt;1,"E1",IF(ISNA(VLOOKUP($E30,CatAll,1,0))=TRUE,"E2",IF(AND($I30="add!",$J30&lt;&gt;"add!"),"E10",IF(ISNA(VLOOKUP($F30,TaxCode,1,0))=TRUE,"E11","-"))))</f>
        <v>-</v>
      </c>
      <c r="H30" s="4" t="str">
        <f t="shared" ca="1" si="0"/>
        <v>PM</v>
      </c>
      <c r="I30" s="33">
        <f t="array" aca="1" ref="I30" ca="1">IF(ISERROR(LARGE(IF(TransAsset=$A30,IF(TransType="ACQ",TransIDDate,"add!"),"add!"),1)),"add!",LARGE(IF(TransAsset=$A30,IF(TransType="ACQ",TransIDDate,"add!"),"add!"),1))</f>
        <v>43062.000416666669</v>
      </c>
      <c r="J30" s="33">
        <f t="array" aca="1" ref="J30" ca="1">IF(ISERROR(LARGE(IF(TransAsset=$A30,TransIDDate,"add!"),1)),"add!",LARGE(IF(TransAsset=$A30,TransIDDate,"add!"),1))</f>
        <v>43891.000856481478</v>
      </c>
      <c r="K30" s="33">
        <f t="array" aca="1" ref="K30" ca="1">IF(ISERROR(LARGE(IF(TransAsset=$A30,IF(TransDate&lt;($I$2+1),TransIDDate,"-"),"-"),1)),"-",LARGE(IF(TransAsset=$A30,IF(TransDate&lt;($I$2+1),TransIDDate,"-"),"-"),1))</f>
        <v>43891.000856481478</v>
      </c>
      <c r="L30" s="33">
        <f t="array" aca="1" ref="L30" ca="1">IF(ISERROR(LARGE(IF(TransAsset=$A30,IF(TransDate&lt;$H$2,TransIDDate,"-"),"-"),1)),"-",LARGE(IF(TransAsset=$A30,IF(TransDate&lt;$H$2,TransIDDate,"-"),"-"),1))</f>
        <v>43062.000416666669</v>
      </c>
      <c r="M30" s="33">
        <f t="array" aca="1" ref="M30" ca="1">IF(ISERROR(LARGE(IF(TransAsset=$A30,IF(TransDate&lt;$J$2,TransIDDate,"-"),"-"),1)),"-",LARGE(IF(TransAsset=$A30,IF(TransDate&lt;$J$2,TransIDDate,"-"),"-"),1))</f>
        <v>43891.000856481478</v>
      </c>
      <c r="N30" s="33" t="str">
        <f t="array" aca="1" ref="N30" ca="1">IF(ISERROR(LARGE(IF(TransAsset=$A30,IF(TransType="DIS",TransIDDate,"-"),"-"),1)),"-",LARGE(IF(TransAsset=$A30,IF(TransType="DIS",TransIDDate,"-"),"-"),1))</f>
        <v>-</v>
      </c>
      <c r="O30" s="34" cm="1">
        <f t="array" aca="1" ref="O30" ca="1">IF($N30&lt;=$I$2,SUMIFS(TransProceeds,TransAsset,$A30,TransType,"DIS"),0)</f>
        <v>0</v>
      </c>
      <c r="P30" s="36" cm="1">
        <f t="array" aca="1" ref="P30" ca="1">IF($I30&lt;=($I$2+1),SUMIFS(TransHCost,TransAsset,$A30,TransIDDate,$J30),0)</f>
        <v>19100</v>
      </c>
      <c r="Q30" s="28">
        <f t="shared" ca="1" si="1"/>
        <v>5</v>
      </c>
      <c r="R30" s="28">
        <f t="shared" ca="1" si="2"/>
        <v>0</v>
      </c>
      <c r="S30" s="36">
        <f t="shared" ca="1" si="3"/>
        <v>19100</v>
      </c>
      <c r="T30" s="35">
        <f ca="1">IF(ISNA(MATCH($F30,TaxCode,0))=TRUE,"code?",OFFSET('Set-up'!$D$37,MATCH($F30,TaxCode,0),MATCH($V30,TaxCurMonth,1)-1,1,1))</f>
        <v>0.2</v>
      </c>
      <c r="U30" s="28">
        <f t="shared" ca="1" si="4"/>
        <v>28</v>
      </c>
      <c r="V30" s="28">
        <f t="shared" ca="1" si="5"/>
        <v>40</v>
      </c>
      <c r="W30" s="28">
        <f t="shared" ca="1" si="6"/>
        <v>39</v>
      </c>
      <c r="X30" s="36">
        <f t="shared" ca="1" si="7"/>
        <v>19100</v>
      </c>
      <c r="Y30" s="36">
        <f t="shared" ca="1" si="8"/>
        <v>0</v>
      </c>
      <c r="Z30" s="36">
        <f t="shared" ca="1" si="9"/>
        <v>-4775</v>
      </c>
      <c r="AA30" s="36">
        <f t="shared" ca="1" si="10"/>
        <v>0</v>
      </c>
      <c r="AB30" s="36">
        <f t="shared" ca="1" si="11"/>
        <v>0</v>
      </c>
      <c r="AC30" s="36">
        <f t="shared" ca="1" si="23"/>
        <v>14325</v>
      </c>
      <c r="AD30" s="36" cm="1">
        <f t="array" aca="1" ref="AD30" ca="1">IF($L30=0,0,IF(SUMIFS(TransCLife,TransAsset,$A30,TransIDDate,$L30)=0,0,IF(($X30-(SUMIFS(TransCRes,TransAsset,$A30,TransIDDate,$L30)))/(SUMIFS(TransCLife,TransAsset,$A30,TransIDDate,$L30)*12)*(((YEAR($H$2)*12)+MONTH($H$2))-((YEAR($L30)*12)+MONTH($L30)))&gt;=($X30-SUMIFS(TransCRes,TransAsset,$A30,TransIDDate,$L30)),$X30-SUMIFS(TransCRes,TransAsset,$A30,TransIDDate,$L30),($X30-(SUMIFS(TransCRes,TransAsset,$A30,TransIDDate,$L30)))/(SUMIFS(TransCLife,TransAsset,$A30,TransIDDate,$L30)*12)*(((YEAR($H$2)*12)+MONTH($H$2))-((YEAR($L30)*12)+MONTH($L30))))))</f>
        <v>8913.3333333333321</v>
      </c>
      <c r="AE30" s="36">
        <f t="shared" ca="1" si="12"/>
        <v>2865</v>
      </c>
      <c r="AF30" s="36">
        <f t="shared" ca="1" si="24"/>
        <v>0</v>
      </c>
      <c r="AG30" s="36">
        <f t="shared" ca="1" si="13"/>
        <v>2865</v>
      </c>
      <c r="AH30" s="36">
        <f t="shared" ca="1" si="14"/>
        <v>-8913.3333333333321</v>
      </c>
      <c r="AI30" s="36">
        <f t="shared" ca="1" si="15"/>
        <v>0</v>
      </c>
      <c r="AJ30" s="36">
        <f t="shared" ca="1" si="25"/>
        <v>2865</v>
      </c>
      <c r="AK30" s="36">
        <f t="shared" ca="1" si="26"/>
        <v>11460</v>
      </c>
      <c r="AL30" s="36">
        <f t="shared" ca="1" si="16"/>
        <v>0</v>
      </c>
      <c r="AM30" s="36">
        <f t="shared" ca="1" si="27"/>
        <v>4138.3333333333321</v>
      </c>
      <c r="AN30" s="36">
        <f t="shared" ca="1" si="28"/>
        <v>0</v>
      </c>
      <c r="AO30" s="36">
        <f t="shared" ca="1" si="17"/>
        <v>4138.3333333333321</v>
      </c>
      <c r="AP30" s="36">
        <f t="shared" ca="1" si="18"/>
        <v>0</v>
      </c>
      <c r="AQ30" s="36">
        <f t="shared" ca="1" si="19"/>
        <v>0</v>
      </c>
      <c r="AR30" s="36">
        <f t="shared" ca="1" si="20"/>
        <v>238.75</v>
      </c>
      <c r="AS30" s="36">
        <f t="shared" ca="1" si="29"/>
        <v>0</v>
      </c>
      <c r="AT30" s="36">
        <f t="shared" ca="1" si="21"/>
        <v>238.75</v>
      </c>
      <c r="AU30" s="36" cm="1">
        <f t="array" aca="1" ref="AU30" ca="1">IF($I30&lt;$H$2,IF(AND($N30&lt;&gt;"-",$N30&lt;$H$2),0,SUMIFS(TransHCost,TransAsset,$A30,TransIDDate,$J30)-SUMIFS(TransPCAccDep,TransAsset,$A30)-SUMIFS(TransImpair,TransAsset,$A30,TransIDDate,"&lt;"&amp;$H$2,TransType,"REV")),0)</f>
        <v>10186.666666666668</v>
      </c>
      <c r="AV30" s="36">
        <f t="shared" ca="1" si="30"/>
        <v>-2865</v>
      </c>
      <c r="AW30" s="36">
        <f t="shared" ca="1" si="22"/>
        <v>7321.6666666666679</v>
      </c>
      <c r="AX30" s="36" cm="1">
        <f t="array" aca="1" ref="AX30" ca="1">$AW30-IF($I30&lt;$J$2,IF(AND($N30&lt;&gt;"-",$N30&lt;$J$2),0,SUMIFS(TransHCost,TransAsset,$A30,TransIDDate,$J30)-SUMIFS(TransPMAccDep,TransAsset,$A30)-SUMIFS(TransImpair,TransAsset,$A30,TransIDDate,"&lt;"&amp;$J$2,TransType,"REV")),0)</f>
        <v>-238.75</v>
      </c>
      <c r="AY30" s="36">
        <f ca="1">IF(ISNA(MATCH($F30,TaxCode,0))=TRUE,$S30*($U30&gt;0),MAX(($S30*($U30&gt;0))-(($S30-SUMIFS(TransCRes,TransAsset,$A30,TransIDDate,$L30))*(IF($U30&lt;=11,0,MIN(SUM(OFFSET('Set-up'!$D$37,MATCH($F30,TaxCode,0),0,1,MATCH($U30,TaxCumMonth,1)))+MAX(TRUNC(($U30-60)/12)*SUM(OFFSET('Set-up'!$H$37,MATCH($F30,TaxCode,0),0,1,1)),0%),100%))))-(($S30-SUMIFS(TransCRes,TransAsset,$A30,TransIDDate,$L30))*OFFSET('Set-up'!$D$37,MATCH($F30,TaxCode,0),MATCH($U30,TaxCurMonth,1)-1,1,1)*IF(AND($U30-(TRUNC($U30/12)*12)&lt;&gt;0,OFFSET('Set-up'!$J$37,MATCH($F30,TaxCode,0),0,1,1)=0),1,(($U30-(TRUNC($U30/12)*12))/12))),SUMIFS(TransCRes,TransAsset,$A30,TransIDDate,$L30)))</f>
        <v>10186.666666666666</v>
      </c>
      <c r="AZ30" s="36">
        <f t="shared" ca="1" si="31"/>
        <v>-3820.0000000000009</v>
      </c>
      <c r="BA30" s="36">
        <f ca="1">IF(ISNA(MATCH($F30,TaxCode,0))=TRUE,$S30*($V30&gt;0),MAX(($S30*($V30&gt;0))-(($S30-$R30)*(IF($V30&lt;=11,0,MIN(SUM(OFFSET('Set-up'!$D$37,MATCH($F30,TaxCode,0),0,1,MATCH($V30,TaxCumMonth,1)))+MAX(TRUNC(($V30-60)/12)*SUM(OFFSET('Set-up'!$H$37,MATCH($F30,TaxCode,0),0,1,1)),0%),100%))))-(($S30-$R30)*OFFSET('Set-up'!$D$37,MATCH($F30,TaxCode,0),MATCH($V30,TaxCurMonth,1)-1,1,1)*IF(AND($V30-(TRUNC($V30/12)*12)&lt;&gt;0,OFFSET('Set-up'!$J$37,MATCH($F30,TaxCode,0),0,1,1)=0),1,(($V30-(TRUNC($V30/12)*12))/12))),$R30*($V30&gt;0)))</f>
        <v>6366.6666666666652</v>
      </c>
      <c r="BB30" s="36">
        <f ca="1">$BA30-IF(ISNA(MATCH($F30,TaxCode,0))=TRUE,$S30*($W30&gt;0),MAX(($S30*($W30&gt;0))-(($S30-SUMIFS(TransCRes,TransAsset,$A30,TransIDDate,$M30))*(IF($W30&lt;=11,0,MIN(SUM(OFFSET('Set-up'!$D$37,MATCH($F30,TaxCode,0),0,1,MATCH($W30,TaxCumMonth,1)))+MAX(TRUNC(($W30-60)/12)*SUM(OFFSET('Set-up'!$H$37,MATCH($F30,TaxCode,0),0,1,1)),0%),100%))))-(($S30-SUMIFS(TransCRes,TransAsset,$A30,TransIDDate,$M30))*OFFSET('Set-up'!$D$37,MATCH($F30,TaxCode,0),MATCH($W30,TaxCurMonth,1)-1,1,1)*IF(AND($W30-(TRUNC($W30/12)*12)&lt;&gt;0,OFFSET('Set-up'!$J$37,MATCH($F30,TaxCode,0),0,1,1)=0),1,(($W30-(TRUNC($W30/12)*12))/12))),SUMIFS(TransCRes,TransAsset,$A30,TransIDDate,$M30)*($W30&gt;0)))</f>
        <v>-318.33333333333303</v>
      </c>
      <c r="BC30" s="36">
        <f ca="1">IF(ISNUMBER('Set-up'!$C$9)=FALSE,0,IF($F30="J",0,ROUND(($AU30-$AY30)*'Set-up'!$C$9,2)))</f>
        <v>0</v>
      </c>
      <c r="BD30" s="36">
        <f t="shared" ca="1" si="32"/>
        <v>267.39999999999998</v>
      </c>
      <c r="BE30" s="36">
        <f ca="1">IF(ISNUMBER('Set-up'!$C$9)=FALSE,0,IF($F30="J",0,ROUND(($AW30-$BA30)*'Set-up'!$C$9,2)))</f>
        <v>267.39999999999998</v>
      </c>
      <c r="BF30" s="36">
        <f ca="1">IF(ISNUMBER('Set-up'!$C$9)=FALSE,0,IF($F30="J",0,ROUND(($AX30-$BB30)*'Set-up'!$C$9,2)))</f>
        <v>22.28</v>
      </c>
    </row>
    <row r="31" spans="1:58" ht="16" customHeight="1" x14ac:dyDescent="0.25">
      <c r="A31" s="8" t="s">
        <v>342</v>
      </c>
      <c r="B31" s="8">
        <v>187381</v>
      </c>
      <c r="C31" s="8" t="s">
        <v>34</v>
      </c>
      <c r="D31" s="4" t="s">
        <v>91</v>
      </c>
      <c r="E31" s="4" t="s">
        <v>269</v>
      </c>
      <c r="F31" s="4" t="s">
        <v>211</v>
      </c>
      <c r="G31" s="4" t="str" cm="1">
        <f t="array" aca="1" ref="G31" ca="1">IF(COUNTIF(AssetCode,$A31)&gt;1,"E1",IF(ISNA(VLOOKUP($E31,CatAll,1,0))=TRUE,"E2",IF(AND($I31="add!",$J31&lt;&gt;"add!"),"E10",IF(ISNA(VLOOKUP($F31,TaxCode,1,0))=TRUE,"E11","-"))))</f>
        <v>-</v>
      </c>
      <c r="H31" s="4" t="str">
        <f t="shared" ca="1" si="0"/>
        <v>PM</v>
      </c>
      <c r="I31" s="33">
        <f t="array" aca="1" ref="I31" ca="1">IF(ISERROR(LARGE(IF(TransAsset=$A31,IF(TransType="ACQ",TransIDDate,"add!"),"add!"),1)),"add!",LARGE(IF(TransAsset=$A31,IF(TransType="ACQ",TransIDDate,"add!"),"add!"),1))</f>
        <v>43151.000428240739</v>
      </c>
      <c r="J31" s="33">
        <f t="array" aca="1" ref="J31" ca="1">IF(ISERROR(LARGE(IF(TransAsset=$A31,TransIDDate,"add!"),1)),"add!",LARGE(IF(TransAsset=$A31,TransIDDate,"add!"),1))</f>
        <v>43891.000868055555</v>
      </c>
      <c r="K31" s="33">
        <f t="array" aca="1" ref="K31" ca="1">IF(ISERROR(LARGE(IF(TransAsset=$A31,IF(TransDate&lt;($I$2+1),TransIDDate,"-"),"-"),1)),"-",LARGE(IF(TransAsset=$A31,IF(TransDate&lt;($I$2+1),TransIDDate,"-"),"-"),1))</f>
        <v>43891.000868055555</v>
      </c>
      <c r="L31" s="33">
        <f t="array" aca="1" ref="L31" ca="1">IF(ISERROR(LARGE(IF(TransAsset=$A31,IF(TransDate&lt;$H$2,TransIDDate,"-"),"-"),1)),"-",LARGE(IF(TransAsset=$A31,IF(TransDate&lt;$H$2,TransIDDate,"-"),"-"),1))</f>
        <v>43151.000428240739</v>
      </c>
      <c r="M31" s="33">
        <f t="array" aca="1" ref="M31" ca="1">IF(ISERROR(LARGE(IF(TransAsset=$A31,IF(TransDate&lt;$J$2,TransIDDate,"-"),"-"),1)),"-",LARGE(IF(TransAsset=$A31,IF(TransDate&lt;$J$2,TransIDDate,"-"),"-"),1))</f>
        <v>43891.000868055555</v>
      </c>
      <c r="N31" s="33" t="str">
        <f t="array" aca="1" ref="N31" ca="1">IF(ISERROR(LARGE(IF(TransAsset=$A31,IF(TransType="DIS",TransIDDate,"-"),"-"),1)),"-",LARGE(IF(TransAsset=$A31,IF(TransType="DIS",TransIDDate,"-"),"-"),1))</f>
        <v>-</v>
      </c>
      <c r="O31" s="34" cm="1">
        <f t="array" aca="1" ref="O31" ca="1">IF($N31&lt;=$I$2,SUMIFS(TransProceeds,TransAsset,$A31,TransType,"DIS"),0)</f>
        <v>0</v>
      </c>
      <c r="P31" s="36" cm="1">
        <f t="array" aca="1" ref="P31" ca="1">IF($I31&lt;=($I$2+1),SUMIFS(TransHCost,TransAsset,$A31,TransIDDate,$J31),0)</f>
        <v>36900</v>
      </c>
      <c r="Q31" s="28">
        <f t="shared" ca="1" si="1"/>
        <v>5</v>
      </c>
      <c r="R31" s="28">
        <f t="shared" ca="1" si="2"/>
        <v>0</v>
      </c>
      <c r="S31" s="36">
        <f t="shared" ca="1" si="3"/>
        <v>36900</v>
      </c>
      <c r="T31" s="35">
        <f ca="1">IF(ISNA(MATCH($F31,TaxCode,0))=TRUE,"code?",OFFSET('Set-up'!$D$37,MATCH($F31,TaxCode,0),MATCH($V31,TaxCurMonth,1)-1,1,1))</f>
        <v>0.2</v>
      </c>
      <c r="U31" s="28">
        <f t="shared" ca="1" si="4"/>
        <v>25</v>
      </c>
      <c r="V31" s="28">
        <f t="shared" ca="1" si="5"/>
        <v>37</v>
      </c>
      <c r="W31" s="28">
        <f t="shared" ca="1" si="6"/>
        <v>36</v>
      </c>
      <c r="X31" s="36">
        <f t="shared" ca="1" si="7"/>
        <v>36900</v>
      </c>
      <c r="Y31" s="36">
        <f t="shared" ca="1" si="8"/>
        <v>0</v>
      </c>
      <c r="Z31" s="36">
        <f t="shared" ca="1" si="9"/>
        <v>-7380</v>
      </c>
      <c r="AA31" s="36">
        <f t="shared" ca="1" si="10"/>
        <v>0</v>
      </c>
      <c r="AB31" s="36">
        <f t="shared" ca="1" si="11"/>
        <v>0</v>
      </c>
      <c r="AC31" s="36">
        <f t="shared" ca="1" si="23"/>
        <v>29520</v>
      </c>
      <c r="AD31" s="36" cm="1">
        <f t="array" aca="1" ref="AD31" ca="1">IF($L31=0,0,IF(SUMIFS(TransCLife,TransAsset,$A31,TransIDDate,$L31)=0,0,IF(($X31-(SUMIFS(TransCRes,TransAsset,$A31,TransIDDate,$L31)))/(SUMIFS(TransCLife,TransAsset,$A31,TransIDDate,$L31)*12)*(((YEAR($H$2)*12)+MONTH($H$2))-((YEAR($L31)*12)+MONTH($L31)))&gt;=($X31-SUMIFS(TransCRes,TransAsset,$A31,TransIDDate,$L31)),$X31-SUMIFS(TransCRes,TransAsset,$A31,TransIDDate,$L31),($X31-(SUMIFS(TransCRes,TransAsset,$A31,TransIDDate,$L31)))/(SUMIFS(TransCLife,TransAsset,$A31,TransIDDate,$L31)*12)*(((YEAR($H$2)*12)+MONTH($H$2))-((YEAR($L31)*12)+MONTH($L31))))))</f>
        <v>15375</v>
      </c>
      <c r="AE31" s="36">
        <f t="shared" ca="1" si="12"/>
        <v>5904</v>
      </c>
      <c r="AF31" s="36">
        <f t="shared" ca="1" si="24"/>
        <v>0</v>
      </c>
      <c r="AG31" s="36">
        <f t="shared" ca="1" si="13"/>
        <v>5904</v>
      </c>
      <c r="AH31" s="36">
        <f t="shared" ca="1" si="14"/>
        <v>-15375</v>
      </c>
      <c r="AI31" s="36">
        <f t="shared" ca="1" si="15"/>
        <v>0</v>
      </c>
      <c r="AJ31" s="36">
        <f t="shared" ca="1" si="25"/>
        <v>5904</v>
      </c>
      <c r="AK31" s="36">
        <f t="shared" ca="1" si="26"/>
        <v>23616</v>
      </c>
      <c r="AL31" s="36">
        <f t="shared" ca="1" si="16"/>
        <v>0</v>
      </c>
      <c r="AM31" s="36">
        <f t="shared" ca="1" si="27"/>
        <v>7995</v>
      </c>
      <c r="AN31" s="36">
        <f t="shared" ca="1" si="28"/>
        <v>0</v>
      </c>
      <c r="AO31" s="36">
        <f t="shared" ca="1" si="17"/>
        <v>7995</v>
      </c>
      <c r="AP31" s="36">
        <f t="shared" ca="1" si="18"/>
        <v>0</v>
      </c>
      <c r="AQ31" s="36">
        <f t="shared" ca="1" si="19"/>
        <v>0</v>
      </c>
      <c r="AR31" s="36">
        <f t="shared" ca="1" si="20"/>
        <v>492</v>
      </c>
      <c r="AS31" s="36">
        <f t="shared" ca="1" si="29"/>
        <v>0</v>
      </c>
      <c r="AT31" s="36">
        <f t="shared" ca="1" si="21"/>
        <v>492</v>
      </c>
      <c r="AU31" s="36" cm="1">
        <f t="array" aca="1" ref="AU31" ca="1">IF($I31&lt;$H$2,IF(AND($N31&lt;&gt;"-",$N31&lt;$H$2),0,SUMIFS(TransHCost,TransAsset,$A31,TransIDDate,$J31)-SUMIFS(TransPCAccDep,TransAsset,$A31)-SUMIFS(TransImpair,TransAsset,$A31,TransIDDate,"&lt;"&amp;$H$2,TransType,"REV")),0)</f>
        <v>21525</v>
      </c>
      <c r="AV31" s="36">
        <f t="shared" ca="1" si="30"/>
        <v>-5904</v>
      </c>
      <c r="AW31" s="36">
        <f t="shared" ca="1" si="22"/>
        <v>15621</v>
      </c>
      <c r="AX31" s="36" cm="1">
        <f t="array" aca="1" ref="AX31" ca="1">$AW31-IF($I31&lt;$J$2,IF(AND($N31&lt;&gt;"-",$N31&lt;$J$2),0,SUMIFS(TransHCost,TransAsset,$A31,TransIDDate,$J31)-SUMIFS(TransPMAccDep,TransAsset,$A31)-SUMIFS(TransImpair,TransAsset,$A31,TransIDDate,"&lt;"&amp;$J$2,TransType,"REV")),0)</f>
        <v>-492</v>
      </c>
      <c r="AY31" s="36">
        <f ca="1">IF(ISNA(MATCH($F31,TaxCode,0))=TRUE,$S31*($U31&gt;0),MAX(($S31*($U31&gt;0))-(($S31-SUMIFS(TransCRes,TransAsset,$A31,TransIDDate,$L31))*(IF($U31&lt;=11,0,MIN(SUM(OFFSET('Set-up'!$D$37,MATCH($F31,TaxCode,0),0,1,MATCH($U31,TaxCumMonth,1)))+MAX(TRUNC(($U31-60)/12)*SUM(OFFSET('Set-up'!$H$37,MATCH($F31,TaxCode,0),0,1,1)),0%),100%))))-(($S31-SUMIFS(TransCRes,TransAsset,$A31,TransIDDate,$L31))*OFFSET('Set-up'!$D$37,MATCH($F31,TaxCode,0),MATCH($U31,TaxCurMonth,1)-1,1,1)*IF(AND($U31-(TRUNC($U31/12)*12)&lt;&gt;0,OFFSET('Set-up'!$J$37,MATCH($F31,TaxCode,0),0,1,1)=0),1,(($U31-(TRUNC($U31/12)*12))/12))),SUMIFS(TransCRes,TransAsset,$A31,TransIDDate,$L31)))</f>
        <v>21525</v>
      </c>
      <c r="AZ31" s="36">
        <f t="shared" ca="1" si="31"/>
        <v>-7380.0000000000036</v>
      </c>
      <c r="BA31" s="36">
        <f ca="1">IF(ISNA(MATCH($F31,TaxCode,0))=TRUE,$S31*($V31&gt;0),MAX(($S31*($V31&gt;0))-(($S31-$R31)*(IF($V31&lt;=11,0,MIN(SUM(OFFSET('Set-up'!$D$37,MATCH($F31,TaxCode,0),0,1,MATCH($V31,TaxCumMonth,1)))+MAX(TRUNC(($V31-60)/12)*SUM(OFFSET('Set-up'!$H$37,MATCH($F31,TaxCode,0),0,1,1)),0%),100%))))-(($S31-$R31)*OFFSET('Set-up'!$D$37,MATCH($F31,TaxCode,0),MATCH($V31,TaxCurMonth,1)-1,1,1)*IF(AND($V31-(TRUNC($V31/12)*12)&lt;&gt;0,OFFSET('Set-up'!$J$37,MATCH($F31,TaxCode,0),0,1,1)=0),1,(($V31-(TRUNC($V31/12)*12))/12))),$R31*($V31&gt;0)))</f>
        <v>14144.999999999996</v>
      </c>
      <c r="BB31" s="36">
        <f ca="1">$BA31-IF(ISNA(MATCH($F31,TaxCode,0))=TRUE,$S31*($W31&gt;0),MAX(($S31*($W31&gt;0))-(($S31-SUMIFS(TransCRes,TransAsset,$A31,TransIDDate,$M31))*(IF($W31&lt;=11,0,MIN(SUM(OFFSET('Set-up'!$D$37,MATCH($F31,TaxCode,0),0,1,MATCH($W31,TaxCumMonth,1)))+MAX(TRUNC(($W31-60)/12)*SUM(OFFSET('Set-up'!$H$37,MATCH($F31,TaxCode,0),0,1,1)),0%),100%))))-(($S31-SUMIFS(TransCRes,TransAsset,$A31,TransIDDate,$M31))*OFFSET('Set-up'!$D$37,MATCH($F31,TaxCode,0),MATCH($W31,TaxCurMonth,1)-1,1,1)*IF(AND($W31-(TRUNC($W31/12)*12)&lt;&gt;0,OFFSET('Set-up'!$J$37,MATCH($F31,TaxCode,0),0,1,1)=0),1,(($W31-(TRUNC($W31/12)*12))/12))),SUMIFS(TransCRes,TransAsset,$A31,TransIDDate,$M31)*($W31&gt;0)))</f>
        <v>-615</v>
      </c>
      <c r="BC31" s="36">
        <f ca="1">IF(ISNUMBER('Set-up'!$C$9)=FALSE,0,IF($F31="J",0,ROUND(($AU31-$AY31)*'Set-up'!$C$9,2)))</f>
        <v>0</v>
      </c>
      <c r="BD31" s="36">
        <f t="shared" ca="1" si="32"/>
        <v>413.28</v>
      </c>
      <c r="BE31" s="36">
        <f ca="1">IF(ISNUMBER('Set-up'!$C$9)=FALSE,0,IF($F31="J",0,ROUND(($AW31-$BA31)*'Set-up'!$C$9,2)))</f>
        <v>413.28</v>
      </c>
      <c r="BF31" s="36">
        <f ca="1">IF(ISNUMBER('Set-up'!$C$9)=FALSE,0,IF($F31="J",0,ROUND(($AX31-$BB31)*'Set-up'!$C$9,2)))</f>
        <v>34.44</v>
      </c>
    </row>
    <row r="32" spans="1:58" ht="16" customHeight="1" x14ac:dyDescent="0.25">
      <c r="A32" s="8" t="s">
        <v>343</v>
      </c>
      <c r="B32" s="8">
        <v>535624</v>
      </c>
      <c r="C32" s="8" t="s">
        <v>257</v>
      </c>
      <c r="D32" s="4" t="s">
        <v>91</v>
      </c>
      <c r="E32" s="4" t="s">
        <v>269</v>
      </c>
      <c r="F32" s="4" t="s">
        <v>211</v>
      </c>
      <c r="G32" s="4" t="str" cm="1">
        <f t="array" aca="1" ref="G32" ca="1">IF(COUNTIF(AssetCode,$A32)&gt;1,"E1",IF(ISNA(VLOOKUP($E32,CatAll,1,0))=TRUE,"E2",IF(AND($I32="add!",$J32&lt;&gt;"add!"),"E10",IF(ISNA(VLOOKUP($F32,TaxCode,1,0))=TRUE,"E11","-"))))</f>
        <v>-</v>
      </c>
      <c r="H32" s="4" t="str">
        <f t="shared" ca="1" si="0"/>
        <v>PM</v>
      </c>
      <c r="I32" s="33">
        <f t="array" aca="1" ref="I32" ca="1">IF(ISERROR(LARGE(IF(TransAsset=$A32,IF(TransType="ACQ",TransIDDate,"add!"),"add!"),1)),"add!",LARGE(IF(TransAsset=$A32,IF(TransType="ACQ",TransIDDate,"add!"),"add!"),1))</f>
        <v>43327.000462962962</v>
      </c>
      <c r="J32" s="33">
        <f t="array" aca="1" ref="J32" ca="1">IF(ISERROR(LARGE(IF(TransAsset=$A32,TransIDDate,"add!"),1)),"add!",LARGE(IF(TransAsset=$A32,TransIDDate,"add!"),1))</f>
        <v>43891.000879629632</v>
      </c>
      <c r="K32" s="33">
        <f t="array" aca="1" ref="K32" ca="1">IF(ISERROR(LARGE(IF(TransAsset=$A32,IF(TransDate&lt;($I$2+1),TransIDDate,"-"),"-"),1)),"-",LARGE(IF(TransAsset=$A32,IF(TransDate&lt;($I$2+1),TransIDDate,"-"),"-"),1))</f>
        <v>43891.000879629632</v>
      </c>
      <c r="L32" s="33">
        <f t="array" aca="1" ref="L32" ca="1">IF(ISERROR(LARGE(IF(TransAsset=$A32,IF(TransDate&lt;$H$2,TransIDDate,"-"),"-"),1)),"-",LARGE(IF(TransAsset=$A32,IF(TransDate&lt;$H$2,TransIDDate,"-"),"-"),1))</f>
        <v>43327.000462962962</v>
      </c>
      <c r="M32" s="33">
        <f t="array" aca="1" ref="M32" ca="1">IF(ISERROR(LARGE(IF(TransAsset=$A32,IF(TransDate&lt;$J$2,TransIDDate,"-"),"-"),1)),"-",LARGE(IF(TransAsset=$A32,IF(TransDate&lt;$J$2,TransIDDate,"-"),"-"),1))</f>
        <v>43891.000879629632</v>
      </c>
      <c r="N32" s="33" t="str">
        <f t="array" aca="1" ref="N32" ca="1">IF(ISERROR(LARGE(IF(TransAsset=$A32,IF(TransType="DIS",TransIDDate,"-"),"-"),1)),"-",LARGE(IF(TransAsset=$A32,IF(TransType="DIS",TransIDDate,"-"),"-"),1))</f>
        <v>-</v>
      </c>
      <c r="O32" s="34" cm="1">
        <f t="array" aca="1" ref="O32" ca="1">IF($N32&lt;=$I$2,SUMIFS(TransProceeds,TransAsset,$A32,TransType,"DIS"),0)</f>
        <v>0</v>
      </c>
      <c r="P32" s="36" cm="1">
        <f t="array" aca="1" ref="P32" ca="1">IF($I32&lt;=($I$2+1),SUMIFS(TransHCost,TransAsset,$A32,TransIDDate,$J32),0)</f>
        <v>40000</v>
      </c>
      <c r="Q32" s="28">
        <f t="shared" ca="1" si="1"/>
        <v>5</v>
      </c>
      <c r="R32" s="28">
        <f t="shared" ca="1" si="2"/>
        <v>0</v>
      </c>
      <c r="S32" s="36">
        <f t="shared" ca="1" si="3"/>
        <v>40000</v>
      </c>
      <c r="T32" s="35">
        <f ca="1">IF(ISNA(MATCH($F32,TaxCode,0))=TRUE,"code?",OFFSET('Set-up'!$D$37,MATCH($F32,TaxCode,0),MATCH($V32,TaxCurMonth,1)-1,1,1))</f>
        <v>0.2</v>
      </c>
      <c r="U32" s="28">
        <f t="shared" ca="1" si="4"/>
        <v>19</v>
      </c>
      <c r="V32" s="28">
        <f t="shared" ca="1" si="5"/>
        <v>31</v>
      </c>
      <c r="W32" s="28">
        <f t="shared" ca="1" si="6"/>
        <v>30</v>
      </c>
      <c r="X32" s="36">
        <f t="shared" ca="1" si="7"/>
        <v>40000</v>
      </c>
      <c r="Y32" s="36">
        <f t="shared" ca="1" si="8"/>
        <v>0</v>
      </c>
      <c r="Z32" s="36">
        <f t="shared" ca="1" si="9"/>
        <v>0</v>
      </c>
      <c r="AA32" s="36">
        <f t="shared" ca="1" si="10"/>
        <v>0</v>
      </c>
      <c r="AB32" s="36">
        <f t="shared" ca="1" si="11"/>
        <v>0</v>
      </c>
      <c r="AC32" s="36">
        <f t="shared" ca="1" si="23"/>
        <v>40000</v>
      </c>
      <c r="AD32" s="36" cm="1">
        <f t="array" aca="1" ref="AD32" ca="1">IF($L32=0,0,IF(SUMIFS(TransCLife,TransAsset,$A32,TransIDDate,$L32)=0,0,IF(($X32-(SUMIFS(TransCRes,TransAsset,$A32,TransIDDate,$L32)))/(SUMIFS(TransCLife,TransAsset,$A32,TransIDDate,$L32)*12)*(((YEAR($H$2)*12)+MONTH($H$2))-((YEAR($L32)*12)+MONTH($L32)))&gt;=($X32-SUMIFS(TransCRes,TransAsset,$A32,TransIDDate,$L32)),$X32-SUMIFS(TransCRes,TransAsset,$A32,TransIDDate,$L32),($X32-(SUMIFS(TransCRes,TransAsset,$A32,TransIDDate,$L32)))/(SUMIFS(TransCLife,TransAsset,$A32,TransIDDate,$L32)*12)*(((YEAR($H$2)*12)+MONTH($H$2))-((YEAR($L32)*12)+MONTH($L32))))))</f>
        <v>12666.666666666666</v>
      </c>
      <c r="AE32" s="36">
        <f t="shared" ca="1" si="12"/>
        <v>8000</v>
      </c>
      <c r="AF32" s="36">
        <f t="shared" ca="1" si="24"/>
        <v>0</v>
      </c>
      <c r="AG32" s="36">
        <f t="shared" ca="1" si="13"/>
        <v>8000</v>
      </c>
      <c r="AH32" s="36">
        <f t="shared" ca="1" si="14"/>
        <v>-12666.666666666666</v>
      </c>
      <c r="AI32" s="36">
        <f t="shared" ca="1" si="15"/>
        <v>0</v>
      </c>
      <c r="AJ32" s="36">
        <f t="shared" ca="1" si="25"/>
        <v>7999.9999999999982</v>
      </c>
      <c r="AK32" s="36">
        <f t="shared" ca="1" si="26"/>
        <v>32000</v>
      </c>
      <c r="AL32" s="36">
        <f t="shared" ca="1" si="16"/>
        <v>0</v>
      </c>
      <c r="AM32" s="36">
        <f t="shared" ca="1" si="27"/>
        <v>12666.666666666664</v>
      </c>
      <c r="AN32" s="36">
        <f t="shared" ca="1" si="28"/>
        <v>0</v>
      </c>
      <c r="AO32" s="36">
        <f t="shared" ca="1" si="17"/>
        <v>12666.666666666664</v>
      </c>
      <c r="AP32" s="36">
        <f t="shared" ca="1" si="18"/>
        <v>0</v>
      </c>
      <c r="AQ32" s="36">
        <f t="shared" ca="1" si="19"/>
        <v>0</v>
      </c>
      <c r="AR32" s="36">
        <f t="shared" ca="1" si="20"/>
        <v>666.66666666666663</v>
      </c>
      <c r="AS32" s="36">
        <f t="shared" ca="1" si="29"/>
        <v>0</v>
      </c>
      <c r="AT32" s="36">
        <f t="shared" ca="1" si="21"/>
        <v>666.66666666666663</v>
      </c>
      <c r="AU32" s="36" cm="1">
        <f t="array" aca="1" ref="AU32" ca="1">IF($I32&lt;$H$2,IF(AND($N32&lt;&gt;"-",$N32&lt;$H$2),0,SUMIFS(TransHCost,TransAsset,$A32,TransIDDate,$J32)-SUMIFS(TransPCAccDep,TransAsset,$A32)-SUMIFS(TransImpair,TransAsset,$A32,TransIDDate,"&lt;"&amp;$H$2,TransType,"REV")),0)</f>
        <v>27333.333333333336</v>
      </c>
      <c r="AV32" s="36">
        <f t="shared" ca="1" si="30"/>
        <v>-8000</v>
      </c>
      <c r="AW32" s="36">
        <f t="shared" ca="1" si="22"/>
        <v>19333.333333333336</v>
      </c>
      <c r="AX32" s="36" cm="1">
        <f t="array" aca="1" ref="AX32" ca="1">$AW32-IF($I32&lt;$J$2,IF(AND($N32&lt;&gt;"-",$N32&lt;$J$2),0,SUMIFS(TransHCost,TransAsset,$A32,TransIDDate,$J32)-SUMIFS(TransPMAccDep,TransAsset,$A32)-SUMIFS(TransImpair,TransAsset,$A32,TransIDDate,"&lt;"&amp;$J$2,TransType,"REV")),0)</f>
        <v>-666.66666666666424</v>
      </c>
      <c r="AY32" s="36">
        <f ca="1">IF(ISNA(MATCH($F32,TaxCode,0))=TRUE,$S32*($U32&gt;0),MAX(($S32*($U32&gt;0))-(($S32-SUMIFS(TransCRes,TransAsset,$A32,TransIDDate,$L32))*(IF($U32&lt;=11,0,MIN(SUM(OFFSET('Set-up'!$D$37,MATCH($F32,TaxCode,0),0,1,MATCH($U32,TaxCumMonth,1)))+MAX(TRUNC(($U32-60)/12)*SUM(OFFSET('Set-up'!$H$37,MATCH($F32,TaxCode,0),0,1,1)),0%),100%))))-(($S32-SUMIFS(TransCRes,TransAsset,$A32,TransIDDate,$L32))*OFFSET('Set-up'!$D$37,MATCH($F32,TaxCode,0),MATCH($U32,TaxCurMonth,1)-1,1,1)*IF(AND($U32-(TRUNC($U32/12)*12)&lt;&gt;0,OFFSET('Set-up'!$J$37,MATCH($F32,TaxCode,0),0,1,1)=0),1,(($U32-(TRUNC($U32/12)*12))/12))),SUMIFS(TransCRes,TransAsset,$A32,TransIDDate,$L32)))</f>
        <v>27333.333333333332</v>
      </c>
      <c r="AZ32" s="36">
        <f t="shared" ca="1" si="31"/>
        <v>-8000</v>
      </c>
      <c r="BA32" s="36">
        <f ca="1">IF(ISNA(MATCH($F32,TaxCode,0))=TRUE,$S32*($V32&gt;0),MAX(($S32*($V32&gt;0))-(($S32-$R32)*(IF($V32&lt;=11,0,MIN(SUM(OFFSET('Set-up'!$D$37,MATCH($F32,TaxCode,0),0,1,MATCH($V32,TaxCumMonth,1)))+MAX(TRUNC(($V32-60)/12)*SUM(OFFSET('Set-up'!$H$37,MATCH($F32,TaxCode,0),0,1,1)),0%),100%))))-(($S32-$R32)*OFFSET('Set-up'!$D$37,MATCH($F32,TaxCode,0),MATCH($V32,TaxCurMonth,1)-1,1,1)*IF(AND($V32-(TRUNC($V32/12)*12)&lt;&gt;0,OFFSET('Set-up'!$J$37,MATCH($F32,TaxCode,0),0,1,1)=0),1,(($V32-(TRUNC($V32/12)*12))/12))),$R32*($V32&gt;0)))</f>
        <v>19333.333333333332</v>
      </c>
      <c r="BB32" s="36">
        <f ca="1">$BA32-IF(ISNA(MATCH($F32,TaxCode,0))=TRUE,$S32*($W32&gt;0),MAX(($S32*($W32&gt;0))-(($S32-SUMIFS(TransCRes,TransAsset,$A32,TransIDDate,$M32))*(IF($W32&lt;=11,0,MIN(SUM(OFFSET('Set-up'!$D$37,MATCH($F32,TaxCode,0),0,1,MATCH($W32,TaxCumMonth,1)))+MAX(TRUNC(($W32-60)/12)*SUM(OFFSET('Set-up'!$H$37,MATCH($F32,TaxCode,0),0,1,1)),0%),100%))))-(($S32-SUMIFS(TransCRes,TransAsset,$A32,TransIDDate,$M32))*OFFSET('Set-up'!$D$37,MATCH($F32,TaxCode,0),MATCH($W32,TaxCurMonth,1)-1,1,1)*IF(AND($W32-(TRUNC($W32/12)*12)&lt;&gt;0,OFFSET('Set-up'!$J$37,MATCH($F32,TaxCode,0),0,1,1)=0),1,(($W32-(TRUNC($W32/12)*12))/12))),SUMIFS(TransCRes,TransAsset,$A32,TransIDDate,$M32)*($W32&gt;0)))</f>
        <v>-666.66666666666788</v>
      </c>
      <c r="BC32" s="36">
        <f ca="1">IF(ISNUMBER('Set-up'!$C$9)=FALSE,0,IF($F32="J",0,ROUND(($AU32-$AY32)*'Set-up'!$C$9,2)))</f>
        <v>0</v>
      </c>
      <c r="BD32" s="36">
        <f t="shared" ca="1" si="32"/>
        <v>0</v>
      </c>
      <c r="BE32" s="36">
        <f ca="1">IF(ISNUMBER('Set-up'!$C$9)=FALSE,0,IF($F32="J",0,ROUND(($AW32-$BA32)*'Set-up'!$C$9,2)))</f>
        <v>0</v>
      </c>
      <c r="BF32" s="36">
        <f ca="1">IF(ISNUMBER('Set-up'!$C$9)=FALSE,0,IF($F32="J",0,ROUND(($AX32-$BB32)*'Set-up'!$C$9,2)))</f>
        <v>0</v>
      </c>
    </row>
    <row r="33" spans="1:58" ht="16" customHeight="1" x14ac:dyDescent="0.25">
      <c r="A33" s="8" t="s">
        <v>344</v>
      </c>
      <c r="B33" s="8">
        <v>892946</v>
      </c>
      <c r="C33" s="8" t="s">
        <v>37</v>
      </c>
      <c r="D33" s="4" t="s">
        <v>91</v>
      </c>
      <c r="E33" s="4" t="s">
        <v>269</v>
      </c>
      <c r="F33" s="4" t="s">
        <v>211</v>
      </c>
      <c r="G33" s="4" t="str" cm="1">
        <f t="array" aca="1" ref="G33" ca="1">IF(COUNTIF(AssetCode,$A33)&gt;1,"E1",IF(ISNA(VLOOKUP($E33,CatAll,1,0))=TRUE,"E2",IF(AND($I33="add!",$J33&lt;&gt;"add!"),"E10",IF(ISNA(VLOOKUP($F33,TaxCode,1,0))=TRUE,"E11","-"))))</f>
        <v>-</v>
      </c>
      <c r="H33" s="4" t="str">
        <f t="shared" ca="1" si="0"/>
        <v>PM</v>
      </c>
      <c r="I33" s="33">
        <f t="array" aca="1" ref="I33" ca="1">IF(ISERROR(LARGE(IF(TransAsset=$A33,IF(TransType="ACQ",TransIDDate,"add!"),"add!"),1)),"add!",LARGE(IF(TransAsset=$A33,IF(TransType="ACQ",TransIDDate,"add!"),"add!"),1))</f>
        <v>44185.000925925924</v>
      </c>
      <c r="J33" s="33">
        <f t="array" aca="1" ref="J33" ca="1">IF(ISERROR(LARGE(IF(TransAsset=$A33,TransIDDate,"add!"),1)),"add!",LARGE(IF(TransAsset=$A33,TransIDDate,"add!"),1))</f>
        <v>44185.000925925924</v>
      </c>
      <c r="K33" s="33">
        <f t="array" aca="1" ref="K33" ca="1">IF(ISERROR(LARGE(IF(TransAsset=$A33,IF(TransDate&lt;($I$2+1),TransIDDate,"-"),"-"),1)),"-",LARGE(IF(TransAsset=$A33,IF(TransDate&lt;($I$2+1),TransIDDate,"-"),"-"),1))</f>
        <v>44185.000925925924</v>
      </c>
      <c r="L33" s="33" t="str">
        <f t="array" aca="1" ref="L33" ca="1">IF(ISERROR(LARGE(IF(TransAsset=$A33,IF(TransDate&lt;$H$2,TransIDDate,"-"),"-"),1)),"-",LARGE(IF(TransAsset=$A33,IF(TransDate&lt;$H$2,TransIDDate,"-"),"-"),1))</f>
        <v>-</v>
      </c>
      <c r="M33" s="33">
        <f t="array" aca="1" ref="M33" ca="1">IF(ISERROR(LARGE(IF(TransAsset=$A33,IF(TransDate&lt;$J$2,TransIDDate,"-"),"-"),1)),"-",LARGE(IF(TransAsset=$A33,IF(TransDate&lt;$J$2,TransIDDate,"-"),"-"),1))</f>
        <v>44185.000925925924</v>
      </c>
      <c r="N33" s="33" t="str">
        <f t="array" aca="1" ref="N33" ca="1">IF(ISERROR(LARGE(IF(TransAsset=$A33,IF(TransType="DIS",TransIDDate,"-"),"-"),1)),"-",LARGE(IF(TransAsset=$A33,IF(TransType="DIS",TransIDDate,"-"),"-"),1))</f>
        <v>-</v>
      </c>
      <c r="O33" s="34" cm="1">
        <f t="array" aca="1" ref="O33" ca="1">IF($N33&lt;=$I$2,SUMIFS(TransProceeds,TransAsset,$A33,TransType,"DIS"),0)</f>
        <v>0</v>
      </c>
      <c r="P33" s="36" cm="1">
        <f t="array" aca="1" ref="P33" ca="1">IF($I33&lt;=($I$2+1),SUMIFS(TransHCost,TransAsset,$A33,TransIDDate,$J33),0)</f>
        <v>18999</v>
      </c>
      <c r="Q33" s="28">
        <f t="shared" ca="1" si="1"/>
        <v>5</v>
      </c>
      <c r="R33" s="28">
        <f t="shared" ca="1" si="2"/>
        <v>0</v>
      </c>
      <c r="S33" s="36">
        <f t="shared" ca="1" si="3"/>
        <v>18999</v>
      </c>
      <c r="T33" s="35">
        <f ca="1">IF(ISNA(MATCH($F33,TaxCode,0))=TRUE,"code?",OFFSET('Set-up'!$D$37,MATCH($F33,TaxCode,0),MATCH($V33,TaxCurMonth,1)-1,1,1))</f>
        <v>0.2</v>
      </c>
      <c r="U33" s="28">
        <f t="shared" ca="1" si="4"/>
        <v>0</v>
      </c>
      <c r="V33" s="28">
        <f t="shared" ca="1" si="5"/>
        <v>3</v>
      </c>
      <c r="W33" s="28">
        <f t="shared" ca="1" si="6"/>
        <v>2</v>
      </c>
      <c r="X33" s="36">
        <f t="shared" ca="1" si="7"/>
        <v>0</v>
      </c>
      <c r="Y33" s="36">
        <f t="shared" ca="1" si="8"/>
        <v>18999</v>
      </c>
      <c r="Z33" s="36">
        <f t="shared" ca="1" si="9"/>
        <v>0</v>
      </c>
      <c r="AA33" s="36">
        <f t="shared" ca="1" si="10"/>
        <v>0</v>
      </c>
      <c r="AB33" s="36">
        <f t="shared" ca="1" si="11"/>
        <v>0</v>
      </c>
      <c r="AC33" s="36">
        <f t="shared" ca="1" si="23"/>
        <v>18999</v>
      </c>
      <c r="AD33" s="36" cm="1">
        <f t="array" aca="1" ref="AD33" ca="1">IF($L33=0,0,IF(SUMIFS(TransCLife,TransAsset,$A33,TransIDDate,$L33)=0,0,IF(($X33-(SUMIFS(TransCRes,TransAsset,$A33,TransIDDate,$L33)))/(SUMIFS(TransCLife,TransAsset,$A33,TransIDDate,$L33)*12)*(((YEAR($H$2)*12)+MONTH($H$2))-((YEAR($L33)*12)+MONTH($L33)))&gt;=($X33-SUMIFS(TransCRes,TransAsset,$A33,TransIDDate,$L33)),$X33-SUMIFS(TransCRes,TransAsset,$A33,TransIDDate,$L33),($X33-(SUMIFS(TransCRes,TransAsset,$A33,TransIDDate,$L33)))/(SUMIFS(TransCLife,TransAsset,$A33,TransIDDate,$L33)*12)*(((YEAR($H$2)*12)+MONTH($H$2))-((YEAR($L33)*12)+MONTH($L33))))))</f>
        <v>0</v>
      </c>
      <c r="AE33" s="36">
        <f t="shared" ca="1" si="12"/>
        <v>949.94999999999993</v>
      </c>
      <c r="AF33" s="36">
        <f t="shared" ca="1" si="24"/>
        <v>0</v>
      </c>
      <c r="AG33" s="36">
        <f t="shared" ca="1" si="13"/>
        <v>949.94999999999993</v>
      </c>
      <c r="AH33" s="36">
        <f t="shared" ca="1" si="14"/>
        <v>0</v>
      </c>
      <c r="AI33" s="36">
        <f t="shared" ca="1" si="15"/>
        <v>0</v>
      </c>
      <c r="AJ33" s="36">
        <f t="shared" ca="1" si="25"/>
        <v>949.94999999999993</v>
      </c>
      <c r="AK33" s="36">
        <f t="shared" ca="1" si="26"/>
        <v>18049.05</v>
      </c>
      <c r="AL33" s="36">
        <f t="shared" ca="1" si="16"/>
        <v>0</v>
      </c>
      <c r="AM33" s="36">
        <f t="shared" ca="1" si="27"/>
        <v>0</v>
      </c>
      <c r="AN33" s="36">
        <f t="shared" ca="1" si="28"/>
        <v>0</v>
      </c>
      <c r="AO33" s="36">
        <f t="shared" ca="1" si="17"/>
        <v>0</v>
      </c>
      <c r="AP33" s="36">
        <f t="shared" ca="1" si="18"/>
        <v>0</v>
      </c>
      <c r="AQ33" s="36">
        <f t="shared" ca="1" si="19"/>
        <v>0</v>
      </c>
      <c r="AR33" s="36">
        <f t="shared" ca="1" si="20"/>
        <v>316.64999999999998</v>
      </c>
      <c r="AS33" s="36">
        <f t="shared" ca="1" si="29"/>
        <v>0</v>
      </c>
      <c r="AT33" s="36">
        <f t="shared" ca="1" si="21"/>
        <v>316.64999999999998</v>
      </c>
      <c r="AU33" s="36" cm="1">
        <f t="array" aca="1" ref="AU33" ca="1">IF($I33&lt;$H$2,IF(AND($N33&lt;&gt;"-",$N33&lt;$H$2),0,SUMIFS(TransHCost,TransAsset,$A33,TransIDDate,$J33)-SUMIFS(TransPCAccDep,TransAsset,$A33)-SUMIFS(TransImpair,TransAsset,$A33,TransIDDate,"&lt;"&amp;$H$2,TransType,"REV")),0)</f>
        <v>0</v>
      </c>
      <c r="AV33" s="36">
        <f t="shared" ca="1" si="30"/>
        <v>18049.05</v>
      </c>
      <c r="AW33" s="36">
        <f t="shared" ca="1" si="22"/>
        <v>18049.05</v>
      </c>
      <c r="AX33" s="36" cm="1">
        <f t="array" aca="1" ref="AX33" ca="1">$AW33-IF($I33&lt;$J$2,IF(AND($N33&lt;&gt;"-",$N33&lt;$J$2),0,SUMIFS(TransHCost,TransAsset,$A33,TransIDDate,$J33)-SUMIFS(TransPMAccDep,TransAsset,$A33)-SUMIFS(TransImpair,TransAsset,$A33,TransIDDate,"&lt;"&amp;$J$2,TransType,"REV")),0)</f>
        <v>-316.65000000000146</v>
      </c>
      <c r="AY33" s="36">
        <f ca="1">IF(ISNA(MATCH($F33,TaxCode,0))=TRUE,$S33*($U33&gt;0),MAX(($S33*($U33&gt;0))-(($S33-SUMIFS(TransCRes,TransAsset,$A33,TransIDDate,$L33))*(IF($U33&lt;=11,0,MIN(SUM(OFFSET('Set-up'!$D$37,MATCH($F33,TaxCode,0),0,1,MATCH($U33,TaxCumMonth,1)))+MAX(TRUNC(($U33-60)/12)*SUM(OFFSET('Set-up'!$H$37,MATCH($F33,TaxCode,0),0,1,1)),0%),100%))))-(($S33-SUMIFS(TransCRes,TransAsset,$A33,TransIDDate,$L33))*OFFSET('Set-up'!$D$37,MATCH($F33,TaxCode,0),MATCH($U33,TaxCurMonth,1)-1,1,1)*IF(AND($U33-(TRUNC($U33/12)*12)&lt;&gt;0,OFFSET('Set-up'!$J$37,MATCH($F33,TaxCode,0),0,1,1)=0),1,(($U33-(TRUNC($U33/12)*12))/12))),SUMIFS(TransCRes,TransAsset,$A33,TransIDDate,$L33)))</f>
        <v>0</v>
      </c>
      <c r="AZ33" s="36">
        <f t="shared" ca="1" si="31"/>
        <v>18049.05</v>
      </c>
      <c r="BA33" s="36">
        <f ca="1">IF(ISNA(MATCH($F33,TaxCode,0))=TRUE,$S33*($V33&gt;0),MAX(($S33*($V33&gt;0))-(($S33-$R33)*(IF($V33&lt;=11,0,MIN(SUM(OFFSET('Set-up'!$D$37,MATCH($F33,TaxCode,0),0,1,MATCH($V33,TaxCumMonth,1)))+MAX(TRUNC(($V33-60)/12)*SUM(OFFSET('Set-up'!$H$37,MATCH($F33,TaxCode,0),0,1,1)),0%),100%))))-(($S33-$R33)*OFFSET('Set-up'!$D$37,MATCH($F33,TaxCode,0),MATCH($V33,TaxCurMonth,1)-1,1,1)*IF(AND($V33-(TRUNC($V33/12)*12)&lt;&gt;0,OFFSET('Set-up'!$J$37,MATCH($F33,TaxCode,0),0,1,1)=0),1,(($V33-(TRUNC($V33/12)*12))/12))),$R33*($V33&gt;0)))</f>
        <v>18049.05</v>
      </c>
      <c r="BB33" s="36">
        <f ca="1">$BA33-IF(ISNA(MATCH($F33,TaxCode,0))=TRUE,$S33*($W33&gt;0),MAX(($S33*($W33&gt;0))-(($S33-SUMIFS(TransCRes,TransAsset,$A33,TransIDDate,$M33))*(IF($W33&lt;=11,0,MIN(SUM(OFFSET('Set-up'!$D$37,MATCH($F33,TaxCode,0),0,1,MATCH($W33,TaxCumMonth,1)))+MAX(TRUNC(($W33-60)/12)*SUM(OFFSET('Set-up'!$H$37,MATCH($F33,TaxCode,0),0,1,1)),0%),100%))))-(($S33-SUMIFS(TransCRes,TransAsset,$A33,TransIDDate,$M33))*OFFSET('Set-up'!$D$37,MATCH($F33,TaxCode,0),MATCH($W33,TaxCurMonth,1)-1,1,1)*IF(AND($W33-(TRUNC($W33/12)*12)&lt;&gt;0,OFFSET('Set-up'!$J$37,MATCH($F33,TaxCode,0),0,1,1)=0),1,(($W33-(TRUNC($W33/12)*12))/12))),SUMIFS(TransCRes,TransAsset,$A33,TransIDDate,$M33)*($W33&gt;0)))</f>
        <v>-316.65000000000146</v>
      </c>
      <c r="BC33" s="36">
        <f ca="1">IF(ISNUMBER('Set-up'!$C$9)=FALSE,0,IF($F33="J",0,ROUND(($AU33-$AY33)*'Set-up'!$C$9,2)))</f>
        <v>0</v>
      </c>
      <c r="BD33" s="36">
        <f t="shared" ca="1" si="32"/>
        <v>0</v>
      </c>
      <c r="BE33" s="36">
        <f ca="1">IF(ISNUMBER('Set-up'!$C$9)=FALSE,0,IF($F33="J",0,ROUND(($AW33-$BA33)*'Set-up'!$C$9,2)))</f>
        <v>0</v>
      </c>
      <c r="BF33" s="36">
        <f ca="1">IF(ISNUMBER('Set-up'!$C$9)=FALSE,0,IF($F33="J",0,ROUND(($AX33-$BB33)*'Set-up'!$C$9,2)))</f>
        <v>0</v>
      </c>
    </row>
    <row r="34" spans="1:58" ht="16" customHeight="1" x14ac:dyDescent="0.25">
      <c r="A34" s="8" t="s">
        <v>317</v>
      </c>
      <c r="B34" s="8" t="s">
        <v>309</v>
      </c>
      <c r="C34" s="8" t="s">
        <v>300</v>
      </c>
      <c r="D34" s="4" t="s">
        <v>91</v>
      </c>
      <c r="E34" s="4" t="s">
        <v>305</v>
      </c>
      <c r="F34" s="4" t="s">
        <v>218</v>
      </c>
      <c r="G34" s="4" t="str" cm="1">
        <f t="array" aca="1" ref="G34" ca="1">IF(COUNTIF(AssetCode,$A34)&gt;1,"E1",IF(ISNA(VLOOKUP($E34,CatAll,1,0))=TRUE,"E2",IF(AND($I34="add!",$J34&lt;&gt;"add!"),"E10",IF(ISNA(VLOOKUP($F34,TaxCode,1,0))=TRUE,"E11","-"))))</f>
        <v>-</v>
      </c>
      <c r="H34" s="4" t="str">
        <f t="shared" ca="1" si="0"/>
        <v>FF</v>
      </c>
      <c r="I34" s="33">
        <f t="array" aca="1" ref="I34" ca="1">IF(ISERROR(LARGE(IF(TransAsset=$A34,IF(TransType="ACQ",TransIDDate,"add!"),"add!"),1)),"add!",LARGE(IF(TransAsset=$A34,IF(TransType="ACQ",TransIDDate,"add!"),"add!"),1))</f>
        <v>42205.000092592592</v>
      </c>
      <c r="J34" s="33">
        <f t="array" aca="1" ref="J34" ca="1">IF(ISERROR(LARGE(IF(TransAsset=$A34,TransIDDate,"add!"),1)),"add!",LARGE(IF(TransAsset=$A34,TransIDDate,"add!"),1))</f>
        <v>43891.000520833331</v>
      </c>
      <c r="K34" s="33">
        <f t="array" aca="1" ref="K34" ca="1">IF(ISERROR(LARGE(IF(TransAsset=$A34,IF(TransDate&lt;($I$2+1),TransIDDate,"-"),"-"),1)),"-",LARGE(IF(TransAsset=$A34,IF(TransDate&lt;($I$2+1),TransIDDate,"-"),"-"),1))</f>
        <v>43891.000520833331</v>
      </c>
      <c r="L34" s="33">
        <f t="array" aca="1" ref="L34" ca="1">IF(ISERROR(LARGE(IF(TransAsset=$A34,IF(TransDate&lt;$H$2,TransIDDate,"-"),"-"),1)),"-",LARGE(IF(TransAsset=$A34,IF(TransDate&lt;$H$2,TransIDDate,"-"),"-"),1))</f>
        <v>42205.000092592592</v>
      </c>
      <c r="M34" s="33">
        <f t="array" aca="1" ref="M34" ca="1">IF(ISERROR(LARGE(IF(TransAsset=$A34,IF(TransDate&lt;$J$2,TransIDDate,"-"),"-"),1)),"-",LARGE(IF(TransAsset=$A34,IF(TransDate&lt;$J$2,TransIDDate,"-"),"-"),1))</f>
        <v>43891.000520833331</v>
      </c>
      <c r="N34" s="33" t="str">
        <f t="array" aca="1" ref="N34" ca="1">IF(ISERROR(LARGE(IF(TransAsset=$A34,IF(TransType="DIS",TransIDDate,"-"),"-"),1)),"-",LARGE(IF(TransAsset=$A34,IF(TransType="DIS",TransIDDate,"-"),"-"),1))</f>
        <v>-</v>
      </c>
      <c r="O34" s="34" cm="1">
        <f t="array" aca="1" ref="O34" ca="1">IF($N34&lt;=$I$2,SUMIFS(TransProceeds,TransAsset,$A34,TransType,"DIS"),0)</f>
        <v>0</v>
      </c>
      <c r="P34" s="36" cm="1">
        <f t="array" aca="1" ref="P34" ca="1">IF($I34&lt;=($I$2+1),SUMIFS(TransHCost,TransAsset,$A34,TransIDDate,$J34),0)</f>
        <v>3600</v>
      </c>
      <c r="Q34" s="28">
        <f t="shared" ca="1" si="1"/>
        <v>6</v>
      </c>
      <c r="R34" s="28">
        <f t="shared" ca="1" si="2"/>
        <v>0</v>
      </c>
      <c r="S34" s="36">
        <f t="shared" ca="1" si="3"/>
        <v>3600</v>
      </c>
      <c r="T34" s="35">
        <f ca="1">IF(ISNA(MATCH($F34,TaxCode,0))=TRUE,"code?",OFFSET('Set-up'!$D$37,MATCH($F34,TaxCode,0),MATCH($V34,TaxCurMonth,1)-1,1,1))</f>
        <v>0.16666666666666666</v>
      </c>
      <c r="U34" s="28">
        <f t="shared" ca="1" si="4"/>
        <v>56</v>
      </c>
      <c r="V34" s="28">
        <f t="shared" ca="1" si="5"/>
        <v>68</v>
      </c>
      <c r="W34" s="28">
        <f t="shared" ca="1" si="6"/>
        <v>67</v>
      </c>
      <c r="X34" s="36">
        <f t="shared" ca="1" si="7"/>
        <v>3600</v>
      </c>
      <c r="Y34" s="36">
        <f t="shared" ca="1" si="8"/>
        <v>0</v>
      </c>
      <c r="Z34" s="36">
        <f t="shared" ca="1" si="9"/>
        <v>-2150</v>
      </c>
      <c r="AA34" s="36">
        <f t="shared" ca="1" si="10"/>
        <v>0</v>
      </c>
      <c r="AB34" s="36">
        <f t="shared" ca="1" si="11"/>
        <v>0</v>
      </c>
      <c r="AC34" s="36">
        <f t="shared" ca="1" si="23"/>
        <v>1450</v>
      </c>
      <c r="AD34" s="36" cm="1">
        <f t="array" aca="1" ref="AD34" ca="1">IF($L34=0,0,IF(SUMIFS(TransCLife,TransAsset,$A34,TransIDDate,$L34)=0,0,IF(($X34-(SUMIFS(TransCRes,TransAsset,$A34,TransIDDate,$L34)))/(SUMIFS(TransCLife,TransAsset,$A34,TransIDDate,$L34)*12)*(((YEAR($H$2)*12)+MONTH($H$2))-((YEAR($L34)*12)+MONTH($L34)))&gt;=($X34-SUMIFS(TransCRes,TransAsset,$A34,TransIDDate,$L34)),$X34-SUMIFS(TransCRes,TransAsset,$A34,TransIDDate,$L34),($X34-(SUMIFS(TransCRes,TransAsset,$A34,TransIDDate,$L34)))/(SUMIFS(TransCLife,TransAsset,$A34,TransIDDate,$L34)*12)*(((YEAR($H$2)*12)+MONTH($H$2))-((YEAR($L34)*12)+MONTH($L34))))))</f>
        <v>2800</v>
      </c>
      <c r="AE34" s="36">
        <f t="shared" ca="1" si="12"/>
        <v>241.66666666666669</v>
      </c>
      <c r="AF34" s="36">
        <f t="shared" ca="1" si="24"/>
        <v>0</v>
      </c>
      <c r="AG34" s="36">
        <f t="shared" ca="1" si="13"/>
        <v>241.66666666666669</v>
      </c>
      <c r="AH34" s="36">
        <f t="shared" ca="1" si="14"/>
        <v>-2800</v>
      </c>
      <c r="AI34" s="36">
        <f t="shared" ca="1" si="15"/>
        <v>0</v>
      </c>
      <c r="AJ34" s="36">
        <f t="shared" ca="1" si="25"/>
        <v>241.66666666666652</v>
      </c>
      <c r="AK34" s="36">
        <f t="shared" ca="1" si="26"/>
        <v>1208.3333333333335</v>
      </c>
      <c r="AL34" s="36">
        <f t="shared" ca="1" si="16"/>
        <v>0</v>
      </c>
      <c r="AM34" s="36">
        <f t="shared" ca="1" si="27"/>
        <v>650</v>
      </c>
      <c r="AN34" s="36">
        <f t="shared" ca="1" si="28"/>
        <v>0</v>
      </c>
      <c r="AO34" s="36">
        <f t="shared" ca="1" si="17"/>
        <v>650</v>
      </c>
      <c r="AP34" s="36">
        <f t="shared" ca="1" si="18"/>
        <v>0</v>
      </c>
      <c r="AQ34" s="36">
        <f t="shared" ca="1" si="19"/>
        <v>0</v>
      </c>
      <c r="AR34" s="36">
        <f t="shared" ca="1" si="20"/>
        <v>20.138888888888889</v>
      </c>
      <c r="AS34" s="36">
        <f t="shared" ca="1" si="29"/>
        <v>0</v>
      </c>
      <c r="AT34" s="36">
        <f t="shared" ca="1" si="21"/>
        <v>20.138888888888889</v>
      </c>
      <c r="AU34" s="36" cm="1">
        <f t="array" aca="1" ref="AU34" ca="1">IF($I34&lt;$H$2,IF(AND($N34&lt;&gt;"-",$N34&lt;$H$2),0,SUMIFS(TransHCost,TransAsset,$A34,TransIDDate,$J34)-SUMIFS(TransPCAccDep,TransAsset,$A34)-SUMIFS(TransImpair,TransAsset,$A34,TransIDDate,"&lt;"&amp;$H$2,TransType,"REV")),0)</f>
        <v>800</v>
      </c>
      <c r="AV34" s="36">
        <f t="shared" ca="1" si="30"/>
        <v>-241.66666666666674</v>
      </c>
      <c r="AW34" s="36">
        <f t="shared" ca="1" si="22"/>
        <v>558.33333333333326</v>
      </c>
      <c r="AX34" s="36" cm="1">
        <f t="array" aca="1" ref="AX34" ca="1">$AW34-IF($I34&lt;$J$2,IF(AND($N34&lt;&gt;"-",$N34&lt;$J$2),0,SUMIFS(TransHCost,TransAsset,$A34,TransIDDate,$J34)-SUMIFS(TransPMAccDep,TransAsset,$A34)-SUMIFS(TransImpair,TransAsset,$A34,TransIDDate,"&lt;"&amp;$J$2,TransType,"REV")),0)</f>
        <v>-20.138888888888914</v>
      </c>
      <c r="AY34" s="36">
        <f ca="1">IF(ISNA(MATCH($F34,TaxCode,0))=TRUE,$S34*($U34&gt;0),MAX(($S34*($U34&gt;0))-(($S34-SUMIFS(TransCRes,TransAsset,$A34,TransIDDate,$L34))*(IF($U34&lt;=11,0,MIN(SUM(OFFSET('Set-up'!$D$37,MATCH($F34,TaxCode,0),0,1,MATCH($U34,TaxCumMonth,1)))+MAX(TRUNC(($U34-60)/12)*SUM(OFFSET('Set-up'!$H$37,MATCH($F34,TaxCode,0),0,1,1)),0%),100%))))-(($S34-SUMIFS(TransCRes,TransAsset,$A34,TransIDDate,$L34))*OFFSET('Set-up'!$D$37,MATCH($F34,TaxCode,0),MATCH($U34,TaxCurMonth,1)-1,1,1)*IF(AND($U34-(TRUNC($U34/12)*12)&lt;&gt;0,OFFSET('Set-up'!$J$37,MATCH($F34,TaxCode,0),0,1,1)=0),1,(($U34-(TRUNC($U34/12)*12))/12))),SUMIFS(TransCRes,TransAsset,$A34,TransIDDate,$L34)))</f>
        <v>800</v>
      </c>
      <c r="AZ34" s="36">
        <f t="shared" ca="1" si="31"/>
        <v>-599.99999999999955</v>
      </c>
      <c r="BA34" s="36">
        <f ca="1">IF(ISNA(MATCH($F34,TaxCode,0))=TRUE,$S34*($V34&gt;0),MAX(($S34*($V34&gt;0))-(($S34-$R34)*(IF($V34&lt;=11,0,MIN(SUM(OFFSET('Set-up'!$D$37,MATCH($F34,TaxCode,0),0,1,MATCH($V34,TaxCumMonth,1)))+MAX(TRUNC(($V34-60)/12)*SUM(OFFSET('Set-up'!$H$37,MATCH($F34,TaxCode,0),0,1,1)),0%),100%))))-(($S34-$R34)*OFFSET('Set-up'!$D$37,MATCH($F34,TaxCode,0),MATCH($V34,TaxCurMonth,1)-1,1,1)*IF(AND($V34-(TRUNC($V34/12)*12)&lt;&gt;0,OFFSET('Set-up'!$J$37,MATCH($F34,TaxCode,0),0,1,1)=0),1,(($V34-(TRUNC($V34/12)*12))/12))),$R34*($V34&gt;0)))</f>
        <v>200.00000000000045</v>
      </c>
      <c r="BB34" s="36">
        <f ca="1">$BA34-IF(ISNA(MATCH($F34,TaxCode,0))=TRUE,$S34*($W34&gt;0),MAX(($S34*($W34&gt;0))-(($S34-SUMIFS(TransCRes,TransAsset,$A34,TransIDDate,$M34))*(IF($W34&lt;=11,0,MIN(SUM(OFFSET('Set-up'!$D$37,MATCH($F34,TaxCode,0),0,1,MATCH($W34,TaxCumMonth,1)))+MAX(TRUNC(($W34-60)/12)*SUM(OFFSET('Set-up'!$H$37,MATCH($F34,TaxCode,0),0,1,1)),0%),100%))))-(($S34-SUMIFS(TransCRes,TransAsset,$A34,TransIDDate,$M34))*OFFSET('Set-up'!$D$37,MATCH($F34,TaxCode,0),MATCH($W34,TaxCurMonth,1)-1,1,1)*IF(AND($W34-(TRUNC($W34/12)*12)&lt;&gt;0,OFFSET('Set-up'!$J$37,MATCH($F34,TaxCode,0),0,1,1)=0),1,(($W34-(TRUNC($W34/12)*12))/12))),SUMIFS(TransCRes,TransAsset,$A34,TransIDDate,$M34)*($W34&gt;0)))</f>
        <v>-50</v>
      </c>
      <c r="BC34" s="36">
        <f ca="1">IF(ISNUMBER('Set-up'!$C$9)=FALSE,0,IF($F34="J",0,ROUND(($AU34-$AY34)*'Set-up'!$C$9,2)))</f>
        <v>0</v>
      </c>
      <c r="BD34" s="36">
        <f t="shared" ca="1" si="32"/>
        <v>100.33</v>
      </c>
      <c r="BE34" s="36">
        <f ca="1">IF(ISNUMBER('Set-up'!$C$9)=FALSE,0,IF($F34="J",0,ROUND(($AW34-$BA34)*'Set-up'!$C$9,2)))</f>
        <v>100.33</v>
      </c>
      <c r="BF34" s="36">
        <f ca="1">IF(ISNUMBER('Set-up'!$C$9)=FALSE,0,IF($F34="J",0,ROUND(($AX34-$BB34)*'Set-up'!$C$9,2)))</f>
        <v>8.36</v>
      </c>
    </row>
    <row r="35" spans="1:58" ht="16" customHeight="1" x14ac:dyDescent="0.25">
      <c r="A35" s="8" t="s">
        <v>318</v>
      </c>
      <c r="B35" s="8" t="s">
        <v>310</v>
      </c>
      <c r="C35" s="8" t="s">
        <v>301</v>
      </c>
      <c r="D35" s="4" t="s">
        <v>91</v>
      </c>
      <c r="E35" s="4" t="s">
        <v>305</v>
      </c>
      <c r="F35" s="4" t="s">
        <v>218</v>
      </c>
      <c r="G35" s="4" t="str" cm="1">
        <f t="array" aca="1" ref="G35" ca="1">IF(COUNTIF(AssetCode,$A35)&gt;1,"E1",IF(ISNA(VLOOKUP($E35,CatAll,1,0))=TRUE,"E2",IF(AND($I35="add!",$J35&lt;&gt;"add!"),"E10",IF(ISNA(VLOOKUP($F35,TaxCode,1,0))=TRUE,"E11","-"))))</f>
        <v>-</v>
      </c>
      <c r="H35" s="4" t="str">
        <f t="shared" ca="1" si="0"/>
        <v>FF</v>
      </c>
      <c r="I35" s="33">
        <f t="array" aca="1" ref="I35" ca="1">IF(ISERROR(LARGE(IF(TransAsset=$A35,IF(TransType="ACQ",TransIDDate,"add!"),"add!"),1)),"add!",LARGE(IF(TransAsset=$A35,IF(TransType="ACQ",TransIDDate,"add!"),"add!"),1))</f>
        <v>42205.000104166669</v>
      </c>
      <c r="J35" s="33">
        <f t="array" aca="1" ref="J35" ca="1">IF(ISERROR(LARGE(IF(TransAsset=$A35,TransIDDate,"add!"),1)),"add!",LARGE(IF(TransAsset=$A35,TransIDDate,"add!"),1))</f>
        <v>43891.000532407408</v>
      </c>
      <c r="K35" s="33">
        <f t="array" aca="1" ref="K35" ca="1">IF(ISERROR(LARGE(IF(TransAsset=$A35,IF(TransDate&lt;($I$2+1),TransIDDate,"-"),"-"),1)),"-",LARGE(IF(TransAsset=$A35,IF(TransDate&lt;($I$2+1),TransIDDate,"-"),"-"),1))</f>
        <v>43891.000532407408</v>
      </c>
      <c r="L35" s="33">
        <f t="array" aca="1" ref="L35" ca="1">IF(ISERROR(LARGE(IF(TransAsset=$A35,IF(TransDate&lt;$H$2,TransIDDate,"-"),"-"),1)),"-",LARGE(IF(TransAsset=$A35,IF(TransDate&lt;$H$2,TransIDDate,"-"),"-"),1))</f>
        <v>42205.000104166669</v>
      </c>
      <c r="M35" s="33">
        <f t="array" aca="1" ref="M35" ca="1">IF(ISERROR(LARGE(IF(TransAsset=$A35,IF(TransDate&lt;$J$2,TransIDDate,"-"),"-"),1)),"-",LARGE(IF(TransAsset=$A35,IF(TransDate&lt;$J$2,TransIDDate,"-"),"-"),1))</f>
        <v>43891.000532407408</v>
      </c>
      <c r="N35" s="33" t="str">
        <f t="array" aca="1" ref="N35" ca="1">IF(ISERROR(LARGE(IF(TransAsset=$A35,IF(TransType="DIS",TransIDDate,"-"),"-"),1)),"-",LARGE(IF(TransAsset=$A35,IF(TransType="DIS",TransIDDate,"-"),"-"),1))</f>
        <v>-</v>
      </c>
      <c r="O35" s="34" cm="1">
        <f t="array" aca="1" ref="O35" ca="1">IF($N35&lt;=$I$2,SUMIFS(TransProceeds,TransAsset,$A35,TransType,"DIS"),0)</f>
        <v>0</v>
      </c>
      <c r="P35" s="36" cm="1">
        <f t="array" aca="1" ref="P35" ca="1">IF($I35&lt;=($I$2+1),SUMIFS(TransHCost,TransAsset,$A35,TransIDDate,$J35),0)</f>
        <v>12400</v>
      </c>
      <c r="Q35" s="28">
        <f t="shared" ca="1" si="1"/>
        <v>6</v>
      </c>
      <c r="R35" s="28">
        <f t="shared" ca="1" si="2"/>
        <v>0</v>
      </c>
      <c r="S35" s="36">
        <f t="shared" ca="1" si="3"/>
        <v>12400</v>
      </c>
      <c r="T35" s="35">
        <f ca="1">IF(ISNA(MATCH($F35,TaxCode,0))=TRUE,"code?",OFFSET('Set-up'!$D$37,MATCH($F35,TaxCode,0),MATCH($V35,TaxCurMonth,1)-1,1,1))</f>
        <v>0.16666666666666666</v>
      </c>
      <c r="U35" s="28">
        <f t="shared" ca="1" si="4"/>
        <v>56</v>
      </c>
      <c r="V35" s="28">
        <f t="shared" ca="1" si="5"/>
        <v>68</v>
      </c>
      <c r="W35" s="28">
        <f t="shared" ca="1" si="6"/>
        <v>67</v>
      </c>
      <c r="X35" s="36">
        <f t="shared" ca="1" si="7"/>
        <v>12400</v>
      </c>
      <c r="Y35" s="36">
        <f t="shared" ca="1" si="8"/>
        <v>0</v>
      </c>
      <c r="Z35" s="36">
        <f t="shared" ca="1" si="9"/>
        <v>-7400</v>
      </c>
      <c r="AA35" s="36">
        <f t="shared" ca="1" si="10"/>
        <v>0</v>
      </c>
      <c r="AB35" s="36">
        <f t="shared" ca="1" si="11"/>
        <v>0</v>
      </c>
      <c r="AC35" s="36">
        <f t="shared" ca="1" si="23"/>
        <v>5000</v>
      </c>
      <c r="AD35" s="36" cm="1">
        <f t="array" aca="1" ref="AD35" ca="1">IF($L35=0,0,IF(SUMIFS(TransCLife,TransAsset,$A35,TransIDDate,$L35)=0,0,IF(($X35-(SUMIFS(TransCRes,TransAsset,$A35,TransIDDate,$L35)))/(SUMIFS(TransCLife,TransAsset,$A35,TransIDDate,$L35)*12)*(((YEAR($H$2)*12)+MONTH($H$2))-((YEAR($L35)*12)+MONTH($L35)))&gt;=($X35-SUMIFS(TransCRes,TransAsset,$A35,TransIDDate,$L35)),$X35-SUMIFS(TransCRes,TransAsset,$A35,TransIDDate,$L35),($X35-(SUMIFS(TransCRes,TransAsset,$A35,TransIDDate,$L35)))/(SUMIFS(TransCLife,TransAsset,$A35,TransIDDate,$L35)*12)*(((YEAR($H$2)*12)+MONTH($H$2))-((YEAR($L35)*12)+MONTH($L35))))))</f>
        <v>9644.4444444444453</v>
      </c>
      <c r="AE35" s="36">
        <f t="shared" ca="1" si="12"/>
        <v>833.33333333333326</v>
      </c>
      <c r="AF35" s="36">
        <f t="shared" ca="1" si="24"/>
        <v>0</v>
      </c>
      <c r="AG35" s="36">
        <f t="shared" ca="1" si="13"/>
        <v>833.33333333333326</v>
      </c>
      <c r="AH35" s="36">
        <f t="shared" ca="1" si="14"/>
        <v>-9644.4444444444453</v>
      </c>
      <c r="AI35" s="36">
        <f t="shared" ca="1" si="15"/>
        <v>0</v>
      </c>
      <c r="AJ35" s="36">
        <f t="shared" ca="1" si="25"/>
        <v>833.33333333333394</v>
      </c>
      <c r="AK35" s="36">
        <f t="shared" ca="1" si="26"/>
        <v>4166.6666666666661</v>
      </c>
      <c r="AL35" s="36">
        <f t="shared" ca="1" si="16"/>
        <v>0</v>
      </c>
      <c r="AM35" s="36">
        <f t="shared" ca="1" si="27"/>
        <v>2244.4444444444453</v>
      </c>
      <c r="AN35" s="36">
        <f t="shared" ca="1" si="28"/>
        <v>0</v>
      </c>
      <c r="AO35" s="36">
        <f t="shared" ca="1" si="17"/>
        <v>2244.4444444444453</v>
      </c>
      <c r="AP35" s="36">
        <f t="shared" ca="1" si="18"/>
        <v>0</v>
      </c>
      <c r="AQ35" s="36">
        <f t="shared" ca="1" si="19"/>
        <v>0</v>
      </c>
      <c r="AR35" s="36">
        <f t="shared" ca="1" si="20"/>
        <v>69.444444444444443</v>
      </c>
      <c r="AS35" s="36">
        <f t="shared" ca="1" si="29"/>
        <v>0</v>
      </c>
      <c r="AT35" s="36">
        <f t="shared" ca="1" si="21"/>
        <v>69.444444444444443</v>
      </c>
      <c r="AU35" s="36" cm="1">
        <f t="array" aca="1" ref="AU35" ca="1">IF($I35&lt;$H$2,IF(AND($N35&lt;&gt;"-",$N35&lt;$H$2),0,SUMIFS(TransHCost,TransAsset,$A35,TransIDDate,$J35)-SUMIFS(TransPCAccDep,TransAsset,$A35)-SUMIFS(TransImpair,TransAsset,$A35,TransIDDate,"&lt;"&amp;$H$2,TransType,"REV")),0)</f>
        <v>2755.5555555555547</v>
      </c>
      <c r="AV35" s="36">
        <f t="shared" ca="1" si="30"/>
        <v>-833.33333333333326</v>
      </c>
      <c r="AW35" s="36">
        <f t="shared" ca="1" si="22"/>
        <v>1922.2222222222215</v>
      </c>
      <c r="AX35" s="36" cm="1">
        <f t="array" aca="1" ref="AX35" ca="1">$AW35-IF($I35&lt;$J$2,IF(AND($N35&lt;&gt;"-",$N35&lt;$J$2),0,SUMIFS(TransHCost,TransAsset,$A35,TransIDDate,$J35)-SUMIFS(TransPMAccDep,TransAsset,$A35)-SUMIFS(TransImpair,TransAsset,$A35,TransIDDate,"&lt;"&amp;$J$2,TransType,"REV")),0)</f>
        <v>-69.444444444444571</v>
      </c>
      <c r="AY35" s="36">
        <f ca="1">IF(ISNA(MATCH($F35,TaxCode,0))=TRUE,$S35*($U35&gt;0),MAX(($S35*($U35&gt;0))-(($S35-SUMIFS(TransCRes,TransAsset,$A35,TransIDDate,$L35))*(IF($U35&lt;=11,0,MIN(SUM(OFFSET('Set-up'!$D$37,MATCH($F35,TaxCode,0),0,1,MATCH($U35,TaxCumMonth,1)))+MAX(TRUNC(($U35-60)/12)*SUM(OFFSET('Set-up'!$H$37,MATCH($F35,TaxCode,0),0,1,1)),0%),100%))))-(($S35-SUMIFS(TransCRes,TransAsset,$A35,TransIDDate,$L35))*OFFSET('Set-up'!$D$37,MATCH($F35,TaxCode,0),MATCH($U35,TaxCurMonth,1)-1,1,1)*IF(AND($U35-(TRUNC($U35/12)*12)&lt;&gt;0,OFFSET('Set-up'!$J$37,MATCH($F35,TaxCode,0),0,1,1)=0),1,(($U35-(TRUNC($U35/12)*12))/12))),SUMIFS(TransCRes,TransAsset,$A35,TransIDDate,$L35)))</f>
        <v>2755.5555555555566</v>
      </c>
      <c r="AZ35" s="36">
        <f t="shared" ca="1" si="31"/>
        <v>-2066.6666666666661</v>
      </c>
      <c r="BA35" s="36">
        <f ca="1">IF(ISNA(MATCH($F35,TaxCode,0))=TRUE,$S35*($V35&gt;0),MAX(($S35*($V35&gt;0))-(($S35-$R35)*(IF($V35&lt;=11,0,MIN(SUM(OFFSET('Set-up'!$D$37,MATCH($F35,TaxCode,0),0,1,MATCH($V35,TaxCumMonth,1)))+MAX(TRUNC(($V35-60)/12)*SUM(OFFSET('Set-up'!$H$37,MATCH($F35,TaxCode,0),0,1,1)),0%),100%))))-(($S35-$R35)*OFFSET('Set-up'!$D$37,MATCH($F35,TaxCode,0),MATCH($V35,TaxCurMonth,1)-1,1,1)*IF(AND($V35-(TRUNC($V35/12)*12)&lt;&gt;0,OFFSET('Set-up'!$J$37,MATCH($F35,TaxCode,0),0,1,1)=0),1,(($V35-(TRUNC($V35/12)*12))/12))),$R35*($V35&gt;0)))</f>
        <v>688.88888888889028</v>
      </c>
      <c r="BB35" s="36">
        <f ca="1">$BA35-IF(ISNA(MATCH($F35,TaxCode,0))=TRUE,$S35*($W35&gt;0),MAX(($S35*($W35&gt;0))-(($S35-SUMIFS(TransCRes,TransAsset,$A35,TransIDDate,$M35))*(IF($W35&lt;=11,0,MIN(SUM(OFFSET('Set-up'!$D$37,MATCH($F35,TaxCode,0),0,1,MATCH($W35,TaxCumMonth,1)))+MAX(TRUNC(($W35-60)/12)*SUM(OFFSET('Set-up'!$H$37,MATCH($F35,TaxCode,0),0,1,1)),0%),100%))))-(($S35-SUMIFS(TransCRes,TransAsset,$A35,TransIDDate,$M35))*OFFSET('Set-up'!$D$37,MATCH($F35,TaxCode,0),MATCH($W35,TaxCurMonth,1)-1,1,1)*IF(AND($W35-(TRUNC($W35/12)*12)&lt;&gt;0,OFFSET('Set-up'!$J$37,MATCH($F35,TaxCode,0),0,1,1)=0),1,(($W35-(TRUNC($W35/12)*12))/12))),SUMIFS(TransCRes,TransAsset,$A35,TransIDDate,$M35)*($W35&gt;0)))</f>
        <v>-172.22222222222194</v>
      </c>
      <c r="BC35" s="36">
        <f ca="1">IF(ISNUMBER('Set-up'!$C$9)=FALSE,0,IF($F35="J",0,ROUND(($AU35-$AY35)*'Set-up'!$C$9,2)))</f>
        <v>0</v>
      </c>
      <c r="BD35" s="36">
        <f t="shared" ca="1" si="32"/>
        <v>345.33</v>
      </c>
      <c r="BE35" s="36">
        <f ca="1">IF(ISNUMBER('Set-up'!$C$9)=FALSE,0,IF($F35="J",0,ROUND(($AW35-$BA35)*'Set-up'!$C$9,2)))</f>
        <v>345.33</v>
      </c>
      <c r="BF35" s="36">
        <f ca="1">IF(ISNUMBER('Set-up'!$C$9)=FALSE,0,IF($F35="J",0,ROUND(($AX35-$BB35)*'Set-up'!$C$9,2)))</f>
        <v>28.78</v>
      </c>
    </row>
    <row r="36" spans="1:58" ht="16" customHeight="1" x14ac:dyDescent="0.25">
      <c r="A36" s="8" t="s">
        <v>22</v>
      </c>
      <c r="B36" s="8" t="s">
        <v>311</v>
      </c>
      <c r="C36" s="8" t="s">
        <v>365</v>
      </c>
      <c r="D36" s="4" t="s">
        <v>91</v>
      </c>
      <c r="E36" s="4" t="s">
        <v>305</v>
      </c>
      <c r="F36" s="4" t="s">
        <v>218</v>
      </c>
      <c r="G36" s="4" t="str" cm="1">
        <f t="array" aca="1" ref="G36" ca="1">IF(COUNTIF(AssetCode,$A36)&gt;1,"E1",IF(ISNA(VLOOKUP($E36,CatAll,1,0))=TRUE,"E2",IF(AND($I36="add!",$J36&lt;&gt;"add!"),"E10",IF(ISNA(VLOOKUP($F36,TaxCode,1,0))=TRUE,"E11","-"))))</f>
        <v>-</v>
      </c>
      <c r="H36" s="4" t="str">
        <f t="shared" ca="1" si="0"/>
        <v>FF</v>
      </c>
      <c r="I36" s="33">
        <f t="array" aca="1" ref="I36" ca="1">IF(ISERROR(LARGE(IF(TransAsset=$A36,IF(TransType="ACQ",TransIDDate,"add!"),"add!"),1)),"add!",LARGE(IF(TransAsset=$A36,IF(TransType="ACQ",TransIDDate,"add!"),"add!"),1))</f>
        <v>42205.000115740739</v>
      </c>
      <c r="J36" s="33">
        <f t="array" aca="1" ref="J36" ca="1">IF(ISERROR(LARGE(IF(TransAsset=$A36,TransIDDate,"add!"),1)),"add!",LARGE(IF(TransAsset=$A36,TransIDDate,"add!"),1))</f>
        <v>43891.000543981485</v>
      </c>
      <c r="K36" s="33">
        <f t="array" aca="1" ref="K36" ca="1">IF(ISERROR(LARGE(IF(TransAsset=$A36,IF(TransDate&lt;($I$2+1),TransIDDate,"-"),"-"),1)),"-",LARGE(IF(TransAsset=$A36,IF(TransDate&lt;($I$2+1),TransIDDate,"-"),"-"),1))</f>
        <v>43891.000543981485</v>
      </c>
      <c r="L36" s="33">
        <f t="array" aca="1" ref="L36" ca="1">IF(ISERROR(LARGE(IF(TransAsset=$A36,IF(TransDate&lt;$H$2,TransIDDate,"-"),"-"),1)),"-",LARGE(IF(TransAsset=$A36,IF(TransDate&lt;$H$2,TransIDDate,"-"),"-"),1))</f>
        <v>42205.000115740739</v>
      </c>
      <c r="M36" s="33">
        <f t="array" aca="1" ref="M36" ca="1">IF(ISERROR(LARGE(IF(TransAsset=$A36,IF(TransDate&lt;$J$2,TransIDDate,"-"),"-"),1)),"-",LARGE(IF(TransAsset=$A36,IF(TransDate&lt;$J$2,TransIDDate,"-"),"-"),1))</f>
        <v>43891.000543981485</v>
      </c>
      <c r="N36" s="33" t="str">
        <f t="array" aca="1" ref="N36" ca="1">IF(ISERROR(LARGE(IF(TransAsset=$A36,IF(TransType="DIS",TransIDDate,"-"),"-"),1)),"-",LARGE(IF(TransAsset=$A36,IF(TransType="DIS",TransIDDate,"-"),"-"),1))</f>
        <v>-</v>
      </c>
      <c r="O36" s="34" cm="1">
        <f t="array" aca="1" ref="O36" ca="1">IF($N36&lt;=$I$2,SUMIFS(TransProceeds,TransAsset,$A36,TransType,"DIS"),0)</f>
        <v>0</v>
      </c>
      <c r="P36" s="36" cm="1">
        <f t="array" aca="1" ref="P36" ca="1">IF($I36&lt;=($I$2+1),SUMIFS(TransHCost,TransAsset,$A36,TransIDDate,$J36),0)</f>
        <v>5100</v>
      </c>
      <c r="Q36" s="28">
        <f t="shared" ca="1" si="1"/>
        <v>6</v>
      </c>
      <c r="R36" s="28">
        <f t="shared" ca="1" si="2"/>
        <v>0</v>
      </c>
      <c r="S36" s="36">
        <f t="shared" ca="1" si="3"/>
        <v>5100</v>
      </c>
      <c r="T36" s="35">
        <f ca="1">IF(ISNA(MATCH($F36,TaxCode,0))=TRUE,"code?",OFFSET('Set-up'!$D$37,MATCH($F36,TaxCode,0),MATCH($V36,TaxCurMonth,1)-1,1,1))</f>
        <v>0.16666666666666666</v>
      </c>
      <c r="U36" s="28">
        <f t="shared" ca="1" si="4"/>
        <v>56</v>
      </c>
      <c r="V36" s="28">
        <f t="shared" ca="1" si="5"/>
        <v>68</v>
      </c>
      <c r="W36" s="28">
        <f t="shared" ca="1" si="6"/>
        <v>67</v>
      </c>
      <c r="X36" s="36">
        <f t="shared" ca="1" si="7"/>
        <v>5100</v>
      </c>
      <c r="Y36" s="36">
        <f t="shared" ca="1" si="8"/>
        <v>0</v>
      </c>
      <c r="Z36" s="36">
        <f t="shared" ca="1" si="9"/>
        <v>-2100</v>
      </c>
      <c r="AA36" s="36">
        <f t="shared" ca="1" si="10"/>
        <v>0</v>
      </c>
      <c r="AB36" s="36">
        <f t="shared" ca="1" si="11"/>
        <v>0</v>
      </c>
      <c r="AC36" s="36">
        <f t="shared" ca="1" si="23"/>
        <v>3000</v>
      </c>
      <c r="AD36" s="36" cm="1">
        <f t="array" aca="1" ref="AD36" ca="1">IF($L36=0,0,IF(SUMIFS(TransCLife,TransAsset,$A36,TransIDDate,$L36)=0,0,IF(($X36-(SUMIFS(TransCRes,TransAsset,$A36,TransIDDate,$L36)))/(SUMIFS(TransCLife,TransAsset,$A36,TransIDDate,$L36)*12)*(((YEAR($H$2)*12)+MONTH($H$2))-((YEAR($L36)*12)+MONTH($L36)))&gt;=($X36-SUMIFS(TransCRes,TransAsset,$A36,TransIDDate,$L36)),$X36-SUMIFS(TransCRes,TransAsset,$A36,TransIDDate,$L36),($X36-(SUMIFS(TransCRes,TransAsset,$A36,TransIDDate,$L36)))/(SUMIFS(TransCLife,TransAsset,$A36,TransIDDate,$L36)*12)*(((YEAR($H$2)*12)+MONTH($H$2))-((YEAR($L36)*12)+MONTH($L36))))))</f>
        <v>3966.6666666666665</v>
      </c>
      <c r="AE36" s="36">
        <f t="shared" ca="1" si="12"/>
        <v>500</v>
      </c>
      <c r="AF36" s="36">
        <f t="shared" ca="1" si="24"/>
        <v>0</v>
      </c>
      <c r="AG36" s="36">
        <f t="shared" ca="1" si="13"/>
        <v>500</v>
      </c>
      <c r="AH36" s="36">
        <f t="shared" ca="1" si="14"/>
        <v>-3966.6666666666665</v>
      </c>
      <c r="AI36" s="36">
        <f t="shared" ca="1" si="15"/>
        <v>0</v>
      </c>
      <c r="AJ36" s="36">
        <f t="shared" ca="1" si="25"/>
        <v>499.99999999999955</v>
      </c>
      <c r="AK36" s="36">
        <f t="shared" ca="1" si="26"/>
        <v>2500.0000000000005</v>
      </c>
      <c r="AL36" s="36">
        <f t="shared" ca="1" si="16"/>
        <v>0</v>
      </c>
      <c r="AM36" s="36">
        <f t="shared" ca="1" si="27"/>
        <v>1866.6666666666665</v>
      </c>
      <c r="AN36" s="36">
        <f t="shared" ca="1" si="28"/>
        <v>0</v>
      </c>
      <c r="AO36" s="36">
        <f t="shared" ca="1" si="17"/>
        <v>1866.6666666666665</v>
      </c>
      <c r="AP36" s="36">
        <f t="shared" ca="1" si="18"/>
        <v>0</v>
      </c>
      <c r="AQ36" s="36">
        <f t="shared" ca="1" si="19"/>
        <v>0</v>
      </c>
      <c r="AR36" s="36">
        <f t="shared" ca="1" si="20"/>
        <v>41.666666666666664</v>
      </c>
      <c r="AS36" s="36">
        <f t="shared" ca="1" si="29"/>
        <v>0</v>
      </c>
      <c r="AT36" s="36">
        <f t="shared" ca="1" si="21"/>
        <v>41.666666666666664</v>
      </c>
      <c r="AU36" s="36" cm="1">
        <f t="array" aca="1" ref="AU36" ca="1">IF($I36&lt;$H$2,IF(AND($N36&lt;&gt;"-",$N36&lt;$H$2),0,SUMIFS(TransHCost,TransAsset,$A36,TransIDDate,$J36)-SUMIFS(TransPCAccDep,TransAsset,$A36)-SUMIFS(TransImpair,TransAsset,$A36,TransIDDate,"&lt;"&amp;$H$2,TransType,"REV")),0)</f>
        <v>1133.3333333333335</v>
      </c>
      <c r="AV36" s="36">
        <f t="shared" ca="1" si="30"/>
        <v>-500</v>
      </c>
      <c r="AW36" s="36">
        <f t="shared" ca="1" si="22"/>
        <v>633.33333333333348</v>
      </c>
      <c r="AX36" s="36" cm="1">
        <f t="array" aca="1" ref="AX36" ca="1">$AW36-IF($I36&lt;$J$2,IF(AND($N36&lt;&gt;"-",$N36&lt;$J$2),0,SUMIFS(TransHCost,TransAsset,$A36,TransIDDate,$J36)-SUMIFS(TransPMAccDep,TransAsset,$A36)-SUMIFS(TransImpair,TransAsset,$A36,TransIDDate,"&lt;"&amp;$J$2,TransType,"REV")),0)</f>
        <v>-41.666666666666515</v>
      </c>
      <c r="AY36" s="36">
        <f ca="1">IF(ISNA(MATCH($F36,TaxCode,0))=TRUE,$S36*($U36&gt;0),MAX(($S36*($U36&gt;0))-(($S36-SUMIFS(TransCRes,TransAsset,$A36,TransIDDate,$L36))*(IF($U36&lt;=11,0,MIN(SUM(OFFSET('Set-up'!$D$37,MATCH($F36,TaxCode,0),0,1,MATCH($U36,TaxCumMonth,1)))+MAX(TRUNC(($U36-60)/12)*SUM(OFFSET('Set-up'!$H$37,MATCH($F36,TaxCode,0),0,1,1)),0%),100%))))-(($S36-SUMIFS(TransCRes,TransAsset,$A36,TransIDDate,$L36))*OFFSET('Set-up'!$D$37,MATCH($F36,TaxCode,0),MATCH($U36,TaxCurMonth,1)-1,1,1)*IF(AND($U36-(TRUNC($U36/12)*12)&lt;&gt;0,OFFSET('Set-up'!$J$37,MATCH($F36,TaxCode,0),0,1,1)=0),1,(($U36-(TRUNC($U36/12)*12))/12))),SUMIFS(TransCRes,TransAsset,$A36,TransIDDate,$L36)))</f>
        <v>1133.3333333333335</v>
      </c>
      <c r="AZ36" s="36">
        <f t="shared" ca="1" si="31"/>
        <v>-850.00000000000011</v>
      </c>
      <c r="BA36" s="36">
        <f ca="1">IF(ISNA(MATCH($F36,TaxCode,0))=TRUE,$S36*($V36&gt;0),MAX(($S36*($V36&gt;0))-(($S36-$R36)*(IF($V36&lt;=11,0,MIN(SUM(OFFSET('Set-up'!$D$37,MATCH($F36,TaxCode,0),0,1,MATCH($V36,TaxCumMonth,1)))+MAX(TRUNC(($V36-60)/12)*SUM(OFFSET('Set-up'!$H$37,MATCH($F36,TaxCode,0),0,1,1)),0%),100%))))-(($S36-$R36)*OFFSET('Set-up'!$D$37,MATCH($F36,TaxCode,0),MATCH($V36,TaxCurMonth,1)-1,1,1)*IF(AND($V36-(TRUNC($V36/12)*12)&lt;&gt;0,OFFSET('Set-up'!$J$37,MATCH($F36,TaxCode,0),0,1,1)=0),1,(($V36-(TRUNC($V36/12)*12))/12))),$R36*($V36&gt;0)))</f>
        <v>283.33333333333337</v>
      </c>
      <c r="BB36" s="36">
        <f ca="1">$BA36-IF(ISNA(MATCH($F36,TaxCode,0))=TRUE,$S36*($W36&gt;0),MAX(($S36*($W36&gt;0))-(($S36-SUMIFS(TransCRes,TransAsset,$A36,TransIDDate,$M36))*(IF($W36&lt;=11,0,MIN(SUM(OFFSET('Set-up'!$D$37,MATCH($F36,TaxCode,0),0,1,MATCH($W36,TaxCumMonth,1)))+MAX(TRUNC(($W36-60)/12)*SUM(OFFSET('Set-up'!$H$37,MATCH($F36,TaxCode,0),0,1,1)),0%),100%))))-(($S36-SUMIFS(TransCRes,TransAsset,$A36,TransIDDate,$M36))*OFFSET('Set-up'!$D$37,MATCH($F36,TaxCode,0),MATCH($W36,TaxCurMonth,1)-1,1,1)*IF(AND($W36-(TRUNC($W36/12)*12)&lt;&gt;0,OFFSET('Set-up'!$J$37,MATCH($F36,TaxCode,0),0,1,1)=0),1,(($W36-(TRUNC($W36/12)*12))/12))),SUMIFS(TransCRes,TransAsset,$A36,TransIDDate,$M36)*($W36&gt;0)))</f>
        <v>-70.833333333333258</v>
      </c>
      <c r="BC36" s="36">
        <f ca="1">IF(ISNUMBER('Set-up'!$C$9)=FALSE,0,IF($F36="J",0,ROUND(($AU36-$AY36)*'Set-up'!$C$9,2)))</f>
        <v>0</v>
      </c>
      <c r="BD36" s="36">
        <f t="shared" ca="1" si="32"/>
        <v>98</v>
      </c>
      <c r="BE36" s="36">
        <f ca="1">IF(ISNUMBER('Set-up'!$C$9)=FALSE,0,IF($F36="J",0,ROUND(($AW36-$BA36)*'Set-up'!$C$9,2)))</f>
        <v>98</v>
      </c>
      <c r="BF36" s="36">
        <f ca="1">IF(ISNUMBER('Set-up'!$C$9)=FALSE,0,IF($F36="J",0,ROUND(($AX36-$BB36)*'Set-up'!$C$9,2)))</f>
        <v>8.17</v>
      </c>
    </row>
    <row r="37" spans="1:58" ht="16" customHeight="1" x14ac:dyDescent="0.25">
      <c r="A37" s="8" t="s">
        <v>319</v>
      </c>
      <c r="B37" s="8" t="s">
        <v>313</v>
      </c>
      <c r="C37" s="8" t="s">
        <v>302</v>
      </c>
      <c r="D37" s="4" t="s">
        <v>91</v>
      </c>
      <c r="E37" s="4" t="s">
        <v>262</v>
      </c>
      <c r="F37" s="4" t="s">
        <v>215</v>
      </c>
      <c r="G37" s="4" t="str" cm="1">
        <f t="array" aca="1" ref="G37" ca="1">IF(COUNTIF(AssetCode,$A37)&gt;1,"E1",IF(ISNA(VLOOKUP($E37,CatAll,1,0))=TRUE,"E2",IF(AND($I37="add!",$J37&lt;&gt;"add!"),"E10",IF(ISNA(VLOOKUP($F37,TaxCode,1,0))=TRUE,"E11","-"))))</f>
        <v>-</v>
      </c>
      <c r="H37" s="4" t="str">
        <f t="shared" ca="1" si="0"/>
        <v>CE</v>
      </c>
      <c r="I37" s="33">
        <f t="array" aca="1" ref="I37" ca="1">IF(ISERROR(LARGE(IF(TransAsset=$A37,IF(TransType="ACQ",TransIDDate,"add!"),"add!"),1)),"add!",LARGE(IF(TransAsset=$A37,IF(TransType="ACQ",TransIDDate,"add!"),"add!"),1))</f>
        <v>42205.000057870369</v>
      </c>
      <c r="J37" s="33">
        <f t="array" aca="1" ref="J37" ca="1">IF(ISERROR(LARGE(IF(TransAsset=$A37,TransIDDate,"add!"),1)),"add!",LARGE(IF(TransAsset=$A37,TransIDDate,"add!"),1))</f>
        <v>43891.000474537039</v>
      </c>
      <c r="K37" s="33">
        <f t="array" aca="1" ref="K37" ca="1">IF(ISERROR(LARGE(IF(TransAsset=$A37,IF(TransDate&lt;($I$2+1),TransIDDate,"-"),"-"),1)),"-",LARGE(IF(TransAsset=$A37,IF(TransDate&lt;($I$2+1),TransIDDate,"-"),"-"),1))</f>
        <v>43891.000474537039</v>
      </c>
      <c r="L37" s="33">
        <f t="array" aca="1" ref="L37" ca="1">IF(ISERROR(LARGE(IF(TransAsset=$A37,IF(TransDate&lt;$H$2,TransIDDate,"-"),"-"),1)),"-",LARGE(IF(TransAsset=$A37,IF(TransDate&lt;$H$2,TransIDDate,"-"),"-"),1))</f>
        <v>42205.000057870369</v>
      </c>
      <c r="M37" s="33">
        <f t="array" aca="1" ref="M37" ca="1">IF(ISERROR(LARGE(IF(TransAsset=$A37,IF(TransDate&lt;$J$2,TransIDDate,"-"),"-"),1)),"-",LARGE(IF(TransAsset=$A37,IF(TransDate&lt;$J$2,TransIDDate,"-"),"-"),1))</f>
        <v>43891.000474537039</v>
      </c>
      <c r="N37" s="33" t="str">
        <f t="array" aca="1" ref="N37" ca="1">IF(ISERROR(LARGE(IF(TransAsset=$A37,IF(TransType="DIS",TransIDDate,"-"),"-"),1)),"-",LARGE(IF(TransAsset=$A37,IF(TransType="DIS",TransIDDate,"-"),"-"),1))</f>
        <v>-</v>
      </c>
      <c r="O37" s="34" cm="1">
        <f t="array" aca="1" ref="O37" ca="1">IF($N37&lt;=$I$2,SUMIFS(TransProceeds,TransAsset,$A37,TransType,"DIS"),0)</f>
        <v>0</v>
      </c>
      <c r="P37" s="36" cm="1">
        <f t="array" aca="1" ref="P37" ca="1">IF($I37&lt;=($I$2+1),SUMIFS(TransHCost,TransAsset,$A37,TransIDDate,$J37),0)</f>
        <v>8200</v>
      </c>
      <c r="Q37" s="28">
        <f t="shared" ca="1" si="1"/>
        <v>3</v>
      </c>
      <c r="R37" s="28">
        <f t="shared" ca="1" si="2"/>
        <v>0</v>
      </c>
      <c r="S37" s="36">
        <f t="shared" ca="1" si="3"/>
        <v>8200</v>
      </c>
      <c r="T37" s="35">
        <f ca="1">IF(ISNA(MATCH($F37,TaxCode,0))=TRUE,"code?",OFFSET('Set-up'!$D$37,MATCH($F37,TaxCode,0),MATCH($V37,TaxCurMonth,1)-1,1,1))</f>
        <v>0</v>
      </c>
      <c r="U37" s="28">
        <f t="shared" ca="1" si="4"/>
        <v>56</v>
      </c>
      <c r="V37" s="28">
        <f t="shared" ca="1" si="5"/>
        <v>68</v>
      </c>
      <c r="W37" s="28">
        <f t="shared" ca="1" si="6"/>
        <v>67</v>
      </c>
      <c r="X37" s="36">
        <f t="shared" ca="1" si="7"/>
        <v>8200</v>
      </c>
      <c r="Y37" s="36">
        <f t="shared" ca="1" si="8"/>
        <v>0</v>
      </c>
      <c r="Z37" s="36">
        <f t="shared" ca="1" si="9"/>
        <v>-6700</v>
      </c>
      <c r="AA37" s="36">
        <f t="shared" ca="1" si="10"/>
        <v>0</v>
      </c>
      <c r="AB37" s="36">
        <f t="shared" ca="1" si="11"/>
        <v>0</v>
      </c>
      <c r="AC37" s="36">
        <f t="shared" ca="1" si="23"/>
        <v>1500</v>
      </c>
      <c r="AD37" s="36" cm="1">
        <f t="array" aca="1" ref="AD37" ca="1">IF($L37=0,0,IF(SUMIFS(TransCLife,TransAsset,$A37,TransIDDate,$L37)=0,0,IF(($X37-(SUMIFS(TransCRes,TransAsset,$A37,TransIDDate,$L37)))/(SUMIFS(TransCLife,TransAsset,$A37,TransIDDate,$L37)*12)*(((YEAR($H$2)*12)+MONTH($H$2))-((YEAR($L37)*12)+MONTH($L37)))&gt;=($X37-SUMIFS(TransCRes,TransAsset,$A37,TransIDDate,$L37)),$X37-SUMIFS(TransCRes,TransAsset,$A37,TransIDDate,$L37),($X37-(SUMIFS(TransCRes,TransAsset,$A37,TransIDDate,$L37)))/(SUMIFS(TransCLife,TransAsset,$A37,TransIDDate,$L37)*12)*(((YEAR($H$2)*12)+MONTH($H$2))-((YEAR($L37)*12)+MONTH($L37))))))</f>
        <v>8200</v>
      </c>
      <c r="AE37" s="36">
        <f t="shared" ca="1" si="12"/>
        <v>0</v>
      </c>
      <c r="AF37" s="36">
        <f t="shared" ca="1" si="24"/>
        <v>500</v>
      </c>
      <c r="AG37" s="36">
        <f t="shared" ca="1" si="13"/>
        <v>500</v>
      </c>
      <c r="AH37" s="36">
        <f t="shared" ca="1" si="14"/>
        <v>-8200</v>
      </c>
      <c r="AI37" s="36">
        <f t="shared" ca="1" si="15"/>
        <v>0</v>
      </c>
      <c r="AJ37" s="36">
        <f t="shared" ca="1" si="25"/>
        <v>500</v>
      </c>
      <c r="AK37" s="36">
        <f t="shared" ca="1" si="26"/>
        <v>1000</v>
      </c>
      <c r="AL37" s="36">
        <f t="shared" ca="1" si="16"/>
        <v>0</v>
      </c>
      <c r="AM37" s="36">
        <f t="shared" ca="1" si="27"/>
        <v>1500</v>
      </c>
      <c r="AN37" s="36">
        <f t="shared" ca="1" si="28"/>
        <v>-500</v>
      </c>
      <c r="AO37" s="36">
        <f t="shared" ca="1" si="17"/>
        <v>1000</v>
      </c>
      <c r="AP37" s="36">
        <f t="shared" ca="1" si="18"/>
        <v>0</v>
      </c>
      <c r="AQ37" s="36">
        <f t="shared" ca="1" si="19"/>
        <v>0</v>
      </c>
      <c r="AR37" s="36">
        <f t="shared" ca="1" si="20"/>
        <v>0</v>
      </c>
      <c r="AS37" s="36">
        <f t="shared" ca="1" si="29"/>
        <v>41.666666666666664</v>
      </c>
      <c r="AT37" s="36">
        <f t="shared" ca="1" si="21"/>
        <v>41.666666666666664</v>
      </c>
      <c r="AU37" s="36" cm="1">
        <f t="array" aca="1" ref="AU37" ca="1">IF($I37&lt;$H$2,IF(AND($N37&lt;&gt;"-",$N37&lt;$H$2),0,SUMIFS(TransHCost,TransAsset,$A37,TransIDDate,$J37)-SUMIFS(TransPCAccDep,TransAsset,$A37)-SUMIFS(TransImpair,TransAsset,$A37,TransIDDate,"&lt;"&amp;$H$2,TransType,"REV")),0)</f>
        <v>0</v>
      </c>
      <c r="AV37" s="36">
        <f t="shared" ca="1" si="30"/>
        <v>0</v>
      </c>
      <c r="AW37" s="36">
        <f t="shared" ca="1" si="22"/>
        <v>0</v>
      </c>
      <c r="AX37" s="36" cm="1">
        <f t="array" aca="1" ref="AX37" ca="1">$AW37-IF($I37&lt;$J$2,IF(AND($N37&lt;&gt;"-",$N37&lt;$J$2),0,SUMIFS(TransHCost,TransAsset,$A37,TransIDDate,$J37)-SUMIFS(TransPMAccDep,TransAsset,$A37)-SUMIFS(TransImpair,TransAsset,$A37,TransIDDate,"&lt;"&amp;$J$2,TransType,"REV")),0)</f>
        <v>0</v>
      </c>
      <c r="AY37" s="36">
        <f ca="1">IF(ISNA(MATCH($F37,TaxCode,0))=TRUE,$S37*($U37&gt;0),MAX(($S37*($U37&gt;0))-(($S37-SUMIFS(TransCRes,TransAsset,$A37,TransIDDate,$L37))*(IF($U37&lt;=11,0,MIN(SUM(OFFSET('Set-up'!$D$37,MATCH($F37,TaxCode,0),0,1,MATCH($U37,TaxCumMonth,1)))+MAX(TRUNC(($U37-60)/12)*SUM(OFFSET('Set-up'!$H$37,MATCH($F37,TaxCode,0),0,1,1)),0%),100%))))-(($S37-SUMIFS(TransCRes,TransAsset,$A37,TransIDDate,$L37))*OFFSET('Set-up'!$D$37,MATCH($F37,TaxCode,0),MATCH($U37,TaxCurMonth,1)-1,1,1)*IF(AND($U37-(TRUNC($U37/12)*12)&lt;&gt;0,OFFSET('Set-up'!$J$37,MATCH($F37,TaxCode,0),0,1,1)=0),1,(($U37-(TRUNC($U37/12)*12))/12))),SUMIFS(TransCRes,TransAsset,$A37,TransIDDate,$L37)))</f>
        <v>0</v>
      </c>
      <c r="AZ37" s="36">
        <f t="shared" ca="1" si="31"/>
        <v>0</v>
      </c>
      <c r="BA37" s="36">
        <f ca="1">IF(ISNA(MATCH($F37,TaxCode,0))=TRUE,$S37*($V37&gt;0),MAX(($S37*($V37&gt;0))-(($S37-$R37)*(IF($V37&lt;=11,0,MIN(SUM(OFFSET('Set-up'!$D$37,MATCH($F37,TaxCode,0),0,1,MATCH($V37,TaxCumMonth,1)))+MAX(TRUNC(($V37-60)/12)*SUM(OFFSET('Set-up'!$H$37,MATCH($F37,TaxCode,0),0,1,1)),0%),100%))))-(($S37-$R37)*OFFSET('Set-up'!$D$37,MATCH($F37,TaxCode,0),MATCH($V37,TaxCurMonth,1)-1,1,1)*IF(AND($V37-(TRUNC($V37/12)*12)&lt;&gt;0,OFFSET('Set-up'!$J$37,MATCH($F37,TaxCode,0),0,1,1)=0),1,(($V37-(TRUNC($V37/12)*12))/12))),$R37*($V37&gt;0)))</f>
        <v>0</v>
      </c>
      <c r="BB37" s="36">
        <f ca="1">$BA37-IF(ISNA(MATCH($F37,TaxCode,0))=TRUE,$S37*($W37&gt;0),MAX(($S37*($W37&gt;0))-(($S37-SUMIFS(TransCRes,TransAsset,$A37,TransIDDate,$M37))*(IF($W37&lt;=11,0,MIN(SUM(OFFSET('Set-up'!$D$37,MATCH($F37,TaxCode,0),0,1,MATCH($W37,TaxCumMonth,1)))+MAX(TRUNC(($W37-60)/12)*SUM(OFFSET('Set-up'!$H$37,MATCH($F37,TaxCode,0),0,1,1)),0%),100%))))-(($S37-SUMIFS(TransCRes,TransAsset,$A37,TransIDDate,$M37))*OFFSET('Set-up'!$D$37,MATCH($F37,TaxCode,0),MATCH($W37,TaxCurMonth,1)-1,1,1)*IF(AND($W37-(TRUNC($W37/12)*12)&lt;&gt;0,OFFSET('Set-up'!$J$37,MATCH($F37,TaxCode,0),0,1,1)=0),1,(($W37-(TRUNC($W37/12)*12))/12))),SUMIFS(TransCRes,TransAsset,$A37,TransIDDate,$M37)*($W37&gt;0)))</f>
        <v>0</v>
      </c>
      <c r="BC37" s="36">
        <f ca="1">IF(ISNUMBER('Set-up'!$C$9)=FALSE,0,IF($F37="J",0,ROUND(($AU37-$AY37)*'Set-up'!$C$9,2)))</f>
        <v>0</v>
      </c>
      <c r="BD37" s="36">
        <f t="shared" ca="1" si="32"/>
        <v>0</v>
      </c>
      <c r="BE37" s="36">
        <f ca="1">IF(ISNUMBER('Set-up'!$C$9)=FALSE,0,IF($F37="J",0,ROUND(($AW37-$BA37)*'Set-up'!$C$9,2)))</f>
        <v>0</v>
      </c>
      <c r="BF37" s="36">
        <f ca="1">IF(ISNUMBER('Set-up'!$C$9)=FALSE,0,IF($F37="J",0,ROUND(($AX37-$BB37)*'Set-up'!$C$9,2)))</f>
        <v>0</v>
      </c>
    </row>
    <row r="38" spans="1:58" ht="16" customHeight="1" x14ac:dyDescent="0.25">
      <c r="A38" s="8" t="s">
        <v>320</v>
      </c>
      <c r="B38" s="8" t="s">
        <v>314</v>
      </c>
      <c r="C38" s="8" t="s">
        <v>303</v>
      </c>
      <c r="D38" s="4" t="s">
        <v>91</v>
      </c>
      <c r="E38" s="4" t="s">
        <v>262</v>
      </c>
      <c r="F38" s="4" t="s">
        <v>215</v>
      </c>
      <c r="G38" s="4" t="str" cm="1">
        <f t="array" aca="1" ref="G38" ca="1">IF(COUNTIF(AssetCode,$A38)&gt;1,"E1",IF(ISNA(VLOOKUP($E38,CatAll,1,0))=TRUE,"E2",IF(AND($I38="add!",$J38&lt;&gt;"add!"),"E10",IF(ISNA(VLOOKUP($F38,TaxCode,1,0))=TRUE,"E11","-"))))</f>
        <v>-</v>
      </c>
      <c r="H38" s="4" t="str">
        <f t="shared" ca="1" si="0"/>
        <v>CE</v>
      </c>
      <c r="I38" s="33">
        <f t="array" aca="1" ref="I38" ca="1">IF(ISERROR(LARGE(IF(TransAsset=$A38,IF(TransType="ACQ",TransIDDate,"add!"),"add!"),1)),"add!",LARGE(IF(TransAsset=$A38,IF(TransType="ACQ",TransIDDate,"add!"),"add!"),1))</f>
        <v>42205.000069444446</v>
      </c>
      <c r="J38" s="33">
        <f t="array" aca="1" ref="J38" ca="1">IF(ISERROR(LARGE(IF(TransAsset=$A38,TransIDDate,"add!"),1)),"add!",LARGE(IF(TransAsset=$A38,TransIDDate,"add!"),1))</f>
        <v>43891.000486111108</v>
      </c>
      <c r="K38" s="33">
        <f t="array" aca="1" ref="K38" ca="1">IF(ISERROR(LARGE(IF(TransAsset=$A38,IF(TransDate&lt;($I$2+1),TransIDDate,"-"),"-"),1)),"-",LARGE(IF(TransAsset=$A38,IF(TransDate&lt;($I$2+1),TransIDDate,"-"),"-"),1))</f>
        <v>43891.000486111108</v>
      </c>
      <c r="L38" s="33">
        <f t="array" aca="1" ref="L38" ca="1">IF(ISERROR(LARGE(IF(TransAsset=$A38,IF(TransDate&lt;$H$2,TransIDDate,"-"),"-"),1)),"-",LARGE(IF(TransAsset=$A38,IF(TransDate&lt;$H$2,TransIDDate,"-"),"-"),1))</f>
        <v>42205.000069444446</v>
      </c>
      <c r="M38" s="33">
        <f t="array" aca="1" ref="M38" ca="1">IF(ISERROR(LARGE(IF(TransAsset=$A38,IF(TransDate&lt;$J$2,TransIDDate,"-"),"-"),1)),"-",LARGE(IF(TransAsset=$A38,IF(TransDate&lt;$J$2,TransIDDate,"-"),"-"),1))</f>
        <v>43891.000486111108</v>
      </c>
      <c r="N38" s="33" t="str">
        <f t="array" aca="1" ref="N38" ca="1">IF(ISERROR(LARGE(IF(TransAsset=$A38,IF(TransType="DIS",TransIDDate,"-"),"-"),1)),"-",LARGE(IF(TransAsset=$A38,IF(TransType="DIS",TransIDDate,"-"),"-"),1))</f>
        <v>-</v>
      </c>
      <c r="O38" s="34" cm="1">
        <f t="array" aca="1" ref="O38" ca="1">IF($N38&lt;=$I$2,SUMIFS(TransProceeds,TransAsset,$A38,TransType,"DIS"),0)</f>
        <v>0</v>
      </c>
      <c r="P38" s="36" cm="1">
        <f t="array" aca="1" ref="P38" ca="1">IF($I38&lt;=($I$2+1),SUMIFS(TransHCost,TransAsset,$A38,TransIDDate,$J38),0)</f>
        <v>6600</v>
      </c>
      <c r="Q38" s="28">
        <f t="shared" ca="1" si="1"/>
        <v>3</v>
      </c>
      <c r="R38" s="28">
        <f t="shared" ca="1" si="2"/>
        <v>0</v>
      </c>
      <c r="S38" s="36">
        <f t="shared" ca="1" si="3"/>
        <v>6600</v>
      </c>
      <c r="T38" s="35">
        <f ca="1">IF(ISNA(MATCH($F38,TaxCode,0))=TRUE,"code?",OFFSET('Set-up'!$D$37,MATCH($F38,TaxCode,0),MATCH($V38,TaxCurMonth,1)-1,1,1))</f>
        <v>0</v>
      </c>
      <c r="U38" s="28">
        <f t="shared" ca="1" si="4"/>
        <v>56</v>
      </c>
      <c r="V38" s="28">
        <f t="shared" ca="1" si="5"/>
        <v>68</v>
      </c>
      <c r="W38" s="28">
        <f t="shared" ca="1" si="6"/>
        <v>67</v>
      </c>
      <c r="X38" s="36">
        <f t="shared" ca="1" si="7"/>
        <v>6600</v>
      </c>
      <c r="Y38" s="36">
        <f t="shared" ca="1" si="8"/>
        <v>0</v>
      </c>
      <c r="Z38" s="36">
        <f t="shared" ca="1" si="9"/>
        <v>-4800</v>
      </c>
      <c r="AA38" s="36">
        <f t="shared" ca="1" si="10"/>
        <v>0</v>
      </c>
      <c r="AB38" s="36">
        <f t="shared" ca="1" si="11"/>
        <v>0</v>
      </c>
      <c r="AC38" s="36">
        <f t="shared" ca="1" si="23"/>
        <v>1800</v>
      </c>
      <c r="AD38" s="36" cm="1">
        <f t="array" aca="1" ref="AD38" ca="1">IF($L38=0,0,IF(SUMIFS(TransCLife,TransAsset,$A38,TransIDDate,$L38)=0,0,IF(($X38-(SUMIFS(TransCRes,TransAsset,$A38,TransIDDate,$L38)))/(SUMIFS(TransCLife,TransAsset,$A38,TransIDDate,$L38)*12)*(((YEAR($H$2)*12)+MONTH($H$2))-((YEAR($L38)*12)+MONTH($L38)))&gt;=($X38-SUMIFS(TransCRes,TransAsset,$A38,TransIDDate,$L38)),$X38-SUMIFS(TransCRes,TransAsset,$A38,TransIDDate,$L38),($X38-(SUMIFS(TransCRes,TransAsset,$A38,TransIDDate,$L38)))/(SUMIFS(TransCLife,TransAsset,$A38,TransIDDate,$L38)*12)*(((YEAR($H$2)*12)+MONTH($H$2))-((YEAR($L38)*12)+MONTH($L38))))))</f>
        <v>6600</v>
      </c>
      <c r="AE38" s="36">
        <f t="shared" ca="1" si="12"/>
        <v>0</v>
      </c>
      <c r="AF38" s="36">
        <f t="shared" ca="1" si="24"/>
        <v>600</v>
      </c>
      <c r="AG38" s="36">
        <f t="shared" ca="1" si="13"/>
        <v>600</v>
      </c>
      <c r="AH38" s="36">
        <f t="shared" ca="1" si="14"/>
        <v>-6600</v>
      </c>
      <c r="AI38" s="36">
        <f t="shared" ca="1" si="15"/>
        <v>0</v>
      </c>
      <c r="AJ38" s="36">
        <f t="shared" ca="1" si="25"/>
        <v>600</v>
      </c>
      <c r="AK38" s="36">
        <f t="shared" ca="1" si="26"/>
        <v>1200</v>
      </c>
      <c r="AL38" s="36">
        <f t="shared" ca="1" si="16"/>
        <v>0</v>
      </c>
      <c r="AM38" s="36">
        <f t="shared" ca="1" si="27"/>
        <v>1800</v>
      </c>
      <c r="AN38" s="36">
        <f t="shared" ca="1" si="28"/>
        <v>-600</v>
      </c>
      <c r="AO38" s="36">
        <f t="shared" ca="1" si="17"/>
        <v>1200</v>
      </c>
      <c r="AP38" s="36">
        <f t="shared" ca="1" si="18"/>
        <v>0</v>
      </c>
      <c r="AQ38" s="36">
        <f t="shared" ca="1" si="19"/>
        <v>0</v>
      </c>
      <c r="AR38" s="36">
        <f t="shared" ca="1" si="20"/>
        <v>0</v>
      </c>
      <c r="AS38" s="36">
        <f t="shared" ca="1" si="29"/>
        <v>50</v>
      </c>
      <c r="AT38" s="36">
        <f t="shared" ca="1" si="21"/>
        <v>50</v>
      </c>
      <c r="AU38" s="36" cm="1">
        <f t="array" aca="1" ref="AU38" ca="1">IF($I38&lt;$H$2,IF(AND($N38&lt;&gt;"-",$N38&lt;$H$2),0,SUMIFS(TransHCost,TransAsset,$A38,TransIDDate,$J38)-SUMIFS(TransPCAccDep,TransAsset,$A38)-SUMIFS(TransImpair,TransAsset,$A38,TransIDDate,"&lt;"&amp;$H$2,TransType,"REV")),0)</f>
        <v>0</v>
      </c>
      <c r="AV38" s="36">
        <f t="shared" ca="1" si="30"/>
        <v>0</v>
      </c>
      <c r="AW38" s="36">
        <f t="shared" ca="1" si="22"/>
        <v>0</v>
      </c>
      <c r="AX38" s="36" cm="1">
        <f t="array" aca="1" ref="AX38" ca="1">$AW38-IF($I38&lt;$J$2,IF(AND($N38&lt;&gt;"-",$N38&lt;$J$2),0,SUMIFS(TransHCost,TransAsset,$A38,TransIDDate,$J38)-SUMIFS(TransPMAccDep,TransAsset,$A38)-SUMIFS(TransImpair,TransAsset,$A38,TransIDDate,"&lt;"&amp;$J$2,TransType,"REV")),0)</f>
        <v>0</v>
      </c>
      <c r="AY38" s="36">
        <f ca="1">IF(ISNA(MATCH($F38,TaxCode,0))=TRUE,$S38*($U38&gt;0),MAX(($S38*($U38&gt;0))-(($S38-SUMIFS(TransCRes,TransAsset,$A38,TransIDDate,$L38))*(IF($U38&lt;=11,0,MIN(SUM(OFFSET('Set-up'!$D$37,MATCH($F38,TaxCode,0),0,1,MATCH($U38,TaxCumMonth,1)))+MAX(TRUNC(($U38-60)/12)*SUM(OFFSET('Set-up'!$H$37,MATCH($F38,TaxCode,0),0,1,1)),0%),100%))))-(($S38-SUMIFS(TransCRes,TransAsset,$A38,TransIDDate,$L38))*OFFSET('Set-up'!$D$37,MATCH($F38,TaxCode,0),MATCH($U38,TaxCurMonth,1)-1,1,1)*IF(AND($U38-(TRUNC($U38/12)*12)&lt;&gt;0,OFFSET('Set-up'!$J$37,MATCH($F38,TaxCode,0),0,1,1)=0),1,(($U38-(TRUNC($U38/12)*12))/12))),SUMIFS(TransCRes,TransAsset,$A38,TransIDDate,$L38)))</f>
        <v>0</v>
      </c>
      <c r="AZ38" s="36">
        <f t="shared" ca="1" si="31"/>
        <v>0</v>
      </c>
      <c r="BA38" s="36">
        <f ca="1">IF(ISNA(MATCH($F38,TaxCode,0))=TRUE,$S38*($V38&gt;0),MAX(($S38*($V38&gt;0))-(($S38-$R38)*(IF($V38&lt;=11,0,MIN(SUM(OFFSET('Set-up'!$D$37,MATCH($F38,TaxCode,0),0,1,MATCH($V38,TaxCumMonth,1)))+MAX(TRUNC(($V38-60)/12)*SUM(OFFSET('Set-up'!$H$37,MATCH($F38,TaxCode,0),0,1,1)),0%),100%))))-(($S38-$R38)*OFFSET('Set-up'!$D$37,MATCH($F38,TaxCode,0),MATCH($V38,TaxCurMonth,1)-1,1,1)*IF(AND($V38-(TRUNC($V38/12)*12)&lt;&gt;0,OFFSET('Set-up'!$J$37,MATCH($F38,TaxCode,0),0,1,1)=0),1,(($V38-(TRUNC($V38/12)*12))/12))),$R38*($V38&gt;0)))</f>
        <v>0</v>
      </c>
      <c r="BB38" s="36">
        <f ca="1">$BA38-IF(ISNA(MATCH($F38,TaxCode,0))=TRUE,$S38*($W38&gt;0),MAX(($S38*($W38&gt;0))-(($S38-SUMIFS(TransCRes,TransAsset,$A38,TransIDDate,$M38))*(IF($W38&lt;=11,0,MIN(SUM(OFFSET('Set-up'!$D$37,MATCH($F38,TaxCode,0),0,1,MATCH($W38,TaxCumMonth,1)))+MAX(TRUNC(($W38-60)/12)*SUM(OFFSET('Set-up'!$H$37,MATCH($F38,TaxCode,0),0,1,1)),0%),100%))))-(($S38-SUMIFS(TransCRes,TransAsset,$A38,TransIDDate,$M38))*OFFSET('Set-up'!$D$37,MATCH($F38,TaxCode,0),MATCH($W38,TaxCurMonth,1)-1,1,1)*IF(AND($W38-(TRUNC($W38/12)*12)&lt;&gt;0,OFFSET('Set-up'!$J$37,MATCH($F38,TaxCode,0),0,1,1)=0),1,(($W38-(TRUNC($W38/12)*12))/12))),SUMIFS(TransCRes,TransAsset,$A38,TransIDDate,$M38)*($W38&gt;0)))</f>
        <v>0</v>
      </c>
      <c r="BC38" s="36">
        <f ca="1">IF(ISNUMBER('Set-up'!$C$9)=FALSE,0,IF($F38="J",0,ROUND(($AU38-$AY38)*'Set-up'!$C$9,2)))</f>
        <v>0</v>
      </c>
      <c r="BD38" s="36">
        <f t="shared" ca="1" si="32"/>
        <v>0</v>
      </c>
      <c r="BE38" s="36">
        <f ca="1">IF(ISNUMBER('Set-up'!$C$9)=FALSE,0,IF($F38="J",0,ROUND(($AW38-$BA38)*'Set-up'!$C$9,2)))</f>
        <v>0</v>
      </c>
      <c r="BF38" s="36">
        <f ca="1">IF(ISNUMBER('Set-up'!$C$9)=FALSE,0,IF($F38="J",0,ROUND(($AX38-$BB38)*'Set-up'!$C$9,2)))</f>
        <v>0</v>
      </c>
    </row>
    <row r="39" spans="1:58" ht="16" customHeight="1" x14ac:dyDescent="0.25">
      <c r="A39" s="8" t="s">
        <v>321</v>
      </c>
      <c r="B39" s="8" t="s">
        <v>315</v>
      </c>
      <c r="C39" s="8" t="s">
        <v>355</v>
      </c>
      <c r="D39" s="4" t="s">
        <v>91</v>
      </c>
      <c r="E39" s="4" t="s">
        <v>262</v>
      </c>
      <c r="F39" s="4" t="s">
        <v>215</v>
      </c>
      <c r="G39" s="4" t="str" cm="1">
        <f t="array" aca="1" ref="G39" ca="1">IF(COUNTIF(AssetCode,$A39)&gt;1,"E1",IF(ISNA(VLOOKUP($E39,CatAll,1,0))=TRUE,"E2",IF(AND($I39="add!",$J39&lt;&gt;"add!"),"E10",IF(ISNA(VLOOKUP($F39,TaxCode,1,0))=TRUE,"E11","-"))))</f>
        <v>-</v>
      </c>
      <c r="H39" s="4" t="str">
        <f t="shared" ca="1" si="0"/>
        <v>CE</v>
      </c>
      <c r="I39" s="33">
        <f t="array" aca="1" ref="I39" ca="1">IF(ISERROR(LARGE(IF(TransAsset=$A39,IF(TransType="ACQ",TransIDDate,"add!"),"add!"),1)),"add!",LARGE(IF(TransAsset=$A39,IF(TransType="ACQ",TransIDDate,"add!"),"add!"),1))</f>
        <v>42205.000081018516</v>
      </c>
      <c r="J39" s="33">
        <f t="array" aca="1" ref="J39" ca="1">IF(ISERROR(LARGE(IF(TransAsset=$A39,TransIDDate,"add!"),1)),"add!",LARGE(IF(TransAsset=$A39,TransIDDate,"add!"),1))</f>
        <v>43891.000497685185</v>
      </c>
      <c r="K39" s="33">
        <f t="array" aca="1" ref="K39" ca="1">IF(ISERROR(LARGE(IF(TransAsset=$A39,IF(TransDate&lt;($I$2+1),TransIDDate,"-"),"-"),1)),"-",LARGE(IF(TransAsset=$A39,IF(TransDate&lt;($I$2+1),TransIDDate,"-"),"-"),1))</f>
        <v>43891.000497685185</v>
      </c>
      <c r="L39" s="33">
        <f t="array" aca="1" ref="L39" ca="1">IF(ISERROR(LARGE(IF(TransAsset=$A39,IF(TransDate&lt;$H$2,TransIDDate,"-"),"-"),1)),"-",LARGE(IF(TransAsset=$A39,IF(TransDate&lt;$H$2,TransIDDate,"-"),"-"),1))</f>
        <v>42205.000081018516</v>
      </c>
      <c r="M39" s="33">
        <f t="array" aca="1" ref="M39" ca="1">IF(ISERROR(LARGE(IF(TransAsset=$A39,IF(TransDate&lt;$J$2,TransIDDate,"-"),"-"),1)),"-",LARGE(IF(TransAsset=$A39,IF(TransDate&lt;$J$2,TransIDDate,"-"),"-"),1))</f>
        <v>43891.000497685185</v>
      </c>
      <c r="N39" s="33" t="str">
        <f t="array" aca="1" ref="N39" ca="1">IF(ISERROR(LARGE(IF(TransAsset=$A39,IF(TransType="DIS",TransIDDate,"-"),"-"),1)),"-",LARGE(IF(TransAsset=$A39,IF(TransType="DIS",TransIDDate,"-"),"-"),1))</f>
        <v>-</v>
      </c>
      <c r="O39" s="34" cm="1">
        <f t="array" aca="1" ref="O39" ca="1">IF($N39&lt;=$I$2,SUMIFS(TransProceeds,TransAsset,$A39,TransType,"DIS"),0)</f>
        <v>0</v>
      </c>
      <c r="P39" s="36" cm="1">
        <f t="array" aca="1" ref="P39" ca="1">IF($I39&lt;=($I$2+1),SUMIFS(TransHCost,TransAsset,$A39,TransIDDate,$J39),0)</f>
        <v>2100</v>
      </c>
      <c r="Q39" s="28">
        <f t="shared" ca="1" si="1"/>
        <v>3</v>
      </c>
      <c r="R39" s="28">
        <f t="shared" ca="1" si="2"/>
        <v>0</v>
      </c>
      <c r="S39" s="36">
        <f t="shared" ca="1" si="3"/>
        <v>2100</v>
      </c>
      <c r="T39" s="35">
        <f ca="1">IF(ISNA(MATCH($F39,TaxCode,0))=TRUE,"code?",OFFSET('Set-up'!$D$37,MATCH($F39,TaxCode,0),MATCH($V39,TaxCurMonth,1)-1,1,1))</f>
        <v>0</v>
      </c>
      <c r="U39" s="28">
        <f t="shared" ca="1" si="4"/>
        <v>56</v>
      </c>
      <c r="V39" s="28">
        <f t="shared" ca="1" si="5"/>
        <v>68</v>
      </c>
      <c r="W39" s="28">
        <f t="shared" ca="1" si="6"/>
        <v>67</v>
      </c>
      <c r="X39" s="36">
        <f t="shared" ca="1" si="7"/>
        <v>2100</v>
      </c>
      <c r="Y39" s="36">
        <f t="shared" ca="1" si="8"/>
        <v>0</v>
      </c>
      <c r="Z39" s="36">
        <f t="shared" ca="1" si="9"/>
        <v>1900</v>
      </c>
      <c r="AA39" s="36">
        <f t="shared" ca="1" si="10"/>
        <v>0</v>
      </c>
      <c r="AB39" s="36">
        <f t="shared" ca="1" si="11"/>
        <v>0</v>
      </c>
      <c r="AC39" s="36">
        <f t="shared" ca="1" si="23"/>
        <v>4000</v>
      </c>
      <c r="AD39" s="36" cm="1">
        <f t="array" aca="1" ref="AD39" ca="1">IF($L39=0,0,IF(SUMIFS(TransCLife,TransAsset,$A39,TransIDDate,$L39)=0,0,IF(($X39-(SUMIFS(TransCRes,TransAsset,$A39,TransIDDate,$L39)))/(SUMIFS(TransCLife,TransAsset,$A39,TransIDDate,$L39)*12)*(((YEAR($H$2)*12)+MONTH($H$2))-((YEAR($L39)*12)+MONTH($L39)))&gt;=($X39-SUMIFS(TransCRes,TransAsset,$A39,TransIDDate,$L39)),$X39-SUMIFS(TransCRes,TransAsset,$A39,TransIDDate,$L39),($X39-(SUMIFS(TransCRes,TransAsset,$A39,TransIDDate,$L39)))/(SUMIFS(TransCLife,TransAsset,$A39,TransIDDate,$L39)*12)*(((YEAR($H$2)*12)+MONTH($H$2))-((YEAR($L39)*12)+MONTH($L39))))))</f>
        <v>2100</v>
      </c>
      <c r="AE39" s="36">
        <f t="shared" ca="1" si="12"/>
        <v>0</v>
      </c>
      <c r="AF39" s="36">
        <f t="shared" ca="1" si="24"/>
        <v>1333.3333333333335</v>
      </c>
      <c r="AG39" s="36">
        <f t="shared" ca="1" si="13"/>
        <v>1333.3333333333335</v>
      </c>
      <c r="AH39" s="36">
        <f t="shared" ca="1" si="14"/>
        <v>-2100</v>
      </c>
      <c r="AI39" s="36">
        <f t="shared" ca="1" si="15"/>
        <v>0</v>
      </c>
      <c r="AJ39" s="36">
        <f t="shared" ca="1" si="25"/>
        <v>1333.3333333333335</v>
      </c>
      <c r="AK39" s="36">
        <f t="shared" ca="1" si="26"/>
        <v>2666.6666666666665</v>
      </c>
      <c r="AL39" s="36">
        <f t="shared" ca="1" si="16"/>
        <v>0</v>
      </c>
      <c r="AM39" s="36">
        <f t="shared" ca="1" si="27"/>
        <v>4000</v>
      </c>
      <c r="AN39" s="36">
        <f t="shared" ca="1" si="28"/>
        <v>-1333.3333333333335</v>
      </c>
      <c r="AO39" s="36">
        <f t="shared" ca="1" si="17"/>
        <v>2666.6666666666665</v>
      </c>
      <c r="AP39" s="36">
        <f t="shared" ca="1" si="18"/>
        <v>0</v>
      </c>
      <c r="AQ39" s="36">
        <f t="shared" ca="1" si="19"/>
        <v>0</v>
      </c>
      <c r="AR39" s="36">
        <f t="shared" ca="1" si="20"/>
        <v>0</v>
      </c>
      <c r="AS39" s="36">
        <f t="shared" ca="1" si="29"/>
        <v>111.11111111111111</v>
      </c>
      <c r="AT39" s="36">
        <f t="shared" ca="1" si="21"/>
        <v>111.11111111111111</v>
      </c>
      <c r="AU39" s="36" cm="1">
        <f t="array" aca="1" ref="AU39" ca="1">IF($I39&lt;$H$2,IF(AND($N39&lt;&gt;"-",$N39&lt;$H$2),0,SUMIFS(TransHCost,TransAsset,$A39,TransIDDate,$J39)-SUMIFS(TransPCAccDep,TransAsset,$A39)-SUMIFS(TransImpair,TransAsset,$A39,TransIDDate,"&lt;"&amp;$H$2,TransType,"REV")),0)</f>
        <v>0</v>
      </c>
      <c r="AV39" s="36">
        <f t="shared" ca="1" si="30"/>
        <v>0</v>
      </c>
      <c r="AW39" s="36">
        <f t="shared" ca="1" si="22"/>
        <v>0</v>
      </c>
      <c r="AX39" s="36" cm="1">
        <f t="array" aca="1" ref="AX39" ca="1">$AW39-IF($I39&lt;$J$2,IF(AND($N39&lt;&gt;"-",$N39&lt;$J$2),0,SUMIFS(TransHCost,TransAsset,$A39,TransIDDate,$J39)-SUMIFS(TransPMAccDep,TransAsset,$A39)-SUMIFS(TransImpair,TransAsset,$A39,TransIDDate,"&lt;"&amp;$J$2,TransType,"REV")),0)</f>
        <v>0</v>
      </c>
      <c r="AY39" s="36">
        <f ca="1">IF(ISNA(MATCH($F39,TaxCode,0))=TRUE,$S39*($U39&gt;0),MAX(($S39*($U39&gt;0))-(($S39-SUMIFS(TransCRes,TransAsset,$A39,TransIDDate,$L39))*(IF($U39&lt;=11,0,MIN(SUM(OFFSET('Set-up'!$D$37,MATCH($F39,TaxCode,0),0,1,MATCH($U39,TaxCumMonth,1)))+MAX(TRUNC(($U39-60)/12)*SUM(OFFSET('Set-up'!$H$37,MATCH($F39,TaxCode,0),0,1,1)),0%),100%))))-(($S39-SUMIFS(TransCRes,TransAsset,$A39,TransIDDate,$L39))*OFFSET('Set-up'!$D$37,MATCH($F39,TaxCode,0),MATCH($U39,TaxCurMonth,1)-1,1,1)*IF(AND($U39-(TRUNC($U39/12)*12)&lt;&gt;0,OFFSET('Set-up'!$J$37,MATCH($F39,TaxCode,0),0,1,1)=0),1,(($U39-(TRUNC($U39/12)*12))/12))),SUMIFS(TransCRes,TransAsset,$A39,TransIDDate,$L39)))</f>
        <v>0</v>
      </c>
      <c r="AZ39" s="36">
        <f t="shared" ca="1" si="31"/>
        <v>0</v>
      </c>
      <c r="BA39" s="36">
        <f ca="1">IF(ISNA(MATCH($F39,TaxCode,0))=TRUE,$S39*($V39&gt;0),MAX(($S39*($V39&gt;0))-(($S39-$R39)*(IF($V39&lt;=11,0,MIN(SUM(OFFSET('Set-up'!$D$37,MATCH($F39,TaxCode,0),0,1,MATCH($V39,TaxCumMonth,1)))+MAX(TRUNC(($V39-60)/12)*SUM(OFFSET('Set-up'!$H$37,MATCH($F39,TaxCode,0),0,1,1)),0%),100%))))-(($S39-$R39)*OFFSET('Set-up'!$D$37,MATCH($F39,TaxCode,0),MATCH($V39,TaxCurMonth,1)-1,1,1)*IF(AND($V39-(TRUNC($V39/12)*12)&lt;&gt;0,OFFSET('Set-up'!$J$37,MATCH($F39,TaxCode,0),0,1,1)=0),1,(($V39-(TRUNC($V39/12)*12))/12))),$R39*($V39&gt;0)))</f>
        <v>0</v>
      </c>
      <c r="BB39" s="36">
        <f ca="1">$BA39-IF(ISNA(MATCH($F39,TaxCode,0))=TRUE,$S39*($W39&gt;0),MAX(($S39*($W39&gt;0))-(($S39-SUMIFS(TransCRes,TransAsset,$A39,TransIDDate,$M39))*(IF($W39&lt;=11,0,MIN(SUM(OFFSET('Set-up'!$D$37,MATCH($F39,TaxCode,0),0,1,MATCH($W39,TaxCumMonth,1)))+MAX(TRUNC(($W39-60)/12)*SUM(OFFSET('Set-up'!$H$37,MATCH($F39,TaxCode,0),0,1,1)),0%),100%))))-(($S39-SUMIFS(TransCRes,TransAsset,$A39,TransIDDate,$M39))*OFFSET('Set-up'!$D$37,MATCH($F39,TaxCode,0),MATCH($W39,TaxCurMonth,1)-1,1,1)*IF(AND($W39-(TRUNC($W39/12)*12)&lt;&gt;0,OFFSET('Set-up'!$J$37,MATCH($F39,TaxCode,0),0,1,1)=0),1,(($W39-(TRUNC($W39/12)*12))/12))),SUMIFS(TransCRes,TransAsset,$A39,TransIDDate,$M39)*($W39&gt;0)))</f>
        <v>0</v>
      </c>
      <c r="BC39" s="36">
        <f ca="1">IF(ISNUMBER('Set-up'!$C$9)=FALSE,0,IF($F39="J",0,ROUND(($AU39-$AY39)*'Set-up'!$C$9,2)))</f>
        <v>0</v>
      </c>
      <c r="BD39" s="36">
        <f t="shared" ca="1" si="32"/>
        <v>0</v>
      </c>
      <c r="BE39" s="36">
        <f ca="1">IF(ISNUMBER('Set-up'!$C$9)=FALSE,0,IF($F39="J",0,ROUND(($AW39-$BA39)*'Set-up'!$C$9,2)))</f>
        <v>0</v>
      </c>
      <c r="BF39" s="36">
        <f ca="1">IF(ISNUMBER('Set-up'!$C$9)=FALSE,0,IF($F39="J",0,ROUND(($AX39-$BB39)*'Set-up'!$C$9,2)))</f>
        <v>0</v>
      </c>
    </row>
    <row r="40" spans="1:58" ht="16" customHeight="1" x14ac:dyDescent="0.25">
      <c r="A40" s="8" t="s">
        <v>307</v>
      </c>
      <c r="B40" s="8" t="s">
        <v>316</v>
      </c>
      <c r="C40" s="8" t="s">
        <v>312</v>
      </c>
      <c r="D40" s="4" t="s">
        <v>91</v>
      </c>
      <c r="E40" s="4" t="s">
        <v>304</v>
      </c>
      <c r="F40" s="4" t="s">
        <v>217</v>
      </c>
      <c r="G40" s="4" t="str" cm="1">
        <f t="array" aca="1" ref="G40" ca="1">IF(COUNTIF(AssetCode,$A40)&gt;1,"E1",IF(ISNA(VLOOKUP($E40,CatAll,1,0))=TRUE,"E2",IF(AND($I40="add!",$J40&lt;&gt;"add!"),"E10",IF(ISNA(VLOOKUP($F40,TaxCode,1,0))=TRUE,"E11","-"))))</f>
        <v>-</v>
      </c>
      <c r="H40" s="4" t="str">
        <f t="shared" ca="1" si="0"/>
        <v>OE</v>
      </c>
      <c r="I40" s="33">
        <f t="array" aca="1" ref="I40" ca="1">IF(ISERROR(LARGE(IF(TransAsset=$A40,IF(TransType="ACQ",TransIDDate,"add!"),"add!"),1)),"add!",LARGE(IF(TransAsset=$A40,IF(TransType="ACQ",TransIDDate,"add!"),"add!"),1))</f>
        <v>42205.000150462962</v>
      </c>
      <c r="J40" s="33">
        <f t="array" aca="1" ref="J40" ca="1">IF(ISERROR(LARGE(IF(TransAsset=$A40,TransIDDate,"add!"),1)),"add!",LARGE(IF(TransAsset=$A40,TransIDDate,"add!"),1))</f>
        <v>43891.000578703701</v>
      </c>
      <c r="K40" s="33">
        <f t="array" aca="1" ref="K40" ca="1">IF(ISERROR(LARGE(IF(TransAsset=$A40,IF(TransDate&lt;($I$2+1),TransIDDate,"-"),"-"),1)),"-",LARGE(IF(TransAsset=$A40,IF(TransDate&lt;($I$2+1),TransIDDate,"-"),"-"),1))</f>
        <v>43891.000578703701</v>
      </c>
      <c r="L40" s="33">
        <f t="array" aca="1" ref="L40" ca="1">IF(ISERROR(LARGE(IF(TransAsset=$A40,IF(TransDate&lt;$H$2,TransIDDate,"-"),"-"),1)),"-",LARGE(IF(TransAsset=$A40,IF(TransDate&lt;$H$2,TransIDDate,"-"),"-"),1))</f>
        <v>42205.000150462962</v>
      </c>
      <c r="M40" s="33">
        <f t="array" aca="1" ref="M40" ca="1">IF(ISERROR(LARGE(IF(TransAsset=$A40,IF(TransDate&lt;$J$2,TransIDDate,"-"),"-"),1)),"-",LARGE(IF(TransAsset=$A40,IF(TransDate&lt;$J$2,TransIDDate,"-"),"-"),1))</f>
        <v>43891.000578703701</v>
      </c>
      <c r="N40" s="33" t="str">
        <f t="array" aca="1" ref="N40" ca="1">IF(ISERROR(LARGE(IF(TransAsset=$A40,IF(TransType="DIS",TransIDDate,"-"),"-"),1)),"-",LARGE(IF(TransAsset=$A40,IF(TransType="DIS",TransIDDate,"-"),"-"),1))</f>
        <v>-</v>
      </c>
      <c r="O40" s="34" cm="1">
        <f t="array" aca="1" ref="O40" ca="1">IF($N40&lt;=$I$2,SUMIFS(TransProceeds,TransAsset,$A40,TransType,"DIS"),0)</f>
        <v>0</v>
      </c>
      <c r="P40" s="36" cm="1">
        <f t="array" aca="1" ref="P40" ca="1">IF($I40&lt;=($I$2+1),SUMIFS(TransHCost,TransAsset,$A40,TransIDDate,$J40),0)</f>
        <v>3400</v>
      </c>
      <c r="Q40" s="28">
        <f t="shared" ca="1" si="1"/>
        <v>4</v>
      </c>
      <c r="R40" s="28">
        <f t="shared" ca="1" si="2"/>
        <v>0</v>
      </c>
      <c r="S40" s="36">
        <f t="shared" ca="1" si="3"/>
        <v>3400</v>
      </c>
      <c r="T40" s="35">
        <f ca="1">IF(ISNA(MATCH($F40,TaxCode,0))=TRUE,"code?",OFFSET('Set-up'!$D$37,MATCH($F40,TaxCode,0),MATCH($V40,TaxCurMonth,1)-1,1,1))</f>
        <v>0</v>
      </c>
      <c r="U40" s="28">
        <f t="shared" ca="1" si="4"/>
        <v>56</v>
      </c>
      <c r="V40" s="28">
        <f t="shared" ca="1" si="5"/>
        <v>68</v>
      </c>
      <c r="W40" s="28">
        <f t="shared" ca="1" si="6"/>
        <v>67</v>
      </c>
      <c r="X40" s="36">
        <f t="shared" ca="1" si="7"/>
        <v>3400</v>
      </c>
      <c r="Y40" s="36">
        <f t="shared" ca="1" si="8"/>
        <v>0</v>
      </c>
      <c r="Z40" s="36">
        <f t="shared" ca="1" si="9"/>
        <v>-2200</v>
      </c>
      <c r="AA40" s="36">
        <f t="shared" ca="1" si="10"/>
        <v>0</v>
      </c>
      <c r="AB40" s="36">
        <f t="shared" ca="1" si="11"/>
        <v>0</v>
      </c>
      <c r="AC40" s="36">
        <f t="shared" ca="1" si="23"/>
        <v>1200</v>
      </c>
      <c r="AD40" s="36" cm="1">
        <f t="array" aca="1" ref="AD40" ca="1">IF($L40=0,0,IF(SUMIFS(TransCLife,TransAsset,$A40,TransIDDate,$L40)=0,0,IF(($X40-(SUMIFS(TransCRes,TransAsset,$A40,TransIDDate,$L40)))/(SUMIFS(TransCLife,TransAsset,$A40,TransIDDate,$L40)*12)*(((YEAR($H$2)*12)+MONTH($H$2))-((YEAR($L40)*12)+MONTH($L40)))&gt;=($X40-SUMIFS(TransCRes,TransAsset,$A40,TransIDDate,$L40)),$X40-SUMIFS(TransCRes,TransAsset,$A40,TransIDDate,$L40),($X40-(SUMIFS(TransCRes,TransAsset,$A40,TransIDDate,$L40)))/(SUMIFS(TransCLife,TransAsset,$A40,TransIDDate,$L40)*12)*(((YEAR($H$2)*12)+MONTH($H$2))-((YEAR($L40)*12)+MONTH($L40))))))</f>
        <v>3400</v>
      </c>
      <c r="AE40" s="36">
        <f t="shared" ca="1" si="12"/>
        <v>0</v>
      </c>
      <c r="AF40" s="36">
        <f t="shared" ca="1" si="24"/>
        <v>300</v>
      </c>
      <c r="AG40" s="36">
        <f t="shared" ca="1" si="13"/>
        <v>300</v>
      </c>
      <c r="AH40" s="36">
        <f t="shared" ca="1" si="14"/>
        <v>-3400</v>
      </c>
      <c r="AI40" s="36">
        <f t="shared" ca="1" si="15"/>
        <v>0</v>
      </c>
      <c r="AJ40" s="36">
        <f t="shared" ca="1" si="25"/>
        <v>300</v>
      </c>
      <c r="AK40" s="36">
        <f t="shared" ca="1" si="26"/>
        <v>900</v>
      </c>
      <c r="AL40" s="36">
        <f t="shared" ca="1" si="16"/>
        <v>0</v>
      </c>
      <c r="AM40" s="36">
        <f t="shared" ca="1" si="27"/>
        <v>1200</v>
      </c>
      <c r="AN40" s="36">
        <f t="shared" ca="1" si="28"/>
        <v>-300</v>
      </c>
      <c r="AO40" s="36">
        <f t="shared" ca="1" si="17"/>
        <v>900</v>
      </c>
      <c r="AP40" s="36">
        <f t="shared" ca="1" si="18"/>
        <v>0</v>
      </c>
      <c r="AQ40" s="36">
        <f t="shared" ca="1" si="19"/>
        <v>0</v>
      </c>
      <c r="AR40" s="36">
        <f t="shared" ca="1" si="20"/>
        <v>0</v>
      </c>
      <c r="AS40" s="36">
        <f t="shared" ca="1" si="29"/>
        <v>25</v>
      </c>
      <c r="AT40" s="36">
        <f t="shared" ca="1" si="21"/>
        <v>25</v>
      </c>
      <c r="AU40" s="36" cm="1">
        <f t="array" aca="1" ref="AU40" ca="1">IF($I40&lt;$H$2,IF(AND($N40&lt;&gt;"-",$N40&lt;$H$2),0,SUMIFS(TransHCost,TransAsset,$A40,TransIDDate,$J40)-SUMIFS(TransPCAccDep,TransAsset,$A40)-SUMIFS(TransImpair,TransAsset,$A40,TransIDDate,"&lt;"&amp;$H$2,TransType,"REV")),0)</f>
        <v>0</v>
      </c>
      <c r="AV40" s="36">
        <f t="shared" ca="1" si="30"/>
        <v>0</v>
      </c>
      <c r="AW40" s="36">
        <f t="shared" ca="1" si="22"/>
        <v>0</v>
      </c>
      <c r="AX40" s="36" cm="1">
        <f t="array" aca="1" ref="AX40" ca="1">$AW40-IF($I40&lt;$J$2,IF(AND($N40&lt;&gt;"-",$N40&lt;$J$2),0,SUMIFS(TransHCost,TransAsset,$A40,TransIDDate,$J40)-SUMIFS(TransPMAccDep,TransAsset,$A40)-SUMIFS(TransImpair,TransAsset,$A40,TransIDDate,"&lt;"&amp;$J$2,TransType,"REV")),0)</f>
        <v>0</v>
      </c>
      <c r="AY40" s="36">
        <f ca="1">IF(ISNA(MATCH($F40,TaxCode,0))=TRUE,$S40*($U40&gt;0),MAX(($S40*($U40&gt;0))-(($S40-SUMIFS(TransCRes,TransAsset,$A40,TransIDDate,$L40))*(IF($U40&lt;=11,0,MIN(SUM(OFFSET('Set-up'!$D$37,MATCH($F40,TaxCode,0),0,1,MATCH($U40,TaxCumMonth,1)))+MAX(TRUNC(($U40-60)/12)*SUM(OFFSET('Set-up'!$H$37,MATCH($F40,TaxCode,0),0,1,1)),0%),100%))))-(($S40-SUMIFS(TransCRes,TransAsset,$A40,TransIDDate,$L40))*OFFSET('Set-up'!$D$37,MATCH($F40,TaxCode,0),MATCH($U40,TaxCurMonth,1)-1,1,1)*IF(AND($U40-(TRUNC($U40/12)*12)&lt;&gt;0,OFFSET('Set-up'!$J$37,MATCH($F40,TaxCode,0),0,1,1)=0),1,(($U40-(TRUNC($U40/12)*12))/12))),SUMIFS(TransCRes,TransAsset,$A40,TransIDDate,$L40)))</f>
        <v>0</v>
      </c>
      <c r="AZ40" s="36">
        <f t="shared" ca="1" si="31"/>
        <v>0</v>
      </c>
      <c r="BA40" s="36">
        <f ca="1">IF(ISNA(MATCH($F40,TaxCode,0))=TRUE,$S40*($V40&gt;0),MAX(($S40*($V40&gt;0))-(($S40-$R40)*(IF($V40&lt;=11,0,MIN(SUM(OFFSET('Set-up'!$D$37,MATCH($F40,TaxCode,0),0,1,MATCH($V40,TaxCumMonth,1)))+MAX(TRUNC(($V40-60)/12)*SUM(OFFSET('Set-up'!$H$37,MATCH($F40,TaxCode,0),0,1,1)),0%),100%))))-(($S40-$R40)*OFFSET('Set-up'!$D$37,MATCH($F40,TaxCode,0),MATCH($V40,TaxCurMonth,1)-1,1,1)*IF(AND($V40-(TRUNC($V40/12)*12)&lt;&gt;0,OFFSET('Set-up'!$J$37,MATCH($F40,TaxCode,0),0,1,1)=0),1,(($V40-(TRUNC($V40/12)*12))/12))),$R40*($V40&gt;0)))</f>
        <v>0</v>
      </c>
      <c r="BB40" s="36">
        <f ca="1">$BA40-IF(ISNA(MATCH($F40,TaxCode,0))=TRUE,$S40*($W40&gt;0),MAX(($S40*($W40&gt;0))-(($S40-SUMIFS(TransCRes,TransAsset,$A40,TransIDDate,$M40))*(IF($W40&lt;=11,0,MIN(SUM(OFFSET('Set-up'!$D$37,MATCH($F40,TaxCode,0),0,1,MATCH($W40,TaxCumMonth,1)))+MAX(TRUNC(($W40-60)/12)*SUM(OFFSET('Set-up'!$H$37,MATCH($F40,TaxCode,0),0,1,1)),0%),100%))))-(($S40-SUMIFS(TransCRes,TransAsset,$A40,TransIDDate,$M40))*OFFSET('Set-up'!$D$37,MATCH($F40,TaxCode,0),MATCH($W40,TaxCurMonth,1)-1,1,1)*IF(AND($W40-(TRUNC($W40/12)*12)&lt;&gt;0,OFFSET('Set-up'!$J$37,MATCH($F40,TaxCode,0),0,1,1)=0),1,(($W40-(TRUNC($W40/12)*12))/12))),SUMIFS(TransCRes,TransAsset,$A40,TransIDDate,$M40)*($W40&gt;0)))</f>
        <v>0</v>
      </c>
      <c r="BC40" s="36">
        <f ca="1">IF(ISNUMBER('Set-up'!$C$9)=FALSE,0,IF($F40="J",0,ROUND(($AU40-$AY40)*'Set-up'!$C$9,2)))</f>
        <v>0</v>
      </c>
      <c r="BD40" s="36">
        <f t="shared" ca="1" si="32"/>
        <v>0</v>
      </c>
      <c r="BE40" s="36">
        <f ca="1">IF(ISNUMBER('Set-up'!$C$9)=FALSE,0,IF($F40="J",0,ROUND(($AW40-$BA40)*'Set-up'!$C$9,2)))</f>
        <v>0</v>
      </c>
      <c r="BF40" s="36">
        <f ca="1">IF(ISNUMBER('Set-up'!$C$9)=FALSE,0,IF($F40="J",0,ROUND(($AX40-$BB40)*'Set-up'!$C$9,2)))</f>
        <v>0</v>
      </c>
    </row>
    <row r="41" spans="1:58" ht="16" customHeight="1" x14ac:dyDescent="0.25">
      <c r="A41" s="8" t="s">
        <v>308</v>
      </c>
      <c r="B41" s="8" t="s">
        <v>356</v>
      </c>
      <c r="C41" s="8" t="s">
        <v>312</v>
      </c>
      <c r="D41" s="4" t="s">
        <v>91</v>
      </c>
      <c r="E41" s="4" t="s">
        <v>304</v>
      </c>
      <c r="F41" s="4" t="s">
        <v>217</v>
      </c>
      <c r="G41" s="4" t="str" cm="1">
        <f t="array" aca="1" ref="G41" ca="1">IF(COUNTIF(AssetCode,$A41)&gt;1,"E1",IF(ISNA(VLOOKUP($E41,CatAll,1,0))=TRUE,"E2",IF(AND($I41="add!",$J41&lt;&gt;"add!"),"E10",IF(ISNA(VLOOKUP($F41,TaxCode,1,0))=TRUE,"E11","-"))))</f>
        <v>-</v>
      </c>
      <c r="H41" s="4" t="str">
        <f t="shared" ca="1" si="0"/>
        <v>OE</v>
      </c>
      <c r="I41" s="33">
        <f t="array" aca="1" ref="I41" ca="1">IF(ISERROR(LARGE(IF(TransAsset=$A41,IF(TransType="ACQ",TransIDDate,"add!"),"add!"),1)),"add!",LARGE(IF(TransAsset=$A41,IF(TransType="ACQ",TransIDDate,"add!"),"add!"),1))</f>
        <v>43250.000439814816</v>
      </c>
      <c r="J41" s="33">
        <f t="array" aca="1" ref="J41" ca="1">IF(ISERROR(LARGE(IF(TransAsset=$A41,TransIDDate,"add!"),1)),"add!",LARGE(IF(TransAsset=$A41,TransIDDate,"add!"),1))</f>
        <v>43891.000590277778</v>
      </c>
      <c r="K41" s="33">
        <f t="array" aca="1" ref="K41" ca="1">IF(ISERROR(LARGE(IF(TransAsset=$A41,IF(TransDate&lt;($I$2+1),TransIDDate,"-"),"-"),1)),"-",LARGE(IF(TransAsset=$A41,IF(TransDate&lt;($I$2+1),TransIDDate,"-"),"-"),1))</f>
        <v>43891.000590277778</v>
      </c>
      <c r="L41" s="33">
        <f t="array" aca="1" ref="L41" ca="1">IF(ISERROR(LARGE(IF(TransAsset=$A41,IF(TransDate&lt;$H$2,TransIDDate,"-"),"-"),1)),"-",LARGE(IF(TransAsset=$A41,IF(TransDate&lt;$H$2,TransIDDate,"-"),"-"),1))</f>
        <v>43250.000439814816</v>
      </c>
      <c r="M41" s="33">
        <f t="array" aca="1" ref="M41" ca="1">IF(ISERROR(LARGE(IF(TransAsset=$A41,IF(TransDate&lt;$J$2,TransIDDate,"-"),"-"),1)),"-",LARGE(IF(TransAsset=$A41,IF(TransDate&lt;$J$2,TransIDDate,"-"),"-"),1))</f>
        <v>43891.000590277778</v>
      </c>
      <c r="N41" s="33" t="str">
        <f t="array" aca="1" ref="N41" ca="1">IF(ISERROR(LARGE(IF(TransAsset=$A41,IF(TransType="DIS",TransIDDate,"-"),"-"),1)),"-",LARGE(IF(TransAsset=$A41,IF(TransType="DIS",TransIDDate,"-"),"-"),1))</f>
        <v>-</v>
      </c>
      <c r="O41" s="34" cm="1">
        <f t="array" aca="1" ref="O41" ca="1">IF($N41&lt;=$I$2,SUMIFS(TransProceeds,TransAsset,$A41,TransType,"DIS"),0)</f>
        <v>0</v>
      </c>
      <c r="P41" s="36" cm="1">
        <f t="array" aca="1" ref="P41" ca="1">IF($I41&lt;=($I$2+1),SUMIFS(TransHCost,TransAsset,$A41,TransIDDate,$J41),0)</f>
        <v>5150</v>
      </c>
      <c r="Q41" s="28">
        <f t="shared" ca="1" si="1"/>
        <v>4</v>
      </c>
      <c r="R41" s="28">
        <f t="shared" ca="1" si="2"/>
        <v>0</v>
      </c>
      <c r="S41" s="36">
        <f t="shared" ca="1" si="3"/>
        <v>5150</v>
      </c>
      <c r="T41" s="35">
        <f ca="1">IF(ISNA(MATCH($F41,TaxCode,0))=TRUE,"code?",OFFSET('Set-up'!$D$37,MATCH($F41,TaxCode,0),MATCH($V41,TaxCurMonth,1)-1,1,1))</f>
        <v>0.25</v>
      </c>
      <c r="U41" s="28">
        <f t="shared" ca="1" si="4"/>
        <v>22</v>
      </c>
      <c r="V41" s="28">
        <f t="shared" ca="1" si="5"/>
        <v>34</v>
      </c>
      <c r="W41" s="28">
        <f t="shared" ca="1" si="6"/>
        <v>33</v>
      </c>
      <c r="X41" s="36">
        <f t="shared" ca="1" si="7"/>
        <v>5150</v>
      </c>
      <c r="Y41" s="36">
        <f t="shared" ca="1" si="8"/>
        <v>0</v>
      </c>
      <c r="Z41" s="36">
        <f t="shared" ca="1" si="9"/>
        <v>850</v>
      </c>
      <c r="AA41" s="36">
        <f t="shared" ca="1" si="10"/>
        <v>0</v>
      </c>
      <c r="AB41" s="36">
        <f t="shared" ca="1" si="11"/>
        <v>0</v>
      </c>
      <c r="AC41" s="36">
        <f t="shared" ca="1" si="23"/>
        <v>6000</v>
      </c>
      <c r="AD41" s="36" cm="1">
        <f t="array" aca="1" ref="AD41" ca="1">IF($L41=0,0,IF(SUMIFS(TransCLife,TransAsset,$A41,TransIDDate,$L41)=0,0,IF(($X41-(SUMIFS(TransCRes,TransAsset,$A41,TransIDDate,$L41)))/(SUMIFS(TransCLife,TransAsset,$A41,TransIDDate,$L41)*12)*(((YEAR($H$2)*12)+MONTH($H$2))-((YEAR($L41)*12)+MONTH($L41)))&gt;=($X41-SUMIFS(TransCRes,TransAsset,$A41,TransIDDate,$L41)),$X41-SUMIFS(TransCRes,TransAsset,$A41,TransIDDate,$L41),($X41-(SUMIFS(TransCRes,TransAsset,$A41,TransIDDate,$L41)))/(SUMIFS(TransCLife,TransAsset,$A41,TransIDDate,$L41)*12)*(((YEAR($H$2)*12)+MONTH($H$2))-((YEAR($L41)*12)+MONTH($L41))))))</f>
        <v>2360.416666666667</v>
      </c>
      <c r="AE41" s="36">
        <f t="shared" ca="1" si="12"/>
        <v>1287.5</v>
      </c>
      <c r="AF41" s="36">
        <f t="shared" ca="1" si="24"/>
        <v>212.5</v>
      </c>
      <c r="AG41" s="36">
        <f t="shared" ca="1" si="13"/>
        <v>1500</v>
      </c>
      <c r="AH41" s="36">
        <f t="shared" ca="1" si="14"/>
        <v>-2360.416666666667</v>
      </c>
      <c r="AI41" s="36">
        <f t="shared" ca="1" si="15"/>
        <v>0</v>
      </c>
      <c r="AJ41" s="36">
        <f t="shared" ca="1" si="25"/>
        <v>1500</v>
      </c>
      <c r="AK41" s="36">
        <f t="shared" ca="1" si="26"/>
        <v>4500</v>
      </c>
      <c r="AL41" s="36">
        <f t="shared" ca="1" si="16"/>
        <v>0</v>
      </c>
      <c r="AM41" s="36">
        <f t="shared" ca="1" si="27"/>
        <v>3210.416666666667</v>
      </c>
      <c r="AN41" s="36">
        <f t="shared" ca="1" si="28"/>
        <v>-212.5</v>
      </c>
      <c r="AO41" s="36">
        <f t="shared" ca="1" si="17"/>
        <v>2997.916666666667</v>
      </c>
      <c r="AP41" s="36">
        <f t="shared" ca="1" si="18"/>
        <v>0</v>
      </c>
      <c r="AQ41" s="36">
        <f t="shared" ca="1" si="19"/>
        <v>0</v>
      </c>
      <c r="AR41" s="36">
        <f t="shared" ca="1" si="20"/>
        <v>107.29166666666667</v>
      </c>
      <c r="AS41" s="36">
        <f t="shared" ca="1" si="29"/>
        <v>17.708333333333329</v>
      </c>
      <c r="AT41" s="36">
        <f t="shared" ca="1" si="21"/>
        <v>125</v>
      </c>
      <c r="AU41" s="36" cm="1">
        <f t="array" aca="1" ref="AU41" ca="1">IF($I41&lt;$H$2,IF(AND($N41&lt;&gt;"-",$N41&lt;$H$2),0,SUMIFS(TransHCost,TransAsset,$A41,TransIDDate,$J41)-SUMIFS(TransPCAccDep,TransAsset,$A41)-SUMIFS(TransImpair,TransAsset,$A41,TransIDDate,"&lt;"&amp;$H$2,TransType,"REV")),0)</f>
        <v>2789.583333333333</v>
      </c>
      <c r="AV41" s="36">
        <f t="shared" ca="1" si="30"/>
        <v>-1287.5</v>
      </c>
      <c r="AW41" s="36">
        <f t="shared" ca="1" si="22"/>
        <v>1502.083333333333</v>
      </c>
      <c r="AX41" s="36" cm="1">
        <f t="array" aca="1" ref="AX41" ca="1">$AW41-IF($I41&lt;$J$2,IF(AND($N41&lt;&gt;"-",$N41&lt;$J$2),0,SUMIFS(TransHCost,TransAsset,$A41,TransIDDate,$J41)-SUMIFS(TransPMAccDep,TransAsset,$A41)-SUMIFS(TransImpair,TransAsset,$A41,TransIDDate,"&lt;"&amp;$J$2,TransType,"REV")),0)</f>
        <v>-107.29166666666652</v>
      </c>
      <c r="AY41" s="36">
        <f ca="1">IF(ISNA(MATCH($F41,TaxCode,0))=TRUE,$S41*($U41&gt;0),MAX(($S41*($U41&gt;0))-(($S41-SUMIFS(TransCRes,TransAsset,$A41,TransIDDate,$L41))*(IF($U41&lt;=11,0,MIN(SUM(OFFSET('Set-up'!$D$37,MATCH($F41,TaxCode,0),0,1,MATCH($U41,TaxCumMonth,1)))+MAX(TRUNC(($U41-60)/12)*SUM(OFFSET('Set-up'!$H$37,MATCH($F41,TaxCode,0),0,1,1)),0%),100%))))-(($S41-SUMIFS(TransCRes,TransAsset,$A41,TransIDDate,$L41))*OFFSET('Set-up'!$D$37,MATCH($F41,TaxCode,0),MATCH($U41,TaxCurMonth,1)-1,1,1)*IF(AND($U41-(TRUNC($U41/12)*12)&lt;&gt;0,OFFSET('Set-up'!$J$37,MATCH($F41,TaxCode,0),0,1,1)=0),1,(($U41-(TRUNC($U41/12)*12))/12))),SUMIFS(TransCRes,TransAsset,$A41,TransIDDate,$L41)))</f>
        <v>2789.583333333333</v>
      </c>
      <c r="AZ41" s="36">
        <f t="shared" ca="1" si="31"/>
        <v>-1287.4999999999998</v>
      </c>
      <c r="BA41" s="36">
        <f ca="1">IF(ISNA(MATCH($F41,TaxCode,0))=TRUE,$S41*($V41&gt;0),MAX(($S41*($V41&gt;0))-(($S41-$R41)*(IF($V41&lt;=11,0,MIN(SUM(OFFSET('Set-up'!$D$37,MATCH($F41,TaxCode,0),0,1,MATCH($V41,TaxCumMonth,1)))+MAX(TRUNC(($V41-60)/12)*SUM(OFFSET('Set-up'!$H$37,MATCH($F41,TaxCode,0),0,1,1)),0%),100%))))-(($S41-$R41)*OFFSET('Set-up'!$D$37,MATCH($F41,TaxCode,0),MATCH($V41,TaxCurMonth,1)-1,1,1)*IF(AND($V41-(TRUNC($V41/12)*12)&lt;&gt;0,OFFSET('Set-up'!$J$37,MATCH($F41,TaxCode,0),0,1,1)=0),1,(($V41-(TRUNC($V41/12)*12))/12))),$R41*($V41&gt;0)))</f>
        <v>1502.0833333333333</v>
      </c>
      <c r="BB41" s="36">
        <f ca="1">$BA41-IF(ISNA(MATCH($F41,TaxCode,0))=TRUE,$S41*($W41&gt;0),MAX(($S41*($W41&gt;0))-(($S41-SUMIFS(TransCRes,TransAsset,$A41,TransIDDate,$M41))*(IF($W41&lt;=11,0,MIN(SUM(OFFSET('Set-up'!$D$37,MATCH($F41,TaxCode,0),0,1,MATCH($W41,TaxCumMonth,1)))+MAX(TRUNC(($W41-60)/12)*SUM(OFFSET('Set-up'!$H$37,MATCH($F41,TaxCode,0),0,1,1)),0%),100%))))-(($S41-SUMIFS(TransCRes,TransAsset,$A41,TransIDDate,$M41))*OFFSET('Set-up'!$D$37,MATCH($F41,TaxCode,0),MATCH($W41,TaxCurMonth,1)-1,1,1)*IF(AND($W41-(TRUNC($W41/12)*12)&lt;&gt;0,OFFSET('Set-up'!$J$37,MATCH($F41,TaxCode,0),0,1,1)=0),1,(($W41-(TRUNC($W41/12)*12))/12))),SUMIFS(TransCRes,TransAsset,$A41,TransIDDate,$M41)*($W41&gt;0)))</f>
        <v>-107.29166666666674</v>
      </c>
      <c r="BC41" s="36">
        <f ca="1">IF(ISNUMBER('Set-up'!$C$9)=FALSE,0,IF($F41="J",0,ROUND(($AU41-$AY41)*'Set-up'!$C$9,2)))</f>
        <v>0</v>
      </c>
      <c r="BD41" s="36">
        <f t="shared" ca="1" si="32"/>
        <v>0</v>
      </c>
      <c r="BE41" s="36">
        <f ca="1">IF(ISNUMBER('Set-up'!$C$9)=FALSE,0,IF($F41="J",0,ROUND(($AW41-$BA41)*'Set-up'!$C$9,2)))</f>
        <v>0</v>
      </c>
      <c r="BF41" s="36">
        <f ca="1">IF(ISNUMBER('Set-up'!$C$9)=FALSE,0,IF($F41="J",0,ROUND(($AX41-$BB41)*'Set-up'!$C$9,2)))</f>
        <v>0</v>
      </c>
    </row>
    <row r="42" spans="1:58" ht="16" customHeight="1" x14ac:dyDescent="0.25">
      <c r="A42" s="8" t="s">
        <v>322</v>
      </c>
      <c r="B42" s="8" t="s">
        <v>323</v>
      </c>
      <c r="C42" s="8" t="s">
        <v>366</v>
      </c>
      <c r="D42" s="4" t="s">
        <v>91</v>
      </c>
      <c r="E42" s="4" t="s">
        <v>263</v>
      </c>
      <c r="F42" s="4" t="s">
        <v>216</v>
      </c>
      <c r="G42" s="4" t="str" cm="1">
        <f t="array" aca="1" ref="G42" ca="1">IF(COUNTIF(AssetCode,$A42)&gt;1,"E1",IF(ISNA(VLOOKUP($E42,CatAll,1,0))=TRUE,"E2",IF(AND($I42="add!",$J42&lt;&gt;"add!"),"E10",IF(ISNA(VLOOKUP($F42,TaxCode,1,0))=TRUE,"E11","-"))))</f>
        <v>-</v>
      </c>
      <c r="H42" s="4" t="str">
        <f t="shared" ca="1" si="0"/>
        <v>CE</v>
      </c>
      <c r="I42" s="33">
        <f t="array" aca="1" ref="I42" ca="1">IF(ISERROR(LARGE(IF(TransAsset=$A42,IF(TransType="ACQ",TransIDDate,"add!"),"add!"),1)),"add!",LARGE(IF(TransAsset=$A42,IF(TransType="ACQ",TransIDDate,"add!"),"add!"),1))</f>
        <v>42218.00037037037</v>
      </c>
      <c r="J42" s="33">
        <f t="array" aca="1" ref="J42" ca="1">IF(ISERROR(LARGE(IF(TransAsset=$A42,TransIDDate,"add!"),1)),"add!",LARGE(IF(TransAsset=$A42,TransIDDate,"add!"),1))</f>
        <v>43891.000509259262</v>
      </c>
      <c r="K42" s="33">
        <f t="array" aca="1" ref="K42" ca="1">IF(ISERROR(LARGE(IF(TransAsset=$A42,IF(TransDate&lt;($I$2+1),TransIDDate,"-"),"-"),1)),"-",LARGE(IF(TransAsset=$A42,IF(TransDate&lt;($I$2+1),TransIDDate,"-"),"-"),1))</f>
        <v>43891.000509259262</v>
      </c>
      <c r="L42" s="33">
        <f t="array" aca="1" ref="L42" ca="1">IF(ISERROR(LARGE(IF(TransAsset=$A42,IF(TransDate&lt;$H$2,TransIDDate,"-"),"-"),1)),"-",LARGE(IF(TransAsset=$A42,IF(TransDate&lt;$H$2,TransIDDate,"-"),"-"),1))</f>
        <v>42218.00037037037</v>
      </c>
      <c r="M42" s="33">
        <f t="array" aca="1" ref="M42" ca="1">IF(ISERROR(LARGE(IF(TransAsset=$A42,IF(TransDate&lt;$J$2,TransIDDate,"-"),"-"),1)),"-",LARGE(IF(TransAsset=$A42,IF(TransDate&lt;$J$2,TransIDDate,"-"),"-"),1))</f>
        <v>43891.000509259262</v>
      </c>
      <c r="N42" s="33" t="str">
        <f t="array" aca="1" ref="N42" ca="1">IF(ISERROR(LARGE(IF(TransAsset=$A42,IF(TransType="DIS",TransIDDate,"-"),"-"),1)),"-",LARGE(IF(TransAsset=$A42,IF(TransType="DIS",TransIDDate,"-"),"-"),1))</f>
        <v>-</v>
      </c>
      <c r="O42" s="34" cm="1">
        <f t="array" aca="1" ref="O42" ca="1">IF($N42&lt;=$I$2,SUMIFS(TransProceeds,TransAsset,$A42,TransType,"DIS"),0)</f>
        <v>0</v>
      </c>
      <c r="P42" s="36" cm="1">
        <f t="array" aca="1" ref="P42" ca="1">IF($I42&lt;=($I$2+1),SUMIFS(TransHCost,TransAsset,$A42,TransIDDate,$J42),0)</f>
        <v>12800</v>
      </c>
      <c r="Q42" s="28">
        <f t="shared" ca="1" si="1"/>
        <v>2</v>
      </c>
      <c r="R42" s="28">
        <f t="shared" ca="1" si="2"/>
        <v>0</v>
      </c>
      <c r="S42" s="36">
        <f t="shared" ca="1" si="3"/>
        <v>12800</v>
      </c>
      <c r="T42" s="35">
        <f ca="1">IF(ISNA(MATCH($F42,TaxCode,0))=TRUE,"code?",OFFSET('Set-up'!$D$37,MATCH($F42,TaxCode,0),MATCH($V42,TaxCurMonth,1)-1,1,1))</f>
        <v>0</v>
      </c>
      <c r="U42" s="28">
        <f t="shared" ca="1" si="4"/>
        <v>55</v>
      </c>
      <c r="V42" s="28">
        <f t="shared" ca="1" si="5"/>
        <v>67</v>
      </c>
      <c r="W42" s="28">
        <f t="shared" ca="1" si="6"/>
        <v>66</v>
      </c>
      <c r="X42" s="36">
        <f t="shared" ca="1" si="7"/>
        <v>12800</v>
      </c>
      <c r="Y42" s="36">
        <f t="shared" ca="1" si="8"/>
        <v>0</v>
      </c>
      <c r="Z42" s="36">
        <f t="shared" ca="1" si="9"/>
        <v>-4600</v>
      </c>
      <c r="AA42" s="36">
        <f t="shared" ca="1" si="10"/>
        <v>0</v>
      </c>
      <c r="AB42" s="36">
        <f t="shared" ca="1" si="11"/>
        <v>0</v>
      </c>
      <c r="AC42" s="36">
        <f t="shared" ca="1" si="23"/>
        <v>8200</v>
      </c>
      <c r="AD42" s="36" cm="1">
        <f t="array" aca="1" ref="AD42" ca="1">IF($L42=0,0,IF(SUMIFS(TransCLife,TransAsset,$A42,TransIDDate,$L42)=0,0,IF(($X42-(SUMIFS(TransCRes,TransAsset,$A42,TransIDDate,$L42)))/(SUMIFS(TransCLife,TransAsset,$A42,TransIDDate,$L42)*12)*(((YEAR($H$2)*12)+MONTH($H$2))-((YEAR($L42)*12)+MONTH($L42)))&gt;=($X42-SUMIFS(TransCRes,TransAsset,$A42,TransIDDate,$L42)),$X42-SUMIFS(TransCRes,TransAsset,$A42,TransIDDate,$L42),($X42-(SUMIFS(TransCRes,TransAsset,$A42,TransIDDate,$L42)))/(SUMIFS(TransCLife,TransAsset,$A42,TransIDDate,$L42)*12)*(((YEAR($H$2)*12)+MONTH($H$2))-((YEAR($L42)*12)+MONTH($L42))))))</f>
        <v>12800</v>
      </c>
      <c r="AE42" s="36">
        <f t="shared" ca="1" si="12"/>
        <v>0</v>
      </c>
      <c r="AF42" s="36">
        <f t="shared" ca="1" si="24"/>
        <v>4100</v>
      </c>
      <c r="AG42" s="36">
        <f t="shared" ca="1" si="13"/>
        <v>4100</v>
      </c>
      <c r="AH42" s="36">
        <f t="shared" ca="1" si="14"/>
        <v>-12800</v>
      </c>
      <c r="AI42" s="36">
        <f t="shared" ca="1" si="15"/>
        <v>0</v>
      </c>
      <c r="AJ42" s="36">
        <f t="shared" ca="1" si="25"/>
        <v>4100</v>
      </c>
      <c r="AK42" s="36">
        <f t="shared" ca="1" si="26"/>
        <v>4100</v>
      </c>
      <c r="AL42" s="36">
        <f t="shared" ca="1" si="16"/>
        <v>0</v>
      </c>
      <c r="AM42" s="36">
        <f t="shared" ca="1" si="27"/>
        <v>8200</v>
      </c>
      <c r="AN42" s="36">
        <f t="shared" ca="1" si="28"/>
        <v>-4100</v>
      </c>
      <c r="AO42" s="36">
        <f t="shared" ca="1" si="17"/>
        <v>4100</v>
      </c>
      <c r="AP42" s="36">
        <f t="shared" ca="1" si="18"/>
        <v>0</v>
      </c>
      <c r="AQ42" s="36">
        <f t="shared" ca="1" si="19"/>
        <v>0</v>
      </c>
      <c r="AR42" s="36">
        <f t="shared" ca="1" si="20"/>
        <v>0</v>
      </c>
      <c r="AS42" s="36">
        <f t="shared" ca="1" si="29"/>
        <v>341.66666666666669</v>
      </c>
      <c r="AT42" s="36">
        <f t="shared" ca="1" si="21"/>
        <v>341.66666666666669</v>
      </c>
      <c r="AU42" s="36" cm="1">
        <f t="array" aca="1" ref="AU42" ca="1">IF($I42&lt;$H$2,IF(AND($N42&lt;&gt;"-",$N42&lt;$H$2),0,SUMIFS(TransHCost,TransAsset,$A42,TransIDDate,$J42)-SUMIFS(TransPCAccDep,TransAsset,$A42)-SUMIFS(TransImpair,TransAsset,$A42,TransIDDate,"&lt;"&amp;$H$2,TransType,"REV")),0)</f>
        <v>0</v>
      </c>
      <c r="AV42" s="36">
        <f t="shared" ca="1" si="30"/>
        <v>0</v>
      </c>
      <c r="AW42" s="36">
        <f t="shared" ca="1" si="22"/>
        <v>0</v>
      </c>
      <c r="AX42" s="36" cm="1">
        <f t="array" aca="1" ref="AX42" ca="1">$AW42-IF($I42&lt;$J$2,IF(AND($N42&lt;&gt;"-",$N42&lt;$J$2),0,SUMIFS(TransHCost,TransAsset,$A42,TransIDDate,$J42)-SUMIFS(TransPMAccDep,TransAsset,$A42)-SUMIFS(TransImpair,TransAsset,$A42,TransIDDate,"&lt;"&amp;$J$2,TransType,"REV")),0)</f>
        <v>0</v>
      </c>
      <c r="AY42" s="36">
        <f ca="1">IF(ISNA(MATCH($F42,TaxCode,0))=TRUE,$S42*($U42&gt;0),MAX(($S42*($U42&gt;0))-(($S42-SUMIFS(TransCRes,TransAsset,$A42,TransIDDate,$L42))*(IF($U42&lt;=11,0,MIN(SUM(OFFSET('Set-up'!$D$37,MATCH($F42,TaxCode,0),0,1,MATCH($U42,TaxCumMonth,1)))+MAX(TRUNC(($U42-60)/12)*SUM(OFFSET('Set-up'!$H$37,MATCH($F42,TaxCode,0),0,1,1)),0%),100%))))-(($S42-SUMIFS(TransCRes,TransAsset,$A42,TransIDDate,$L42))*OFFSET('Set-up'!$D$37,MATCH($F42,TaxCode,0),MATCH($U42,TaxCurMonth,1)-1,1,1)*IF(AND($U42-(TRUNC($U42/12)*12)&lt;&gt;0,OFFSET('Set-up'!$J$37,MATCH($F42,TaxCode,0),0,1,1)=0),1,(($U42-(TRUNC($U42/12)*12))/12))),SUMIFS(TransCRes,TransAsset,$A42,TransIDDate,$L42)))</f>
        <v>0</v>
      </c>
      <c r="AZ42" s="36">
        <f t="shared" ca="1" si="31"/>
        <v>0</v>
      </c>
      <c r="BA42" s="36">
        <f ca="1">IF(ISNA(MATCH($F42,TaxCode,0))=TRUE,$S42*($V42&gt;0),MAX(($S42*($V42&gt;0))-(($S42-$R42)*(IF($V42&lt;=11,0,MIN(SUM(OFFSET('Set-up'!$D$37,MATCH($F42,TaxCode,0),0,1,MATCH($V42,TaxCumMonth,1)))+MAX(TRUNC(($V42-60)/12)*SUM(OFFSET('Set-up'!$H$37,MATCH($F42,TaxCode,0),0,1,1)),0%),100%))))-(($S42-$R42)*OFFSET('Set-up'!$D$37,MATCH($F42,TaxCode,0),MATCH($V42,TaxCurMonth,1)-1,1,1)*IF(AND($V42-(TRUNC($V42/12)*12)&lt;&gt;0,OFFSET('Set-up'!$J$37,MATCH($F42,TaxCode,0),0,1,1)=0),1,(($V42-(TRUNC($V42/12)*12))/12))),$R42*($V42&gt;0)))</f>
        <v>0</v>
      </c>
      <c r="BB42" s="36">
        <f ca="1">$BA42-IF(ISNA(MATCH($F42,TaxCode,0))=TRUE,$S42*($W42&gt;0),MAX(($S42*($W42&gt;0))-(($S42-SUMIFS(TransCRes,TransAsset,$A42,TransIDDate,$M42))*(IF($W42&lt;=11,0,MIN(SUM(OFFSET('Set-up'!$D$37,MATCH($F42,TaxCode,0),0,1,MATCH($W42,TaxCumMonth,1)))+MAX(TRUNC(($W42-60)/12)*SUM(OFFSET('Set-up'!$H$37,MATCH($F42,TaxCode,0),0,1,1)),0%),100%))))-(($S42-SUMIFS(TransCRes,TransAsset,$A42,TransIDDate,$M42))*OFFSET('Set-up'!$D$37,MATCH($F42,TaxCode,0),MATCH($W42,TaxCurMonth,1)-1,1,1)*IF(AND($W42-(TRUNC($W42/12)*12)&lt;&gt;0,OFFSET('Set-up'!$J$37,MATCH($F42,TaxCode,0),0,1,1)=0),1,(($W42-(TRUNC($W42/12)*12))/12))),SUMIFS(TransCRes,TransAsset,$A42,TransIDDate,$M42)*($W42&gt;0)))</f>
        <v>0</v>
      </c>
      <c r="BC42" s="36">
        <f ca="1">IF(ISNUMBER('Set-up'!$C$9)=FALSE,0,IF($F42="J",0,ROUND(($AU42-$AY42)*'Set-up'!$C$9,2)))</f>
        <v>0</v>
      </c>
      <c r="BD42" s="36">
        <f t="shared" ca="1" si="32"/>
        <v>0</v>
      </c>
      <c r="BE42" s="36">
        <f ca="1">IF(ISNUMBER('Set-up'!$C$9)=FALSE,0,IF($F42="J",0,ROUND(($AW42-$BA42)*'Set-up'!$C$9,2)))</f>
        <v>0</v>
      </c>
      <c r="BF42" s="36">
        <f ca="1">IF(ISNUMBER('Set-up'!$C$9)=FALSE,0,IF($F42="J",0,ROUND(($AX42-$BB42)*'Set-up'!$C$9,2)))</f>
        <v>0</v>
      </c>
    </row>
    <row r="43" spans="1:58" ht="16" customHeight="1" x14ac:dyDescent="0.25">
      <c r="A43" s="8" t="s">
        <v>326</v>
      </c>
      <c r="B43" s="8">
        <v>34543552</v>
      </c>
      <c r="C43" s="8" t="s">
        <v>39</v>
      </c>
      <c r="D43" s="4" t="s">
        <v>327</v>
      </c>
      <c r="E43" s="4" t="s">
        <v>306</v>
      </c>
      <c r="F43" s="4" t="s">
        <v>219</v>
      </c>
      <c r="G43" s="4" t="str" cm="1">
        <f t="array" aca="1" ref="G43" ca="1">IF(COUNTIF(AssetCode,$A43)&gt;1,"E1",IF(ISNA(VLOOKUP($E43,CatAll,1,0))=TRUE,"E2",IF(AND($I43="add!",$J43&lt;&gt;"add!"),"E10",IF(ISNA(VLOOKUP($F43,TaxCode,1,0))=TRUE,"E11","-"))))</f>
        <v>-</v>
      </c>
      <c r="H43" s="4" t="str">
        <f t="shared" ca="1" si="0"/>
        <v>MV</v>
      </c>
      <c r="I43" s="33">
        <f t="array" aca="1" ref="I43" ca="1">IF(ISERROR(LARGE(IF(TransAsset=$A43,IF(TransType="ACQ",TransIDDate,"add!"),"add!"),1)),"add!",LARGE(IF(TransAsset=$A43,IF(TransType="ACQ",TransIDDate,"add!"),"add!"),1))</f>
        <v>42205.000138888892</v>
      </c>
      <c r="J43" s="33">
        <f t="array" aca="1" ref="J43" ca="1">IF(ISERROR(LARGE(IF(TransAsset=$A43,TransIDDate,"add!"),1)),"add!",LARGE(IF(TransAsset=$A43,TransIDDate,"add!"),1))</f>
        <v>43981.000891203701</v>
      </c>
      <c r="K43" s="33">
        <f t="array" aca="1" ref="K43" ca="1">IF(ISERROR(LARGE(IF(TransAsset=$A43,IF(TransDate&lt;($I$2+1),TransIDDate,"-"),"-"),1)),"-",LARGE(IF(TransAsset=$A43,IF(TransDate&lt;($I$2+1),TransIDDate,"-"),"-"),1))</f>
        <v>43981.000891203701</v>
      </c>
      <c r="L43" s="33">
        <f t="array" aca="1" ref="L43" ca="1">IF(ISERROR(LARGE(IF(TransAsset=$A43,IF(TransDate&lt;$H$2,TransIDDate,"-"),"-"),1)),"-",LARGE(IF(TransAsset=$A43,IF(TransDate&lt;$H$2,TransIDDate,"-"),"-"),1))</f>
        <v>42205.000138888892</v>
      </c>
      <c r="M43" s="33">
        <f t="array" aca="1" ref="M43" ca="1">IF(ISERROR(LARGE(IF(TransAsset=$A43,IF(TransDate&lt;$J$2,TransIDDate,"-"),"-"),1)),"-",LARGE(IF(TransAsset=$A43,IF(TransDate&lt;$J$2,TransIDDate,"-"),"-"),1))</f>
        <v>43981.000891203701</v>
      </c>
      <c r="N43" s="33">
        <f t="array" aca="1" ref="N43" ca="1">IF(ISERROR(LARGE(IF(TransAsset=$A43,IF(TransType="DIS",TransIDDate,"-"),"-"),1)),"-",LARGE(IF(TransAsset=$A43,IF(TransType="DIS",TransIDDate,"-"),"-"),1))</f>
        <v>43981.000891203701</v>
      </c>
      <c r="O43" s="34" cm="1">
        <f t="array" aca="1" ref="O43" ca="1">IF($N43&lt;=$I$2,SUMIFS(TransProceeds,TransAsset,$A43,TransType,"DIS"),0)</f>
        <v>41000</v>
      </c>
      <c r="P43" s="36" cm="1">
        <f t="array" aca="1" ref="P43" ca="1">IF($I43&lt;=($I$2+1),SUMIFS(TransHCost,TransAsset,$A43,TransIDDate,$J43),0)</f>
        <v>252200</v>
      </c>
      <c r="Q43" s="28">
        <f t="shared" ca="1" si="1"/>
        <v>0</v>
      </c>
      <c r="R43" s="28">
        <f t="shared" ca="1" si="2"/>
        <v>0</v>
      </c>
      <c r="S43" s="36">
        <f t="shared" ca="1" si="3"/>
        <v>252200</v>
      </c>
      <c r="T43" s="35">
        <f ca="1">IF(ISNA(MATCH($F43,TaxCode,0))=TRUE,"code?",OFFSET('Set-up'!$D$37,MATCH($F43,TaxCode,0),MATCH($V43,TaxCurMonth,1)-1,1,1))</f>
        <v>0.2</v>
      </c>
      <c r="U43" s="28">
        <f t="shared" ca="1" si="4"/>
        <v>56</v>
      </c>
      <c r="V43" s="28">
        <f t="shared" ca="1" si="5"/>
        <v>0</v>
      </c>
      <c r="W43" s="28">
        <f t="shared" ca="1" si="6"/>
        <v>0</v>
      </c>
      <c r="X43" s="36">
        <f t="shared" ca="1" si="7"/>
        <v>252200</v>
      </c>
      <c r="Y43" s="36">
        <f t="shared" ca="1" si="8"/>
        <v>0</v>
      </c>
      <c r="Z43" s="36">
        <f t="shared" ca="1" si="9"/>
        <v>-207200</v>
      </c>
      <c r="AA43" s="36">
        <f t="shared" ca="1" si="10"/>
        <v>-45000</v>
      </c>
      <c r="AB43" s="36">
        <f t="shared" ca="1" si="11"/>
        <v>0</v>
      </c>
      <c r="AC43" s="36">
        <f t="shared" ca="1" si="23"/>
        <v>0</v>
      </c>
      <c r="AD43" s="36" cm="1">
        <f t="array" aca="1" ref="AD43" ca="1">IF($L43=0,0,IF(SUMIFS(TransCLife,TransAsset,$A43,TransIDDate,$L43)=0,0,IF(($X43-(SUMIFS(TransCRes,TransAsset,$A43,TransIDDate,$L43)))/(SUMIFS(TransCLife,TransAsset,$A43,TransIDDate,$L43)*12)*(((YEAR($H$2)*12)+MONTH($H$2))-((YEAR($L43)*12)+MONTH($L43)))&gt;=($X43-SUMIFS(TransCRes,TransAsset,$A43,TransIDDate,$L43)),$X43-SUMIFS(TransCRes,TransAsset,$A43,TransIDDate,$L43),($X43-(SUMIFS(TransCRes,TransAsset,$A43,TransIDDate,$L43)))/(SUMIFS(TransCLife,TransAsset,$A43,TransIDDate,$L43)*12)*(((YEAR($H$2)*12)+MONTH($H$2))-((YEAR($L43)*12)+MONTH($L43))))))</f>
        <v>221386.66666666669</v>
      </c>
      <c r="AE43" s="36">
        <f t="shared" ca="1" si="12"/>
        <v>1000</v>
      </c>
      <c r="AF43" s="36">
        <f t="shared" ca="1" si="24"/>
        <v>0</v>
      </c>
      <c r="AG43" s="36">
        <f t="shared" ca="1" si="13"/>
        <v>1000</v>
      </c>
      <c r="AH43" s="36">
        <f t="shared" ca="1" si="14"/>
        <v>-221386.66666666669</v>
      </c>
      <c r="AI43" s="36">
        <f t="shared" ca="1" si="15"/>
        <v>-1000</v>
      </c>
      <c r="AJ43" s="36">
        <f t="shared" ca="1" si="25"/>
        <v>0</v>
      </c>
      <c r="AK43" s="36">
        <f t="shared" ca="1" si="26"/>
        <v>0</v>
      </c>
      <c r="AL43" s="36">
        <f t="shared" ca="1" si="16"/>
        <v>0</v>
      </c>
      <c r="AM43" s="36">
        <f t="shared" ca="1" si="27"/>
        <v>0</v>
      </c>
      <c r="AN43" s="36">
        <f t="shared" ca="1" si="28"/>
        <v>0</v>
      </c>
      <c r="AO43" s="36">
        <f t="shared" ca="1" si="17"/>
        <v>0</v>
      </c>
      <c r="AP43" s="36">
        <f t="shared" ca="1" si="18"/>
        <v>0</v>
      </c>
      <c r="AQ43" s="36">
        <f t="shared" ca="1" si="19"/>
        <v>11186.666666666686</v>
      </c>
      <c r="AR43" s="36">
        <f t="shared" ca="1" si="20"/>
        <v>0</v>
      </c>
      <c r="AS43" s="36">
        <f t="shared" ca="1" si="29"/>
        <v>0</v>
      </c>
      <c r="AT43" s="36">
        <f t="shared" ca="1" si="21"/>
        <v>0</v>
      </c>
      <c r="AU43" s="36" cm="1">
        <f t="array" aca="1" ref="AU43" ca="1">IF($I43&lt;$H$2,IF(AND($N43&lt;&gt;"-",$N43&lt;$H$2),0,SUMIFS(TransHCost,TransAsset,$A43,TransIDDate,$J43)-SUMIFS(TransPCAccDep,TransAsset,$A43)-SUMIFS(TransImpair,TransAsset,$A43,TransIDDate,"&lt;"&amp;$H$2,TransType,"REV")),0)</f>
        <v>30813.333333333314</v>
      </c>
      <c r="AV43" s="36">
        <f t="shared" ca="1" si="30"/>
        <v>-30813.333333333314</v>
      </c>
      <c r="AW43" s="36">
        <f t="shared" ca="1" si="22"/>
        <v>0</v>
      </c>
      <c r="AX43" s="36" cm="1">
        <f t="array" aca="1" ref="AX43" ca="1">$AW43-IF($I43&lt;$J$2,IF(AND($N43&lt;&gt;"-",$N43&lt;$J$2),0,SUMIFS(TransHCost,TransAsset,$A43,TransIDDate,$J43)-SUMIFS(TransPMAccDep,TransAsset,$A43)-SUMIFS(TransImpair,TransAsset,$A43,TransIDDate,"&lt;"&amp;$J$2,TransType,"REV")),0)</f>
        <v>0</v>
      </c>
      <c r="AY43" s="36">
        <f ca="1">IF(ISNA(MATCH($F43,TaxCode,0))=TRUE,$S43*($U43&gt;0),MAX(($S43*($U43&gt;0))-(($S43-SUMIFS(TransCRes,TransAsset,$A43,TransIDDate,$L43))*(IF($U43&lt;=11,0,MIN(SUM(OFFSET('Set-up'!$D$37,MATCH($F43,TaxCode,0),0,1,MATCH($U43,TaxCumMonth,1)))+MAX(TRUNC(($U43-60)/12)*SUM(OFFSET('Set-up'!$H$37,MATCH($F43,TaxCode,0),0,1,1)),0%),100%))))-(($S43-SUMIFS(TransCRes,TransAsset,$A43,TransIDDate,$L43))*OFFSET('Set-up'!$D$37,MATCH($F43,TaxCode,0),MATCH($U43,TaxCurMonth,1)-1,1,1)*IF(AND($U43-(TRUNC($U43/12)*12)&lt;&gt;0,OFFSET('Set-up'!$J$37,MATCH($F43,TaxCode,0),0,1,1)=0),1,(($U43-(TRUNC($U43/12)*12))/12))),SUMIFS(TransCRes,TransAsset,$A43,TransIDDate,$L43)))</f>
        <v>30813.333333333336</v>
      </c>
      <c r="AZ43" s="36">
        <f t="shared" ca="1" si="31"/>
        <v>-30813.333333333336</v>
      </c>
      <c r="BA43" s="36">
        <f ca="1">IF(ISNA(MATCH($F43,TaxCode,0))=TRUE,$S43*($V43&gt;0),MAX(($S43*($V43&gt;0))-(($S43-$R43)*(IF($V43&lt;=11,0,MIN(SUM(OFFSET('Set-up'!$D$37,MATCH($F43,TaxCode,0),0,1,MATCH($V43,TaxCumMonth,1)))+MAX(TRUNC(($V43-60)/12)*SUM(OFFSET('Set-up'!$H$37,MATCH($F43,TaxCode,0),0,1,1)),0%),100%))))-(($S43-$R43)*OFFSET('Set-up'!$D$37,MATCH($F43,TaxCode,0),MATCH($V43,TaxCurMonth,1)-1,1,1)*IF(AND($V43-(TRUNC($V43/12)*12)&lt;&gt;0,OFFSET('Set-up'!$J$37,MATCH($F43,TaxCode,0),0,1,1)=0),1,(($V43-(TRUNC($V43/12)*12))/12))),$R43*($V43&gt;0)))</f>
        <v>0</v>
      </c>
      <c r="BB43" s="36">
        <f ca="1">$BA43-IF(ISNA(MATCH($F43,TaxCode,0))=TRUE,$S43*($W43&gt;0),MAX(($S43*($W43&gt;0))-(($S43-SUMIFS(TransCRes,TransAsset,$A43,TransIDDate,$M43))*(IF($W43&lt;=11,0,MIN(SUM(OFFSET('Set-up'!$D$37,MATCH($F43,TaxCode,0),0,1,MATCH($W43,TaxCumMonth,1)))+MAX(TRUNC(($W43-60)/12)*SUM(OFFSET('Set-up'!$H$37,MATCH($F43,TaxCode,0),0,1,1)),0%),100%))))-(($S43-SUMIFS(TransCRes,TransAsset,$A43,TransIDDate,$M43))*OFFSET('Set-up'!$D$37,MATCH($F43,TaxCode,0),MATCH($W43,TaxCurMonth,1)-1,1,1)*IF(AND($W43-(TRUNC($W43/12)*12)&lt;&gt;0,OFFSET('Set-up'!$J$37,MATCH($F43,TaxCode,0),0,1,1)=0),1,(($W43-(TRUNC($W43/12)*12))/12))),SUMIFS(TransCRes,TransAsset,$A43,TransIDDate,$M43)*($W43&gt;0)))</f>
        <v>0</v>
      </c>
      <c r="BC43" s="36">
        <f ca="1">IF(ISNUMBER('Set-up'!$C$9)=FALSE,0,IF($F43="J",0,ROUND(($AU43-$AY43)*'Set-up'!$C$9,2)))</f>
        <v>0</v>
      </c>
      <c r="BD43" s="36">
        <f t="shared" ca="1" si="32"/>
        <v>0</v>
      </c>
      <c r="BE43" s="36">
        <f ca="1">IF(ISNUMBER('Set-up'!$C$9)=FALSE,0,IF($F43="J",0,ROUND(($AW43-$BA43)*'Set-up'!$C$9,2)))</f>
        <v>0</v>
      </c>
      <c r="BF43" s="36">
        <f ca="1">IF(ISNUMBER('Set-up'!$C$9)=FALSE,0,IF($F43="J",0,ROUND(($AX43-$BB43)*'Set-up'!$C$9,2)))</f>
        <v>0</v>
      </c>
    </row>
    <row r="44" spans="1:58" ht="16" customHeight="1" x14ac:dyDescent="0.25">
      <c r="A44" s="8" t="s">
        <v>351</v>
      </c>
      <c r="B44" s="8">
        <v>872837829</v>
      </c>
      <c r="C44" s="8" t="s">
        <v>352</v>
      </c>
      <c r="D44" s="4" t="s">
        <v>327</v>
      </c>
      <c r="E44" s="4" t="s">
        <v>306</v>
      </c>
      <c r="F44" s="4" t="s">
        <v>219</v>
      </c>
      <c r="G44" s="4" t="str" cm="1">
        <f t="array" aca="1" ref="G44" ca="1">IF(COUNTIF(AssetCode,$A44)&gt;1,"E1",IF(ISNA(VLOOKUP($E44,CatAll,1,0))=TRUE,"E2",IF(AND($I44="add!",$J44&lt;&gt;"add!"),"E10",IF(ISNA(VLOOKUP($F44,TaxCode,1,0))=TRUE,"E11","-"))))</f>
        <v>-</v>
      </c>
      <c r="H44" s="4" t="str">
        <f t="shared" ca="1" si="0"/>
        <v>MV</v>
      </c>
      <c r="I44" s="33">
        <f t="array" aca="1" ref="I44" ca="1">IF(ISERROR(LARGE(IF(TransAsset=$A44,IF(TransType="ACQ",TransIDDate,"add!"),"add!"),1)),"add!",LARGE(IF(TransAsset=$A44,IF(TransType="ACQ",TransIDDate,"add!"),"add!"),1))</f>
        <v>44002.000902777778</v>
      </c>
      <c r="J44" s="33">
        <f t="array" aca="1" ref="J44" ca="1">IF(ISERROR(LARGE(IF(TransAsset=$A44,TransIDDate,"add!"),1)),"add!",LARGE(IF(TransAsset=$A44,TransIDDate,"add!"),1))</f>
        <v>44002.000902777778</v>
      </c>
      <c r="K44" s="33">
        <f t="array" aca="1" ref="K44" ca="1">IF(ISERROR(LARGE(IF(TransAsset=$A44,IF(TransDate&lt;($I$2+1),TransIDDate,"-"),"-"),1)),"-",LARGE(IF(TransAsset=$A44,IF(TransDate&lt;($I$2+1),TransIDDate,"-"),"-"),1))</f>
        <v>44002.000902777778</v>
      </c>
      <c r="L44" s="33" t="str">
        <f t="array" aca="1" ref="L44" ca="1">IF(ISERROR(LARGE(IF(TransAsset=$A44,IF(TransDate&lt;$H$2,TransIDDate,"-"),"-"),1)),"-",LARGE(IF(TransAsset=$A44,IF(TransDate&lt;$H$2,TransIDDate,"-"),"-"),1))</f>
        <v>-</v>
      </c>
      <c r="M44" s="33">
        <f t="array" aca="1" ref="M44" ca="1">IF(ISERROR(LARGE(IF(TransAsset=$A44,IF(TransDate&lt;$J$2,TransIDDate,"-"),"-"),1)),"-",LARGE(IF(TransAsset=$A44,IF(TransDate&lt;$J$2,TransIDDate,"-"),"-"),1))</f>
        <v>44002.000902777778</v>
      </c>
      <c r="N44" s="33" t="str">
        <f t="array" aca="1" ref="N44" ca="1">IF(ISERROR(LARGE(IF(TransAsset=$A44,IF(TransType="DIS",TransIDDate,"-"),"-"),1)),"-",LARGE(IF(TransAsset=$A44,IF(TransType="DIS",TransIDDate,"-"),"-"),1))</f>
        <v>-</v>
      </c>
      <c r="O44" s="34" cm="1">
        <f t="array" aca="1" ref="O44" ca="1">IF($N44&lt;=$I$2,SUMIFS(TransProceeds,TransAsset,$A44,TransType,"DIS"),0)</f>
        <v>0</v>
      </c>
      <c r="P44" s="36" cm="1">
        <f t="array" aca="1" ref="P44" ca="1">IF($I44&lt;=($I$2+1),SUMIFS(TransHCost,TransAsset,$A44,TransIDDate,$J44),0)</f>
        <v>288500</v>
      </c>
      <c r="Q44" s="28">
        <f t="shared" ca="1" si="1"/>
        <v>5</v>
      </c>
      <c r="R44" s="28">
        <f t="shared" ca="1" si="2"/>
        <v>22000</v>
      </c>
      <c r="S44" s="36">
        <f t="shared" ca="1" si="3"/>
        <v>288500</v>
      </c>
      <c r="T44" s="35">
        <f ca="1">IF(ISNA(MATCH($F44,TaxCode,0))=TRUE,"code?",OFFSET('Set-up'!$D$37,MATCH($F44,TaxCode,0),MATCH($V44,TaxCurMonth,1)-1,1,1))</f>
        <v>0.2</v>
      </c>
      <c r="U44" s="28">
        <f t="shared" ca="1" si="4"/>
        <v>0</v>
      </c>
      <c r="V44" s="28">
        <f t="shared" ca="1" si="5"/>
        <v>9</v>
      </c>
      <c r="W44" s="28">
        <f t="shared" ca="1" si="6"/>
        <v>8</v>
      </c>
      <c r="X44" s="36">
        <f t="shared" ca="1" si="7"/>
        <v>0</v>
      </c>
      <c r="Y44" s="36">
        <f t="shared" ca="1" si="8"/>
        <v>288500</v>
      </c>
      <c r="Z44" s="36">
        <f t="shared" ca="1" si="9"/>
        <v>0</v>
      </c>
      <c r="AA44" s="36">
        <f t="shared" ca="1" si="10"/>
        <v>0</v>
      </c>
      <c r="AB44" s="36">
        <f t="shared" ca="1" si="11"/>
        <v>0</v>
      </c>
      <c r="AC44" s="36">
        <f t="shared" ca="1" si="23"/>
        <v>288500</v>
      </c>
      <c r="AD44" s="36" cm="1">
        <f t="array" aca="1" ref="AD44" ca="1">IF($L44=0,0,IF(SUMIFS(TransCLife,TransAsset,$A44,TransIDDate,$L44)=0,0,IF(($X44-(SUMIFS(TransCRes,TransAsset,$A44,TransIDDate,$L44)))/(SUMIFS(TransCLife,TransAsset,$A44,TransIDDate,$L44)*12)*(((YEAR($H$2)*12)+MONTH($H$2))-((YEAR($L44)*12)+MONTH($L44)))&gt;=($X44-SUMIFS(TransCRes,TransAsset,$A44,TransIDDate,$L44)),$X44-SUMIFS(TransCRes,TransAsset,$A44,TransIDDate,$L44),($X44-(SUMIFS(TransCRes,TransAsset,$A44,TransIDDate,$L44)))/(SUMIFS(TransCLife,TransAsset,$A44,TransIDDate,$L44)*12)*(((YEAR($H$2)*12)+MONTH($H$2))-((YEAR($L44)*12)+MONTH($L44))))))</f>
        <v>0</v>
      </c>
      <c r="AE44" s="36">
        <f t="shared" ca="1" si="12"/>
        <v>39975</v>
      </c>
      <c r="AF44" s="36">
        <f t="shared" ca="1" si="24"/>
        <v>0</v>
      </c>
      <c r="AG44" s="36">
        <f t="shared" ca="1" si="13"/>
        <v>39975</v>
      </c>
      <c r="AH44" s="36">
        <f t="shared" ca="1" si="14"/>
        <v>0</v>
      </c>
      <c r="AI44" s="36">
        <f t="shared" ca="1" si="15"/>
        <v>0</v>
      </c>
      <c r="AJ44" s="36">
        <f t="shared" ca="1" si="25"/>
        <v>39975</v>
      </c>
      <c r="AK44" s="36">
        <f t="shared" ca="1" si="26"/>
        <v>248525</v>
      </c>
      <c r="AL44" s="36">
        <f t="shared" ca="1" si="16"/>
        <v>0</v>
      </c>
      <c r="AM44" s="36">
        <f t="shared" ca="1" si="27"/>
        <v>0</v>
      </c>
      <c r="AN44" s="36">
        <f t="shared" ca="1" si="28"/>
        <v>0</v>
      </c>
      <c r="AO44" s="36">
        <f t="shared" ca="1" si="17"/>
        <v>0</v>
      </c>
      <c r="AP44" s="36">
        <f t="shared" ca="1" si="18"/>
        <v>0</v>
      </c>
      <c r="AQ44" s="36">
        <f t="shared" ca="1" si="19"/>
        <v>0</v>
      </c>
      <c r="AR44" s="36">
        <f t="shared" ca="1" si="20"/>
        <v>4441.666666666667</v>
      </c>
      <c r="AS44" s="36">
        <f t="shared" ca="1" si="29"/>
        <v>0</v>
      </c>
      <c r="AT44" s="36">
        <f t="shared" ca="1" si="21"/>
        <v>4441.666666666667</v>
      </c>
      <c r="AU44" s="36" cm="1">
        <f t="array" aca="1" ref="AU44" ca="1">IF($I44&lt;$H$2,IF(AND($N44&lt;&gt;"-",$N44&lt;$H$2),0,SUMIFS(TransHCost,TransAsset,$A44,TransIDDate,$J44)-SUMIFS(TransPCAccDep,TransAsset,$A44)-SUMIFS(TransImpair,TransAsset,$A44,TransIDDate,"&lt;"&amp;$H$2,TransType,"REV")),0)</f>
        <v>0</v>
      </c>
      <c r="AV44" s="36">
        <f t="shared" ca="1" si="30"/>
        <v>248525</v>
      </c>
      <c r="AW44" s="36">
        <f t="shared" ca="1" si="22"/>
        <v>248525</v>
      </c>
      <c r="AX44" s="36" cm="1">
        <f t="array" aca="1" ref="AX44" ca="1">$AW44-IF($I44&lt;$J$2,IF(AND($N44&lt;&gt;"-",$N44&lt;$J$2),0,SUMIFS(TransHCost,TransAsset,$A44,TransIDDate,$J44)-SUMIFS(TransPMAccDep,TransAsset,$A44)-SUMIFS(TransImpair,TransAsset,$A44,TransIDDate,"&lt;"&amp;$J$2,TransType,"REV")),0)</f>
        <v>-4441.666666666657</v>
      </c>
      <c r="AY44" s="36">
        <f ca="1">IF(ISNA(MATCH($F44,TaxCode,0))=TRUE,$S44*($U44&gt;0),MAX(($S44*($U44&gt;0))-(($S44-SUMIFS(TransCRes,TransAsset,$A44,TransIDDate,$L44))*(IF($U44&lt;=11,0,MIN(SUM(OFFSET('Set-up'!$D$37,MATCH($F44,TaxCode,0),0,1,MATCH($U44,TaxCumMonth,1)))+MAX(TRUNC(($U44-60)/12)*SUM(OFFSET('Set-up'!$H$37,MATCH($F44,TaxCode,0),0,1,1)),0%),100%))))-(($S44-SUMIFS(TransCRes,TransAsset,$A44,TransIDDate,$L44))*OFFSET('Set-up'!$D$37,MATCH($F44,TaxCode,0),MATCH($U44,TaxCurMonth,1)-1,1,1)*IF(AND($U44-(TRUNC($U44/12)*12)&lt;&gt;0,OFFSET('Set-up'!$J$37,MATCH($F44,TaxCode,0),0,1,1)=0),1,(($U44-(TRUNC($U44/12)*12))/12))),SUMIFS(TransCRes,TransAsset,$A44,TransIDDate,$L44)))</f>
        <v>0</v>
      </c>
      <c r="AZ44" s="36">
        <f t="shared" ca="1" si="31"/>
        <v>248525</v>
      </c>
      <c r="BA44" s="36">
        <f ca="1">IF(ISNA(MATCH($F44,TaxCode,0))=TRUE,$S44*($V44&gt;0),MAX(($S44*($V44&gt;0))-(($S44-$R44)*(IF($V44&lt;=11,0,MIN(SUM(OFFSET('Set-up'!$D$37,MATCH($F44,TaxCode,0),0,1,MATCH($V44,TaxCumMonth,1)))+MAX(TRUNC(($V44-60)/12)*SUM(OFFSET('Set-up'!$H$37,MATCH($F44,TaxCode,0),0,1,1)),0%),100%))))-(($S44-$R44)*OFFSET('Set-up'!$D$37,MATCH($F44,TaxCode,0),MATCH($V44,TaxCurMonth,1)-1,1,1)*IF(AND($V44-(TRUNC($V44/12)*12)&lt;&gt;0,OFFSET('Set-up'!$J$37,MATCH($F44,TaxCode,0),0,1,1)=0),1,(($V44-(TRUNC($V44/12)*12))/12))),$R44*($V44&gt;0)))</f>
        <v>248525</v>
      </c>
      <c r="BB44" s="36">
        <f ca="1">$BA44-IF(ISNA(MATCH($F44,TaxCode,0))=TRUE,$S44*($W44&gt;0),MAX(($S44*($W44&gt;0))-(($S44-SUMIFS(TransCRes,TransAsset,$A44,TransIDDate,$M44))*(IF($W44&lt;=11,0,MIN(SUM(OFFSET('Set-up'!$D$37,MATCH($F44,TaxCode,0),0,1,MATCH($W44,TaxCumMonth,1)))+MAX(TRUNC(($W44-60)/12)*SUM(OFFSET('Set-up'!$H$37,MATCH($F44,TaxCode,0),0,1,1)),0%),100%))))-(($S44-SUMIFS(TransCRes,TransAsset,$A44,TransIDDate,$M44))*OFFSET('Set-up'!$D$37,MATCH($F44,TaxCode,0),MATCH($W44,TaxCurMonth,1)-1,1,1)*IF(AND($W44-(TRUNC($W44/12)*12)&lt;&gt;0,OFFSET('Set-up'!$J$37,MATCH($F44,TaxCode,0),0,1,1)=0),1,(($W44-(TRUNC($W44/12)*12))/12))),SUMIFS(TransCRes,TransAsset,$A44,TransIDDate,$M44)*($W44&gt;0)))</f>
        <v>-4441.6666666666861</v>
      </c>
      <c r="BC44" s="36">
        <f ca="1">IF(ISNUMBER('Set-up'!$C$9)=FALSE,0,IF($F44="J",0,ROUND(($AU44-$AY44)*'Set-up'!$C$9,2)))</f>
        <v>0</v>
      </c>
      <c r="BD44" s="36">
        <f t="shared" ca="1" si="32"/>
        <v>0</v>
      </c>
      <c r="BE44" s="36">
        <f ca="1">IF(ISNUMBER('Set-up'!$C$9)=FALSE,0,IF($F44="J",0,ROUND(($AW44-$BA44)*'Set-up'!$C$9,2)))</f>
        <v>0</v>
      </c>
      <c r="BF44" s="36">
        <f ca="1">IF(ISNUMBER('Set-up'!$C$9)=FALSE,0,IF($F44="J",0,ROUND(($AX44-$BB44)*'Set-up'!$C$9,2)))</f>
        <v>0</v>
      </c>
    </row>
  </sheetData>
  <mergeCells count="7">
    <mergeCell ref="BC3:BF3"/>
    <mergeCell ref="AY3:BB3"/>
    <mergeCell ref="X3:AC3"/>
    <mergeCell ref="AD3:AJ3"/>
    <mergeCell ref="AL3:AO3"/>
    <mergeCell ref="AR3:AT3"/>
    <mergeCell ref="AU3:AX3"/>
  </mergeCells>
  <conditionalFormatting sqref="A4">
    <cfRule type="expression" dxfId="123" priority="5" stopIfTrue="1">
      <formula>COUNTIF(AssetErrorCode,"E1")&gt;0</formula>
    </cfRule>
  </conditionalFormatting>
  <conditionalFormatting sqref="E4">
    <cfRule type="expression" dxfId="122" priority="4" stopIfTrue="1">
      <formula>COUNTIF(AssetErrorCode,"E2")&gt;0</formula>
    </cfRule>
  </conditionalFormatting>
  <conditionalFormatting sqref="E2:F2">
    <cfRule type="expression" dxfId="121" priority="3" stopIfTrue="1">
      <formula>ISBLANK($E$2)=TRUE</formula>
    </cfRule>
  </conditionalFormatting>
  <conditionalFormatting sqref="I4">
    <cfRule type="expression" dxfId="120" priority="2" stopIfTrue="1">
      <formula>COUNTIF(AssetErrorCode,"E10")&gt;0</formula>
    </cfRule>
  </conditionalFormatting>
  <conditionalFormatting sqref="F4">
    <cfRule type="expression" dxfId="119" priority="1" stopIfTrue="1">
      <formula>COUNTIF(AssetErrorCode,"E11")&gt;0</formula>
    </cfRule>
  </conditionalFormatting>
  <dataValidations count="4">
    <dataValidation type="date" operator="greaterThan" allowBlank="1" showInputMessage="1" showErrorMessage="1" errorTitle="Invalid Date" error="Enter a valid date in accordance with the regional date settings that are specified in the System Control Panel." sqref="E2:G2" xr:uid="{00000000-0002-0000-0500-000000000000}">
      <formula1>18264</formula1>
    </dataValidation>
    <dataValidation type="list" allowBlank="1" showInputMessage="1" showErrorMessage="1" errorTitle="Invalid Data" error="Select a valid category code from the list box." sqref="E5:E44" xr:uid="{00000000-0002-0000-0500-000001000000}">
      <formula1>CatCode</formula1>
    </dataValidation>
    <dataValidation type="list" allowBlank="1" showInputMessage="1" showErrorMessage="1" errorTitle="Invalid Data" error="Select a valid asset type from the list box." sqref="D5:D44" xr:uid="{00000000-0002-0000-0500-000002000000}">
      <formula1>"Owned,Leased"</formula1>
    </dataValidation>
    <dataValidation type="list" allowBlank="1" showInputMessage="1" showErrorMessage="1" errorTitle="Invalid Data" error="Select a valid tax code from the list box." sqref="F5:F44" xr:uid="{00000000-0002-0000-0500-000003000000}">
      <formula1>TaxCode</formula1>
    </dataValidation>
  </dataValidations>
  <pageMargins left="0.55118110236220474" right="0.55118110236220474" top="0.59055118110236227" bottom="0.59055118110236227" header="0.39370078740157483" footer="0.39370078740157483"/>
  <pageSetup paperSize="9" scale="42" fitToWidth="0" fitToHeight="0" orientation="landscape" r:id="rId1"/>
  <headerFooter>
    <oddFooter>&amp;C&amp;9Page &amp;P of &amp;N</oddFooter>
  </headerFooter>
  <colBreaks count="4" manualBreakCount="4">
    <brk id="18" max="1048575" man="1"/>
    <brk id="29" max="1048575" man="1"/>
    <brk id="41" max="1048575" man="1"/>
    <brk id="50" max="1048575" man="1"/>
  </colBreaks>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AU82"/>
  <sheetViews>
    <sheetView zoomScale="95" zoomScaleNormal="95" workbookViewId="0">
      <pane xSplit="3" ySplit="4" topLeftCell="D5" activePane="bottomRight" state="frozen"/>
      <selection pane="topRight" activeCell="D1" sqref="D1"/>
      <selection pane="bottomLeft" activeCell="A5" sqref="A5"/>
      <selection pane="bottomRight" activeCell="A4" sqref="A4"/>
    </sheetView>
  </sheetViews>
  <sheetFormatPr defaultColWidth="9.08984375" defaultRowHeight="16" customHeight="1" x14ac:dyDescent="0.25"/>
  <cols>
    <col min="1" max="1" width="12.6328125" style="33" customWidth="1"/>
    <col min="2" max="2" width="12.6328125" style="4" customWidth="1"/>
    <col min="3" max="3" width="12.81640625" style="8" customWidth="1"/>
    <col min="4" max="4" width="20.6328125" style="3" customWidth="1"/>
    <col min="5" max="5" width="15.6328125" style="3" customWidth="1"/>
    <col min="6" max="6" width="14.6328125" style="28" customWidth="1"/>
    <col min="7" max="7" width="12.6328125" style="28" customWidth="1"/>
    <col min="8" max="9" width="13.6328125" style="28" customWidth="1"/>
    <col min="10" max="10" width="8.6328125" style="59" customWidth="1"/>
    <col min="11" max="11" width="11.6328125" style="60" customWidth="1"/>
    <col min="12" max="17" width="12.6328125" style="61" customWidth="1"/>
    <col min="18" max="18" width="12.6328125" style="60" customWidth="1"/>
    <col min="19" max="19" width="14.6328125" style="61" customWidth="1"/>
    <col min="20" max="20" width="15.6328125" style="60" customWidth="1"/>
    <col min="21" max="22" width="14.6328125" style="60" customWidth="1"/>
    <col min="23" max="24" width="15.6328125" style="28" customWidth="1"/>
    <col min="25" max="42" width="14.6328125" style="28" customWidth="1"/>
    <col min="43" max="43" width="14.6328125" style="60" customWidth="1"/>
    <col min="44" max="47" width="14.6328125" style="28" customWidth="1"/>
    <col min="48" max="52" width="14.6328125" style="3" customWidth="1"/>
    <col min="53" max="16384" width="9.08984375" style="3"/>
  </cols>
  <sheetData>
    <row r="1" spans="1:47" ht="16" customHeight="1" x14ac:dyDescent="0.3">
      <c r="A1" s="58" t="str">
        <f>'Set-up'!$C$5</f>
        <v>Example (Pty) Ltd</v>
      </c>
    </row>
    <row r="2" spans="1:47" ht="16" customHeight="1" x14ac:dyDescent="0.25">
      <c r="A2" s="75" t="s">
        <v>80</v>
      </c>
    </row>
    <row r="3" spans="1:47" s="65" customFormat="1" ht="16" customHeight="1" x14ac:dyDescent="0.25">
      <c r="A3" s="62" t="s">
        <v>363</v>
      </c>
      <c r="B3" s="63"/>
      <c r="C3" s="64"/>
      <c r="F3" s="66"/>
      <c r="G3" s="66"/>
      <c r="H3" s="66"/>
      <c r="I3" s="66"/>
      <c r="J3" s="67"/>
      <c r="K3" s="66"/>
      <c r="L3" s="68"/>
      <c r="M3" s="68"/>
      <c r="N3" s="68"/>
      <c r="O3" s="68"/>
      <c r="P3" s="68"/>
      <c r="Q3" s="68"/>
      <c r="R3" s="66"/>
      <c r="S3" s="68"/>
      <c r="T3" s="66"/>
      <c r="U3" s="66"/>
      <c r="V3" s="66"/>
      <c r="W3" s="66"/>
      <c r="X3" s="66"/>
      <c r="Y3" s="66"/>
      <c r="Z3" s="66"/>
      <c r="AA3" s="66"/>
      <c r="AB3" s="66"/>
      <c r="AC3" s="66"/>
      <c r="AD3" s="66"/>
      <c r="AE3" s="66"/>
      <c r="AF3" s="66"/>
      <c r="AG3" s="66"/>
      <c r="AH3" s="66"/>
      <c r="AI3" s="66"/>
      <c r="AJ3" s="66"/>
      <c r="AK3" s="66" cm="1">
        <f t="array" aca="1" ref="AK3" ca="1">SUBTOTAL(109,OFFSET(AK$4,1,0,TransCount,1))</f>
        <v>399819.6166666667</v>
      </c>
      <c r="AL3" s="66"/>
      <c r="AM3" s="66" cm="1">
        <f t="array" aca="1" ref="AM3" ca="1">SUBTOTAL(109,OFFSET(AM$4,1,0,TransCount,1))</f>
        <v>391165.11666666664</v>
      </c>
      <c r="AN3" s="66"/>
      <c r="AO3" s="66"/>
      <c r="AP3" s="66"/>
      <c r="AQ3" s="66" cm="1">
        <f t="array" aca="1" ref="AQ3" ca="1">SUBTOTAL(109,OFFSET(AQ$4,1,0,TransCount,1))</f>
        <v>32537.177777777782</v>
      </c>
      <c r="AR3" s="69"/>
      <c r="AS3" s="66"/>
      <c r="AT3" s="66" cm="1">
        <f t="array" aca="1" ref="AT3" ca="1">SUBTOTAL(109,OFFSET(AT$4,1,0,TransCount,1))</f>
        <v>31728.191666666662</v>
      </c>
      <c r="AU3" s="69"/>
    </row>
    <row r="4" spans="1:47" s="57" customFormat="1" ht="25" x14ac:dyDescent="0.25">
      <c r="A4" s="105" t="s">
        <v>81</v>
      </c>
      <c r="B4" s="70" t="s">
        <v>82</v>
      </c>
      <c r="C4" s="70" t="s">
        <v>18</v>
      </c>
      <c r="D4" s="71" t="s">
        <v>4</v>
      </c>
      <c r="E4" s="71" t="s">
        <v>83</v>
      </c>
      <c r="F4" s="72" t="s">
        <v>84</v>
      </c>
      <c r="G4" s="72" t="s">
        <v>87</v>
      </c>
      <c r="H4" s="72" t="s">
        <v>93</v>
      </c>
      <c r="I4" s="72" t="s">
        <v>94</v>
      </c>
      <c r="J4" s="73" t="s">
        <v>11</v>
      </c>
      <c r="K4" s="73" t="s">
        <v>21</v>
      </c>
      <c r="L4" s="74" t="s">
        <v>88</v>
      </c>
      <c r="M4" s="73" t="s">
        <v>129</v>
      </c>
      <c r="N4" s="73" t="s">
        <v>132</v>
      </c>
      <c r="O4" s="73" t="s">
        <v>137</v>
      </c>
      <c r="P4" s="73" t="s">
        <v>131</v>
      </c>
      <c r="Q4" s="73" t="s">
        <v>130</v>
      </c>
      <c r="R4" s="73" t="s">
        <v>133</v>
      </c>
      <c r="S4" s="73" t="s">
        <v>124</v>
      </c>
      <c r="T4" s="73" t="s">
        <v>103</v>
      </c>
      <c r="U4" s="73" t="s">
        <v>189</v>
      </c>
      <c r="V4" s="73" t="s">
        <v>190</v>
      </c>
      <c r="W4" s="74" t="s">
        <v>95</v>
      </c>
      <c r="X4" s="74" t="s">
        <v>96</v>
      </c>
      <c r="Y4" s="74" t="s">
        <v>89</v>
      </c>
      <c r="Z4" s="74" t="s">
        <v>97</v>
      </c>
      <c r="AA4" s="74" t="s">
        <v>126</v>
      </c>
      <c r="AB4" s="74" t="s">
        <v>101</v>
      </c>
      <c r="AC4" s="74" t="s">
        <v>102</v>
      </c>
      <c r="AD4" s="74" t="s">
        <v>187</v>
      </c>
      <c r="AE4" s="74" t="s">
        <v>100</v>
      </c>
      <c r="AF4" s="74" t="s">
        <v>98</v>
      </c>
      <c r="AG4" s="74" t="s">
        <v>104</v>
      </c>
      <c r="AH4" s="74" t="s">
        <v>105</v>
      </c>
      <c r="AI4" s="74" t="s">
        <v>99</v>
      </c>
      <c r="AJ4" s="74" t="s">
        <v>109</v>
      </c>
      <c r="AK4" s="74" t="s">
        <v>134</v>
      </c>
      <c r="AL4" s="74" t="s">
        <v>139</v>
      </c>
      <c r="AM4" s="74" t="s">
        <v>135</v>
      </c>
      <c r="AN4" s="74" t="s">
        <v>186</v>
      </c>
      <c r="AO4" s="74" t="s">
        <v>140</v>
      </c>
      <c r="AP4" s="74" t="s">
        <v>136</v>
      </c>
      <c r="AQ4" s="74" t="s">
        <v>142</v>
      </c>
      <c r="AR4" s="74" t="s">
        <v>144</v>
      </c>
      <c r="AS4" s="74" t="s">
        <v>143</v>
      </c>
      <c r="AT4" s="74" t="s">
        <v>145</v>
      </c>
      <c r="AU4" s="74" t="s">
        <v>146</v>
      </c>
    </row>
    <row r="5" spans="1:47" ht="16" customHeight="1" x14ac:dyDescent="0.25">
      <c r="A5" s="33">
        <v>42205</v>
      </c>
      <c r="B5" s="4" t="s">
        <v>79</v>
      </c>
      <c r="C5" s="8" t="s">
        <v>319</v>
      </c>
      <c r="D5" s="3" t="s">
        <v>274</v>
      </c>
      <c r="E5" s="3" t="s">
        <v>275</v>
      </c>
      <c r="F5" s="28">
        <v>8200</v>
      </c>
      <c r="G5" s="28">
        <v>3</v>
      </c>
      <c r="H5" s="28">
        <v>0</v>
      </c>
      <c r="I5" s="28">
        <v>0</v>
      </c>
      <c r="J5" s="59" t="str" cm="1">
        <f t="array" aca="1" ref="J5" ca="1">IF(ISNA(VLOOKUP($C5,AssetCode,1,0))=TRUE,"E3",IF(OR(ISBLANK($B5)=TRUE,SUMPRODUCT((TransAsset=$C5)*(TransIDDate&lt;$L5)*(TransType="DIS")*(1))&gt;0),"E4",IF(SUMPRODUCT((TransAsset=$C5)*(TransType="ACQ")*(1))&gt;1,"E5",IF(OR($F5&lt;0,AND(TransType="DIS",$F5&lt;&gt;0)=TRUE),"E6",IF(OR(AND($G5&lt;0,TransType&lt;&gt;"DIS")=TRUE,AND(TransType="DIS",$G5&lt;&gt;0)=TRUE),"E7",IF(OR($H5&lt;0,AND(TransType="DIS",$H5&lt;&gt;0)=TRUE,$H5&gt;$F5),"E8",IF($I5&lt;0,"E9","-")))))))</f>
        <v>-</v>
      </c>
      <c r="K5" s="60" t="str">
        <f>IF(ISNA(VLOOKUP($C5,AssetAll,COLUMN(Assets!$E$4),0))=TRUE,"add!",VLOOKUP($C5,AssetAll,COLUMN(Assets!$E$4),0))</f>
        <v>CHW01</v>
      </c>
      <c r="L5" s="61">
        <f t="shared" ref="L5:L36" ca="1" si="0">IF(OR(ISBLANK($A5)=TRUE,ISNUMBER($A5)=FALSE),TODAY()+(ROW($A5)/86400),$A5+(ROW($A5)/86400))</f>
        <v>42205.000057870369</v>
      </c>
      <c r="M5" s="61">
        <f t="array" aca="1" ref="M5" ca="1">IF(ISBLANK($C5)=TRUE,0,LARGE(IF(TransAsset=$C5,IF(TransIDDate&lt;$L5,TransIDDate,0),0),1))</f>
        <v>0</v>
      </c>
      <c r="N5" s="61">
        <f t="array" aca="1" ref="N5" ca="1">IF(ISBLANK($C5)=TRUE,0,SMALL(IF(TransAsset=$C5,IF(TransIDDate&gt;$L5,TransIDDate,(Assets!$I$2+1)),(Assets!$I$2+1)),1))</f>
        <v>43891.000474537039</v>
      </c>
      <c r="O5" s="61">
        <f t="shared" ref="O5:O36" ca="1" si="1">DATE(YEAR($L5),MONTH($L5)+(U5*12),0)</f>
        <v>43281</v>
      </c>
      <c r="P5" s="61">
        <f ca="1">IF(OR($N5&lt;Assets!$H$2,$O5&lt;Assets!$H$2,$L5&gt;(Assets!$I$2+1)),0,IF($B5="DIS",IF($L5&lt;Assets!$H$2,0,IF($L5&lt;(Assets!$I$2+1),DATE(YEAR($L5),MONTH($L5),0),Assets!$H$2)),IF($L5&lt;Assets!$H$2,Assets!$H$2,DATE(YEAR($L5),MONTH($L5),1))))</f>
        <v>0</v>
      </c>
      <c r="Q5" s="61">
        <f ca="1">IF($P5=0,0,IF($B5="DIS",IF($L5&gt;(Assets!$I$2+1),MIN(Assets!$I$2,$O5),MIN($L5,$O5)),IF($N5&lt;(Assets!$I$2+1),MIN(IF(DATE(YEAR($N5),MONTH($N5),0)&lt;$P5,$P5,DATE(YEAR($N5),MONTH($N5),0)),$O5),MIN(Assets!$I$2,$O5))))</f>
        <v>0</v>
      </c>
      <c r="R5" s="60">
        <f t="shared" ref="R5:R36" ca="1" si="2">IF($P5=0,0,IF($Q5=$P5,0,((YEAR($Q5)*12)+MONTH($Q5))-((YEAR($P5)*12)+MONTH($P5)-1)))</f>
        <v>0</v>
      </c>
      <c r="S5" s="60">
        <f t="shared" ref="S5:S36" si="3">IF(ISBLANK($B5)=FALSE,IF(ISNUMBER($F5)=TRUE,$F5,0),0)</f>
        <v>8200</v>
      </c>
      <c r="T5" s="60" cm="1">
        <f t="array" ref="T5">IF(ISBLANK($B5)=FALSE,SUMIFS(TransAmount,TransAsset,$C5,TransType,"ACQ"),0)</f>
        <v>8200</v>
      </c>
      <c r="U5" s="60">
        <f t="shared" ref="U5:U36" si="4">IF(ISBLANK($B5)=FALSE,IF(ISNUMBER($G5)=TRUE,$G5,0),0)</f>
        <v>3</v>
      </c>
      <c r="V5" s="60">
        <f t="shared" ref="V5:V36" si="5">IF(ISBLANK($B5)=FALSE,IF(ISNUMBER($H5)=TRUE,$H5,0),0)</f>
        <v>0</v>
      </c>
      <c r="W5" s="28">
        <f t="shared" ref="W5:W36" ca="1" si="6">IF($M5=0,0,OFFSET($L$4,MATCH($M5,TransIDDate,0),COLUMN($S$4)-COLUMN($L$4),1,1))</f>
        <v>0</v>
      </c>
      <c r="X5" s="28">
        <f t="shared" ref="X5:X36" ca="1" si="7">IF($M5=0,0,OFFSET($L$4,MATCH($M5,TransIDDate,0),COLUMN($V$4)-COLUMN($L$4),1,1))</f>
        <v>0</v>
      </c>
      <c r="Y5" s="28">
        <f t="shared" ref="Y5:Y36" ca="1" si="8">IF($M5=0,0,OFFSET($L$4,MATCH($M5,TransIDDate,0),COLUMN($U$4)-COLUMN($L$4),1,1))</f>
        <v>0</v>
      </c>
      <c r="Z5" s="28">
        <f t="shared" ref="Z5:Z36" ca="1" si="9">IF($M5=0,0,IF($Y5=0,0,IF(($W5-$X5)/($Y5*12)*(((YEAR($A5)*12)+MONTH($A5))-((YEAR($M5)*12)+MONTH($M5)))&gt;($W5-$X5),$W5-$X5,($W5-$X5)/($Y5*12)*(((YEAR($A5)*12)+MONTH($A5))-((YEAR($M5)*12)+MONTH($M5))))))</f>
        <v>0</v>
      </c>
      <c r="AA5" s="28">
        <f t="shared" ref="AA5:AA36" ca="1" si="10">W5-Z5</f>
        <v>0</v>
      </c>
      <c r="AB5" s="28" cm="1">
        <f t="array" aca="1" ref="AB5" ca="1">IF(SUMIFS(TransTDCost,TransAsset,$C5,TransDate,"&lt;="&amp;$L5)&gt;($T5-$X5),($T5-$X5),SUMIFS(TransTDCost,TransAsset,$C5,TransDate,"&lt;="&amp;$L5))</f>
        <v>0</v>
      </c>
      <c r="AC5" s="28">
        <f t="shared" ref="AC5:AC36" ca="1" si="11">SUMIFS(TransCAccDep,TransAsset,$C5,TransDate,"&lt;="&amp;$L5)-AB5</f>
        <v>0</v>
      </c>
      <c r="AD5" s="28">
        <f t="array" aca="1" ref="AD5" ca="1">IF($L5=LARGE(IF(TransAsset=$C5,IF(TransIDDate&lt;Assets!$H$2,TransIDDate,0),0),1),IF($B5="DIS",$AC5,SUMIFS(TransCAccDep,TransAsset,$C5,TransDate,"&lt;="&amp;$L5)+IF($U5=0,0,MIN(($S5-$V5)/($U5*12)*(((YEAR(Assets!$H$2)*12)+MONTH(Assets!$H$2)-1)-((YEAR($L5)*12)+MONTH($L5)-1)),$S5-$V5))),0)-$AO5</f>
        <v>0</v>
      </c>
      <c r="AE5" s="28">
        <f t="shared" ref="AE5:AE36" ca="1" si="12">SUMIFS(TransRSurplus,TransAsset,$C5,TransDate,"&lt;"&amp;$M5)-AC5</f>
        <v>0</v>
      </c>
      <c r="AF5" s="28">
        <f t="shared" ref="AF5:AF36" ca="1" si="13">IF($B5="REV",IF($S5&gt;=$AA5,IF($AH5&gt;0,IF($S5-$AA5-$AH5&lt;0,0,$S5-$AA5-$AH5),$S5-$AA5),IF($S5-$AA5+$AE5&lt;0,-$AE5,$F5-$AA5)),-$AE5)</f>
        <v>0</v>
      </c>
      <c r="AG5" s="28">
        <f t="shared" ref="AG5:AG36" ca="1" si="14">SUM(AE5:AF5)</f>
        <v>0</v>
      </c>
      <c r="AH5" s="28">
        <f t="shared" ref="AH5:AH36" ca="1" si="15">SUMIFS(TransImpair,TransAsset,$C5,TransDate,"&lt;"&amp;$M5)</f>
        <v>0</v>
      </c>
      <c r="AI5" s="28" cm="1">
        <f t="array" ref="AI5">IF($B5="REV",IF($S5-$AA5+$AE5&gt;0,IF(SUMIFS(TransImpair,TransAsset,$C5,TransDate,"&lt;"&amp;$M5)&gt;0,IF(SUMIFS(TransImpair,TransAsset,$C5,TransDate,"&lt;"&amp;$M5)&gt;$S5-$AA5+$AE5,-($S5-$AA5+$AE5),-SUMIFS(TransImpair,TransAsset,$C5,TransDate,"&lt;"&amp;$M5)),0),-($S5-$AA5+$AE5)),0)</f>
        <v>0</v>
      </c>
      <c r="AJ5" s="28">
        <f t="shared" ref="AJ5:AJ36" si="16">IF($B5="DIS",IF(ISNUMBER($I5)=FALSE,-($W5-$Z5)+$AE5,$I5-($W5-$Z5)+$AE5),0)</f>
        <v>0</v>
      </c>
      <c r="AK5" s="28">
        <f t="shared" ref="AK5:AK36" ca="1" si="17">IF($B5="DIS",IF($Y5=0,0,($W5-$X5)/($Y5*12)*$R5),IF($U5=0,0,($S5-$V5)/($U5*12)*$R5))</f>
        <v>0</v>
      </c>
      <c r="AL5" s="28">
        <f t="shared" ref="AL5:AL36" ca="1" si="18">IF($B5="DIS",IF($W5&lt;$T5,IF($Y5=0,0,($W5-$X5)/($Y5*12)*$R5),IF($Y5=0,0,($T5-$X5)/($Y5*12)*$R5)),IF($S5&lt;$T5,IF($U5=0,0,($S5-$V5)/($U5*12)*$R5),IF($U5=0,0,($T5-$V5)/($U5*12)*$R5)))</f>
        <v>0</v>
      </c>
      <c r="AM5" s="28" cm="1">
        <f t="array" aca="1" ref="AM5" ca="1">IF($AN5&gt;($T5-$V5),($T5-$V5)-SUMIFS(TransPCAccDep,TransAsset,$C5,TransDate,"&lt;="&amp;$L5),$AL5)</f>
        <v>0</v>
      </c>
      <c r="AN5" s="28" cm="1">
        <f t="array" aca="1" ref="AN5" ca="1">IF($AL5=0,0,SUMIFS(TransCCYDep2,TransAsset,$C5,TransDate,"&lt;="&amp;$L5)+SUMIFS(TransPCAccDep,TransAsset,$C5,TransDate,"&lt;="&amp;$L5))</f>
        <v>0</v>
      </c>
      <c r="AO5" s="28">
        <f t="array" aca="1" ref="AO5" ca="1">IF($L5=LARGE(IF(TransAsset=$C5,IF(TransIDDate&lt;Assets!$H$2,TransIDDate,0),0),1),IF($B5="DIS",0,MIN(SUMIFS(TransTDCost,TransAsset,$C5,TransDate,"&lt;="&amp;$L5)+IF($U5=0,0,MIN(($S5-$V5)/($U5*12)*(((YEAR(Assets!$H$2)*12)+MONTH(Assets!$H$2)-1)-((YEAR($L5)*12)+MONTH($L5)-1)),$S5-$V5)),SUMIFS(TransTDCost,TransAsset,$C5,TransDate,"&lt;="&amp;$L5)+IF($U5=0,0,MIN(($T5-$V5)/($U5*12)*(((YEAR(Assets!$H$2)*12)+MONTH(Assets!$H$2)-1)-((YEAR($L5)*12)+MONTH($L5)-1)),$T5-$V5)),$T5-$V5)),0)</f>
        <v>8200</v>
      </c>
      <c r="AP5" s="28">
        <f t="shared" ref="AP5:AP36" ca="1" si="19">IF($M5=0,0,IF($W5&lt;$T5,IF($Y5=0,0,IF(($W5-$X5)/($Y5*12)*(((YEAR($A5)*12)+MONTH($A5))-((YEAR($M5)*12)+MONTH($M5)))&gt;($W5-$X5),$W5-$X5,($W5-$X5)/($Y5*12)*(((YEAR($A5)*12)+MONTH($A5))-((YEAR($M5)*12)+MONTH($M5))))),IF($Y5=0,0,IF(($T5-$X5)/($Y5*12)*(((YEAR($A5)*12)+MONTH($A5))-((YEAR($M5)*12)+MONTH($M5)))&gt;($T5-$X5),$T5-$X5,($T5-$X5)/($Y5*12)*(((YEAR($A5)*12)+MONTH($A5))-((YEAR($M5)*12)+MONTH($M5)))))))</f>
        <v>0</v>
      </c>
      <c r="AQ5" s="60">
        <f ca="1">IF(SUMPRODUCT((TransAsset=$C5)*(TransType="DIS")*(TransIDDate&lt;(Assets!$I$2+1))*(1))&gt;0,0,IF(AND($AR5=0,DATE(YEAR($L5),MONTH($L5),1)&lt;&gt;DATE(YEAR(Assets!$J$2),MONTH(Assets!$J$2),1)),0,IF(DATE(YEAR($Q5),MONTH($Q5),1)&lt;&gt;DATE(YEAR(Assets!$I$2),MONTH(Assets!$I$2),1),0,IF($AR5=$S5-$V5,0,IF($U5=0,0,MIN(($S5-$V5)/($U5*12),($S5-$V5)-$AR5))))))</f>
        <v>0</v>
      </c>
      <c r="AR5" s="60">
        <f t="array" aca="1" ref="AR5" ca="1">IF($L5=LARGE(IF(TransAsset=$C5,IF(TransIDDate&lt;Assets!$J$2,TransIDDate,0),0),1),IF($B5="DIS",0,MIN(IF($U5=0,0,(($S5-$V5)/($U5*12)*(((YEAR(Assets!$J$2)*12)+MONTH(Assets!$J$2)-1)-((YEAR($L5)*12)+MONTH($L5)-1)))),($S5-$V5))),0)</f>
        <v>0</v>
      </c>
      <c r="AS5" s="60">
        <f t="shared" ref="AS5:AS36" si="20">IF($B5="DIS",IF($W5&lt;$T5,IF($Y5=0,0,($W5-$X5)/($Y5*12)),IF($Y5=0,0,($T5-$X5)/($Y5*12))),IF($S5&lt;$T5,IF($U5=0,0,($S5-$V5)/($U5*12)),IF($U5=0,0,($T5-$V5)/($U5*12))))</f>
        <v>227.77777777777777</v>
      </c>
      <c r="AT5" s="28" cm="1">
        <f t="array" aca="1" ref="AT5" ca="1">IF(SUMPRODUCT((TransAsset=$C5)*(TransType="DIS")*(TransIDDate&lt;(Assets!$I$2+1))*(1))&gt;0,0,IF(AND($AU5=0,DATE(YEAR($L5),MONTH($L5),1)&lt;&gt;DATE(YEAR(Assets!$J$2),MONTH(Assets!$J$2),1)),0,IF(DATE(YEAR($Q5),MONTH($Q5),1)&lt;&gt;DATE(YEAR(Assets!$I$2),MONTH(Assets!$I$2),1),0,IF(SUMIFS(TransPMAccDep,TransAsset,$C5)&gt;=($T5-$V5),($T5-$V5)-SUMIFS(TransPMAccDep,TransAsset,$C5),IF($U5=0,0,IF($S5&lt;$T5,MIN(($S5-$V5)/($U5*12),($T5-$V5)-$AU5),MIN(($T5-$V5)/($U5*12),($T5-$V5)-$AU5)))))))</f>
        <v>0</v>
      </c>
      <c r="AU5" s="28">
        <f t="array" aca="1" ref="AU5" ca="1">IF($L5=LARGE(IF(TransAsset=$C5,IF(TransIDDate&lt;Assets!$J$2,TransIDDate,0),0),1),IF($B5="DIS",0,MIN(SUMIFS(TransTDCost,TransAsset,$C5,TransDate,"&lt;="&amp;$L5)+IF($U5=0,0,MIN(($S5-$V5)/($U5*12)*(((YEAR(Assets!$J$2)*12)+MONTH(Assets!$J$2)-1)-((YEAR($L5)*12)+MONTH($L5)-1)),$S5-$V5)),SUMIFS(TransTDCost,TransAsset,$C5,TransDate,"&lt;="&amp;$L5)+IF($U5=0,0,MIN(($T5-$V5)/($U5*12)*(((YEAR(Assets!$J$2)*12)+MONTH(Assets!$J$2)-1)-((YEAR($L5)*12)+MONTH($L5)-1)),$T5-$V5)),$T5-$V5)),0)</f>
        <v>0</v>
      </c>
    </row>
    <row r="6" spans="1:47" ht="16" customHeight="1" x14ac:dyDescent="0.25">
      <c r="A6" s="33">
        <v>42205</v>
      </c>
      <c r="B6" s="4" t="s">
        <v>79</v>
      </c>
      <c r="C6" s="8" t="s">
        <v>320</v>
      </c>
      <c r="D6" s="3" t="s">
        <v>274</v>
      </c>
      <c r="E6" s="3" t="s">
        <v>275</v>
      </c>
      <c r="F6" s="28">
        <v>6600</v>
      </c>
      <c r="G6" s="28">
        <v>3</v>
      </c>
      <c r="H6" s="28">
        <v>0</v>
      </c>
      <c r="I6" s="28">
        <v>0</v>
      </c>
      <c r="J6" s="59" t="str" cm="1">
        <f t="array" aca="1" ref="J6" ca="1">IF(ISNA(VLOOKUP($C6,AssetCode,1,0))=TRUE,"E3",IF(OR(ISBLANK($B6)=TRUE,SUMPRODUCT((TransAsset=$C6)*(TransIDDate&lt;$L6)*(TransType="DIS")*(1))&gt;0),"E4",IF(SUMPRODUCT((TransAsset=$C6)*(TransType="ACQ")*(1))&gt;1,"E5",IF(OR($F6&lt;0,AND(TransType="DIS",$F6&lt;&gt;0)=TRUE),"E6",IF(OR(AND($G6&lt;0,TransType&lt;&gt;"DIS")=TRUE,AND(TransType="DIS",$G6&lt;&gt;0)=TRUE),"E7",IF(OR($H6&lt;0,AND(TransType="DIS",$H6&lt;&gt;0)=TRUE,$H6&gt;$F6),"E8",IF($I6&lt;0,"E9","-")))))))</f>
        <v>-</v>
      </c>
      <c r="K6" s="60" t="str">
        <f>IF(ISNA(VLOOKUP($C6,AssetAll,COLUMN(Assets!$E$4),0))=TRUE,"add!",VLOOKUP($C6,AssetAll,COLUMN(Assets!$E$4),0))</f>
        <v>CHW01</v>
      </c>
      <c r="L6" s="61">
        <f t="shared" ca="1" si="0"/>
        <v>42205.000069444446</v>
      </c>
      <c r="M6" s="61">
        <f t="array" aca="1" ref="M6" ca="1">IF(ISBLANK($C6)=TRUE,0,LARGE(IF(TransAsset=$C6,IF(TransIDDate&lt;$L6,TransIDDate,0),0),1))</f>
        <v>0</v>
      </c>
      <c r="N6" s="61">
        <f t="array" aca="1" ref="N6" ca="1">IF(ISBLANK($C6)=TRUE,0,SMALL(IF(TransAsset=$C6,IF(TransIDDate&gt;$L6,TransIDDate,(Assets!$I$2+1)),(Assets!$I$2+1)),1))</f>
        <v>43891.000486111108</v>
      </c>
      <c r="O6" s="61">
        <f t="shared" ca="1" si="1"/>
        <v>43281</v>
      </c>
      <c r="P6" s="61">
        <f ca="1">IF(OR($N6&lt;Assets!$H$2,$O6&lt;Assets!$H$2,$L6&gt;(Assets!$I$2+1)),0,IF($B6="DIS",IF($L6&lt;Assets!$H$2,0,IF($L6&lt;(Assets!$I$2+1),DATE(YEAR($L6),MONTH($L6),0),Assets!$H$2)),IF($L6&lt;Assets!$H$2,Assets!$H$2,DATE(YEAR($L6),MONTH($L6),1))))</f>
        <v>0</v>
      </c>
      <c r="Q6" s="61">
        <f ca="1">IF($P6=0,0,IF($B6="DIS",IF($L6&gt;(Assets!$I$2+1),MIN(Assets!$I$2,$O6),MIN($L6,$O6)),IF($N6&lt;(Assets!$I$2+1),MIN(IF(DATE(YEAR($N6),MONTH($N6),0)&lt;$P6,$P6,DATE(YEAR($N6),MONTH($N6),0)),$O6),MIN(Assets!$I$2,$O6))))</f>
        <v>0</v>
      </c>
      <c r="R6" s="60">
        <f t="shared" ca="1" si="2"/>
        <v>0</v>
      </c>
      <c r="S6" s="60">
        <f t="shared" si="3"/>
        <v>6600</v>
      </c>
      <c r="T6" s="60" cm="1">
        <f t="array" ref="T6">IF(ISBLANK($B6)=FALSE,SUMIFS(TransAmount,TransAsset,$C6,TransType,"ACQ"),0)</f>
        <v>6600</v>
      </c>
      <c r="U6" s="60">
        <f t="shared" si="4"/>
        <v>3</v>
      </c>
      <c r="V6" s="60">
        <f t="shared" si="5"/>
        <v>0</v>
      </c>
      <c r="W6" s="28">
        <f t="shared" ca="1" si="6"/>
        <v>0</v>
      </c>
      <c r="X6" s="28">
        <f t="shared" ca="1" si="7"/>
        <v>0</v>
      </c>
      <c r="Y6" s="28">
        <f t="shared" ca="1" si="8"/>
        <v>0</v>
      </c>
      <c r="Z6" s="28">
        <f t="shared" ca="1" si="9"/>
        <v>0</v>
      </c>
      <c r="AA6" s="28">
        <f t="shared" ca="1" si="10"/>
        <v>0</v>
      </c>
      <c r="AB6" s="28" cm="1">
        <f t="array" aca="1" ref="AB6" ca="1">IF(SUMIFS(TransTDCost,TransAsset,$C6,TransDate,"&lt;="&amp;$L6)&gt;($T6-$X6),($T6-$X6),SUMIFS(TransTDCost,TransAsset,$C6,TransDate,"&lt;="&amp;$L6))</f>
        <v>0</v>
      </c>
      <c r="AC6" s="28">
        <f t="shared" ca="1" si="11"/>
        <v>0</v>
      </c>
      <c r="AD6" s="28">
        <f t="array" aca="1" ref="AD6" ca="1">IF($L6=LARGE(IF(TransAsset=$C6,IF(TransIDDate&lt;Assets!$H$2,TransIDDate,0),0),1),IF($B6="DIS",$AC6,SUMIFS(TransCAccDep,TransAsset,$C6,TransDate,"&lt;="&amp;$L6)+IF($U6=0,0,MIN(($S6-$V6)/($U6*12)*(((YEAR(Assets!$H$2)*12)+MONTH(Assets!$H$2)-1)-((YEAR($L6)*12)+MONTH($L6)-1)),$S6-$V6))),0)-$AO6</f>
        <v>0</v>
      </c>
      <c r="AE6" s="28">
        <f t="shared" ca="1" si="12"/>
        <v>0</v>
      </c>
      <c r="AF6" s="28">
        <f t="shared" ca="1" si="13"/>
        <v>0</v>
      </c>
      <c r="AG6" s="28">
        <f t="shared" ca="1" si="14"/>
        <v>0</v>
      </c>
      <c r="AH6" s="28">
        <f t="shared" ca="1" si="15"/>
        <v>0</v>
      </c>
      <c r="AI6" s="28" cm="1">
        <f t="array" ref="AI6">IF($B6="REV",IF($S6-$AA6+$AE6&gt;0,IF(SUMIFS(TransImpair,TransAsset,$C6,TransDate,"&lt;"&amp;$M6)&gt;0,IF(SUMIFS(TransImpair,TransAsset,$C6,TransDate,"&lt;"&amp;$M6)&gt;$S6-$AA6+$AE6,-($S6-$AA6+$AE6),-SUMIFS(TransImpair,TransAsset,$C6,TransDate,"&lt;"&amp;$M6)),0),-($S6-$AA6+$AE6)),0)</f>
        <v>0</v>
      </c>
      <c r="AJ6" s="28">
        <f t="shared" si="16"/>
        <v>0</v>
      </c>
      <c r="AK6" s="28">
        <f t="shared" ca="1" si="17"/>
        <v>0</v>
      </c>
      <c r="AL6" s="28">
        <f t="shared" ca="1" si="18"/>
        <v>0</v>
      </c>
      <c r="AM6" s="28" cm="1">
        <f t="array" aca="1" ref="AM6" ca="1">IF($AN6&gt;($T6-$V6),($T6-$V6)-SUMIFS(TransPCAccDep,TransAsset,$C6,TransDate,"&lt;="&amp;$L6),$AL6)</f>
        <v>0</v>
      </c>
      <c r="AN6" s="28" cm="1">
        <f t="array" aca="1" ref="AN6" ca="1">IF($AL6=0,0,SUMIFS(TransCCYDep2,TransAsset,$C6,TransDate,"&lt;="&amp;$L6)+SUMIFS(TransPCAccDep,TransAsset,$C6,TransDate,"&lt;="&amp;$L6))</f>
        <v>0</v>
      </c>
      <c r="AO6" s="28">
        <f t="array" aca="1" ref="AO6" ca="1">IF($L6=LARGE(IF(TransAsset=$C6,IF(TransIDDate&lt;Assets!$H$2,TransIDDate,0),0),1),IF($B6="DIS",0,MIN(SUMIFS(TransTDCost,TransAsset,$C6,TransDate,"&lt;="&amp;$L6)+IF($U6=0,0,MIN(($S6-$V6)/($U6*12)*(((YEAR(Assets!$H$2)*12)+MONTH(Assets!$H$2)-1)-((YEAR($L6)*12)+MONTH($L6)-1)),$S6-$V6)),SUMIFS(TransTDCost,TransAsset,$C6,TransDate,"&lt;="&amp;$L6)+IF($U6=0,0,MIN(($T6-$V6)/($U6*12)*(((YEAR(Assets!$H$2)*12)+MONTH(Assets!$H$2)-1)-((YEAR($L6)*12)+MONTH($L6)-1)),$T6-$V6)),$T6-$V6)),0)</f>
        <v>6600</v>
      </c>
      <c r="AP6" s="28">
        <f t="shared" ca="1" si="19"/>
        <v>0</v>
      </c>
      <c r="AQ6" s="60">
        <f ca="1">IF(SUMPRODUCT((TransAsset=$C6)*(TransType="DIS")*(TransIDDate&lt;(Assets!$I$2+1))*(1))&gt;0,0,IF(AND($AR6=0,DATE(YEAR($L6),MONTH($L6),1)&lt;&gt;DATE(YEAR(Assets!$J$2),MONTH(Assets!$J$2),1)),0,IF(DATE(YEAR($Q6),MONTH($Q6),1)&lt;&gt;DATE(YEAR(Assets!$I$2),MONTH(Assets!$I$2),1),0,IF($AR6=$S6-$V6,0,IF($U6=0,0,MIN(($S6-$V6)/($U6*12),($S6-$V6)-$AR6))))))</f>
        <v>0</v>
      </c>
      <c r="AR6" s="60">
        <f t="array" aca="1" ref="AR6" ca="1">IF($L6=LARGE(IF(TransAsset=$C6,IF(TransIDDate&lt;Assets!$J$2,TransIDDate,0),0),1),IF($B6="DIS",0,MIN(IF($U6=0,0,(($S6-$V6)/($U6*12)*(((YEAR(Assets!$J$2)*12)+MONTH(Assets!$J$2)-1)-((YEAR($L6)*12)+MONTH($L6)-1)))),($S6-$V6))),0)</f>
        <v>0</v>
      </c>
      <c r="AS6" s="60">
        <f t="shared" si="20"/>
        <v>183.33333333333334</v>
      </c>
      <c r="AT6" s="28" cm="1">
        <f t="array" aca="1" ref="AT6" ca="1">IF(SUMPRODUCT((TransAsset=$C6)*(TransType="DIS")*(TransIDDate&lt;(Assets!$I$2+1))*(1))&gt;0,0,IF(AND($AU6=0,DATE(YEAR($L6),MONTH($L6),1)&lt;&gt;DATE(YEAR(Assets!$J$2),MONTH(Assets!$J$2),1)),0,IF(DATE(YEAR($Q6),MONTH($Q6),1)&lt;&gt;DATE(YEAR(Assets!$I$2),MONTH(Assets!$I$2),1),0,IF(SUMIFS(TransPMAccDep,TransAsset,$C6)&gt;=($T6-$V6),($T6-$V6)-SUMIFS(TransPMAccDep,TransAsset,$C6),IF($U6=0,0,IF($S6&lt;$T6,MIN(($S6-$V6)/($U6*12),($T6-$V6)-$AU6),MIN(($T6-$V6)/($U6*12),($T6-$V6)-$AU6)))))))</f>
        <v>0</v>
      </c>
      <c r="AU6" s="28">
        <f t="array" aca="1" ref="AU6" ca="1">IF($L6=LARGE(IF(TransAsset=$C6,IF(TransIDDate&lt;Assets!$J$2,TransIDDate,0),0),1),IF($B6="DIS",0,MIN(SUMIFS(TransTDCost,TransAsset,$C6,TransDate,"&lt;="&amp;$L6)+IF($U6=0,0,MIN(($S6-$V6)/($U6*12)*(((YEAR(Assets!$J$2)*12)+MONTH(Assets!$J$2)-1)-((YEAR($L6)*12)+MONTH($L6)-1)),$S6-$V6)),SUMIFS(TransTDCost,TransAsset,$C6,TransDate,"&lt;="&amp;$L6)+IF($U6=0,0,MIN(($T6-$V6)/($U6*12)*(((YEAR(Assets!$J$2)*12)+MONTH(Assets!$J$2)-1)-((YEAR($L6)*12)+MONTH($L6)-1)),$T6-$V6)),$T6-$V6)),0)</f>
        <v>0</v>
      </c>
    </row>
    <row r="7" spans="1:47" ht="16" customHeight="1" x14ac:dyDescent="0.25">
      <c r="A7" s="33">
        <v>42205</v>
      </c>
      <c r="B7" s="4" t="s">
        <v>79</v>
      </c>
      <c r="C7" s="8" t="s">
        <v>321</v>
      </c>
      <c r="D7" s="3" t="s">
        <v>274</v>
      </c>
      <c r="E7" s="3" t="s">
        <v>275</v>
      </c>
      <c r="F7" s="28">
        <v>2100</v>
      </c>
      <c r="G7" s="28">
        <v>3</v>
      </c>
      <c r="H7" s="28">
        <v>0</v>
      </c>
      <c r="I7" s="28">
        <v>0</v>
      </c>
      <c r="J7" s="59" t="str" cm="1">
        <f t="array" aca="1" ref="J7" ca="1">IF(ISNA(VLOOKUP($C7,AssetCode,1,0))=TRUE,"E3",IF(OR(ISBLANK($B7)=TRUE,SUMPRODUCT((TransAsset=$C7)*(TransIDDate&lt;$L7)*(TransType="DIS")*(1))&gt;0),"E4",IF(SUMPRODUCT((TransAsset=$C7)*(TransType="ACQ")*(1))&gt;1,"E5",IF(OR($F7&lt;0,AND(TransType="DIS",$F7&lt;&gt;0)=TRUE),"E6",IF(OR(AND($G7&lt;0,TransType&lt;&gt;"DIS")=TRUE,AND(TransType="DIS",$G7&lt;&gt;0)=TRUE),"E7",IF(OR($H7&lt;0,AND(TransType="DIS",$H7&lt;&gt;0)=TRUE,$H7&gt;$F7),"E8",IF($I7&lt;0,"E9","-")))))))</f>
        <v>-</v>
      </c>
      <c r="K7" s="60" t="str">
        <f>IF(ISNA(VLOOKUP($C7,AssetAll,COLUMN(Assets!$E$4),0))=TRUE,"add!",VLOOKUP($C7,AssetAll,COLUMN(Assets!$E$4),0))</f>
        <v>CHW01</v>
      </c>
      <c r="L7" s="61">
        <f t="shared" ca="1" si="0"/>
        <v>42205.000081018516</v>
      </c>
      <c r="M7" s="61">
        <f t="array" aca="1" ref="M7" ca="1">IF(ISBLANK($C7)=TRUE,0,LARGE(IF(TransAsset=$C7,IF(TransIDDate&lt;$L7,TransIDDate,0),0),1))</f>
        <v>0</v>
      </c>
      <c r="N7" s="61">
        <f t="array" aca="1" ref="N7" ca="1">IF(ISBLANK($C7)=TRUE,0,SMALL(IF(TransAsset=$C7,IF(TransIDDate&gt;$L7,TransIDDate,(Assets!$I$2+1)),(Assets!$I$2+1)),1))</f>
        <v>43891.000497685185</v>
      </c>
      <c r="O7" s="61">
        <f t="shared" ca="1" si="1"/>
        <v>43281</v>
      </c>
      <c r="P7" s="61">
        <f ca="1">IF(OR($N7&lt;Assets!$H$2,$O7&lt;Assets!$H$2,$L7&gt;(Assets!$I$2+1)),0,IF($B7="DIS",IF($L7&lt;Assets!$H$2,0,IF($L7&lt;(Assets!$I$2+1),DATE(YEAR($L7),MONTH($L7),0),Assets!$H$2)),IF($L7&lt;Assets!$H$2,Assets!$H$2,DATE(YEAR($L7),MONTH($L7),1))))</f>
        <v>0</v>
      </c>
      <c r="Q7" s="61">
        <f ca="1">IF($P7=0,0,IF($B7="DIS",IF($L7&gt;(Assets!$I$2+1),MIN(Assets!$I$2,$O7),MIN($L7,$O7)),IF($N7&lt;(Assets!$I$2+1),MIN(IF(DATE(YEAR($N7),MONTH($N7),0)&lt;$P7,$P7,DATE(YEAR($N7),MONTH($N7),0)),$O7),MIN(Assets!$I$2,$O7))))</f>
        <v>0</v>
      </c>
      <c r="R7" s="60">
        <f t="shared" ca="1" si="2"/>
        <v>0</v>
      </c>
      <c r="S7" s="60">
        <f t="shared" si="3"/>
        <v>2100</v>
      </c>
      <c r="T7" s="60" cm="1">
        <f t="array" ref="T7">IF(ISBLANK($B7)=FALSE,SUMIFS(TransAmount,TransAsset,$C7,TransType,"ACQ"),0)</f>
        <v>2100</v>
      </c>
      <c r="U7" s="60">
        <f t="shared" si="4"/>
        <v>3</v>
      </c>
      <c r="V7" s="60">
        <f t="shared" si="5"/>
        <v>0</v>
      </c>
      <c r="W7" s="28">
        <f t="shared" ca="1" si="6"/>
        <v>0</v>
      </c>
      <c r="X7" s="28">
        <f t="shared" ca="1" si="7"/>
        <v>0</v>
      </c>
      <c r="Y7" s="28">
        <f t="shared" ca="1" si="8"/>
        <v>0</v>
      </c>
      <c r="Z7" s="28">
        <f t="shared" ca="1" si="9"/>
        <v>0</v>
      </c>
      <c r="AA7" s="28">
        <f t="shared" ca="1" si="10"/>
        <v>0</v>
      </c>
      <c r="AB7" s="28" cm="1">
        <f t="array" aca="1" ref="AB7" ca="1">IF(SUMIFS(TransTDCost,TransAsset,$C7,TransDate,"&lt;="&amp;$L7)&gt;($T7-$X7),($T7-$X7),SUMIFS(TransTDCost,TransAsset,$C7,TransDate,"&lt;="&amp;$L7))</f>
        <v>0</v>
      </c>
      <c r="AC7" s="28">
        <f t="shared" ca="1" si="11"/>
        <v>0</v>
      </c>
      <c r="AD7" s="28">
        <f t="array" aca="1" ref="AD7" ca="1">IF($L7=LARGE(IF(TransAsset=$C7,IF(TransIDDate&lt;Assets!$H$2,TransIDDate,0),0),1),IF($B7="DIS",$AC7,SUMIFS(TransCAccDep,TransAsset,$C7,TransDate,"&lt;="&amp;$L7)+IF($U7=0,0,MIN(($S7-$V7)/($U7*12)*(((YEAR(Assets!$H$2)*12)+MONTH(Assets!$H$2)-1)-((YEAR($L7)*12)+MONTH($L7)-1)),$S7-$V7))),0)-$AO7</f>
        <v>0</v>
      </c>
      <c r="AE7" s="28">
        <f t="shared" ca="1" si="12"/>
        <v>0</v>
      </c>
      <c r="AF7" s="28">
        <f t="shared" ca="1" si="13"/>
        <v>0</v>
      </c>
      <c r="AG7" s="28">
        <f t="shared" ca="1" si="14"/>
        <v>0</v>
      </c>
      <c r="AH7" s="28">
        <f t="shared" ca="1" si="15"/>
        <v>0</v>
      </c>
      <c r="AI7" s="28" cm="1">
        <f t="array" ref="AI7">IF($B7="REV",IF($S7-$AA7+$AE7&gt;0,IF(SUMIFS(TransImpair,TransAsset,$C7,TransDate,"&lt;"&amp;$M7)&gt;0,IF(SUMIFS(TransImpair,TransAsset,$C7,TransDate,"&lt;"&amp;$M7)&gt;$S7-$AA7+$AE7,-($S7-$AA7+$AE7),-SUMIFS(TransImpair,TransAsset,$C7,TransDate,"&lt;"&amp;$M7)),0),-($S7-$AA7+$AE7)),0)</f>
        <v>0</v>
      </c>
      <c r="AJ7" s="28">
        <f t="shared" si="16"/>
        <v>0</v>
      </c>
      <c r="AK7" s="28">
        <f t="shared" ca="1" si="17"/>
        <v>0</v>
      </c>
      <c r="AL7" s="28">
        <f t="shared" ca="1" si="18"/>
        <v>0</v>
      </c>
      <c r="AM7" s="28" cm="1">
        <f t="array" aca="1" ref="AM7" ca="1">IF($AN7&gt;($T7-$V7),($T7-$V7)-SUMIFS(TransPCAccDep,TransAsset,$C7,TransDate,"&lt;="&amp;$L7),$AL7)</f>
        <v>0</v>
      </c>
      <c r="AN7" s="28" cm="1">
        <f t="array" aca="1" ref="AN7" ca="1">IF($AL7=0,0,SUMIFS(TransCCYDep2,TransAsset,$C7,TransDate,"&lt;="&amp;$L7)+SUMIFS(TransPCAccDep,TransAsset,$C7,TransDate,"&lt;="&amp;$L7))</f>
        <v>0</v>
      </c>
      <c r="AO7" s="28">
        <f t="array" aca="1" ref="AO7" ca="1">IF($L7=LARGE(IF(TransAsset=$C7,IF(TransIDDate&lt;Assets!$H$2,TransIDDate,0),0),1),IF($B7="DIS",0,MIN(SUMIFS(TransTDCost,TransAsset,$C7,TransDate,"&lt;="&amp;$L7)+IF($U7=0,0,MIN(($S7-$V7)/($U7*12)*(((YEAR(Assets!$H$2)*12)+MONTH(Assets!$H$2)-1)-((YEAR($L7)*12)+MONTH($L7)-1)),$S7-$V7)),SUMIFS(TransTDCost,TransAsset,$C7,TransDate,"&lt;="&amp;$L7)+IF($U7=0,0,MIN(($T7-$V7)/($U7*12)*(((YEAR(Assets!$H$2)*12)+MONTH(Assets!$H$2)-1)-((YEAR($L7)*12)+MONTH($L7)-1)),$T7-$V7)),$T7-$V7)),0)</f>
        <v>2100</v>
      </c>
      <c r="AP7" s="28">
        <f t="shared" ca="1" si="19"/>
        <v>0</v>
      </c>
      <c r="AQ7" s="60">
        <f ca="1">IF(SUMPRODUCT((TransAsset=$C7)*(TransType="DIS")*(TransIDDate&lt;(Assets!$I$2+1))*(1))&gt;0,0,IF(AND($AR7=0,DATE(YEAR($L7),MONTH($L7),1)&lt;&gt;DATE(YEAR(Assets!$J$2),MONTH(Assets!$J$2),1)),0,IF(DATE(YEAR($Q7),MONTH($Q7),1)&lt;&gt;DATE(YEAR(Assets!$I$2),MONTH(Assets!$I$2),1),0,IF($AR7=$S7-$V7,0,IF($U7=0,0,MIN(($S7-$V7)/($U7*12),($S7-$V7)-$AR7))))))</f>
        <v>0</v>
      </c>
      <c r="AR7" s="60">
        <f t="array" aca="1" ref="AR7" ca="1">IF($L7=LARGE(IF(TransAsset=$C7,IF(TransIDDate&lt;Assets!$J$2,TransIDDate,0),0),1),IF($B7="DIS",0,MIN(IF($U7=0,0,(($S7-$V7)/($U7*12)*(((YEAR(Assets!$J$2)*12)+MONTH(Assets!$J$2)-1)-((YEAR($L7)*12)+MONTH($L7)-1)))),($S7-$V7))),0)</f>
        <v>0</v>
      </c>
      <c r="AS7" s="60">
        <f t="shared" si="20"/>
        <v>58.333333333333336</v>
      </c>
      <c r="AT7" s="28" cm="1">
        <f t="array" aca="1" ref="AT7" ca="1">IF(SUMPRODUCT((TransAsset=$C7)*(TransType="DIS")*(TransIDDate&lt;(Assets!$I$2+1))*(1))&gt;0,0,IF(AND($AU7=0,DATE(YEAR($L7),MONTH($L7),1)&lt;&gt;DATE(YEAR(Assets!$J$2),MONTH(Assets!$J$2),1)),0,IF(DATE(YEAR($Q7),MONTH($Q7),1)&lt;&gt;DATE(YEAR(Assets!$I$2),MONTH(Assets!$I$2),1),0,IF(SUMIFS(TransPMAccDep,TransAsset,$C7)&gt;=($T7-$V7),($T7-$V7)-SUMIFS(TransPMAccDep,TransAsset,$C7),IF($U7=0,0,IF($S7&lt;$T7,MIN(($S7-$V7)/($U7*12),($T7-$V7)-$AU7),MIN(($T7-$V7)/($U7*12),($T7-$V7)-$AU7)))))))</f>
        <v>0</v>
      </c>
      <c r="AU7" s="28">
        <f t="array" aca="1" ref="AU7" ca="1">IF($L7=LARGE(IF(TransAsset=$C7,IF(TransIDDate&lt;Assets!$J$2,TransIDDate,0),0),1),IF($B7="DIS",0,MIN(SUMIFS(TransTDCost,TransAsset,$C7,TransDate,"&lt;="&amp;$L7)+IF($U7=0,0,MIN(($S7-$V7)/($U7*12)*(((YEAR(Assets!$J$2)*12)+MONTH(Assets!$J$2)-1)-((YEAR($L7)*12)+MONTH($L7)-1)),$S7-$V7)),SUMIFS(TransTDCost,TransAsset,$C7,TransDate,"&lt;="&amp;$L7)+IF($U7=0,0,MIN(($T7-$V7)/($U7*12)*(((YEAR(Assets!$J$2)*12)+MONTH(Assets!$J$2)-1)-((YEAR($L7)*12)+MONTH($L7)-1)),$T7-$V7)),$T7-$V7)),0)</f>
        <v>0</v>
      </c>
    </row>
    <row r="8" spans="1:47" ht="16" customHeight="1" x14ac:dyDescent="0.25">
      <c r="A8" s="33">
        <v>42205</v>
      </c>
      <c r="B8" s="4" t="s">
        <v>79</v>
      </c>
      <c r="C8" s="8" t="s">
        <v>317</v>
      </c>
      <c r="D8" s="3" t="s">
        <v>274</v>
      </c>
      <c r="E8" s="3" t="s">
        <v>275</v>
      </c>
      <c r="F8" s="28">
        <v>3600</v>
      </c>
      <c r="G8" s="28">
        <v>6</v>
      </c>
      <c r="H8" s="28">
        <v>0</v>
      </c>
      <c r="I8" s="28">
        <v>0</v>
      </c>
      <c r="J8" s="59" t="str" cm="1">
        <f t="array" aca="1" ref="J8" ca="1">IF(ISNA(VLOOKUP($C8,AssetCode,1,0))=TRUE,"E3",IF(OR(ISBLANK($B8)=TRUE,SUMPRODUCT((TransAsset=$C8)*(TransIDDate&lt;$L8)*(TransType="DIS")*(1))&gt;0),"E4",IF(SUMPRODUCT((TransAsset=$C8)*(TransType="ACQ")*(1))&gt;1,"E5",IF(OR($F8&lt;0,AND(TransType="DIS",$F8&lt;&gt;0)=TRUE),"E6",IF(OR(AND($G8&lt;0,TransType&lt;&gt;"DIS")=TRUE,AND(TransType="DIS",$G8&lt;&gt;0)=TRUE),"E7",IF(OR($H8&lt;0,AND(TransType="DIS",$H8&lt;&gt;0)=TRUE,$H8&gt;$F8),"E8",IF($I8&lt;0,"E9","-")))))))</f>
        <v>-</v>
      </c>
      <c r="K8" s="60" t="str">
        <f>IF(ISNA(VLOOKUP($C8,AssetAll,COLUMN(Assets!$E$4),0))=TRUE,"add!",VLOOKUP($C8,AssetAll,COLUMN(Assets!$E$4),0))</f>
        <v>FFX01</v>
      </c>
      <c r="L8" s="61">
        <f t="shared" ca="1" si="0"/>
        <v>42205.000092592592</v>
      </c>
      <c r="M8" s="61">
        <f t="array" aca="1" ref="M8" ca="1">IF(ISBLANK($C8)=TRUE,0,LARGE(IF(TransAsset=$C8,IF(TransIDDate&lt;$L8,TransIDDate,0),0),1))</f>
        <v>0</v>
      </c>
      <c r="N8" s="61">
        <f t="array" aca="1" ref="N8" ca="1">IF(ISBLANK($C8)=TRUE,0,SMALL(IF(TransAsset=$C8,IF(TransIDDate&gt;$L8,TransIDDate,(Assets!$I$2+1)),(Assets!$I$2+1)),1))</f>
        <v>43891.000520833331</v>
      </c>
      <c r="O8" s="61">
        <f t="shared" ca="1" si="1"/>
        <v>44377</v>
      </c>
      <c r="P8" s="61">
        <f ca="1">IF(OR($N8&lt;Assets!$H$2,$O8&lt;Assets!$H$2,$L8&gt;(Assets!$I$2+1)),0,IF($B8="DIS",IF($L8&lt;Assets!$H$2,0,IF($L8&lt;(Assets!$I$2+1),DATE(YEAR($L8),MONTH($L8),0),Assets!$H$2)),IF($L8&lt;Assets!$H$2,Assets!$H$2,DATE(YEAR($L8),MONTH($L8),1))))</f>
        <v>43891</v>
      </c>
      <c r="Q8" s="61">
        <f ca="1">IF($P8=0,0,IF($B8="DIS",IF($L8&gt;(Assets!$I$2+1),MIN(Assets!$I$2,$O8),MIN($L8,$O8)),IF($N8&lt;(Assets!$I$2+1),MIN(IF(DATE(YEAR($N8),MONTH($N8),0)&lt;$P8,$P8,DATE(YEAR($N8),MONTH($N8),0)),$O8),MIN(Assets!$I$2,$O8))))</f>
        <v>43891</v>
      </c>
      <c r="R8" s="60">
        <f t="shared" ca="1" si="2"/>
        <v>0</v>
      </c>
      <c r="S8" s="60">
        <f t="shared" si="3"/>
        <v>3600</v>
      </c>
      <c r="T8" s="60" cm="1">
        <f t="array" ref="T8">IF(ISBLANK($B8)=FALSE,SUMIFS(TransAmount,TransAsset,$C8,TransType,"ACQ"),0)</f>
        <v>3600</v>
      </c>
      <c r="U8" s="60">
        <f t="shared" si="4"/>
        <v>6</v>
      </c>
      <c r="V8" s="60">
        <f t="shared" si="5"/>
        <v>0</v>
      </c>
      <c r="W8" s="28">
        <f t="shared" ca="1" si="6"/>
        <v>0</v>
      </c>
      <c r="X8" s="28">
        <f t="shared" ca="1" si="7"/>
        <v>0</v>
      </c>
      <c r="Y8" s="28">
        <f t="shared" ca="1" si="8"/>
        <v>0</v>
      </c>
      <c r="Z8" s="28">
        <f t="shared" ca="1" si="9"/>
        <v>0</v>
      </c>
      <c r="AA8" s="28">
        <f t="shared" ca="1" si="10"/>
        <v>0</v>
      </c>
      <c r="AB8" s="28" cm="1">
        <f t="array" aca="1" ref="AB8" ca="1">IF(SUMIFS(TransTDCost,TransAsset,$C8,TransDate,"&lt;="&amp;$L8)&gt;($T8-$X8),($T8-$X8),SUMIFS(TransTDCost,TransAsset,$C8,TransDate,"&lt;="&amp;$L8))</f>
        <v>0</v>
      </c>
      <c r="AC8" s="28">
        <f t="shared" ca="1" si="11"/>
        <v>0</v>
      </c>
      <c r="AD8" s="28">
        <f t="array" aca="1" ref="AD8" ca="1">IF($L8=LARGE(IF(TransAsset=$C8,IF(TransIDDate&lt;Assets!$H$2,TransIDDate,0),0),1),IF($B8="DIS",$AC8,SUMIFS(TransCAccDep,TransAsset,$C8,TransDate,"&lt;="&amp;$L8)+IF($U8=0,0,MIN(($S8-$V8)/($U8*12)*(((YEAR(Assets!$H$2)*12)+MONTH(Assets!$H$2)-1)-((YEAR($L8)*12)+MONTH($L8)-1)),$S8-$V8))),0)-$AO8</f>
        <v>0</v>
      </c>
      <c r="AE8" s="28">
        <f t="shared" ca="1" si="12"/>
        <v>0</v>
      </c>
      <c r="AF8" s="28">
        <f t="shared" ca="1" si="13"/>
        <v>0</v>
      </c>
      <c r="AG8" s="28">
        <f t="shared" ca="1" si="14"/>
        <v>0</v>
      </c>
      <c r="AH8" s="28">
        <f t="shared" ca="1" si="15"/>
        <v>0</v>
      </c>
      <c r="AI8" s="28" cm="1">
        <f t="array" ref="AI8">IF($B8="REV",IF($S8-$AA8+$AE8&gt;0,IF(SUMIFS(TransImpair,TransAsset,$C8,TransDate,"&lt;"&amp;$M8)&gt;0,IF(SUMIFS(TransImpair,TransAsset,$C8,TransDate,"&lt;"&amp;$M8)&gt;$S8-$AA8+$AE8,-($S8-$AA8+$AE8),-SUMIFS(TransImpair,TransAsset,$C8,TransDate,"&lt;"&amp;$M8)),0),-($S8-$AA8+$AE8)),0)</f>
        <v>0</v>
      </c>
      <c r="AJ8" s="28">
        <f t="shared" si="16"/>
        <v>0</v>
      </c>
      <c r="AK8" s="28">
        <f t="shared" ca="1" si="17"/>
        <v>0</v>
      </c>
      <c r="AL8" s="28">
        <f t="shared" ca="1" si="18"/>
        <v>0</v>
      </c>
      <c r="AM8" s="28" cm="1">
        <f t="array" aca="1" ref="AM8" ca="1">IF($AN8&gt;($T8-$V8),($T8-$V8)-SUMIFS(TransPCAccDep,TransAsset,$C8,TransDate,"&lt;="&amp;$L8),$AL8)</f>
        <v>0</v>
      </c>
      <c r="AN8" s="28" cm="1">
        <f t="array" aca="1" ref="AN8" ca="1">IF($AL8=0,0,SUMIFS(TransCCYDep2,TransAsset,$C8,TransDate,"&lt;="&amp;$L8)+SUMIFS(TransPCAccDep,TransAsset,$C8,TransDate,"&lt;="&amp;$L8))</f>
        <v>0</v>
      </c>
      <c r="AO8" s="28">
        <f t="array" aca="1" ref="AO8" ca="1">IF($L8=LARGE(IF(TransAsset=$C8,IF(TransIDDate&lt;Assets!$H$2,TransIDDate,0),0),1),IF($B8="DIS",0,MIN(SUMIFS(TransTDCost,TransAsset,$C8,TransDate,"&lt;="&amp;$L8)+IF($U8=0,0,MIN(($S8-$V8)/($U8*12)*(((YEAR(Assets!$H$2)*12)+MONTH(Assets!$H$2)-1)-((YEAR($L8)*12)+MONTH($L8)-1)),$S8-$V8)),SUMIFS(TransTDCost,TransAsset,$C8,TransDate,"&lt;="&amp;$L8)+IF($U8=0,0,MIN(($T8-$V8)/($U8*12)*(((YEAR(Assets!$H$2)*12)+MONTH(Assets!$H$2)-1)-((YEAR($L8)*12)+MONTH($L8)-1)),$T8-$V8)),$T8-$V8)),0)</f>
        <v>2800</v>
      </c>
      <c r="AP8" s="28">
        <f t="shared" ca="1" si="19"/>
        <v>0</v>
      </c>
      <c r="AQ8" s="60">
        <f ca="1">IF(SUMPRODUCT((TransAsset=$C8)*(TransType="DIS")*(TransIDDate&lt;(Assets!$I$2+1))*(1))&gt;0,0,IF(AND($AR8=0,DATE(YEAR($L8),MONTH($L8),1)&lt;&gt;DATE(YEAR(Assets!$J$2),MONTH(Assets!$J$2),1)),0,IF(DATE(YEAR($Q8),MONTH($Q8),1)&lt;&gt;DATE(YEAR(Assets!$I$2),MONTH(Assets!$I$2),1),0,IF($AR8=$S8-$V8,0,IF($U8=0,0,MIN(($S8-$V8)/($U8*12),($S8-$V8)-$AR8))))))</f>
        <v>0</v>
      </c>
      <c r="AR8" s="60">
        <f t="array" aca="1" ref="AR8" ca="1">IF($L8=LARGE(IF(TransAsset=$C8,IF(TransIDDate&lt;Assets!$J$2,TransIDDate,0),0),1),IF($B8="DIS",0,MIN(IF($U8=0,0,(($S8-$V8)/($U8*12)*(((YEAR(Assets!$J$2)*12)+MONTH(Assets!$J$2)-1)-((YEAR($L8)*12)+MONTH($L8)-1)))),($S8-$V8))),0)</f>
        <v>0</v>
      </c>
      <c r="AS8" s="60">
        <f t="shared" si="20"/>
        <v>50</v>
      </c>
      <c r="AT8" s="28" cm="1">
        <f t="array" aca="1" ref="AT8" ca="1">IF(SUMPRODUCT((TransAsset=$C8)*(TransType="DIS")*(TransIDDate&lt;(Assets!$I$2+1))*(1))&gt;0,0,IF(AND($AU8=0,DATE(YEAR($L8),MONTH($L8),1)&lt;&gt;DATE(YEAR(Assets!$J$2),MONTH(Assets!$J$2),1)),0,IF(DATE(YEAR($Q8),MONTH($Q8),1)&lt;&gt;DATE(YEAR(Assets!$I$2),MONTH(Assets!$I$2),1),0,IF(SUMIFS(TransPMAccDep,TransAsset,$C8)&gt;=($T8-$V8),($T8-$V8)-SUMIFS(TransPMAccDep,TransAsset,$C8),IF($U8=0,0,IF($S8&lt;$T8,MIN(($S8-$V8)/($U8*12),($T8-$V8)-$AU8),MIN(($T8-$V8)/($U8*12),($T8-$V8)-$AU8)))))))</f>
        <v>0</v>
      </c>
      <c r="AU8" s="28">
        <f t="array" aca="1" ref="AU8" ca="1">IF($L8=LARGE(IF(TransAsset=$C8,IF(TransIDDate&lt;Assets!$J$2,TransIDDate,0),0),1),IF($B8="DIS",0,MIN(SUMIFS(TransTDCost,TransAsset,$C8,TransDate,"&lt;="&amp;$L8)+IF($U8=0,0,MIN(($S8-$V8)/($U8*12)*(((YEAR(Assets!$J$2)*12)+MONTH(Assets!$J$2)-1)-((YEAR($L8)*12)+MONTH($L8)-1)),$S8-$V8)),SUMIFS(TransTDCost,TransAsset,$C8,TransDate,"&lt;="&amp;$L8)+IF($U8=0,0,MIN(($T8-$V8)/($U8*12)*(((YEAR(Assets!$J$2)*12)+MONTH(Assets!$J$2)-1)-((YEAR($L8)*12)+MONTH($L8)-1)),$T8-$V8)),$T8-$V8)),0)</f>
        <v>0</v>
      </c>
    </row>
    <row r="9" spans="1:47" ht="16" customHeight="1" x14ac:dyDescent="0.25">
      <c r="A9" s="33">
        <v>42205</v>
      </c>
      <c r="B9" s="4" t="s">
        <v>79</v>
      </c>
      <c r="C9" s="8" t="s">
        <v>318</v>
      </c>
      <c r="D9" s="3" t="s">
        <v>274</v>
      </c>
      <c r="E9" s="3" t="s">
        <v>275</v>
      </c>
      <c r="F9" s="28">
        <v>12400</v>
      </c>
      <c r="G9" s="28">
        <v>6</v>
      </c>
      <c r="H9" s="28">
        <v>0</v>
      </c>
      <c r="I9" s="28">
        <v>0</v>
      </c>
      <c r="J9" s="59" t="str" cm="1">
        <f t="array" aca="1" ref="J9" ca="1">IF(ISNA(VLOOKUP($C9,AssetCode,1,0))=TRUE,"E3",IF(OR(ISBLANK($B9)=TRUE,SUMPRODUCT((TransAsset=$C9)*(TransIDDate&lt;$L9)*(TransType="DIS")*(1))&gt;0),"E4",IF(SUMPRODUCT((TransAsset=$C9)*(TransType="ACQ")*(1))&gt;1,"E5",IF(OR($F9&lt;0,AND(TransType="DIS",$F9&lt;&gt;0)=TRUE),"E6",IF(OR(AND($G9&lt;0,TransType&lt;&gt;"DIS")=TRUE,AND(TransType="DIS",$G9&lt;&gt;0)=TRUE),"E7",IF(OR($H9&lt;0,AND(TransType="DIS",$H9&lt;&gt;0)=TRUE,$H9&gt;$F9),"E8",IF($I9&lt;0,"E9","-")))))))</f>
        <v>-</v>
      </c>
      <c r="K9" s="60" t="str">
        <f>IF(ISNA(VLOOKUP($C9,AssetAll,COLUMN(Assets!$E$4),0))=TRUE,"add!",VLOOKUP($C9,AssetAll,COLUMN(Assets!$E$4),0))</f>
        <v>FFX01</v>
      </c>
      <c r="L9" s="61">
        <f t="shared" ca="1" si="0"/>
        <v>42205.000104166669</v>
      </c>
      <c r="M9" s="61">
        <f t="array" aca="1" ref="M9" ca="1">IF(ISBLANK($C9)=TRUE,0,LARGE(IF(TransAsset=$C9,IF(TransIDDate&lt;$L9,TransIDDate,0),0),1))</f>
        <v>0</v>
      </c>
      <c r="N9" s="61">
        <f t="array" aca="1" ref="N9" ca="1">IF(ISBLANK($C9)=TRUE,0,SMALL(IF(TransAsset=$C9,IF(TransIDDate&gt;$L9,TransIDDate,(Assets!$I$2+1)),(Assets!$I$2+1)),1))</f>
        <v>43891.000532407408</v>
      </c>
      <c r="O9" s="61">
        <f t="shared" ca="1" si="1"/>
        <v>44377</v>
      </c>
      <c r="P9" s="61">
        <f ca="1">IF(OR($N9&lt;Assets!$H$2,$O9&lt;Assets!$H$2,$L9&gt;(Assets!$I$2+1)),0,IF($B9="DIS",IF($L9&lt;Assets!$H$2,0,IF($L9&lt;(Assets!$I$2+1),DATE(YEAR($L9),MONTH($L9),0),Assets!$H$2)),IF($L9&lt;Assets!$H$2,Assets!$H$2,DATE(YEAR($L9),MONTH($L9),1))))</f>
        <v>43891</v>
      </c>
      <c r="Q9" s="61">
        <f ca="1">IF($P9=0,0,IF($B9="DIS",IF($L9&gt;(Assets!$I$2+1),MIN(Assets!$I$2,$O9),MIN($L9,$O9)),IF($N9&lt;(Assets!$I$2+1),MIN(IF(DATE(YEAR($N9),MONTH($N9),0)&lt;$P9,$P9,DATE(YEAR($N9),MONTH($N9),0)),$O9),MIN(Assets!$I$2,$O9))))</f>
        <v>43891</v>
      </c>
      <c r="R9" s="60">
        <f t="shared" ca="1" si="2"/>
        <v>0</v>
      </c>
      <c r="S9" s="60">
        <f t="shared" si="3"/>
        <v>12400</v>
      </c>
      <c r="T9" s="60" cm="1">
        <f t="array" ref="T9">IF(ISBLANK($B9)=FALSE,SUMIFS(TransAmount,TransAsset,$C9,TransType,"ACQ"),0)</f>
        <v>12400</v>
      </c>
      <c r="U9" s="60">
        <f t="shared" si="4"/>
        <v>6</v>
      </c>
      <c r="V9" s="60">
        <f t="shared" si="5"/>
        <v>0</v>
      </c>
      <c r="W9" s="28">
        <f t="shared" ca="1" si="6"/>
        <v>0</v>
      </c>
      <c r="X9" s="28">
        <f t="shared" ca="1" si="7"/>
        <v>0</v>
      </c>
      <c r="Y9" s="28">
        <f t="shared" ca="1" si="8"/>
        <v>0</v>
      </c>
      <c r="Z9" s="28">
        <f t="shared" ca="1" si="9"/>
        <v>0</v>
      </c>
      <c r="AA9" s="28">
        <f t="shared" ca="1" si="10"/>
        <v>0</v>
      </c>
      <c r="AB9" s="28" cm="1">
        <f t="array" aca="1" ref="AB9" ca="1">IF(SUMIFS(TransTDCost,TransAsset,$C9,TransDate,"&lt;="&amp;$L9)&gt;($T9-$X9),($T9-$X9),SUMIFS(TransTDCost,TransAsset,$C9,TransDate,"&lt;="&amp;$L9))</f>
        <v>0</v>
      </c>
      <c r="AC9" s="28">
        <f t="shared" ca="1" si="11"/>
        <v>0</v>
      </c>
      <c r="AD9" s="28">
        <f t="array" aca="1" ref="AD9" ca="1">IF($L9=LARGE(IF(TransAsset=$C9,IF(TransIDDate&lt;Assets!$H$2,TransIDDate,0),0),1),IF($B9="DIS",$AC9,SUMIFS(TransCAccDep,TransAsset,$C9,TransDate,"&lt;="&amp;$L9)+IF($U9=0,0,MIN(($S9-$V9)/($U9*12)*(((YEAR(Assets!$H$2)*12)+MONTH(Assets!$H$2)-1)-((YEAR($L9)*12)+MONTH($L9)-1)),$S9-$V9))),0)-$AO9</f>
        <v>0</v>
      </c>
      <c r="AE9" s="28">
        <f t="shared" ca="1" si="12"/>
        <v>0</v>
      </c>
      <c r="AF9" s="28">
        <f t="shared" ca="1" si="13"/>
        <v>0</v>
      </c>
      <c r="AG9" s="28">
        <f t="shared" ca="1" si="14"/>
        <v>0</v>
      </c>
      <c r="AH9" s="28">
        <f t="shared" ca="1" si="15"/>
        <v>0</v>
      </c>
      <c r="AI9" s="28" cm="1">
        <f t="array" ref="AI9">IF($B9="REV",IF($S9-$AA9+$AE9&gt;0,IF(SUMIFS(TransImpair,TransAsset,$C9,TransDate,"&lt;"&amp;$M9)&gt;0,IF(SUMIFS(TransImpair,TransAsset,$C9,TransDate,"&lt;"&amp;$M9)&gt;$S9-$AA9+$AE9,-($S9-$AA9+$AE9),-SUMIFS(TransImpair,TransAsset,$C9,TransDate,"&lt;"&amp;$M9)),0),-($S9-$AA9+$AE9)),0)</f>
        <v>0</v>
      </c>
      <c r="AJ9" s="28">
        <f t="shared" si="16"/>
        <v>0</v>
      </c>
      <c r="AK9" s="28">
        <f t="shared" ca="1" si="17"/>
        <v>0</v>
      </c>
      <c r="AL9" s="28">
        <f t="shared" ca="1" si="18"/>
        <v>0</v>
      </c>
      <c r="AM9" s="28" cm="1">
        <f t="array" aca="1" ref="AM9" ca="1">IF($AN9&gt;($T9-$V9),($T9-$V9)-SUMIFS(TransPCAccDep,TransAsset,$C9,TransDate,"&lt;="&amp;$L9),$AL9)</f>
        <v>0</v>
      </c>
      <c r="AN9" s="28" cm="1">
        <f t="array" aca="1" ref="AN9" ca="1">IF($AL9=0,0,SUMIFS(TransCCYDep2,TransAsset,$C9,TransDate,"&lt;="&amp;$L9)+SUMIFS(TransPCAccDep,TransAsset,$C9,TransDate,"&lt;="&amp;$L9))</f>
        <v>0</v>
      </c>
      <c r="AO9" s="28">
        <f t="array" aca="1" ref="AO9" ca="1">IF($L9=LARGE(IF(TransAsset=$C9,IF(TransIDDate&lt;Assets!$H$2,TransIDDate,0),0),1),IF($B9="DIS",0,MIN(SUMIFS(TransTDCost,TransAsset,$C9,TransDate,"&lt;="&amp;$L9)+IF($U9=0,0,MIN(($S9-$V9)/($U9*12)*(((YEAR(Assets!$H$2)*12)+MONTH(Assets!$H$2)-1)-((YEAR($L9)*12)+MONTH($L9)-1)),$S9-$V9)),SUMIFS(TransTDCost,TransAsset,$C9,TransDate,"&lt;="&amp;$L9)+IF($U9=0,0,MIN(($T9-$V9)/($U9*12)*(((YEAR(Assets!$H$2)*12)+MONTH(Assets!$H$2)-1)-((YEAR($L9)*12)+MONTH($L9)-1)),$T9-$V9)),$T9-$V9)),0)</f>
        <v>9644.4444444444453</v>
      </c>
      <c r="AP9" s="28">
        <f t="shared" ca="1" si="19"/>
        <v>0</v>
      </c>
      <c r="AQ9" s="60">
        <f ca="1">IF(SUMPRODUCT((TransAsset=$C9)*(TransType="DIS")*(TransIDDate&lt;(Assets!$I$2+1))*(1))&gt;0,0,IF(AND($AR9=0,DATE(YEAR($L9),MONTH($L9),1)&lt;&gt;DATE(YEAR(Assets!$J$2),MONTH(Assets!$J$2),1)),0,IF(DATE(YEAR($Q9),MONTH($Q9),1)&lt;&gt;DATE(YEAR(Assets!$I$2),MONTH(Assets!$I$2),1),0,IF($AR9=$S9-$V9,0,IF($U9=0,0,MIN(($S9-$V9)/($U9*12),($S9-$V9)-$AR9))))))</f>
        <v>0</v>
      </c>
      <c r="AR9" s="60">
        <f t="array" aca="1" ref="AR9" ca="1">IF($L9=LARGE(IF(TransAsset=$C9,IF(TransIDDate&lt;Assets!$J$2,TransIDDate,0),0),1),IF($B9="DIS",0,MIN(IF($U9=0,0,(($S9-$V9)/($U9*12)*(((YEAR(Assets!$J$2)*12)+MONTH(Assets!$J$2)-1)-((YEAR($L9)*12)+MONTH($L9)-1)))),($S9-$V9))),0)</f>
        <v>0</v>
      </c>
      <c r="AS9" s="60">
        <f t="shared" si="20"/>
        <v>172.22222222222223</v>
      </c>
      <c r="AT9" s="28" cm="1">
        <f t="array" aca="1" ref="AT9" ca="1">IF(SUMPRODUCT((TransAsset=$C9)*(TransType="DIS")*(TransIDDate&lt;(Assets!$I$2+1))*(1))&gt;0,0,IF(AND($AU9=0,DATE(YEAR($L9),MONTH($L9),1)&lt;&gt;DATE(YEAR(Assets!$J$2),MONTH(Assets!$J$2),1)),0,IF(DATE(YEAR($Q9),MONTH($Q9),1)&lt;&gt;DATE(YEAR(Assets!$I$2),MONTH(Assets!$I$2),1),0,IF(SUMIFS(TransPMAccDep,TransAsset,$C9)&gt;=($T9-$V9),($T9-$V9)-SUMIFS(TransPMAccDep,TransAsset,$C9),IF($U9=0,0,IF($S9&lt;$T9,MIN(($S9-$V9)/($U9*12),($T9-$V9)-$AU9),MIN(($T9-$V9)/($U9*12),($T9-$V9)-$AU9)))))))</f>
        <v>0</v>
      </c>
      <c r="AU9" s="28">
        <f t="array" aca="1" ref="AU9" ca="1">IF($L9=LARGE(IF(TransAsset=$C9,IF(TransIDDate&lt;Assets!$J$2,TransIDDate,0),0),1),IF($B9="DIS",0,MIN(SUMIFS(TransTDCost,TransAsset,$C9,TransDate,"&lt;="&amp;$L9)+IF($U9=0,0,MIN(($S9-$V9)/($U9*12)*(((YEAR(Assets!$J$2)*12)+MONTH(Assets!$J$2)-1)-((YEAR($L9)*12)+MONTH($L9)-1)),$S9-$V9)),SUMIFS(TransTDCost,TransAsset,$C9,TransDate,"&lt;="&amp;$L9)+IF($U9=0,0,MIN(($T9-$V9)/($U9*12)*(((YEAR(Assets!$J$2)*12)+MONTH(Assets!$J$2)-1)-((YEAR($L9)*12)+MONTH($L9)-1)),$T9-$V9)),$T9-$V9)),0)</f>
        <v>0</v>
      </c>
    </row>
    <row r="10" spans="1:47" ht="16" customHeight="1" x14ac:dyDescent="0.25">
      <c r="A10" s="33">
        <v>42205</v>
      </c>
      <c r="B10" s="4" t="s">
        <v>79</v>
      </c>
      <c r="C10" s="8" t="s">
        <v>22</v>
      </c>
      <c r="D10" s="3" t="s">
        <v>274</v>
      </c>
      <c r="E10" s="3" t="s">
        <v>275</v>
      </c>
      <c r="F10" s="28">
        <v>5100</v>
      </c>
      <c r="G10" s="28">
        <v>6</v>
      </c>
      <c r="H10" s="28">
        <v>0</v>
      </c>
      <c r="I10" s="28">
        <v>0</v>
      </c>
      <c r="J10" s="59" t="str" cm="1">
        <f t="array" aca="1" ref="J10" ca="1">IF(ISNA(VLOOKUP($C10,AssetCode,1,0))=TRUE,"E3",IF(OR(ISBLANK($B10)=TRUE,SUMPRODUCT((TransAsset=$C10)*(TransIDDate&lt;$L10)*(TransType="DIS")*(1))&gt;0),"E4",IF(SUMPRODUCT((TransAsset=$C10)*(TransType="ACQ")*(1))&gt;1,"E5",IF(OR($F10&lt;0,AND(TransType="DIS",$F10&lt;&gt;0)=TRUE),"E6",IF(OR(AND($G10&lt;0,TransType&lt;&gt;"DIS")=TRUE,AND(TransType="DIS",$G10&lt;&gt;0)=TRUE),"E7",IF(OR($H10&lt;0,AND(TransType="DIS",$H10&lt;&gt;0)=TRUE,$H10&gt;$F10),"E8",IF($I10&lt;0,"E9","-")))))))</f>
        <v>-</v>
      </c>
      <c r="K10" s="60" t="str">
        <f>IF(ISNA(VLOOKUP($C10,AssetAll,COLUMN(Assets!$E$4),0))=TRUE,"add!",VLOOKUP($C10,AssetAll,COLUMN(Assets!$E$4),0))</f>
        <v>FFX01</v>
      </c>
      <c r="L10" s="61">
        <f t="shared" ca="1" si="0"/>
        <v>42205.000115740739</v>
      </c>
      <c r="M10" s="61">
        <f t="array" aca="1" ref="M10" ca="1">IF(ISBLANK($C10)=TRUE,0,LARGE(IF(TransAsset=$C10,IF(TransIDDate&lt;$L10,TransIDDate,0),0),1))</f>
        <v>0</v>
      </c>
      <c r="N10" s="61">
        <f t="array" aca="1" ref="N10" ca="1">IF(ISBLANK($C10)=TRUE,0,SMALL(IF(TransAsset=$C10,IF(TransIDDate&gt;$L10,TransIDDate,(Assets!$I$2+1)),(Assets!$I$2+1)),1))</f>
        <v>43891.000543981485</v>
      </c>
      <c r="O10" s="61">
        <f t="shared" ca="1" si="1"/>
        <v>44377</v>
      </c>
      <c r="P10" s="61">
        <f ca="1">IF(OR($N10&lt;Assets!$H$2,$O10&lt;Assets!$H$2,$L10&gt;(Assets!$I$2+1)),0,IF($B10="DIS",IF($L10&lt;Assets!$H$2,0,IF($L10&lt;(Assets!$I$2+1),DATE(YEAR($L10),MONTH($L10),0),Assets!$H$2)),IF($L10&lt;Assets!$H$2,Assets!$H$2,DATE(YEAR($L10),MONTH($L10),1))))</f>
        <v>43891</v>
      </c>
      <c r="Q10" s="61">
        <f ca="1">IF($P10=0,0,IF($B10="DIS",IF($L10&gt;(Assets!$I$2+1),MIN(Assets!$I$2,$O10),MIN($L10,$O10)),IF($N10&lt;(Assets!$I$2+1),MIN(IF(DATE(YEAR($N10),MONTH($N10),0)&lt;$P10,$P10,DATE(YEAR($N10),MONTH($N10),0)),$O10),MIN(Assets!$I$2,$O10))))</f>
        <v>43891</v>
      </c>
      <c r="R10" s="60">
        <f t="shared" ca="1" si="2"/>
        <v>0</v>
      </c>
      <c r="S10" s="60">
        <f t="shared" si="3"/>
        <v>5100</v>
      </c>
      <c r="T10" s="60" cm="1">
        <f t="array" ref="T10">IF(ISBLANK($B10)=FALSE,SUMIFS(TransAmount,TransAsset,$C10,TransType,"ACQ"),0)</f>
        <v>5100</v>
      </c>
      <c r="U10" s="60">
        <f t="shared" si="4"/>
        <v>6</v>
      </c>
      <c r="V10" s="60">
        <f t="shared" si="5"/>
        <v>0</v>
      </c>
      <c r="W10" s="28">
        <f t="shared" ca="1" si="6"/>
        <v>0</v>
      </c>
      <c r="X10" s="28">
        <f t="shared" ca="1" si="7"/>
        <v>0</v>
      </c>
      <c r="Y10" s="28">
        <f t="shared" ca="1" si="8"/>
        <v>0</v>
      </c>
      <c r="Z10" s="28">
        <f t="shared" ca="1" si="9"/>
        <v>0</v>
      </c>
      <c r="AA10" s="28">
        <f t="shared" ca="1" si="10"/>
        <v>0</v>
      </c>
      <c r="AB10" s="28" cm="1">
        <f t="array" aca="1" ref="AB10" ca="1">IF(SUMIFS(TransTDCost,TransAsset,$C10,TransDate,"&lt;="&amp;$L10)&gt;($T10-$X10),($T10-$X10),SUMIFS(TransTDCost,TransAsset,$C10,TransDate,"&lt;="&amp;$L10))</f>
        <v>0</v>
      </c>
      <c r="AC10" s="28">
        <f t="shared" ca="1" si="11"/>
        <v>0</v>
      </c>
      <c r="AD10" s="28">
        <f t="array" aca="1" ref="AD10" ca="1">IF($L10=LARGE(IF(TransAsset=$C10,IF(TransIDDate&lt;Assets!$H$2,TransIDDate,0),0),1),IF($B10="DIS",$AC10,SUMIFS(TransCAccDep,TransAsset,$C10,TransDate,"&lt;="&amp;$L10)+IF($U10=0,0,MIN(($S10-$V10)/($U10*12)*(((YEAR(Assets!$H$2)*12)+MONTH(Assets!$H$2)-1)-((YEAR($L10)*12)+MONTH($L10)-1)),$S10-$V10))),0)-$AO10</f>
        <v>0</v>
      </c>
      <c r="AE10" s="28">
        <f t="shared" ca="1" si="12"/>
        <v>0</v>
      </c>
      <c r="AF10" s="28">
        <f t="shared" ca="1" si="13"/>
        <v>0</v>
      </c>
      <c r="AG10" s="28">
        <f t="shared" ca="1" si="14"/>
        <v>0</v>
      </c>
      <c r="AH10" s="28">
        <f t="shared" ca="1" si="15"/>
        <v>0</v>
      </c>
      <c r="AI10" s="28" cm="1">
        <f t="array" ref="AI10">IF($B10="REV",IF($S10-$AA10+$AE10&gt;0,IF(SUMIFS(TransImpair,TransAsset,$C10,TransDate,"&lt;"&amp;$M10)&gt;0,IF(SUMIFS(TransImpair,TransAsset,$C10,TransDate,"&lt;"&amp;$M10)&gt;$S10-$AA10+$AE10,-($S10-$AA10+$AE10),-SUMIFS(TransImpair,TransAsset,$C10,TransDate,"&lt;"&amp;$M10)),0),-($S10-$AA10+$AE10)),0)</f>
        <v>0</v>
      </c>
      <c r="AJ10" s="28">
        <f t="shared" si="16"/>
        <v>0</v>
      </c>
      <c r="AK10" s="28">
        <f t="shared" ca="1" si="17"/>
        <v>0</v>
      </c>
      <c r="AL10" s="28">
        <f t="shared" ca="1" si="18"/>
        <v>0</v>
      </c>
      <c r="AM10" s="28" cm="1">
        <f t="array" aca="1" ref="AM10" ca="1">IF($AN10&gt;($T10-$V10),($T10-$V10)-SUMIFS(TransPCAccDep,TransAsset,$C10,TransDate,"&lt;="&amp;$L10),$AL10)</f>
        <v>0</v>
      </c>
      <c r="AN10" s="28" cm="1">
        <f t="array" aca="1" ref="AN10" ca="1">IF($AL10=0,0,SUMIFS(TransCCYDep2,TransAsset,$C10,TransDate,"&lt;="&amp;$L10)+SUMIFS(TransPCAccDep,TransAsset,$C10,TransDate,"&lt;="&amp;$L10))</f>
        <v>0</v>
      </c>
      <c r="AO10" s="28">
        <f t="array" aca="1" ref="AO10" ca="1">IF($L10=LARGE(IF(TransAsset=$C10,IF(TransIDDate&lt;Assets!$H$2,TransIDDate,0),0),1),IF($B10="DIS",0,MIN(SUMIFS(TransTDCost,TransAsset,$C10,TransDate,"&lt;="&amp;$L10)+IF($U10=0,0,MIN(($S10-$V10)/($U10*12)*(((YEAR(Assets!$H$2)*12)+MONTH(Assets!$H$2)-1)-((YEAR($L10)*12)+MONTH($L10)-1)),$S10-$V10)),SUMIFS(TransTDCost,TransAsset,$C10,TransDate,"&lt;="&amp;$L10)+IF($U10=0,0,MIN(($T10-$V10)/($U10*12)*(((YEAR(Assets!$H$2)*12)+MONTH(Assets!$H$2)-1)-((YEAR($L10)*12)+MONTH($L10)-1)),$T10-$V10)),$T10-$V10)),0)</f>
        <v>3966.6666666666665</v>
      </c>
      <c r="AP10" s="28">
        <f t="shared" ca="1" si="19"/>
        <v>0</v>
      </c>
      <c r="AQ10" s="60">
        <f ca="1">IF(SUMPRODUCT((TransAsset=$C10)*(TransType="DIS")*(TransIDDate&lt;(Assets!$I$2+1))*(1))&gt;0,0,IF(AND($AR10=0,DATE(YEAR($L10),MONTH($L10),1)&lt;&gt;DATE(YEAR(Assets!$J$2),MONTH(Assets!$J$2),1)),0,IF(DATE(YEAR($Q10),MONTH($Q10),1)&lt;&gt;DATE(YEAR(Assets!$I$2),MONTH(Assets!$I$2),1),0,IF($AR10=$S10-$V10,0,IF($U10=0,0,MIN(($S10-$V10)/($U10*12),($S10-$V10)-$AR10))))))</f>
        <v>0</v>
      </c>
      <c r="AR10" s="60">
        <f t="array" aca="1" ref="AR10" ca="1">IF($L10=LARGE(IF(TransAsset=$C10,IF(TransIDDate&lt;Assets!$J$2,TransIDDate,0),0),1),IF($B10="DIS",0,MIN(IF($U10=0,0,(($S10-$V10)/($U10*12)*(((YEAR(Assets!$J$2)*12)+MONTH(Assets!$J$2)-1)-((YEAR($L10)*12)+MONTH($L10)-1)))),($S10-$V10))),0)</f>
        <v>0</v>
      </c>
      <c r="AS10" s="60">
        <f t="shared" si="20"/>
        <v>70.833333333333329</v>
      </c>
      <c r="AT10" s="28" cm="1">
        <f t="array" aca="1" ref="AT10" ca="1">IF(SUMPRODUCT((TransAsset=$C10)*(TransType="DIS")*(TransIDDate&lt;(Assets!$I$2+1))*(1))&gt;0,0,IF(AND($AU10=0,DATE(YEAR($L10),MONTH($L10),1)&lt;&gt;DATE(YEAR(Assets!$J$2),MONTH(Assets!$J$2),1)),0,IF(DATE(YEAR($Q10),MONTH($Q10),1)&lt;&gt;DATE(YEAR(Assets!$I$2),MONTH(Assets!$I$2),1),0,IF(SUMIFS(TransPMAccDep,TransAsset,$C10)&gt;=($T10-$V10),($T10-$V10)-SUMIFS(TransPMAccDep,TransAsset,$C10),IF($U10=0,0,IF($S10&lt;$T10,MIN(($S10-$V10)/($U10*12),($T10-$V10)-$AU10),MIN(($T10-$V10)/($U10*12),($T10-$V10)-$AU10)))))))</f>
        <v>0</v>
      </c>
      <c r="AU10" s="28">
        <f t="array" aca="1" ref="AU10" ca="1">IF($L10=LARGE(IF(TransAsset=$C10,IF(TransIDDate&lt;Assets!$J$2,TransIDDate,0),0),1),IF($B10="DIS",0,MIN(SUMIFS(TransTDCost,TransAsset,$C10,TransDate,"&lt;="&amp;$L10)+IF($U10=0,0,MIN(($S10-$V10)/($U10*12)*(((YEAR(Assets!$J$2)*12)+MONTH(Assets!$J$2)-1)-((YEAR($L10)*12)+MONTH($L10)-1)),$S10-$V10)),SUMIFS(TransTDCost,TransAsset,$C10,TransDate,"&lt;="&amp;$L10)+IF($U10=0,0,MIN(($T10-$V10)/($U10*12)*(((YEAR(Assets!$J$2)*12)+MONTH(Assets!$J$2)-1)-((YEAR($L10)*12)+MONTH($L10)-1)),$T10-$V10)),$T10-$V10)),0)</f>
        <v>0</v>
      </c>
    </row>
    <row r="11" spans="1:47" ht="16" customHeight="1" x14ac:dyDescent="0.25">
      <c r="A11" s="33">
        <v>42205</v>
      </c>
      <c r="B11" s="4" t="s">
        <v>79</v>
      </c>
      <c r="C11" s="8" t="s">
        <v>272</v>
      </c>
      <c r="D11" s="3" t="s">
        <v>274</v>
      </c>
      <c r="E11" s="3" t="s">
        <v>275</v>
      </c>
      <c r="F11" s="28">
        <v>1500000</v>
      </c>
      <c r="G11" s="28">
        <v>0</v>
      </c>
      <c r="H11" s="28">
        <v>0</v>
      </c>
      <c r="I11" s="28">
        <v>0</v>
      </c>
      <c r="J11" s="59" t="str" cm="1">
        <f t="array" aca="1" ref="J11" ca="1">IF(ISNA(VLOOKUP($C11,AssetCode,1,0))=TRUE,"E3",IF(OR(ISBLANK($B11)=TRUE,SUMPRODUCT((TransAsset=$C11)*(TransIDDate&lt;$L11)*(TransType="DIS")*(1))&gt;0),"E4",IF(SUMPRODUCT((TransAsset=$C11)*(TransType="ACQ")*(1))&gt;1,"E5",IF(OR($F11&lt;0,AND(TransType="DIS",$F11&lt;&gt;0)=TRUE),"E6",IF(OR(AND($G11&lt;0,TransType&lt;&gt;"DIS")=TRUE,AND(TransType="DIS",$G11&lt;&gt;0)=TRUE),"E7",IF(OR($H11&lt;0,AND(TransType="DIS",$H11&lt;&gt;0)=TRUE,$H11&gt;$F11),"E8",IF($I11&lt;0,"E9","-")))))))</f>
        <v>-</v>
      </c>
      <c r="K11" s="60" t="str">
        <f>IF(ISNA(VLOOKUP($C11,AssetAll,COLUMN(Assets!$E$4),0))=TRUE,"add!",VLOOKUP($C11,AssetAll,COLUMN(Assets!$E$4),0))</f>
        <v>LBU01</v>
      </c>
      <c r="L11" s="61">
        <f t="shared" ca="1" si="0"/>
        <v>42205.000127314815</v>
      </c>
      <c r="M11" s="61">
        <f t="array" aca="1" ref="M11" ca="1">IF(ISBLANK($C11)=TRUE,0,LARGE(IF(TransAsset=$C11,IF(TransIDDate&lt;$L11,TransIDDate,0),0),1))</f>
        <v>0</v>
      </c>
      <c r="N11" s="61">
        <f t="array" aca="1" ref="N11" ca="1">IF(ISBLANK($C11)=TRUE,0,SMALL(IF(TransAsset=$C11,IF(TransIDDate&gt;$L11,TransIDDate,(Assets!$I$2+1)),(Assets!$I$2+1)),1))</f>
        <v>43891.000555555554</v>
      </c>
      <c r="O11" s="61">
        <f t="shared" ca="1" si="1"/>
        <v>42185</v>
      </c>
      <c r="P11" s="61">
        <f ca="1">IF(OR($N11&lt;Assets!$H$2,$O11&lt;Assets!$H$2,$L11&gt;(Assets!$I$2+1)),0,IF($B11="DIS",IF($L11&lt;Assets!$H$2,0,IF($L11&lt;(Assets!$I$2+1),DATE(YEAR($L11),MONTH($L11),0),Assets!$H$2)),IF($L11&lt;Assets!$H$2,Assets!$H$2,DATE(YEAR($L11),MONTH($L11),1))))</f>
        <v>0</v>
      </c>
      <c r="Q11" s="61">
        <f ca="1">IF($P11=0,0,IF($B11="DIS",IF($L11&gt;(Assets!$I$2+1),MIN(Assets!$I$2,$O11),MIN($L11,$O11)),IF($N11&lt;(Assets!$I$2+1),MIN(IF(DATE(YEAR($N11),MONTH($N11),0)&lt;$P11,$P11,DATE(YEAR($N11),MONTH($N11),0)),$O11),MIN(Assets!$I$2,$O11))))</f>
        <v>0</v>
      </c>
      <c r="R11" s="60">
        <f t="shared" ca="1" si="2"/>
        <v>0</v>
      </c>
      <c r="S11" s="60">
        <f t="shared" si="3"/>
        <v>1500000</v>
      </c>
      <c r="T11" s="60" cm="1">
        <f t="array" ref="T11">IF(ISBLANK($B11)=FALSE,SUMIFS(TransAmount,TransAsset,$C11,TransType,"ACQ"),0)</f>
        <v>1500000</v>
      </c>
      <c r="U11" s="60">
        <f t="shared" si="4"/>
        <v>0</v>
      </c>
      <c r="V11" s="60">
        <f t="shared" si="5"/>
        <v>0</v>
      </c>
      <c r="W11" s="28">
        <f t="shared" ca="1" si="6"/>
        <v>0</v>
      </c>
      <c r="X11" s="28">
        <f t="shared" ca="1" si="7"/>
        <v>0</v>
      </c>
      <c r="Y11" s="28">
        <f t="shared" ca="1" si="8"/>
        <v>0</v>
      </c>
      <c r="Z11" s="28">
        <f t="shared" ca="1" si="9"/>
        <v>0</v>
      </c>
      <c r="AA11" s="28">
        <f t="shared" ca="1" si="10"/>
        <v>0</v>
      </c>
      <c r="AB11" s="28" cm="1">
        <f t="array" aca="1" ref="AB11" ca="1">IF(SUMIFS(TransTDCost,TransAsset,$C11,TransDate,"&lt;="&amp;$L11)&gt;($T11-$X11),($T11-$X11),SUMIFS(TransTDCost,TransAsset,$C11,TransDate,"&lt;="&amp;$L11))</f>
        <v>0</v>
      </c>
      <c r="AC11" s="28">
        <f t="shared" ca="1" si="11"/>
        <v>0</v>
      </c>
      <c r="AD11" s="28">
        <f t="array" aca="1" ref="AD11" ca="1">IF($L11=LARGE(IF(TransAsset=$C11,IF(TransIDDate&lt;Assets!$H$2,TransIDDate,0),0),1),IF($B11="DIS",$AC11,SUMIFS(TransCAccDep,TransAsset,$C11,TransDate,"&lt;="&amp;$L11)+IF($U11=0,0,MIN(($S11-$V11)/($U11*12)*(((YEAR(Assets!$H$2)*12)+MONTH(Assets!$H$2)-1)-((YEAR($L11)*12)+MONTH($L11)-1)),$S11-$V11))),0)-$AO11</f>
        <v>0</v>
      </c>
      <c r="AE11" s="28">
        <f t="shared" ca="1" si="12"/>
        <v>0</v>
      </c>
      <c r="AF11" s="28">
        <f t="shared" ca="1" si="13"/>
        <v>0</v>
      </c>
      <c r="AG11" s="28">
        <f t="shared" ca="1" si="14"/>
        <v>0</v>
      </c>
      <c r="AH11" s="28">
        <f t="shared" ca="1" si="15"/>
        <v>0</v>
      </c>
      <c r="AI11" s="28" cm="1">
        <f t="array" ref="AI11">IF($B11="REV",IF($S11-$AA11+$AE11&gt;0,IF(SUMIFS(TransImpair,TransAsset,$C11,TransDate,"&lt;"&amp;$M11)&gt;0,IF(SUMIFS(TransImpair,TransAsset,$C11,TransDate,"&lt;"&amp;$M11)&gt;$S11-$AA11+$AE11,-($S11-$AA11+$AE11),-SUMIFS(TransImpair,TransAsset,$C11,TransDate,"&lt;"&amp;$M11)),0),-($S11-$AA11+$AE11)),0)</f>
        <v>0</v>
      </c>
      <c r="AJ11" s="28">
        <f t="shared" si="16"/>
        <v>0</v>
      </c>
      <c r="AK11" s="28">
        <f t="shared" si="17"/>
        <v>0</v>
      </c>
      <c r="AL11" s="28">
        <f t="shared" si="18"/>
        <v>0</v>
      </c>
      <c r="AM11" s="28" cm="1">
        <f t="array" ref="AM11">IF($AN11&gt;($T11-$V11),($T11-$V11)-SUMIFS(TransPCAccDep,TransAsset,$C11,TransDate,"&lt;="&amp;$L11),$AL11)</f>
        <v>0</v>
      </c>
      <c r="AN11" s="28" cm="1">
        <f t="array" ref="AN11">IF($AL11=0,0,SUMIFS(TransCCYDep2,TransAsset,$C11,TransDate,"&lt;="&amp;$L11)+SUMIFS(TransPCAccDep,TransAsset,$C11,TransDate,"&lt;="&amp;$L11))</f>
        <v>0</v>
      </c>
      <c r="AO11" s="28">
        <f t="array" aca="1" ref="AO11" ca="1">IF($L11=LARGE(IF(TransAsset=$C11,IF(TransIDDate&lt;Assets!$H$2,TransIDDate,0),0),1),IF($B11="DIS",0,MIN(SUMIFS(TransTDCost,TransAsset,$C11,TransDate,"&lt;="&amp;$L11)+IF($U11=0,0,MIN(($S11-$V11)/($U11*12)*(((YEAR(Assets!$H$2)*12)+MONTH(Assets!$H$2)-1)-((YEAR($L11)*12)+MONTH($L11)-1)),$S11-$V11)),SUMIFS(TransTDCost,TransAsset,$C11,TransDate,"&lt;="&amp;$L11)+IF($U11=0,0,MIN(($T11-$V11)/($U11*12)*(((YEAR(Assets!$H$2)*12)+MONTH(Assets!$H$2)-1)-((YEAR($L11)*12)+MONTH($L11)-1)),$T11-$V11)),$T11-$V11)),0)</f>
        <v>0</v>
      </c>
      <c r="AP11" s="28">
        <f t="shared" ca="1" si="19"/>
        <v>0</v>
      </c>
      <c r="AQ11" s="60">
        <f ca="1">IF(SUMPRODUCT((TransAsset=$C11)*(TransType="DIS")*(TransIDDate&lt;(Assets!$I$2+1))*(1))&gt;0,0,IF(AND($AR11=0,DATE(YEAR($L11),MONTH($L11),1)&lt;&gt;DATE(YEAR(Assets!$J$2),MONTH(Assets!$J$2),1)),0,IF(DATE(YEAR($Q11),MONTH($Q11),1)&lt;&gt;DATE(YEAR(Assets!$I$2),MONTH(Assets!$I$2),1),0,IF($AR11=$S11-$V11,0,IF($U11=0,0,MIN(($S11-$V11)/($U11*12),($S11-$V11)-$AR11))))))</f>
        <v>0</v>
      </c>
      <c r="AR11" s="60">
        <f t="array" aca="1" ref="AR11" ca="1">IF($L11=LARGE(IF(TransAsset=$C11,IF(TransIDDate&lt;Assets!$J$2,TransIDDate,0),0),1),IF($B11="DIS",0,MIN(IF($U11=0,0,(($S11-$V11)/($U11*12)*(((YEAR(Assets!$J$2)*12)+MONTH(Assets!$J$2)-1)-((YEAR($L11)*12)+MONTH($L11)-1)))),($S11-$V11))),0)</f>
        <v>0</v>
      </c>
      <c r="AS11" s="60">
        <f t="shared" si="20"/>
        <v>0</v>
      </c>
      <c r="AT11" s="28" cm="1">
        <f t="array" aca="1" ref="AT11" ca="1">IF(SUMPRODUCT((TransAsset=$C11)*(TransType="DIS")*(TransIDDate&lt;(Assets!$I$2+1))*(1))&gt;0,0,IF(AND($AU11=0,DATE(YEAR($L11),MONTH($L11),1)&lt;&gt;DATE(YEAR(Assets!$J$2),MONTH(Assets!$J$2),1)),0,IF(DATE(YEAR($Q11),MONTH($Q11),1)&lt;&gt;DATE(YEAR(Assets!$I$2),MONTH(Assets!$I$2),1),0,IF(SUMIFS(TransPMAccDep,TransAsset,$C11)&gt;=($T11-$V11),($T11-$V11)-SUMIFS(TransPMAccDep,TransAsset,$C11),IF($U11=0,0,IF($S11&lt;$T11,MIN(($S11-$V11)/($U11*12),($T11-$V11)-$AU11),MIN(($T11-$V11)/($U11*12),($T11-$V11)-$AU11)))))))</f>
        <v>0</v>
      </c>
      <c r="AU11" s="28">
        <f t="array" aca="1" ref="AU11" ca="1">IF($L11=LARGE(IF(TransAsset=$C11,IF(TransIDDate&lt;Assets!$J$2,TransIDDate,0),0),1),IF($B11="DIS",0,MIN(SUMIFS(TransTDCost,TransAsset,$C11,TransDate,"&lt;="&amp;$L11)+IF($U11=0,0,MIN(($S11-$V11)/($U11*12)*(((YEAR(Assets!$J$2)*12)+MONTH(Assets!$J$2)-1)-((YEAR($L11)*12)+MONTH($L11)-1)),$S11-$V11)),SUMIFS(TransTDCost,TransAsset,$C11,TransDate,"&lt;="&amp;$L11)+IF($U11=0,0,MIN(($T11-$V11)/($U11*12)*(((YEAR(Assets!$J$2)*12)+MONTH(Assets!$J$2)-1)-((YEAR($L11)*12)+MONTH($L11)-1)),$T11-$V11)),$T11-$V11)),0)</f>
        <v>0</v>
      </c>
    </row>
    <row r="12" spans="1:47" ht="16" customHeight="1" x14ac:dyDescent="0.25">
      <c r="A12" s="33">
        <v>42205</v>
      </c>
      <c r="B12" s="4" t="s">
        <v>79</v>
      </c>
      <c r="C12" s="8" t="s">
        <v>326</v>
      </c>
      <c r="D12" s="3" t="s">
        <v>274</v>
      </c>
      <c r="E12" s="3" t="s">
        <v>275</v>
      </c>
      <c r="F12" s="28">
        <v>252200</v>
      </c>
      <c r="G12" s="28">
        <v>5</v>
      </c>
      <c r="H12" s="28">
        <v>15000</v>
      </c>
      <c r="I12" s="28">
        <v>0</v>
      </c>
      <c r="J12" s="59" t="str" cm="1">
        <f t="array" aca="1" ref="J12" ca="1">IF(ISNA(VLOOKUP($C12,AssetCode,1,0))=TRUE,"E3",IF(OR(ISBLANK($B12)=TRUE,SUMPRODUCT((TransAsset=$C12)*(TransIDDate&lt;$L12)*(TransType="DIS")*(1))&gt;0),"E4",IF(SUMPRODUCT((TransAsset=$C12)*(TransType="ACQ")*(1))&gt;1,"E5",IF(OR($F12&lt;0,AND(TransType="DIS",$F12&lt;&gt;0)=TRUE),"E6",IF(OR(AND($G12&lt;0,TransType&lt;&gt;"DIS")=TRUE,AND(TransType="DIS",$G12&lt;&gt;0)=TRUE),"E7",IF(OR($H12&lt;0,AND(TransType="DIS",$H12&lt;&gt;0)=TRUE,$H12&gt;$F12),"E8",IF($I12&lt;0,"E9","-")))))))</f>
        <v>-</v>
      </c>
      <c r="K12" s="60" t="str">
        <f>IF(ISNA(VLOOKUP($C12,AssetAll,COLUMN(Assets!$E$4),0))=TRUE,"add!",VLOOKUP($C12,AssetAll,COLUMN(Assets!$E$4),0))</f>
        <v>MVH01</v>
      </c>
      <c r="L12" s="61">
        <f t="shared" ca="1" si="0"/>
        <v>42205.000138888892</v>
      </c>
      <c r="M12" s="61">
        <f t="array" aca="1" ref="M12" ca="1">IF(ISBLANK($C12)=TRUE,0,LARGE(IF(TransAsset=$C12,IF(TransIDDate&lt;$L12,TransIDDate,0),0),1))</f>
        <v>0</v>
      </c>
      <c r="N12" s="61">
        <f t="array" aca="1" ref="N12" ca="1">IF(ISBLANK($C12)=TRUE,0,SMALL(IF(TransAsset=$C12,IF(TransIDDate&gt;$L12,TransIDDate,(Assets!$I$2+1)),(Assets!$I$2+1)),1))</f>
        <v>43891.000567129631</v>
      </c>
      <c r="O12" s="61">
        <f t="shared" ca="1" si="1"/>
        <v>44012</v>
      </c>
      <c r="P12" s="61">
        <f ca="1">IF(OR($N12&lt;Assets!$H$2,$O12&lt;Assets!$H$2,$L12&gt;(Assets!$I$2+1)),0,IF($B12="DIS",IF($L12&lt;Assets!$H$2,0,IF($L12&lt;(Assets!$I$2+1),DATE(YEAR($L12),MONTH($L12),0),Assets!$H$2)),IF($L12&lt;Assets!$H$2,Assets!$H$2,DATE(YEAR($L12),MONTH($L12),1))))</f>
        <v>43891</v>
      </c>
      <c r="Q12" s="61">
        <f ca="1">IF($P12=0,0,IF($B12="DIS",IF($L12&gt;(Assets!$I$2+1),MIN(Assets!$I$2,$O12),MIN($L12,$O12)),IF($N12&lt;(Assets!$I$2+1),MIN(IF(DATE(YEAR($N12),MONTH($N12),0)&lt;$P12,$P12,DATE(YEAR($N12),MONTH($N12),0)),$O12),MIN(Assets!$I$2,$O12))))</f>
        <v>43891</v>
      </c>
      <c r="R12" s="60">
        <f t="shared" ca="1" si="2"/>
        <v>0</v>
      </c>
      <c r="S12" s="60">
        <f t="shared" si="3"/>
        <v>252200</v>
      </c>
      <c r="T12" s="60" cm="1">
        <f t="array" ref="T12">IF(ISBLANK($B12)=FALSE,SUMIFS(TransAmount,TransAsset,$C12,TransType,"ACQ"),0)</f>
        <v>252200</v>
      </c>
      <c r="U12" s="60">
        <f t="shared" si="4"/>
        <v>5</v>
      </c>
      <c r="V12" s="60">
        <f t="shared" si="5"/>
        <v>15000</v>
      </c>
      <c r="W12" s="28">
        <f t="shared" ca="1" si="6"/>
        <v>0</v>
      </c>
      <c r="X12" s="28">
        <f t="shared" ca="1" si="7"/>
        <v>0</v>
      </c>
      <c r="Y12" s="28">
        <f t="shared" ca="1" si="8"/>
        <v>0</v>
      </c>
      <c r="Z12" s="28">
        <f t="shared" ca="1" si="9"/>
        <v>0</v>
      </c>
      <c r="AA12" s="28">
        <f t="shared" ca="1" si="10"/>
        <v>0</v>
      </c>
      <c r="AB12" s="28" cm="1">
        <f t="array" aca="1" ref="AB12" ca="1">IF(SUMIFS(TransTDCost,TransAsset,$C12,TransDate,"&lt;="&amp;$L12)&gt;($T12-$X12),($T12-$X12),SUMIFS(TransTDCost,TransAsset,$C12,TransDate,"&lt;="&amp;$L12))</f>
        <v>0</v>
      </c>
      <c r="AC12" s="28">
        <f t="shared" ca="1" si="11"/>
        <v>0</v>
      </c>
      <c r="AD12" s="28">
        <f t="array" aca="1" ref="AD12" ca="1">IF($L12=LARGE(IF(TransAsset=$C12,IF(TransIDDate&lt;Assets!$H$2,TransIDDate,0),0),1),IF($B12="DIS",$AC12,SUMIFS(TransCAccDep,TransAsset,$C12,TransDate,"&lt;="&amp;$L12)+IF($U12=0,0,MIN(($S12-$V12)/($U12*12)*(((YEAR(Assets!$H$2)*12)+MONTH(Assets!$H$2)-1)-((YEAR($L12)*12)+MONTH($L12)-1)),$S12-$V12))),0)-$AO12</f>
        <v>0</v>
      </c>
      <c r="AE12" s="28">
        <f t="shared" ca="1" si="12"/>
        <v>0</v>
      </c>
      <c r="AF12" s="28">
        <f t="shared" ca="1" si="13"/>
        <v>0</v>
      </c>
      <c r="AG12" s="28">
        <f t="shared" ca="1" si="14"/>
        <v>0</v>
      </c>
      <c r="AH12" s="28">
        <f t="shared" ca="1" si="15"/>
        <v>0</v>
      </c>
      <c r="AI12" s="28" cm="1">
        <f t="array" ref="AI12">IF($B12="REV",IF($S12-$AA12+$AE12&gt;0,IF(SUMIFS(TransImpair,TransAsset,$C12,TransDate,"&lt;"&amp;$M12)&gt;0,IF(SUMIFS(TransImpair,TransAsset,$C12,TransDate,"&lt;"&amp;$M12)&gt;$S12-$AA12+$AE12,-($S12-$AA12+$AE12),-SUMIFS(TransImpair,TransAsset,$C12,TransDate,"&lt;"&amp;$M12)),0),-($S12-$AA12+$AE12)),0)</f>
        <v>0</v>
      </c>
      <c r="AJ12" s="28">
        <f t="shared" si="16"/>
        <v>0</v>
      </c>
      <c r="AK12" s="28">
        <f t="shared" ca="1" si="17"/>
        <v>0</v>
      </c>
      <c r="AL12" s="28">
        <f t="shared" ca="1" si="18"/>
        <v>0</v>
      </c>
      <c r="AM12" s="28" cm="1">
        <f t="array" aca="1" ref="AM12" ca="1">IF($AN12&gt;($T12-$V12),($T12-$V12)-SUMIFS(TransPCAccDep,TransAsset,$C12,TransDate,"&lt;="&amp;$L12),$AL12)</f>
        <v>0</v>
      </c>
      <c r="AN12" s="28" cm="1">
        <f t="array" aca="1" ref="AN12" ca="1">IF($AL12=0,0,SUMIFS(TransCCYDep2,TransAsset,$C12,TransDate,"&lt;="&amp;$L12)+SUMIFS(TransPCAccDep,TransAsset,$C12,TransDate,"&lt;="&amp;$L12))</f>
        <v>0</v>
      </c>
      <c r="AO12" s="28">
        <f t="array" aca="1" ref="AO12" ca="1">IF($L12=LARGE(IF(TransAsset=$C12,IF(TransIDDate&lt;Assets!$H$2,TransIDDate,0),0),1),IF($B12="DIS",0,MIN(SUMIFS(TransTDCost,TransAsset,$C12,TransDate,"&lt;="&amp;$L12)+IF($U12=0,0,MIN(($S12-$V12)/($U12*12)*(((YEAR(Assets!$H$2)*12)+MONTH(Assets!$H$2)-1)-((YEAR($L12)*12)+MONTH($L12)-1)),$S12-$V12)),SUMIFS(TransTDCost,TransAsset,$C12,TransDate,"&lt;="&amp;$L12)+IF($U12=0,0,MIN(($T12-$V12)/($U12*12)*(((YEAR(Assets!$H$2)*12)+MONTH(Assets!$H$2)-1)-((YEAR($L12)*12)+MONTH($L12)-1)),$T12-$V12)),$T12-$V12)),0)</f>
        <v>221386.66666666669</v>
      </c>
      <c r="AP12" s="28">
        <f t="shared" ca="1" si="19"/>
        <v>0</v>
      </c>
      <c r="AQ12" s="60">
        <f ca="1">IF(SUMPRODUCT((TransAsset=$C12)*(TransType="DIS")*(TransIDDate&lt;(Assets!$I$2+1))*(1))&gt;0,0,IF(AND($AR12=0,DATE(YEAR($L12),MONTH($L12),1)&lt;&gt;DATE(YEAR(Assets!$J$2),MONTH(Assets!$J$2),1)),0,IF(DATE(YEAR($Q12),MONTH($Q12),1)&lt;&gt;DATE(YEAR(Assets!$I$2),MONTH(Assets!$I$2),1),0,IF($AR12=$S12-$V12,0,IF($U12=0,0,MIN(($S12-$V12)/($U12*12),($S12-$V12)-$AR12))))))</f>
        <v>0</v>
      </c>
      <c r="AR12" s="60">
        <f t="array" aca="1" ref="AR12" ca="1">IF($L12=LARGE(IF(TransAsset=$C12,IF(TransIDDate&lt;Assets!$J$2,TransIDDate,0),0),1),IF($B12="DIS",0,MIN(IF($U12=0,0,(($S12-$V12)/($U12*12)*(((YEAR(Assets!$J$2)*12)+MONTH(Assets!$J$2)-1)-((YEAR($L12)*12)+MONTH($L12)-1)))),($S12-$V12))),0)</f>
        <v>0</v>
      </c>
      <c r="AS12" s="60">
        <f t="shared" si="20"/>
        <v>3953.3333333333335</v>
      </c>
      <c r="AT12" s="28" cm="1">
        <f t="array" aca="1" ref="AT12" ca="1">IF(SUMPRODUCT((TransAsset=$C12)*(TransType="DIS")*(TransIDDate&lt;(Assets!$I$2+1))*(1))&gt;0,0,IF(AND($AU12=0,DATE(YEAR($L12),MONTH($L12),1)&lt;&gt;DATE(YEAR(Assets!$J$2),MONTH(Assets!$J$2),1)),0,IF(DATE(YEAR($Q12),MONTH($Q12),1)&lt;&gt;DATE(YEAR(Assets!$I$2),MONTH(Assets!$I$2),1),0,IF(SUMIFS(TransPMAccDep,TransAsset,$C12)&gt;=($T12-$V12),($T12-$V12)-SUMIFS(TransPMAccDep,TransAsset,$C12),IF($U12=0,0,IF($S12&lt;$T12,MIN(($S12-$V12)/($U12*12),($T12-$V12)-$AU12),MIN(($T12-$V12)/($U12*12),($T12-$V12)-$AU12)))))))</f>
        <v>0</v>
      </c>
      <c r="AU12" s="28">
        <f t="array" aca="1" ref="AU12" ca="1">IF($L12=LARGE(IF(TransAsset=$C12,IF(TransIDDate&lt;Assets!$J$2,TransIDDate,0),0),1),IF($B12="DIS",0,MIN(SUMIFS(TransTDCost,TransAsset,$C12,TransDate,"&lt;="&amp;$L12)+IF($U12=0,0,MIN(($S12-$V12)/($U12*12)*(((YEAR(Assets!$J$2)*12)+MONTH(Assets!$J$2)-1)-((YEAR($L12)*12)+MONTH($L12)-1)),$S12-$V12)),SUMIFS(TransTDCost,TransAsset,$C12,TransDate,"&lt;="&amp;$L12)+IF($U12=0,0,MIN(($T12-$V12)/($U12*12)*(((YEAR(Assets!$J$2)*12)+MONTH(Assets!$J$2)-1)-((YEAR($L12)*12)+MONTH($L12)-1)),$T12-$V12)),$T12-$V12)),0)</f>
        <v>0</v>
      </c>
    </row>
    <row r="13" spans="1:47" ht="16" customHeight="1" x14ac:dyDescent="0.25">
      <c r="A13" s="33">
        <v>42205</v>
      </c>
      <c r="B13" s="4" t="s">
        <v>79</v>
      </c>
      <c r="C13" s="8" t="s">
        <v>307</v>
      </c>
      <c r="D13" s="3" t="s">
        <v>274</v>
      </c>
      <c r="E13" s="3" t="s">
        <v>275</v>
      </c>
      <c r="F13" s="28">
        <v>3400</v>
      </c>
      <c r="G13" s="28">
        <v>4</v>
      </c>
      <c r="H13" s="28">
        <v>0</v>
      </c>
      <c r="I13" s="28">
        <v>0</v>
      </c>
      <c r="J13" s="59" t="str" cm="1">
        <f t="array" aca="1" ref="J13" ca="1">IF(ISNA(VLOOKUP($C13,AssetCode,1,0))=TRUE,"E3",IF(OR(ISBLANK($B13)=TRUE,SUMPRODUCT((TransAsset=$C13)*(TransIDDate&lt;$L13)*(TransType="DIS")*(1))&gt;0),"E4",IF(SUMPRODUCT((TransAsset=$C13)*(TransType="ACQ")*(1))&gt;1,"E5",IF(OR($F13&lt;0,AND(TransType="DIS",$F13&lt;&gt;0)=TRUE),"E6",IF(OR(AND($G13&lt;0,TransType&lt;&gt;"DIS")=TRUE,AND(TransType="DIS",$G13&lt;&gt;0)=TRUE),"E7",IF(OR($H13&lt;0,AND(TransType="DIS",$H13&lt;&gt;0)=TRUE,$H13&gt;$F13),"E8",IF($I13&lt;0,"E9","-")))))))</f>
        <v>-</v>
      </c>
      <c r="K13" s="60" t="str">
        <f>IF(ISNA(VLOOKUP($C13,AssetAll,COLUMN(Assets!$E$4),0))=TRUE,"add!",VLOOKUP($C13,AssetAll,COLUMN(Assets!$E$4),0))</f>
        <v>OFE01</v>
      </c>
      <c r="L13" s="61">
        <f t="shared" ca="1" si="0"/>
        <v>42205.000150462962</v>
      </c>
      <c r="M13" s="61">
        <f t="array" aca="1" ref="M13" ca="1">IF(ISBLANK($C13)=TRUE,0,LARGE(IF(TransAsset=$C13,IF(TransIDDate&lt;$L13,TransIDDate,0),0),1))</f>
        <v>0</v>
      </c>
      <c r="N13" s="61">
        <f t="array" aca="1" ref="N13" ca="1">IF(ISBLANK($C13)=TRUE,0,SMALL(IF(TransAsset=$C13,IF(TransIDDate&gt;$L13,TransIDDate,(Assets!$I$2+1)),(Assets!$I$2+1)),1))</f>
        <v>43891.000578703701</v>
      </c>
      <c r="O13" s="61">
        <f t="shared" ca="1" si="1"/>
        <v>43646</v>
      </c>
      <c r="P13" s="61">
        <f ca="1">IF(OR($N13&lt;Assets!$H$2,$O13&lt;Assets!$H$2,$L13&gt;(Assets!$I$2+1)),0,IF($B13="DIS",IF($L13&lt;Assets!$H$2,0,IF($L13&lt;(Assets!$I$2+1),DATE(YEAR($L13),MONTH($L13),0),Assets!$H$2)),IF($L13&lt;Assets!$H$2,Assets!$H$2,DATE(YEAR($L13),MONTH($L13),1))))</f>
        <v>0</v>
      </c>
      <c r="Q13" s="61">
        <f ca="1">IF($P13=0,0,IF($B13="DIS",IF($L13&gt;(Assets!$I$2+1),MIN(Assets!$I$2,$O13),MIN($L13,$O13)),IF($N13&lt;(Assets!$I$2+1),MIN(IF(DATE(YEAR($N13),MONTH($N13),0)&lt;$P13,$P13,DATE(YEAR($N13),MONTH($N13),0)),$O13),MIN(Assets!$I$2,$O13))))</f>
        <v>0</v>
      </c>
      <c r="R13" s="60">
        <f t="shared" ca="1" si="2"/>
        <v>0</v>
      </c>
      <c r="S13" s="60">
        <f t="shared" si="3"/>
        <v>3400</v>
      </c>
      <c r="T13" s="60" cm="1">
        <f t="array" ref="T13">IF(ISBLANK($B13)=FALSE,SUMIFS(TransAmount,TransAsset,$C13,TransType,"ACQ"),0)</f>
        <v>3400</v>
      </c>
      <c r="U13" s="60">
        <f t="shared" si="4"/>
        <v>4</v>
      </c>
      <c r="V13" s="60">
        <f t="shared" si="5"/>
        <v>0</v>
      </c>
      <c r="W13" s="28">
        <f t="shared" ca="1" si="6"/>
        <v>0</v>
      </c>
      <c r="X13" s="28">
        <f t="shared" ca="1" si="7"/>
        <v>0</v>
      </c>
      <c r="Y13" s="28">
        <f t="shared" ca="1" si="8"/>
        <v>0</v>
      </c>
      <c r="Z13" s="28">
        <f t="shared" ca="1" si="9"/>
        <v>0</v>
      </c>
      <c r="AA13" s="28">
        <f t="shared" ca="1" si="10"/>
        <v>0</v>
      </c>
      <c r="AB13" s="28" cm="1">
        <f t="array" aca="1" ref="AB13" ca="1">IF(SUMIFS(TransTDCost,TransAsset,$C13,TransDate,"&lt;="&amp;$L13)&gt;($T13-$X13),($T13-$X13),SUMIFS(TransTDCost,TransAsset,$C13,TransDate,"&lt;="&amp;$L13))</f>
        <v>0</v>
      </c>
      <c r="AC13" s="28">
        <f t="shared" ca="1" si="11"/>
        <v>0</v>
      </c>
      <c r="AD13" s="28">
        <f t="array" aca="1" ref="AD13" ca="1">IF($L13=LARGE(IF(TransAsset=$C13,IF(TransIDDate&lt;Assets!$H$2,TransIDDate,0),0),1),IF($B13="DIS",$AC13,SUMIFS(TransCAccDep,TransAsset,$C13,TransDate,"&lt;="&amp;$L13)+IF($U13=0,0,MIN(($S13-$V13)/($U13*12)*(((YEAR(Assets!$H$2)*12)+MONTH(Assets!$H$2)-1)-((YEAR($L13)*12)+MONTH($L13)-1)),$S13-$V13))),0)-$AO13</f>
        <v>0</v>
      </c>
      <c r="AE13" s="28">
        <f t="shared" ca="1" si="12"/>
        <v>0</v>
      </c>
      <c r="AF13" s="28">
        <f t="shared" ca="1" si="13"/>
        <v>0</v>
      </c>
      <c r="AG13" s="28">
        <f t="shared" ca="1" si="14"/>
        <v>0</v>
      </c>
      <c r="AH13" s="28">
        <f t="shared" ca="1" si="15"/>
        <v>0</v>
      </c>
      <c r="AI13" s="28" cm="1">
        <f t="array" ref="AI13">IF($B13="REV",IF($S13-$AA13+$AE13&gt;0,IF(SUMIFS(TransImpair,TransAsset,$C13,TransDate,"&lt;"&amp;$M13)&gt;0,IF(SUMIFS(TransImpair,TransAsset,$C13,TransDate,"&lt;"&amp;$M13)&gt;$S13-$AA13+$AE13,-($S13-$AA13+$AE13),-SUMIFS(TransImpair,TransAsset,$C13,TransDate,"&lt;"&amp;$M13)),0),-($S13-$AA13+$AE13)),0)</f>
        <v>0</v>
      </c>
      <c r="AJ13" s="28">
        <f t="shared" si="16"/>
        <v>0</v>
      </c>
      <c r="AK13" s="28">
        <f t="shared" ca="1" si="17"/>
        <v>0</v>
      </c>
      <c r="AL13" s="28">
        <f t="shared" ca="1" si="18"/>
        <v>0</v>
      </c>
      <c r="AM13" s="28" cm="1">
        <f t="array" aca="1" ref="AM13" ca="1">IF($AN13&gt;($T13-$V13),($T13-$V13)-SUMIFS(TransPCAccDep,TransAsset,$C13,TransDate,"&lt;="&amp;$L13),$AL13)</f>
        <v>0</v>
      </c>
      <c r="AN13" s="28" cm="1">
        <f t="array" aca="1" ref="AN13" ca="1">IF($AL13=0,0,SUMIFS(TransCCYDep2,TransAsset,$C13,TransDate,"&lt;="&amp;$L13)+SUMIFS(TransPCAccDep,TransAsset,$C13,TransDate,"&lt;="&amp;$L13))</f>
        <v>0</v>
      </c>
      <c r="AO13" s="28">
        <f t="array" aca="1" ref="AO13" ca="1">IF($L13=LARGE(IF(TransAsset=$C13,IF(TransIDDate&lt;Assets!$H$2,TransIDDate,0),0),1),IF($B13="DIS",0,MIN(SUMIFS(TransTDCost,TransAsset,$C13,TransDate,"&lt;="&amp;$L13)+IF($U13=0,0,MIN(($S13-$V13)/($U13*12)*(((YEAR(Assets!$H$2)*12)+MONTH(Assets!$H$2)-1)-((YEAR($L13)*12)+MONTH($L13)-1)),$S13-$V13)),SUMIFS(TransTDCost,TransAsset,$C13,TransDate,"&lt;="&amp;$L13)+IF($U13=0,0,MIN(($T13-$V13)/($U13*12)*(((YEAR(Assets!$H$2)*12)+MONTH(Assets!$H$2)-1)-((YEAR($L13)*12)+MONTH($L13)-1)),$T13-$V13)),$T13-$V13)),0)</f>
        <v>3400</v>
      </c>
      <c r="AP13" s="28">
        <f t="shared" ca="1" si="19"/>
        <v>0</v>
      </c>
      <c r="AQ13" s="60">
        <f ca="1">IF(SUMPRODUCT((TransAsset=$C13)*(TransType="DIS")*(TransIDDate&lt;(Assets!$I$2+1))*(1))&gt;0,0,IF(AND($AR13=0,DATE(YEAR($L13),MONTH($L13),1)&lt;&gt;DATE(YEAR(Assets!$J$2),MONTH(Assets!$J$2),1)),0,IF(DATE(YEAR($Q13),MONTH($Q13),1)&lt;&gt;DATE(YEAR(Assets!$I$2),MONTH(Assets!$I$2),1),0,IF($AR13=$S13-$V13,0,IF($U13=0,0,MIN(($S13-$V13)/($U13*12),($S13-$V13)-$AR13))))))</f>
        <v>0</v>
      </c>
      <c r="AR13" s="60">
        <f t="array" aca="1" ref="AR13" ca="1">IF($L13=LARGE(IF(TransAsset=$C13,IF(TransIDDate&lt;Assets!$J$2,TransIDDate,0),0),1),IF($B13="DIS",0,MIN(IF($U13=0,0,(($S13-$V13)/($U13*12)*(((YEAR(Assets!$J$2)*12)+MONTH(Assets!$J$2)-1)-((YEAR($L13)*12)+MONTH($L13)-1)))),($S13-$V13))),0)</f>
        <v>0</v>
      </c>
      <c r="AS13" s="60">
        <f t="shared" si="20"/>
        <v>70.833333333333329</v>
      </c>
      <c r="AT13" s="28" cm="1">
        <f t="array" aca="1" ref="AT13" ca="1">IF(SUMPRODUCT((TransAsset=$C13)*(TransType="DIS")*(TransIDDate&lt;(Assets!$I$2+1))*(1))&gt;0,0,IF(AND($AU13=0,DATE(YEAR($L13),MONTH($L13),1)&lt;&gt;DATE(YEAR(Assets!$J$2),MONTH(Assets!$J$2),1)),0,IF(DATE(YEAR($Q13),MONTH($Q13),1)&lt;&gt;DATE(YEAR(Assets!$I$2),MONTH(Assets!$I$2),1),0,IF(SUMIFS(TransPMAccDep,TransAsset,$C13)&gt;=($T13-$V13),($T13-$V13)-SUMIFS(TransPMAccDep,TransAsset,$C13),IF($U13=0,0,IF($S13&lt;$T13,MIN(($S13-$V13)/($U13*12),($T13-$V13)-$AU13),MIN(($T13-$V13)/($U13*12),($T13-$V13)-$AU13)))))))</f>
        <v>0</v>
      </c>
      <c r="AU13" s="28">
        <f t="array" aca="1" ref="AU13" ca="1">IF($L13=LARGE(IF(TransAsset=$C13,IF(TransIDDate&lt;Assets!$J$2,TransIDDate,0),0),1),IF($B13="DIS",0,MIN(SUMIFS(TransTDCost,TransAsset,$C13,TransDate,"&lt;="&amp;$L13)+IF($U13=0,0,MIN(($S13-$V13)/($U13*12)*(((YEAR(Assets!$J$2)*12)+MONTH(Assets!$J$2)-1)-((YEAR($L13)*12)+MONTH($L13)-1)),$S13-$V13)),SUMIFS(TransTDCost,TransAsset,$C13,TransDate,"&lt;="&amp;$L13)+IF($U13=0,0,MIN(($T13-$V13)/($U13*12)*(((YEAR(Assets!$J$2)*12)+MONTH(Assets!$J$2)-1)-((YEAR($L13)*12)+MONTH($L13)-1)),$T13-$V13)),$T13-$V13)),0)</f>
        <v>0</v>
      </c>
    </row>
    <row r="14" spans="1:47" ht="16" customHeight="1" x14ac:dyDescent="0.25">
      <c r="A14" s="33">
        <v>42205</v>
      </c>
      <c r="B14" s="4" t="s">
        <v>79</v>
      </c>
      <c r="C14" s="8" t="s">
        <v>277</v>
      </c>
      <c r="D14" s="3" t="s">
        <v>274</v>
      </c>
      <c r="E14" s="3" t="s">
        <v>275</v>
      </c>
      <c r="F14" s="28">
        <v>120000</v>
      </c>
      <c r="G14" s="28">
        <v>5</v>
      </c>
      <c r="H14" s="28">
        <v>0</v>
      </c>
      <c r="I14" s="28">
        <v>0</v>
      </c>
      <c r="J14" s="59" t="str" cm="1">
        <f t="array" aca="1" ref="J14" ca="1">IF(ISNA(VLOOKUP($C14,AssetCode,1,0))=TRUE,"E3",IF(OR(ISBLANK($B14)=TRUE,SUMPRODUCT((TransAsset=$C14)*(TransIDDate&lt;$L14)*(TransType="DIS")*(1))&gt;0),"E4",IF(SUMPRODUCT((TransAsset=$C14)*(TransType="ACQ")*(1))&gt;1,"E5",IF(OR($F14&lt;0,AND(TransType="DIS",$F14&lt;&gt;0)=TRUE),"E6",IF(OR(AND($G14&lt;0,TransType&lt;&gt;"DIS")=TRUE,AND(TransType="DIS",$G14&lt;&gt;0)=TRUE),"E7",IF(OR($H14&lt;0,AND(TransType="DIS",$H14&lt;&gt;0)=TRUE,$H14&gt;$F14),"E8",IF($I14&lt;0,"E9","-")))))))</f>
        <v>-</v>
      </c>
      <c r="K14" s="60" t="str">
        <f>IF(ISNA(VLOOKUP($C14,AssetAll,COLUMN(Assets!$E$4),0))=TRUE,"add!",VLOOKUP($C14,AssetAll,COLUMN(Assets!$E$4),0))</f>
        <v>PPM01</v>
      </c>
      <c r="L14" s="61">
        <f t="shared" ca="1" si="0"/>
        <v>42205.000162037039</v>
      </c>
      <c r="M14" s="61">
        <f t="array" aca="1" ref="M14" ca="1">IF(ISBLANK($C14)=TRUE,0,LARGE(IF(TransAsset=$C14,IF(TransIDDate&lt;$L14,TransIDDate,0),0),1))</f>
        <v>0</v>
      </c>
      <c r="N14" s="61">
        <f t="array" aca="1" ref="N14" ca="1">IF(ISBLANK($C14)=TRUE,0,SMALL(IF(TransAsset=$C14,IF(TransIDDate&gt;$L14,TransIDDate,(Assets!$I$2+1)),(Assets!$I$2+1)),1))</f>
        <v>43891.000601851854</v>
      </c>
      <c r="O14" s="61">
        <f t="shared" ca="1" si="1"/>
        <v>44012</v>
      </c>
      <c r="P14" s="61">
        <f ca="1">IF(OR($N14&lt;Assets!$H$2,$O14&lt;Assets!$H$2,$L14&gt;(Assets!$I$2+1)),0,IF($B14="DIS",IF($L14&lt;Assets!$H$2,0,IF($L14&lt;(Assets!$I$2+1),DATE(YEAR($L14),MONTH($L14),0),Assets!$H$2)),IF($L14&lt;Assets!$H$2,Assets!$H$2,DATE(YEAR($L14),MONTH($L14),1))))</f>
        <v>43891</v>
      </c>
      <c r="Q14" s="61">
        <f ca="1">IF($P14=0,0,IF($B14="DIS",IF($L14&gt;(Assets!$I$2+1),MIN(Assets!$I$2,$O14),MIN($L14,$O14)),IF($N14&lt;(Assets!$I$2+1),MIN(IF(DATE(YEAR($N14),MONTH($N14),0)&lt;$P14,$P14,DATE(YEAR($N14),MONTH($N14),0)),$O14),MIN(Assets!$I$2,$O14))))</f>
        <v>43891</v>
      </c>
      <c r="R14" s="60">
        <f t="shared" ca="1" si="2"/>
        <v>0</v>
      </c>
      <c r="S14" s="60">
        <f t="shared" si="3"/>
        <v>120000</v>
      </c>
      <c r="T14" s="60" cm="1">
        <f t="array" ref="T14">IF(ISBLANK($B14)=FALSE,SUMIFS(TransAmount,TransAsset,$C14,TransType,"ACQ"),0)</f>
        <v>120000</v>
      </c>
      <c r="U14" s="60">
        <f t="shared" si="4"/>
        <v>5</v>
      </c>
      <c r="V14" s="60">
        <f t="shared" si="5"/>
        <v>0</v>
      </c>
      <c r="W14" s="28">
        <f t="shared" ca="1" si="6"/>
        <v>0</v>
      </c>
      <c r="X14" s="28">
        <f t="shared" ca="1" si="7"/>
        <v>0</v>
      </c>
      <c r="Y14" s="28">
        <f t="shared" ca="1" si="8"/>
        <v>0</v>
      </c>
      <c r="Z14" s="28">
        <f t="shared" ca="1" si="9"/>
        <v>0</v>
      </c>
      <c r="AA14" s="28">
        <f t="shared" ca="1" si="10"/>
        <v>0</v>
      </c>
      <c r="AB14" s="28" cm="1">
        <f t="array" aca="1" ref="AB14" ca="1">IF(SUMIFS(TransTDCost,TransAsset,$C14,TransDate,"&lt;="&amp;$L14)&gt;($T14-$X14),($T14-$X14),SUMIFS(TransTDCost,TransAsset,$C14,TransDate,"&lt;="&amp;$L14))</f>
        <v>0</v>
      </c>
      <c r="AC14" s="28">
        <f t="shared" ca="1" si="11"/>
        <v>0</v>
      </c>
      <c r="AD14" s="28">
        <f t="array" aca="1" ref="AD14" ca="1">IF($L14=LARGE(IF(TransAsset=$C14,IF(TransIDDate&lt;Assets!$H$2,TransIDDate,0),0),1),IF($B14="DIS",$AC14,SUMIFS(TransCAccDep,TransAsset,$C14,TransDate,"&lt;="&amp;$L14)+IF($U14=0,0,MIN(($S14-$V14)/($U14*12)*(((YEAR(Assets!$H$2)*12)+MONTH(Assets!$H$2)-1)-((YEAR($L14)*12)+MONTH($L14)-1)),$S14-$V14))),0)-$AO14</f>
        <v>0</v>
      </c>
      <c r="AE14" s="28">
        <f t="shared" ca="1" si="12"/>
        <v>0</v>
      </c>
      <c r="AF14" s="28">
        <f t="shared" ca="1" si="13"/>
        <v>0</v>
      </c>
      <c r="AG14" s="28">
        <f t="shared" ca="1" si="14"/>
        <v>0</v>
      </c>
      <c r="AH14" s="28">
        <f t="shared" ca="1" si="15"/>
        <v>0</v>
      </c>
      <c r="AI14" s="28" cm="1">
        <f t="array" ref="AI14">IF($B14="REV",IF($S14-$AA14+$AE14&gt;0,IF(SUMIFS(TransImpair,TransAsset,$C14,TransDate,"&lt;"&amp;$M14)&gt;0,IF(SUMIFS(TransImpair,TransAsset,$C14,TransDate,"&lt;"&amp;$M14)&gt;$S14-$AA14+$AE14,-($S14-$AA14+$AE14),-SUMIFS(TransImpair,TransAsset,$C14,TransDate,"&lt;"&amp;$M14)),0),-($S14-$AA14+$AE14)),0)</f>
        <v>0</v>
      </c>
      <c r="AJ14" s="28">
        <f t="shared" si="16"/>
        <v>0</v>
      </c>
      <c r="AK14" s="28">
        <f t="shared" ca="1" si="17"/>
        <v>0</v>
      </c>
      <c r="AL14" s="28">
        <f t="shared" ca="1" si="18"/>
        <v>0</v>
      </c>
      <c r="AM14" s="28" cm="1">
        <f t="array" aca="1" ref="AM14" ca="1">IF($AN14&gt;($T14-$V14),($T14-$V14)-SUMIFS(TransPCAccDep,TransAsset,$C14,TransDate,"&lt;="&amp;$L14),$AL14)</f>
        <v>0</v>
      </c>
      <c r="AN14" s="28" cm="1">
        <f t="array" aca="1" ref="AN14" ca="1">IF($AL14=0,0,SUMIFS(TransCCYDep2,TransAsset,$C14,TransDate,"&lt;="&amp;$L14)+SUMIFS(TransPCAccDep,TransAsset,$C14,TransDate,"&lt;="&amp;$L14))</f>
        <v>0</v>
      </c>
      <c r="AO14" s="28">
        <f t="array" aca="1" ref="AO14" ca="1">IF($L14=LARGE(IF(TransAsset=$C14,IF(TransIDDate&lt;Assets!$H$2,TransIDDate,0),0),1),IF($B14="DIS",0,MIN(SUMIFS(TransTDCost,TransAsset,$C14,TransDate,"&lt;="&amp;$L14)+IF($U14=0,0,MIN(($S14-$V14)/($U14*12)*(((YEAR(Assets!$H$2)*12)+MONTH(Assets!$H$2)-1)-((YEAR($L14)*12)+MONTH($L14)-1)),$S14-$V14)),SUMIFS(TransTDCost,TransAsset,$C14,TransDate,"&lt;="&amp;$L14)+IF($U14=0,0,MIN(($T14-$V14)/($U14*12)*(((YEAR(Assets!$H$2)*12)+MONTH(Assets!$H$2)-1)-((YEAR($L14)*12)+MONTH($L14)-1)),$T14-$V14)),$T14-$V14)),0)</f>
        <v>112000</v>
      </c>
      <c r="AP14" s="28">
        <f t="shared" ca="1" si="19"/>
        <v>0</v>
      </c>
      <c r="AQ14" s="60">
        <f ca="1">IF(SUMPRODUCT((TransAsset=$C14)*(TransType="DIS")*(TransIDDate&lt;(Assets!$I$2+1))*(1))&gt;0,0,IF(AND($AR14=0,DATE(YEAR($L14),MONTH($L14),1)&lt;&gt;DATE(YEAR(Assets!$J$2),MONTH(Assets!$J$2),1)),0,IF(DATE(YEAR($Q14),MONTH($Q14),1)&lt;&gt;DATE(YEAR(Assets!$I$2),MONTH(Assets!$I$2),1),0,IF($AR14=$S14-$V14,0,IF($U14=0,0,MIN(($S14-$V14)/($U14*12),($S14-$V14)-$AR14))))))</f>
        <v>0</v>
      </c>
      <c r="AR14" s="60">
        <f t="array" aca="1" ref="AR14" ca="1">IF($L14=LARGE(IF(TransAsset=$C14,IF(TransIDDate&lt;Assets!$J$2,TransIDDate,0),0),1),IF($B14="DIS",0,MIN(IF($U14=0,0,(($S14-$V14)/($U14*12)*(((YEAR(Assets!$J$2)*12)+MONTH(Assets!$J$2)-1)-((YEAR($L14)*12)+MONTH($L14)-1)))),($S14-$V14))),0)</f>
        <v>0</v>
      </c>
      <c r="AS14" s="60">
        <f t="shared" si="20"/>
        <v>2000</v>
      </c>
      <c r="AT14" s="28" cm="1">
        <f t="array" aca="1" ref="AT14" ca="1">IF(SUMPRODUCT((TransAsset=$C14)*(TransType="DIS")*(TransIDDate&lt;(Assets!$I$2+1))*(1))&gt;0,0,IF(AND($AU14=0,DATE(YEAR($L14),MONTH($L14),1)&lt;&gt;DATE(YEAR(Assets!$J$2),MONTH(Assets!$J$2),1)),0,IF(DATE(YEAR($Q14),MONTH($Q14),1)&lt;&gt;DATE(YEAR(Assets!$I$2),MONTH(Assets!$I$2),1),0,IF(SUMIFS(TransPMAccDep,TransAsset,$C14)&gt;=($T14-$V14),($T14-$V14)-SUMIFS(TransPMAccDep,TransAsset,$C14),IF($U14=0,0,IF($S14&lt;$T14,MIN(($S14-$V14)/($U14*12),($T14-$V14)-$AU14),MIN(($T14-$V14)/($U14*12),($T14-$V14)-$AU14)))))))</f>
        <v>0</v>
      </c>
      <c r="AU14" s="28">
        <f t="array" aca="1" ref="AU14" ca="1">IF($L14=LARGE(IF(TransAsset=$C14,IF(TransIDDate&lt;Assets!$J$2,TransIDDate,0),0),1),IF($B14="DIS",0,MIN(SUMIFS(TransTDCost,TransAsset,$C14,TransDate,"&lt;="&amp;$L14)+IF($U14=0,0,MIN(($S14-$V14)/($U14*12)*(((YEAR(Assets!$J$2)*12)+MONTH(Assets!$J$2)-1)-((YEAR($L14)*12)+MONTH($L14)-1)),$S14-$V14)),SUMIFS(TransTDCost,TransAsset,$C14,TransDate,"&lt;="&amp;$L14)+IF($U14=0,0,MIN(($T14-$V14)/($U14*12)*(((YEAR(Assets!$J$2)*12)+MONTH(Assets!$J$2)-1)-((YEAR($L14)*12)+MONTH($L14)-1)),$T14-$V14)),$T14-$V14)),0)</f>
        <v>0</v>
      </c>
    </row>
    <row r="15" spans="1:47" ht="16" customHeight="1" x14ac:dyDescent="0.25">
      <c r="A15" s="33">
        <v>42205</v>
      </c>
      <c r="B15" s="4" t="s">
        <v>79</v>
      </c>
      <c r="C15" s="8" t="s">
        <v>278</v>
      </c>
      <c r="D15" s="3" t="s">
        <v>274</v>
      </c>
      <c r="E15" s="3" t="s">
        <v>275</v>
      </c>
      <c r="F15" s="28">
        <v>200000</v>
      </c>
      <c r="G15" s="28">
        <v>5</v>
      </c>
      <c r="H15" s="28">
        <v>0</v>
      </c>
      <c r="I15" s="28">
        <v>0</v>
      </c>
      <c r="J15" s="59" t="str" cm="1">
        <f t="array" aca="1" ref="J15" ca="1">IF(ISNA(VLOOKUP($C15,AssetCode,1,0))=TRUE,"E3",IF(OR(ISBLANK($B15)=TRUE,SUMPRODUCT((TransAsset=$C15)*(TransIDDate&lt;$L15)*(TransType="DIS")*(1))&gt;0),"E4",IF(SUMPRODUCT((TransAsset=$C15)*(TransType="ACQ")*(1))&gt;1,"E5",IF(OR($F15&lt;0,AND(TransType="DIS",$F15&lt;&gt;0)=TRUE),"E6",IF(OR(AND($G15&lt;0,TransType&lt;&gt;"DIS")=TRUE,AND(TransType="DIS",$G15&lt;&gt;0)=TRUE),"E7",IF(OR($H15&lt;0,AND(TransType="DIS",$H15&lt;&gt;0)=TRUE,$H15&gt;$F15),"E8",IF($I15&lt;0,"E9","-")))))))</f>
        <v>-</v>
      </c>
      <c r="K15" s="60" t="str">
        <f>IF(ISNA(VLOOKUP($C15,AssetAll,COLUMN(Assets!$E$4),0))=TRUE,"add!",VLOOKUP($C15,AssetAll,COLUMN(Assets!$E$4),0))</f>
        <v>PPM01</v>
      </c>
      <c r="L15" s="61">
        <f t="shared" ca="1" si="0"/>
        <v>42205.000173611108</v>
      </c>
      <c r="M15" s="61">
        <f t="array" aca="1" ref="M15" ca="1">IF(ISBLANK($C15)=TRUE,0,LARGE(IF(TransAsset=$C15,IF(TransIDDate&lt;$L15,TransIDDate,0),0),1))</f>
        <v>0</v>
      </c>
      <c r="N15" s="61">
        <f t="array" aca="1" ref="N15" ca="1">IF(ISBLANK($C15)=TRUE,0,SMALL(IF(TransAsset=$C15,IF(TransIDDate&gt;$L15,TransIDDate,(Assets!$I$2+1)),(Assets!$I$2+1)),1))</f>
        <v>43891.000613425924</v>
      </c>
      <c r="O15" s="61">
        <f t="shared" ca="1" si="1"/>
        <v>44012</v>
      </c>
      <c r="P15" s="61">
        <f ca="1">IF(OR($N15&lt;Assets!$H$2,$O15&lt;Assets!$H$2,$L15&gt;(Assets!$I$2+1)),0,IF($B15="DIS",IF($L15&lt;Assets!$H$2,0,IF($L15&lt;(Assets!$I$2+1),DATE(YEAR($L15),MONTH($L15),0),Assets!$H$2)),IF($L15&lt;Assets!$H$2,Assets!$H$2,DATE(YEAR($L15),MONTH($L15),1))))</f>
        <v>43891</v>
      </c>
      <c r="Q15" s="61">
        <f ca="1">IF($P15=0,0,IF($B15="DIS",IF($L15&gt;(Assets!$I$2+1),MIN(Assets!$I$2,$O15),MIN($L15,$O15)),IF($N15&lt;(Assets!$I$2+1),MIN(IF(DATE(YEAR($N15),MONTH($N15),0)&lt;$P15,$P15,DATE(YEAR($N15),MONTH($N15),0)),$O15),MIN(Assets!$I$2,$O15))))</f>
        <v>43891</v>
      </c>
      <c r="R15" s="60">
        <f t="shared" ca="1" si="2"/>
        <v>0</v>
      </c>
      <c r="S15" s="60">
        <f t="shared" si="3"/>
        <v>200000</v>
      </c>
      <c r="T15" s="60" cm="1">
        <f t="array" ref="T15">IF(ISBLANK($B15)=FALSE,SUMIFS(TransAmount,TransAsset,$C15,TransType,"ACQ"),0)</f>
        <v>200000</v>
      </c>
      <c r="U15" s="60">
        <f t="shared" si="4"/>
        <v>5</v>
      </c>
      <c r="V15" s="60">
        <f t="shared" si="5"/>
        <v>0</v>
      </c>
      <c r="W15" s="28">
        <f t="shared" ca="1" si="6"/>
        <v>0</v>
      </c>
      <c r="X15" s="28">
        <f t="shared" ca="1" si="7"/>
        <v>0</v>
      </c>
      <c r="Y15" s="28">
        <f t="shared" ca="1" si="8"/>
        <v>0</v>
      </c>
      <c r="Z15" s="28">
        <f t="shared" ca="1" si="9"/>
        <v>0</v>
      </c>
      <c r="AA15" s="28">
        <f t="shared" ca="1" si="10"/>
        <v>0</v>
      </c>
      <c r="AB15" s="28" cm="1">
        <f t="array" aca="1" ref="AB15" ca="1">IF(SUMIFS(TransTDCost,TransAsset,$C15,TransDate,"&lt;="&amp;$L15)&gt;($T15-$X15),($T15-$X15),SUMIFS(TransTDCost,TransAsset,$C15,TransDate,"&lt;="&amp;$L15))</f>
        <v>0</v>
      </c>
      <c r="AC15" s="28">
        <f t="shared" ca="1" si="11"/>
        <v>0</v>
      </c>
      <c r="AD15" s="28">
        <f t="array" aca="1" ref="AD15" ca="1">IF($L15=LARGE(IF(TransAsset=$C15,IF(TransIDDate&lt;Assets!$H$2,TransIDDate,0),0),1),IF($B15="DIS",$AC15,SUMIFS(TransCAccDep,TransAsset,$C15,TransDate,"&lt;="&amp;$L15)+IF($U15=0,0,MIN(($S15-$V15)/($U15*12)*(((YEAR(Assets!$H$2)*12)+MONTH(Assets!$H$2)-1)-((YEAR($L15)*12)+MONTH($L15)-1)),$S15-$V15))),0)-$AO15</f>
        <v>0</v>
      </c>
      <c r="AE15" s="28">
        <f t="shared" ca="1" si="12"/>
        <v>0</v>
      </c>
      <c r="AF15" s="28">
        <f t="shared" ca="1" si="13"/>
        <v>0</v>
      </c>
      <c r="AG15" s="28">
        <f t="shared" ca="1" si="14"/>
        <v>0</v>
      </c>
      <c r="AH15" s="28">
        <f t="shared" ca="1" si="15"/>
        <v>0</v>
      </c>
      <c r="AI15" s="28" cm="1">
        <f t="array" ref="AI15">IF($B15="REV",IF($S15-$AA15+$AE15&gt;0,IF(SUMIFS(TransImpair,TransAsset,$C15,TransDate,"&lt;"&amp;$M15)&gt;0,IF(SUMIFS(TransImpair,TransAsset,$C15,TransDate,"&lt;"&amp;$M15)&gt;$S15-$AA15+$AE15,-($S15-$AA15+$AE15),-SUMIFS(TransImpair,TransAsset,$C15,TransDate,"&lt;"&amp;$M15)),0),-($S15-$AA15+$AE15)),0)</f>
        <v>0</v>
      </c>
      <c r="AJ15" s="28">
        <f t="shared" si="16"/>
        <v>0</v>
      </c>
      <c r="AK15" s="28">
        <f t="shared" ca="1" si="17"/>
        <v>0</v>
      </c>
      <c r="AL15" s="28">
        <f t="shared" ca="1" si="18"/>
        <v>0</v>
      </c>
      <c r="AM15" s="28" cm="1">
        <f t="array" aca="1" ref="AM15" ca="1">IF($AN15&gt;($T15-$V15),($T15-$V15)-SUMIFS(TransPCAccDep,TransAsset,$C15,TransDate,"&lt;="&amp;$L15),$AL15)</f>
        <v>0</v>
      </c>
      <c r="AN15" s="28" cm="1">
        <f t="array" aca="1" ref="AN15" ca="1">IF($AL15=0,0,SUMIFS(TransCCYDep2,TransAsset,$C15,TransDate,"&lt;="&amp;$L15)+SUMIFS(TransPCAccDep,TransAsset,$C15,TransDate,"&lt;="&amp;$L15))</f>
        <v>0</v>
      </c>
      <c r="AO15" s="28">
        <f t="array" aca="1" ref="AO15" ca="1">IF($L15=LARGE(IF(TransAsset=$C15,IF(TransIDDate&lt;Assets!$H$2,TransIDDate,0),0),1),IF($B15="DIS",0,MIN(SUMIFS(TransTDCost,TransAsset,$C15,TransDate,"&lt;="&amp;$L15)+IF($U15=0,0,MIN(($S15-$V15)/($U15*12)*(((YEAR(Assets!$H$2)*12)+MONTH(Assets!$H$2)-1)-((YEAR($L15)*12)+MONTH($L15)-1)),$S15-$V15)),SUMIFS(TransTDCost,TransAsset,$C15,TransDate,"&lt;="&amp;$L15)+IF($U15=0,0,MIN(($T15-$V15)/($U15*12)*(((YEAR(Assets!$H$2)*12)+MONTH(Assets!$H$2)-1)-((YEAR($L15)*12)+MONTH($L15)-1)),$T15-$V15)),$T15-$V15)),0)</f>
        <v>186666.66666666669</v>
      </c>
      <c r="AP15" s="28">
        <f t="shared" ca="1" si="19"/>
        <v>0</v>
      </c>
      <c r="AQ15" s="60">
        <f ca="1">IF(SUMPRODUCT((TransAsset=$C15)*(TransType="DIS")*(TransIDDate&lt;(Assets!$I$2+1))*(1))&gt;0,0,IF(AND($AR15=0,DATE(YEAR($L15),MONTH($L15),1)&lt;&gt;DATE(YEAR(Assets!$J$2),MONTH(Assets!$J$2),1)),0,IF(DATE(YEAR($Q15),MONTH($Q15),1)&lt;&gt;DATE(YEAR(Assets!$I$2),MONTH(Assets!$I$2),1),0,IF($AR15=$S15-$V15,0,IF($U15=0,0,MIN(($S15-$V15)/($U15*12),($S15-$V15)-$AR15))))))</f>
        <v>0</v>
      </c>
      <c r="AR15" s="60">
        <f t="array" aca="1" ref="AR15" ca="1">IF($L15=LARGE(IF(TransAsset=$C15,IF(TransIDDate&lt;Assets!$J$2,TransIDDate,0),0),1),IF($B15="DIS",0,MIN(IF($U15=0,0,(($S15-$V15)/($U15*12)*(((YEAR(Assets!$J$2)*12)+MONTH(Assets!$J$2)-1)-((YEAR($L15)*12)+MONTH($L15)-1)))),($S15-$V15))),0)</f>
        <v>0</v>
      </c>
      <c r="AS15" s="60">
        <f t="shared" si="20"/>
        <v>3333.3333333333335</v>
      </c>
      <c r="AT15" s="28" cm="1">
        <f t="array" aca="1" ref="AT15" ca="1">IF(SUMPRODUCT((TransAsset=$C15)*(TransType="DIS")*(TransIDDate&lt;(Assets!$I$2+1))*(1))&gt;0,0,IF(AND($AU15=0,DATE(YEAR($L15),MONTH($L15),1)&lt;&gt;DATE(YEAR(Assets!$J$2),MONTH(Assets!$J$2),1)),0,IF(DATE(YEAR($Q15),MONTH($Q15),1)&lt;&gt;DATE(YEAR(Assets!$I$2),MONTH(Assets!$I$2),1),0,IF(SUMIFS(TransPMAccDep,TransAsset,$C15)&gt;=($T15-$V15),($T15-$V15)-SUMIFS(TransPMAccDep,TransAsset,$C15),IF($U15=0,0,IF($S15&lt;$T15,MIN(($S15-$V15)/($U15*12),($T15-$V15)-$AU15),MIN(($T15-$V15)/($U15*12),($T15-$V15)-$AU15)))))))</f>
        <v>0</v>
      </c>
      <c r="AU15" s="28">
        <f t="array" aca="1" ref="AU15" ca="1">IF($L15=LARGE(IF(TransAsset=$C15,IF(TransIDDate&lt;Assets!$J$2,TransIDDate,0),0),1),IF($B15="DIS",0,MIN(SUMIFS(TransTDCost,TransAsset,$C15,TransDate,"&lt;="&amp;$L15)+IF($U15=0,0,MIN(($S15-$V15)/($U15*12)*(((YEAR(Assets!$J$2)*12)+MONTH(Assets!$J$2)-1)-((YEAR($L15)*12)+MONTH($L15)-1)),$S15-$V15)),SUMIFS(TransTDCost,TransAsset,$C15,TransDate,"&lt;="&amp;$L15)+IF($U15=0,0,MIN(($T15-$V15)/($U15*12)*(((YEAR(Assets!$J$2)*12)+MONTH(Assets!$J$2)-1)-((YEAR($L15)*12)+MONTH($L15)-1)),$T15-$V15)),$T15-$V15)),0)</f>
        <v>0</v>
      </c>
    </row>
    <row r="16" spans="1:47" ht="16" customHeight="1" x14ac:dyDescent="0.25">
      <c r="A16" s="33">
        <v>42205</v>
      </c>
      <c r="B16" s="4" t="s">
        <v>79</v>
      </c>
      <c r="C16" s="8" t="s">
        <v>279</v>
      </c>
      <c r="D16" s="3" t="s">
        <v>274</v>
      </c>
      <c r="E16" s="3" t="s">
        <v>275</v>
      </c>
      <c r="F16" s="28">
        <v>250000</v>
      </c>
      <c r="G16" s="28">
        <v>5</v>
      </c>
      <c r="H16" s="28">
        <v>0</v>
      </c>
      <c r="I16" s="28">
        <v>0</v>
      </c>
      <c r="J16" s="59" t="str" cm="1">
        <f t="array" aca="1" ref="J16" ca="1">IF(ISNA(VLOOKUP($C16,AssetCode,1,0))=TRUE,"E3",IF(OR(ISBLANK($B16)=TRUE,SUMPRODUCT((TransAsset=$C16)*(TransIDDate&lt;$L16)*(TransType="DIS")*(1))&gt;0),"E4",IF(SUMPRODUCT((TransAsset=$C16)*(TransType="ACQ")*(1))&gt;1,"E5",IF(OR($F16&lt;0,AND(TransType="DIS",$F16&lt;&gt;0)=TRUE),"E6",IF(OR(AND($G16&lt;0,TransType&lt;&gt;"DIS")=TRUE,AND(TransType="DIS",$G16&lt;&gt;0)=TRUE),"E7",IF(OR($H16&lt;0,AND(TransType="DIS",$H16&lt;&gt;0)=TRUE,$H16&gt;$F16),"E8",IF($I16&lt;0,"E9","-")))))))</f>
        <v>-</v>
      </c>
      <c r="K16" s="60" t="str">
        <f>IF(ISNA(VLOOKUP($C16,AssetAll,COLUMN(Assets!$E$4),0))=TRUE,"add!",VLOOKUP($C16,AssetAll,COLUMN(Assets!$E$4),0))</f>
        <v>PPM01</v>
      </c>
      <c r="L16" s="61">
        <f t="shared" ca="1" si="0"/>
        <v>42205.000185185185</v>
      </c>
      <c r="M16" s="61">
        <f t="array" aca="1" ref="M16" ca="1">IF(ISBLANK($C16)=TRUE,0,LARGE(IF(TransAsset=$C16,IF(TransIDDate&lt;$L16,TransIDDate,0),0),1))</f>
        <v>0</v>
      </c>
      <c r="N16" s="61">
        <f t="array" aca="1" ref="N16" ca="1">IF(ISBLANK($C16)=TRUE,0,SMALL(IF(TransAsset=$C16,IF(TransIDDate&gt;$L16,TransIDDate,(Assets!$I$2+1)),(Assets!$I$2+1)),1))</f>
        <v>43891.000625000001</v>
      </c>
      <c r="O16" s="61">
        <f t="shared" ca="1" si="1"/>
        <v>44012</v>
      </c>
      <c r="P16" s="61">
        <f ca="1">IF(OR($N16&lt;Assets!$H$2,$O16&lt;Assets!$H$2,$L16&gt;(Assets!$I$2+1)),0,IF($B16="DIS",IF($L16&lt;Assets!$H$2,0,IF($L16&lt;(Assets!$I$2+1),DATE(YEAR($L16),MONTH($L16),0),Assets!$H$2)),IF($L16&lt;Assets!$H$2,Assets!$H$2,DATE(YEAR($L16),MONTH($L16),1))))</f>
        <v>43891</v>
      </c>
      <c r="Q16" s="61">
        <f ca="1">IF($P16=0,0,IF($B16="DIS",IF($L16&gt;(Assets!$I$2+1),MIN(Assets!$I$2,$O16),MIN($L16,$O16)),IF($N16&lt;(Assets!$I$2+1),MIN(IF(DATE(YEAR($N16),MONTH($N16),0)&lt;$P16,$P16,DATE(YEAR($N16),MONTH($N16),0)),$O16),MIN(Assets!$I$2,$O16))))</f>
        <v>43891</v>
      </c>
      <c r="R16" s="60">
        <f t="shared" ca="1" si="2"/>
        <v>0</v>
      </c>
      <c r="S16" s="60">
        <f t="shared" si="3"/>
        <v>250000</v>
      </c>
      <c r="T16" s="60" cm="1">
        <f t="array" ref="T16">IF(ISBLANK($B16)=FALSE,SUMIFS(TransAmount,TransAsset,$C16,TransType,"ACQ"),0)</f>
        <v>250000</v>
      </c>
      <c r="U16" s="60">
        <f t="shared" si="4"/>
        <v>5</v>
      </c>
      <c r="V16" s="60">
        <f t="shared" si="5"/>
        <v>0</v>
      </c>
      <c r="W16" s="28">
        <f t="shared" ca="1" si="6"/>
        <v>0</v>
      </c>
      <c r="X16" s="28">
        <f t="shared" ca="1" si="7"/>
        <v>0</v>
      </c>
      <c r="Y16" s="28">
        <f t="shared" ca="1" si="8"/>
        <v>0</v>
      </c>
      <c r="Z16" s="28">
        <f t="shared" ca="1" si="9"/>
        <v>0</v>
      </c>
      <c r="AA16" s="28">
        <f t="shared" ca="1" si="10"/>
        <v>0</v>
      </c>
      <c r="AB16" s="28" cm="1">
        <f t="array" aca="1" ref="AB16" ca="1">IF(SUMIFS(TransTDCost,TransAsset,$C16,TransDate,"&lt;="&amp;$L16)&gt;($T16-$X16),($T16-$X16),SUMIFS(TransTDCost,TransAsset,$C16,TransDate,"&lt;="&amp;$L16))</f>
        <v>0</v>
      </c>
      <c r="AC16" s="28">
        <f t="shared" ca="1" si="11"/>
        <v>0</v>
      </c>
      <c r="AD16" s="28">
        <f t="array" aca="1" ref="AD16" ca="1">IF($L16=LARGE(IF(TransAsset=$C16,IF(TransIDDate&lt;Assets!$H$2,TransIDDate,0),0),1),IF($B16="DIS",$AC16,SUMIFS(TransCAccDep,TransAsset,$C16,TransDate,"&lt;="&amp;$L16)+IF($U16=0,0,MIN(($S16-$V16)/($U16*12)*(((YEAR(Assets!$H$2)*12)+MONTH(Assets!$H$2)-1)-((YEAR($L16)*12)+MONTH($L16)-1)),$S16-$V16))),0)-$AO16</f>
        <v>0</v>
      </c>
      <c r="AE16" s="28">
        <f t="shared" ca="1" si="12"/>
        <v>0</v>
      </c>
      <c r="AF16" s="28">
        <f t="shared" ca="1" si="13"/>
        <v>0</v>
      </c>
      <c r="AG16" s="28">
        <f t="shared" ca="1" si="14"/>
        <v>0</v>
      </c>
      <c r="AH16" s="28">
        <f t="shared" ca="1" si="15"/>
        <v>0</v>
      </c>
      <c r="AI16" s="28" cm="1">
        <f t="array" ref="AI16">IF($B16="REV",IF($S16-$AA16+$AE16&gt;0,IF(SUMIFS(TransImpair,TransAsset,$C16,TransDate,"&lt;"&amp;$M16)&gt;0,IF(SUMIFS(TransImpair,TransAsset,$C16,TransDate,"&lt;"&amp;$M16)&gt;$S16-$AA16+$AE16,-($S16-$AA16+$AE16),-SUMIFS(TransImpair,TransAsset,$C16,TransDate,"&lt;"&amp;$M16)),0),-($S16-$AA16+$AE16)),0)</f>
        <v>0</v>
      </c>
      <c r="AJ16" s="28">
        <f t="shared" si="16"/>
        <v>0</v>
      </c>
      <c r="AK16" s="28">
        <f t="shared" ca="1" si="17"/>
        <v>0</v>
      </c>
      <c r="AL16" s="28">
        <f t="shared" ca="1" si="18"/>
        <v>0</v>
      </c>
      <c r="AM16" s="28" cm="1">
        <f t="array" aca="1" ref="AM16" ca="1">IF($AN16&gt;($T16-$V16),($T16-$V16)-SUMIFS(TransPCAccDep,TransAsset,$C16,TransDate,"&lt;="&amp;$L16),$AL16)</f>
        <v>0</v>
      </c>
      <c r="AN16" s="28" cm="1">
        <f t="array" aca="1" ref="AN16" ca="1">IF($AL16=0,0,SUMIFS(TransCCYDep2,TransAsset,$C16,TransDate,"&lt;="&amp;$L16)+SUMIFS(TransPCAccDep,TransAsset,$C16,TransDate,"&lt;="&amp;$L16))</f>
        <v>0</v>
      </c>
      <c r="AO16" s="28">
        <f t="array" aca="1" ref="AO16" ca="1">IF($L16=LARGE(IF(TransAsset=$C16,IF(TransIDDate&lt;Assets!$H$2,TransIDDate,0),0),1),IF($B16="DIS",0,MIN(SUMIFS(TransTDCost,TransAsset,$C16,TransDate,"&lt;="&amp;$L16)+IF($U16=0,0,MIN(($S16-$V16)/($U16*12)*(((YEAR(Assets!$H$2)*12)+MONTH(Assets!$H$2)-1)-((YEAR($L16)*12)+MONTH($L16)-1)),$S16-$V16)),SUMIFS(TransTDCost,TransAsset,$C16,TransDate,"&lt;="&amp;$L16)+IF($U16=0,0,MIN(($T16-$V16)/($U16*12)*(((YEAR(Assets!$H$2)*12)+MONTH(Assets!$H$2)-1)-((YEAR($L16)*12)+MONTH($L16)-1)),$T16-$V16)),$T16-$V16)),0)</f>
        <v>233333.33333333334</v>
      </c>
      <c r="AP16" s="28">
        <f t="shared" ca="1" si="19"/>
        <v>0</v>
      </c>
      <c r="AQ16" s="60">
        <f ca="1">IF(SUMPRODUCT((TransAsset=$C16)*(TransType="DIS")*(TransIDDate&lt;(Assets!$I$2+1))*(1))&gt;0,0,IF(AND($AR16=0,DATE(YEAR($L16),MONTH($L16),1)&lt;&gt;DATE(YEAR(Assets!$J$2),MONTH(Assets!$J$2),1)),0,IF(DATE(YEAR($Q16),MONTH($Q16),1)&lt;&gt;DATE(YEAR(Assets!$I$2),MONTH(Assets!$I$2),1),0,IF($AR16=$S16-$V16,0,IF($U16=0,0,MIN(($S16-$V16)/($U16*12),($S16-$V16)-$AR16))))))</f>
        <v>0</v>
      </c>
      <c r="AR16" s="60">
        <f t="array" aca="1" ref="AR16" ca="1">IF($L16=LARGE(IF(TransAsset=$C16,IF(TransIDDate&lt;Assets!$J$2,TransIDDate,0),0),1),IF($B16="DIS",0,MIN(IF($U16=0,0,(($S16-$V16)/($U16*12)*(((YEAR(Assets!$J$2)*12)+MONTH(Assets!$J$2)-1)-((YEAR($L16)*12)+MONTH($L16)-1)))),($S16-$V16))),0)</f>
        <v>0</v>
      </c>
      <c r="AS16" s="60">
        <f t="shared" si="20"/>
        <v>4166.666666666667</v>
      </c>
      <c r="AT16" s="28" cm="1">
        <f t="array" aca="1" ref="AT16" ca="1">IF(SUMPRODUCT((TransAsset=$C16)*(TransType="DIS")*(TransIDDate&lt;(Assets!$I$2+1))*(1))&gt;0,0,IF(AND($AU16=0,DATE(YEAR($L16),MONTH($L16),1)&lt;&gt;DATE(YEAR(Assets!$J$2),MONTH(Assets!$J$2),1)),0,IF(DATE(YEAR($Q16),MONTH($Q16),1)&lt;&gt;DATE(YEAR(Assets!$I$2),MONTH(Assets!$I$2),1),0,IF(SUMIFS(TransPMAccDep,TransAsset,$C16)&gt;=($T16-$V16),($T16-$V16)-SUMIFS(TransPMAccDep,TransAsset,$C16),IF($U16=0,0,IF($S16&lt;$T16,MIN(($S16-$V16)/($U16*12),($T16-$V16)-$AU16),MIN(($T16-$V16)/($U16*12),($T16-$V16)-$AU16)))))))</f>
        <v>0</v>
      </c>
      <c r="AU16" s="28">
        <f t="array" aca="1" ref="AU16" ca="1">IF($L16=LARGE(IF(TransAsset=$C16,IF(TransIDDate&lt;Assets!$J$2,TransIDDate,0),0),1),IF($B16="DIS",0,MIN(SUMIFS(TransTDCost,TransAsset,$C16,TransDate,"&lt;="&amp;$L16)+IF($U16=0,0,MIN(($S16-$V16)/($U16*12)*(((YEAR(Assets!$J$2)*12)+MONTH(Assets!$J$2)-1)-((YEAR($L16)*12)+MONTH($L16)-1)),$S16-$V16)),SUMIFS(TransTDCost,TransAsset,$C16,TransDate,"&lt;="&amp;$L16)+IF($U16=0,0,MIN(($T16-$V16)/($U16*12)*(((YEAR(Assets!$J$2)*12)+MONTH(Assets!$J$2)-1)-((YEAR($L16)*12)+MONTH($L16)-1)),$T16-$V16)),$T16-$V16)),0)</f>
        <v>0</v>
      </c>
    </row>
    <row r="17" spans="1:47" ht="16" customHeight="1" x14ac:dyDescent="0.25">
      <c r="A17" s="33">
        <v>42205</v>
      </c>
      <c r="B17" s="4" t="s">
        <v>79</v>
      </c>
      <c r="C17" s="8" t="s">
        <v>280</v>
      </c>
      <c r="D17" s="3" t="s">
        <v>274</v>
      </c>
      <c r="E17" s="3" t="s">
        <v>275</v>
      </c>
      <c r="F17" s="28">
        <v>915000</v>
      </c>
      <c r="G17" s="28">
        <v>5</v>
      </c>
      <c r="H17" s="28">
        <v>0</v>
      </c>
      <c r="I17" s="28">
        <v>0</v>
      </c>
      <c r="J17" s="59" t="str" cm="1">
        <f t="array" aca="1" ref="J17" ca="1">IF(ISNA(VLOOKUP($C17,AssetCode,1,0))=TRUE,"E3",IF(OR(ISBLANK($B17)=TRUE,SUMPRODUCT((TransAsset=$C17)*(TransIDDate&lt;$L17)*(TransType="DIS")*(1))&gt;0),"E4",IF(SUMPRODUCT((TransAsset=$C17)*(TransType="ACQ")*(1))&gt;1,"E5",IF(OR($F17&lt;0,AND(TransType="DIS",$F17&lt;&gt;0)=TRUE),"E6",IF(OR(AND($G17&lt;0,TransType&lt;&gt;"DIS")=TRUE,AND(TransType="DIS",$G17&lt;&gt;0)=TRUE),"E7",IF(OR($H17&lt;0,AND(TransType="DIS",$H17&lt;&gt;0)=TRUE,$H17&gt;$F17),"E8",IF($I17&lt;0,"E9","-")))))))</f>
        <v>-</v>
      </c>
      <c r="K17" s="60" t="str">
        <f>IF(ISNA(VLOOKUP($C17,AssetAll,COLUMN(Assets!$E$4),0))=TRUE,"add!",VLOOKUP($C17,AssetAll,COLUMN(Assets!$E$4),0))</f>
        <v>PPM01</v>
      </c>
      <c r="L17" s="61">
        <f t="shared" ca="1" si="0"/>
        <v>42205.000196759262</v>
      </c>
      <c r="M17" s="61">
        <f t="array" aca="1" ref="M17" ca="1">IF(ISBLANK($C17)=TRUE,0,LARGE(IF(TransAsset=$C17,IF(TransIDDate&lt;$L17,TransIDDate,0),0),1))</f>
        <v>0</v>
      </c>
      <c r="N17" s="61">
        <f t="array" aca="1" ref="N17" ca="1">IF(ISBLANK($C17)=TRUE,0,SMALL(IF(TransAsset=$C17,IF(TransIDDate&gt;$L17,TransIDDate,(Assets!$I$2+1)),(Assets!$I$2+1)),1))</f>
        <v>43891.000636574077</v>
      </c>
      <c r="O17" s="61">
        <f t="shared" ca="1" si="1"/>
        <v>44012</v>
      </c>
      <c r="P17" s="61">
        <f ca="1">IF(OR($N17&lt;Assets!$H$2,$O17&lt;Assets!$H$2,$L17&gt;(Assets!$I$2+1)),0,IF($B17="DIS",IF($L17&lt;Assets!$H$2,0,IF($L17&lt;(Assets!$I$2+1),DATE(YEAR($L17),MONTH($L17),0),Assets!$H$2)),IF($L17&lt;Assets!$H$2,Assets!$H$2,DATE(YEAR($L17),MONTH($L17),1))))</f>
        <v>43891</v>
      </c>
      <c r="Q17" s="61">
        <f ca="1">IF($P17=0,0,IF($B17="DIS",IF($L17&gt;(Assets!$I$2+1),MIN(Assets!$I$2,$O17),MIN($L17,$O17)),IF($N17&lt;(Assets!$I$2+1),MIN(IF(DATE(YEAR($N17),MONTH($N17),0)&lt;$P17,$P17,DATE(YEAR($N17),MONTH($N17),0)),$O17),MIN(Assets!$I$2,$O17))))</f>
        <v>43891</v>
      </c>
      <c r="R17" s="60">
        <f t="shared" ca="1" si="2"/>
        <v>0</v>
      </c>
      <c r="S17" s="60">
        <f t="shared" si="3"/>
        <v>915000</v>
      </c>
      <c r="T17" s="60" cm="1">
        <f t="array" ref="T17">IF(ISBLANK($B17)=FALSE,SUMIFS(TransAmount,TransAsset,$C17,TransType,"ACQ"),0)</f>
        <v>915000</v>
      </c>
      <c r="U17" s="60">
        <f t="shared" si="4"/>
        <v>5</v>
      </c>
      <c r="V17" s="60">
        <f t="shared" si="5"/>
        <v>0</v>
      </c>
      <c r="W17" s="28">
        <f t="shared" ca="1" si="6"/>
        <v>0</v>
      </c>
      <c r="X17" s="28">
        <f t="shared" ca="1" si="7"/>
        <v>0</v>
      </c>
      <c r="Y17" s="28">
        <f t="shared" ca="1" si="8"/>
        <v>0</v>
      </c>
      <c r="Z17" s="28">
        <f t="shared" ca="1" si="9"/>
        <v>0</v>
      </c>
      <c r="AA17" s="28">
        <f t="shared" ca="1" si="10"/>
        <v>0</v>
      </c>
      <c r="AB17" s="28" cm="1">
        <f t="array" aca="1" ref="AB17" ca="1">IF(SUMIFS(TransTDCost,TransAsset,$C17,TransDate,"&lt;="&amp;$L17)&gt;($T17-$X17),($T17-$X17),SUMIFS(TransTDCost,TransAsset,$C17,TransDate,"&lt;="&amp;$L17))</f>
        <v>0</v>
      </c>
      <c r="AC17" s="28">
        <f t="shared" ca="1" si="11"/>
        <v>0</v>
      </c>
      <c r="AD17" s="28">
        <f t="array" aca="1" ref="AD17" ca="1">IF($L17=LARGE(IF(TransAsset=$C17,IF(TransIDDate&lt;Assets!$H$2,TransIDDate,0),0),1),IF($B17="DIS",$AC17,SUMIFS(TransCAccDep,TransAsset,$C17,TransDate,"&lt;="&amp;$L17)+IF($U17=0,0,MIN(($S17-$V17)/($U17*12)*(((YEAR(Assets!$H$2)*12)+MONTH(Assets!$H$2)-1)-((YEAR($L17)*12)+MONTH($L17)-1)),$S17-$V17))),0)-$AO17</f>
        <v>0</v>
      </c>
      <c r="AE17" s="28">
        <f t="shared" ca="1" si="12"/>
        <v>0</v>
      </c>
      <c r="AF17" s="28">
        <f t="shared" ca="1" si="13"/>
        <v>0</v>
      </c>
      <c r="AG17" s="28">
        <f t="shared" ca="1" si="14"/>
        <v>0</v>
      </c>
      <c r="AH17" s="28">
        <f t="shared" ca="1" si="15"/>
        <v>0</v>
      </c>
      <c r="AI17" s="28" cm="1">
        <f t="array" ref="AI17">IF($B17="REV",IF($S17-$AA17+$AE17&gt;0,IF(SUMIFS(TransImpair,TransAsset,$C17,TransDate,"&lt;"&amp;$M17)&gt;0,IF(SUMIFS(TransImpair,TransAsset,$C17,TransDate,"&lt;"&amp;$M17)&gt;$S17-$AA17+$AE17,-($S17-$AA17+$AE17),-SUMIFS(TransImpair,TransAsset,$C17,TransDate,"&lt;"&amp;$M17)),0),-($S17-$AA17+$AE17)),0)</f>
        <v>0</v>
      </c>
      <c r="AJ17" s="28">
        <f t="shared" si="16"/>
        <v>0</v>
      </c>
      <c r="AK17" s="28">
        <f t="shared" ca="1" si="17"/>
        <v>0</v>
      </c>
      <c r="AL17" s="28">
        <f t="shared" ca="1" si="18"/>
        <v>0</v>
      </c>
      <c r="AM17" s="28" cm="1">
        <f t="array" aca="1" ref="AM17" ca="1">IF($AN17&gt;($T17-$V17),($T17-$V17)-SUMIFS(TransPCAccDep,TransAsset,$C17,TransDate,"&lt;="&amp;$L17),$AL17)</f>
        <v>0</v>
      </c>
      <c r="AN17" s="28" cm="1">
        <f t="array" aca="1" ref="AN17" ca="1">IF($AL17=0,0,SUMIFS(TransCCYDep2,TransAsset,$C17,TransDate,"&lt;="&amp;$L17)+SUMIFS(TransPCAccDep,TransAsset,$C17,TransDate,"&lt;="&amp;$L17))</f>
        <v>0</v>
      </c>
      <c r="AO17" s="28">
        <f t="array" aca="1" ref="AO17" ca="1">IF($L17=LARGE(IF(TransAsset=$C17,IF(TransIDDate&lt;Assets!$H$2,TransIDDate,0),0),1),IF($B17="DIS",0,MIN(SUMIFS(TransTDCost,TransAsset,$C17,TransDate,"&lt;="&amp;$L17)+IF($U17=0,0,MIN(($S17-$V17)/($U17*12)*(((YEAR(Assets!$H$2)*12)+MONTH(Assets!$H$2)-1)-((YEAR($L17)*12)+MONTH($L17)-1)),$S17-$V17)),SUMIFS(TransTDCost,TransAsset,$C17,TransDate,"&lt;="&amp;$L17)+IF($U17=0,0,MIN(($T17-$V17)/($U17*12)*(((YEAR(Assets!$H$2)*12)+MONTH(Assets!$H$2)-1)-((YEAR($L17)*12)+MONTH($L17)-1)),$T17-$V17)),$T17-$V17)),0)</f>
        <v>854000</v>
      </c>
      <c r="AP17" s="28">
        <f t="shared" ca="1" si="19"/>
        <v>0</v>
      </c>
      <c r="AQ17" s="60">
        <f ca="1">IF(SUMPRODUCT((TransAsset=$C17)*(TransType="DIS")*(TransIDDate&lt;(Assets!$I$2+1))*(1))&gt;0,0,IF(AND($AR17=0,DATE(YEAR($L17),MONTH($L17),1)&lt;&gt;DATE(YEAR(Assets!$J$2),MONTH(Assets!$J$2),1)),0,IF(DATE(YEAR($Q17),MONTH($Q17),1)&lt;&gt;DATE(YEAR(Assets!$I$2),MONTH(Assets!$I$2),1),0,IF($AR17=$S17-$V17,0,IF($U17=0,0,MIN(($S17-$V17)/($U17*12),($S17-$V17)-$AR17))))))</f>
        <v>0</v>
      </c>
      <c r="AR17" s="60">
        <f t="array" aca="1" ref="AR17" ca="1">IF($L17=LARGE(IF(TransAsset=$C17,IF(TransIDDate&lt;Assets!$J$2,TransIDDate,0),0),1),IF($B17="DIS",0,MIN(IF($U17=0,0,(($S17-$V17)/($U17*12)*(((YEAR(Assets!$J$2)*12)+MONTH(Assets!$J$2)-1)-((YEAR($L17)*12)+MONTH($L17)-1)))),($S17-$V17))),0)</f>
        <v>0</v>
      </c>
      <c r="AS17" s="60">
        <f t="shared" si="20"/>
        <v>15250</v>
      </c>
      <c r="AT17" s="28" cm="1">
        <f t="array" aca="1" ref="AT17" ca="1">IF(SUMPRODUCT((TransAsset=$C17)*(TransType="DIS")*(TransIDDate&lt;(Assets!$I$2+1))*(1))&gt;0,0,IF(AND($AU17=0,DATE(YEAR($L17),MONTH($L17),1)&lt;&gt;DATE(YEAR(Assets!$J$2),MONTH(Assets!$J$2),1)),0,IF(DATE(YEAR($Q17),MONTH($Q17),1)&lt;&gt;DATE(YEAR(Assets!$I$2),MONTH(Assets!$I$2),1),0,IF(SUMIFS(TransPMAccDep,TransAsset,$C17)&gt;=($T17-$V17),($T17-$V17)-SUMIFS(TransPMAccDep,TransAsset,$C17),IF($U17=0,0,IF($S17&lt;$T17,MIN(($S17-$V17)/($U17*12),($T17-$V17)-$AU17),MIN(($T17-$V17)/($U17*12),($T17-$V17)-$AU17)))))))</f>
        <v>0</v>
      </c>
      <c r="AU17" s="28">
        <f t="array" aca="1" ref="AU17" ca="1">IF($L17=LARGE(IF(TransAsset=$C17,IF(TransIDDate&lt;Assets!$J$2,TransIDDate,0),0),1),IF($B17="DIS",0,MIN(SUMIFS(TransTDCost,TransAsset,$C17,TransDate,"&lt;="&amp;$L17)+IF($U17=0,0,MIN(($S17-$V17)/($U17*12)*(((YEAR(Assets!$J$2)*12)+MONTH(Assets!$J$2)-1)-((YEAR($L17)*12)+MONTH($L17)-1)),$S17-$V17)),SUMIFS(TransTDCost,TransAsset,$C17,TransDate,"&lt;="&amp;$L17)+IF($U17=0,0,MIN(($T17-$V17)/($U17*12)*(((YEAR(Assets!$J$2)*12)+MONTH(Assets!$J$2)-1)-((YEAR($L17)*12)+MONTH($L17)-1)),$T17-$V17)),$T17-$V17)),0)</f>
        <v>0</v>
      </c>
    </row>
    <row r="18" spans="1:47" ht="16" customHeight="1" x14ac:dyDescent="0.25">
      <c r="A18" s="33">
        <v>42205</v>
      </c>
      <c r="B18" s="4" t="s">
        <v>79</v>
      </c>
      <c r="C18" s="8" t="s">
        <v>281</v>
      </c>
      <c r="D18" s="3" t="s">
        <v>274</v>
      </c>
      <c r="E18" s="3" t="s">
        <v>275</v>
      </c>
      <c r="F18" s="28">
        <v>500000</v>
      </c>
      <c r="G18" s="28">
        <v>5</v>
      </c>
      <c r="H18" s="28">
        <v>0</v>
      </c>
      <c r="I18" s="28">
        <v>0</v>
      </c>
      <c r="J18" s="59" t="str" cm="1">
        <f t="array" aca="1" ref="J18" ca="1">IF(ISNA(VLOOKUP($C18,AssetCode,1,0))=TRUE,"E3",IF(OR(ISBLANK($B18)=TRUE,SUMPRODUCT((TransAsset=$C18)*(TransIDDate&lt;$L18)*(TransType="DIS")*(1))&gt;0),"E4",IF(SUMPRODUCT((TransAsset=$C18)*(TransType="ACQ")*(1))&gt;1,"E5",IF(OR($F18&lt;0,AND(TransType="DIS",$F18&lt;&gt;0)=TRUE),"E6",IF(OR(AND($G18&lt;0,TransType&lt;&gt;"DIS")=TRUE,AND(TransType="DIS",$G18&lt;&gt;0)=TRUE),"E7",IF(OR($H18&lt;0,AND(TransType="DIS",$H18&lt;&gt;0)=TRUE,$H18&gt;$F18),"E8",IF($I18&lt;0,"E9","-")))))))</f>
        <v>-</v>
      </c>
      <c r="K18" s="60" t="str">
        <f>IF(ISNA(VLOOKUP($C18,AssetAll,COLUMN(Assets!$E$4),0))=TRUE,"add!",VLOOKUP($C18,AssetAll,COLUMN(Assets!$E$4),0))</f>
        <v>PPM01</v>
      </c>
      <c r="L18" s="61">
        <f t="shared" ca="1" si="0"/>
        <v>42205.000208333331</v>
      </c>
      <c r="M18" s="61">
        <f t="array" aca="1" ref="M18" ca="1">IF(ISBLANK($C18)=TRUE,0,LARGE(IF(TransAsset=$C18,IF(TransIDDate&lt;$L18,TransIDDate,0),0),1))</f>
        <v>0</v>
      </c>
      <c r="N18" s="61">
        <f t="array" aca="1" ref="N18" ca="1">IF(ISBLANK($C18)=TRUE,0,SMALL(IF(TransAsset=$C18,IF(TransIDDate&gt;$L18,TransIDDate,(Assets!$I$2+1)),(Assets!$I$2+1)),1))</f>
        <v>43891.000648148147</v>
      </c>
      <c r="O18" s="61">
        <f t="shared" ca="1" si="1"/>
        <v>44012</v>
      </c>
      <c r="P18" s="61">
        <f ca="1">IF(OR($N18&lt;Assets!$H$2,$O18&lt;Assets!$H$2,$L18&gt;(Assets!$I$2+1)),0,IF($B18="DIS",IF($L18&lt;Assets!$H$2,0,IF($L18&lt;(Assets!$I$2+1),DATE(YEAR($L18),MONTH($L18),0),Assets!$H$2)),IF($L18&lt;Assets!$H$2,Assets!$H$2,DATE(YEAR($L18),MONTH($L18),1))))</f>
        <v>43891</v>
      </c>
      <c r="Q18" s="61">
        <f ca="1">IF($P18=0,0,IF($B18="DIS",IF($L18&gt;(Assets!$I$2+1),MIN(Assets!$I$2,$O18),MIN($L18,$O18)),IF($N18&lt;(Assets!$I$2+1),MIN(IF(DATE(YEAR($N18),MONTH($N18),0)&lt;$P18,$P18,DATE(YEAR($N18),MONTH($N18),0)),$O18),MIN(Assets!$I$2,$O18))))</f>
        <v>43891</v>
      </c>
      <c r="R18" s="60">
        <f t="shared" ca="1" si="2"/>
        <v>0</v>
      </c>
      <c r="S18" s="60">
        <f t="shared" si="3"/>
        <v>500000</v>
      </c>
      <c r="T18" s="60" cm="1">
        <f t="array" ref="T18">IF(ISBLANK($B18)=FALSE,SUMIFS(TransAmount,TransAsset,$C18,TransType,"ACQ"),0)</f>
        <v>500000</v>
      </c>
      <c r="U18" s="60">
        <f t="shared" si="4"/>
        <v>5</v>
      </c>
      <c r="V18" s="60">
        <f t="shared" si="5"/>
        <v>0</v>
      </c>
      <c r="W18" s="28">
        <f t="shared" ca="1" si="6"/>
        <v>0</v>
      </c>
      <c r="X18" s="28">
        <f t="shared" ca="1" si="7"/>
        <v>0</v>
      </c>
      <c r="Y18" s="28">
        <f t="shared" ca="1" si="8"/>
        <v>0</v>
      </c>
      <c r="Z18" s="28">
        <f t="shared" ca="1" si="9"/>
        <v>0</v>
      </c>
      <c r="AA18" s="28">
        <f t="shared" ca="1" si="10"/>
        <v>0</v>
      </c>
      <c r="AB18" s="28" cm="1">
        <f t="array" aca="1" ref="AB18" ca="1">IF(SUMIFS(TransTDCost,TransAsset,$C18,TransDate,"&lt;="&amp;$L18)&gt;($T18-$X18),($T18-$X18),SUMIFS(TransTDCost,TransAsset,$C18,TransDate,"&lt;="&amp;$L18))</f>
        <v>0</v>
      </c>
      <c r="AC18" s="28">
        <f t="shared" ca="1" si="11"/>
        <v>0</v>
      </c>
      <c r="AD18" s="28">
        <f t="array" aca="1" ref="AD18" ca="1">IF($L18=LARGE(IF(TransAsset=$C18,IF(TransIDDate&lt;Assets!$H$2,TransIDDate,0),0),1),IF($B18="DIS",$AC18,SUMIFS(TransCAccDep,TransAsset,$C18,TransDate,"&lt;="&amp;$L18)+IF($U18=0,0,MIN(($S18-$V18)/($U18*12)*(((YEAR(Assets!$H$2)*12)+MONTH(Assets!$H$2)-1)-((YEAR($L18)*12)+MONTH($L18)-1)),$S18-$V18))),0)-$AO18</f>
        <v>0</v>
      </c>
      <c r="AE18" s="28">
        <f t="shared" ca="1" si="12"/>
        <v>0</v>
      </c>
      <c r="AF18" s="28">
        <f t="shared" ca="1" si="13"/>
        <v>0</v>
      </c>
      <c r="AG18" s="28">
        <f t="shared" ca="1" si="14"/>
        <v>0</v>
      </c>
      <c r="AH18" s="28">
        <f t="shared" ca="1" si="15"/>
        <v>0</v>
      </c>
      <c r="AI18" s="28" cm="1">
        <f t="array" ref="AI18">IF($B18="REV",IF($S18-$AA18+$AE18&gt;0,IF(SUMIFS(TransImpair,TransAsset,$C18,TransDate,"&lt;"&amp;$M18)&gt;0,IF(SUMIFS(TransImpair,TransAsset,$C18,TransDate,"&lt;"&amp;$M18)&gt;$S18-$AA18+$AE18,-($S18-$AA18+$AE18),-SUMIFS(TransImpair,TransAsset,$C18,TransDate,"&lt;"&amp;$M18)),0),-($S18-$AA18+$AE18)),0)</f>
        <v>0</v>
      </c>
      <c r="AJ18" s="28">
        <f t="shared" si="16"/>
        <v>0</v>
      </c>
      <c r="AK18" s="28">
        <f t="shared" ca="1" si="17"/>
        <v>0</v>
      </c>
      <c r="AL18" s="28">
        <f t="shared" ca="1" si="18"/>
        <v>0</v>
      </c>
      <c r="AM18" s="28" cm="1">
        <f t="array" aca="1" ref="AM18" ca="1">IF($AN18&gt;($T18-$V18),($T18-$V18)-SUMIFS(TransPCAccDep,TransAsset,$C18,TransDate,"&lt;="&amp;$L18),$AL18)</f>
        <v>0</v>
      </c>
      <c r="AN18" s="28" cm="1">
        <f t="array" aca="1" ref="AN18" ca="1">IF($AL18=0,0,SUMIFS(TransCCYDep2,TransAsset,$C18,TransDate,"&lt;="&amp;$L18)+SUMIFS(TransPCAccDep,TransAsset,$C18,TransDate,"&lt;="&amp;$L18))</f>
        <v>0</v>
      </c>
      <c r="AO18" s="28">
        <f t="array" aca="1" ref="AO18" ca="1">IF($L18=LARGE(IF(TransAsset=$C18,IF(TransIDDate&lt;Assets!$H$2,TransIDDate,0),0),1),IF($B18="DIS",0,MIN(SUMIFS(TransTDCost,TransAsset,$C18,TransDate,"&lt;="&amp;$L18)+IF($U18=0,0,MIN(($S18-$V18)/($U18*12)*(((YEAR(Assets!$H$2)*12)+MONTH(Assets!$H$2)-1)-((YEAR($L18)*12)+MONTH($L18)-1)),$S18-$V18)),SUMIFS(TransTDCost,TransAsset,$C18,TransDate,"&lt;="&amp;$L18)+IF($U18=0,0,MIN(($T18-$V18)/($U18*12)*(((YEAR(Assets!$H$2)*12)+MONTH(Assets!$H$2)-1)-((YEAR($L18)*12)+MONTH($L18)-1)),$T18-$V18)),$T18-$V18)),0)</f>
        <v>466666.66666666669</v>
      </c>
      <c r="AP18" s="28">
        <f t="shared" ca="1" si="19"/>
        <v>0</v>
      </c>
      <c r="AQ18" s="60">
        <f ca="1">IF(SUMPRODUCT((TransAsset=$C18)*(TransType="DIS")*(TransIDDate&lt;(Assets!$I$2+1))*(1))&gt;0,0,IF(AND($AR18=0,DATE(YEAR($L18),MONTH($L18),1)&lt;&gt;DATE(YEAR(Assets!$J$2),MONTH(Assets!$J$2),1)),0,IF(DATE(YEAR($Q18),MONTH($Q18),1)&lt;&gt;DATE(YEAR(Assets!$I$2),MONTH(Assets!$I$2),1),0,IF($AR18=$S18-$V18,0,IF($U18=0,0,MIN(($S18-$V18)/($U18*12),($S18-$V18)-$AR18))))))</f>
        <v>0</v>
      </c>
      <c r="AR18" s="60">
        <f t="array" aca="1" ref="AR18" ca="1">IF($L18=LARGE(IF(TransAsset=$C18,IF(TransIDDate&lt;Assets!$J$2,TransIDDate,0),0),1),IF($B18="DIS",0,MIN(IF($U18=0,0,(($S18-$V18)/($U18*12)*(((YEAR(Assets!$J$2)*12)+MONTH(Assets!$J$2)-1)-((YEAR($L18)*12)+MONTH($L18)-1)))),($S18-$V18))),0)</f>
        <v>0</v>
      </c>
      <c r="AS18" s="60">
        <f t="shared" si="20"/>
        <v>8333.3333333333339</v>
      </c>
      <c r="AT18" s="28" cm="1">
        <f t="array" aca="1" ref="AT18" ca="1">IF(SUMPRODUCT((TransAsset=$C18)*(TransType="DIS")*(TransIDDate&lt;(Assets!$I$2+1))*(1))&gt;0,0,IF(AND($AU18=0,DATE(YEAR($L18),MONTH($L18),1)&lt;&gt;DATE(YEAR(Assets!$J$2),MONTH(Assets!$J$2),1)),0,IF(DATE(YEAR($Q18),MONTH($Q18),1)&lt;&gt;DATE(YEAR(Assets!$I$2),MONTH(Assets!$I$2),1),0,IF(SUMIFS(TransPMAccDep,TransAsset,$C18)&gt;=($T18-$V18),($T18-$V18)-SUMIFS(TransPMAccDep,TransAsset,$C18),IF($U18=0,0,IF($S18&lt;$T18,MIN(($S18-$V18)/($U18*12),($T18-$V18)-$AU18),MIN(($T18-$V18)/($U18*12),($T18-$V18)-$AU18)))))))</f>
        <v>0</v>
      </c>
      <c r="AU18" s="28">
        <f t="array" aca="1" ref="AU18" ca="1">IF($L18=LARGE(IF(TransAsset=$C18,IF(TransIDDate&lt;Assets!$J$2,TransIDDate,0),0),1),IF($B18="DIS",0,MIN(SUMIFS(TransTDCost,TransAsset,$C18,TransDate,"&lt;="&amp;$L18)+IF($U18=0,0,MIN(($S18-$V18)/($U18*12)*(((YEAR(Assets!$J$2)*12)+MONTH(Assets!$J$2)-1)-((YEAR($L18)*12)+MONTH($L18)-1)),$S18-$V18)),SUMIFS(TransTDCost,TransAsset,$C18,TransDate,"&lt;="&amp;$L18)+IF($U18=0,0,MIN(($T18-$V18)/($U18*12)*(((YEAR(Assets!$J$2)*12)+MONTH(Assets!$J$2)-1)-((YEAR($L18)*12)+MONTH($L18)-1)),$T18-$V18)),$T18-$V18)),0)</f>
        <v>0</v>
      </c>
    </row>
    <row r="19" spans="1:47" ht="16" customHeight="1" x14ac:dyDescent="0.25">
      <c r="A19" s="33">
        <v>42205</v>
      </c>
      <c r="B19" s="4" t="s">
        <v>79</v>
      </c>
      <c r="C19" s="8" t="s">
        <v>282</v>
      </c>
      <c r="D19" s="3" t="s">
        <v>274</v>
      </c>
      <c r="E19" s="3" t="s">
        <v>275</v>
      </c>
      <c r="F19" s="28">
        <v>400000</v>
      </c>
      <c r="G19" s="28">
        <v>5</v>
      </c>
      <c r="H19" s="28">
        <v>0</v>
      </c>
      <c r="I19" s="28">
        <v>0</v>
      </c>
      <c r="J19" s="59" t="str" cm="1">
        <f t="array" aca="1" ref="J19" ca="1">IF(ISNA(VLOOKUP($C19,AssetCode,1,0))=TRUE,"E3",IF(OR(ISBLANK($B19)=TRUE,SUMPRODUCT((TransAsset=$C19)*(TransIDDate&lt;$L19)*(TransType="DIS")*(1))&gt;0),"E4",IF(SUMPRODUCT((TransAsset=$C19)*(TransType="ACQ")*(1))&gt;1,"E5",IF(OR($F19&lt;0,AND(TransType="DIS",$F19&lt;&gt;0)=TRUE),"E6",IF(OR(AND($G19&lt;0,TransType&lt;&gt;"DIS")=TRUE,AND(TransType="DIS",$G19&lt;&gt;0)=TRUE),"E7",IF(OR($H19&lt;0,AND(TransType="DIS",$H19&lt;&gt;0)=TRUE,$H19&gt;$F19),"E8",IF($I19&lt;0,"E9","-")))))))</f>
        <v>-</v>
      </c>
      <c r="K19" s="60" t="str">
        <f>IF(ISNA(VLOOKUP($C19,AssetAll,COLUMN(Assets!$E$4),0))=TRUE,"add!",VLOOKUP($C19,AssetAll,COLUMN(Assets!$E$4),0))</f>
        <v>PPM01</v>
      </c>
      <c r="L19" s="61">
        <f t="shared" ca="1" si="0"/>
        <v>42205.000219907408</v>
      </c>
      <c r="M19" s="61">
        <f t="array" aca="1" ref="M19" ca="1">IF(ISBLANK($C19)=TRUE,0,LARGE(IF(TransAsset=$C19,IF(TransIDDate&lt;$L19,TransIDDate,0),0),1))</f>
        <v>0</v>
      </c>
      <c r="N19" s="61">
        <f t="array" aca="1" ref="N19" ca="1">IF(ISBLANK($C19)=TRUE,0,SMALL(IF(TransAsset=$C19,IF(TransIDDate&gt;$L19,TransIDDate,(Assets!$I$2+1)),(Assets!$I$2+1)),1))</f>
        <v>43891.000659722224</v>
      </c>
      <c r="O19" s="61">
        <f t="shared" ca="1" si="1"/>
        <v>44012</v>
      </c>
      <c r="P19" s="61">
        <f ca="1">IF(OR($N19&lt;Assets!$H$2,$O19&lt;Assets!$H$2,$L19&gt;(Assets!$I$2+1)),0,IF($B19="DIS",IF($L19&lt;Assets!$H$2,0,IF($L19&lt;(Assets!$I$2+1),DATE(YEAR($L19),MONTH($L19),0),Assets!$H$2)),IF($L19&lt;Assets!$H$2,Assets!$H$2,DATE(YEAR($L19),MONTH($L19),1))))</f>
        <v>43891</v>
      </c>
      <c r="Q19" s="61">
        <f ca="1">IF($P19=0,0,IF($B19="DIS",IF($L19&gt;(Assets!$I$2+1),MIN(Assets!$I$2,$O19),MIN($L19,$O19)),IF($N19&lt;(Assets!$I$2+1),MIN(IF(DATE(YEAR($N19),MONTH($N19),0)&lt;$P19,$P19,DATE(YEAR($N19),MONTH($N19),0)),$O19),MIN(Assets!$I$2,$O19))))</f>
        <v>43891</v>
      </c>
      <c r="R19" s="60">
        <f t="shared" ca="1" si="2"/>
        <v>0</v>
      </c>
      <c r="S19" s="60">
        <f t="shared" si="3"/>
        <v>400000</v>
      </c>
      <c r="T19" s="60" cm="1">
        <f t="array" ref="T19">IF(ISBLANK($B19)=FALSE,SUMIFS(TransAmount,TransAsset,$C19,TransType,"ACQ"),0)</f>
        <v>400000</v>
      </c>
      <c r="U19" s="60">
        <f t="shared" si="4"/>
        <v>5</v>
      </c>
      <c r="V19" s="60">
        <f t="shared" si="5"/>
        <v>0</v>
      </c>
      <c r="W19" s="28">
        <f t="shared" ca="1" si="6"/>
        <v>0</v>
      </c>
      <c r="X19" s="28">
        <f t="shared" ca="1" si="7"/>
        <v>0</v>
      </c>
      <c r="Y19" s="28">
        <f t="shared" ca="1" si="8"/>
        <v>0</v>
      </c>
      <c r="Z19" s="28">
        <f t="shared" ca="1" si="9"/>
        <v>0</v>
      </c>
      <c r="AA19" s="28">
        <f t="shared" ca="1" si="10"/>
        <v>0</v>
      </c>
      <c r="AB19" s="28" cm="1">
        <f t="array" aca="1" ref="AB19" ca="1">IF(SUMIFS(TransTDCost,TransAsset,$C19,TransDate,"&lt;="&amp;$L19)&gt;($T19-$X19),($T19-$X19),SUMIFS(TransTDCost,TransAsset,$C19,TransDate,"&lt;="&amp;$L19))</f>
        <v>0</v>
      </c>
      <c r="AC19" s="28">
        <f t="shared" ca="1" si="11"/>
        <v>0</v>
      </c>
      <c r="AD19" s="28">
        <f t="array" aca="1" ref="AD19" ca="1">IF($L19=LARGE(IF(TransAsset=$C19,IF(TransIDDate&lt;Assets!$H$2,TransIDDate,0),0),1),IF($B19="DIS",$AC19,SUMIFS(TransCAccDep,TransAsset,$C19,TransDate,"&lt;="&amp;$L19)+IF($U19=0,0,MIN(($S19-$V19)/($U19*12)*(((YEAR(Assets!$H$2)*12)+MONTH(Assets!$H$2)-1)-((YEAR($L19)*12)+MONTH($L19)-1)),$S19-$V19))),0)-$AO19</f>
        <v>0</v>
      </c>
      <c r="AE19" s="28">
        <f t="shared" ca="1" si="12"/>
        <v>0</v>
      </c>
      <c r="AF19" s="28">
        <f t="shared" ca="1" si="13"/>
        <v>0</v>
      </c>
      <c r="AG19" s="28">
        <f t="shared" ca="1" si="14"/>
        <v>0</v>
      </c>
      <c r="AH19" s="28">
        <f t="shared" ca="1" si="15"/>
        <v>0</v>
      </c>
      <c r="AI19" s="28" cm="1">
        <f t="array" ref="AI19">IF($B19="REV",IF($S19-$AA19+$AE19&gt;0,IF(SUMIFS(TransImpair,TransAsset,$C19,TransDate,"&lt;"&amp;$M19)&gt;0,IF(SUMIFS(TransImpair,TransAsset,$C19,TransDate,"&lt;"&amp;$M19)&gt;$S19-$AA19+$AE19,-($S19-$AA19+$AE19),-SUMIFS(TransImpair,TransAsset,$C19,TransDate,"&lt;"&amp;$M19)),0),-($S19-$AA19+$AE19)),0)</f>
        <v>0</v>
      </c>
      <c r="AJ19" s="28">
        <f t="shared" si="16"/>
        <v>0</v>
      </c>
      <c r="AK19" s="28">
        <f t="shared" ca="1" si="17"/>
        <v>0</v>
      </c>
      <c r="AL19" s="28">
        <f t="shared" ca="1" si="18"/>
        <v>0</v>
      </c>
      <c r="AM19" s="28" cm="1">
        <f t="array" aca="1" ref="AM19" ca="1">IF($AN19&gt;($T19-$V19),($T19-$V19)-SUMIFS(TransPCAccDep,TransAsset,$C19,TransDate,"&lt;="&amp;$L19),$AL19)</f>
        <v>0</v>
      </c>
      <c r="AN19" s="28" cm="1">
        <f t="array" aca="1" ref="AN19" ca="1">IF($AL19=0,0,SUMIFS(TransCCYDep2,TransAsset,$C19,TransDate,"&lt;="&amp;$L19)+SUMIFS(TransPCAccDep,TransAsset,$C19,TransDate,"&lt;="&amp;$L19))</f>
        <v>0</v>
      </c>
      <c r="AO19" s="28">
        <f t="array" aca="1" ref="AO19" ca="1">IF($L19=LARGE(IF(TransAsset=$C19,IF(TransIDDate&lt;Assets!$H$2,TransIDDate,0),0),1),IF($B19="DIS",0,MIN(SUMIFS(TransTDCost,TransAsset,$C19,TransDate,"&lt;="&amp;$L19)+IF($U19=0,0,MIN(($S19-$V19)/($U19*12)*(((YEAR(Assets!$H$2)*12)+MONTH(Assets!$H$2)-1)-((YEAR($L19)*12)+MONTH($L19)-1)),$S19-$V19)),SUMIFS(TransTDCost,TransAsset,$C19,TransDate,"&lt;="&amp;$L19)+IF($U19=0,0,MIN(($T19-$V19)/($U19*12)*(((YEAR(Assets!$H$2)*12)+MONTH(Assets!$H$2)-1)-((YEAR($L19)*12)+MONTH($L19)-1)),$T19-$V19)),$T19-$V19)),0)</f>
        <v>373333.33333333337</v>
      </c>
      <c r="AP19" s="28">
        <f t="shared" ca="1" si="19"/>
        <v>0</v>
      </c>
      <c r="AQ19" s="60">
        <f ca="1">IF(SUMPRODUCT((TransAsset=$C19)*(TransType="DIS")*(TransIDDate&lt;(Assets!$I$2+1))*(1))&gt;0,0,IF(AND($AR19=0,DATE(YEAR($L19),MONTH($L19),1)&lt;&gt;DATE(YEAR(Assets!$J$2),MONTH(Assets!$J$2),1)),0,IF(DATE(YEAR($Q19),MONTH($Q19),1)&lt;&gt;DATE(YEAR(Assets!$I$2),MONTH(Assets!$I$2),1),0,IF($AR19=$S19-$V19,0,IF($U19=0,0,MIN(($S19-$V19)/($U19*12),($S19-$V19)-$AR19))))))</f>
        <v>0</v>
      </c>
      <c r="AR19" s="60">
        <f t="array" aca="1" ref="AR19" ca="1">IF($L19=LARGE(IF(TransAsset=$C19,IF(TransIDDate&lt;Assets!$J$2,TransIDDate,0),0),1),IF($B19="DIS",0,MIN(IF($U19=0,0,(($S19-$V19)/($U19*12)*(((YEAR(Assets!$J$2)*12)+MONTH(Assets!$J$2)-1)-((YEAR($L19)*12)+MONTH($L19)-1)))),($S19-$V19))),0)</f>
        <v>0</v>
      </c>
      <c r="AS19" s="60">
        <f t="shared" si="20"/>
        <v>6666.666666666667</v>
      </c>
      <c r="AT19" s="28" cm="1">
        <f t="array" aca="1" ref="AT19" ca="1">IF(SUMPRODUCT((TransAsset=$C19)*(TransType="DIS")*(TransIDDate&lt;(Assets!$I$2+1))*(1))&gt;0,0,IF(AND($AU19=0,DATE(YEAR($L19),MONTH($L19),1)&lt;&gt;DATE(YEAR(Assets!$J$2),MONTH(Assets!$J$2),1)),0,IF(DATE(YEAR($Q19),MONTH($Q19),1)&lt;&gt;DATE(YEAR(Assets!$I$2),MONTH(Assets!$I$2),1),0,IF(SUMIFS(TransPMAccDep,TransAsset,$C19)&gt;=($T19-$V19),($T19-$V19)-SUMIFS(TransPMAccDep,TransAsset,$C19),IF($U19=0,0,IF($S19&lt;$T19,MIN(($S19-$V19)/($U19*12),($T19-$V19)-$AU19),MIN(($T19-$V19)/($U19*12),($T19-$V19)-$AU19)))))))</f>
        <v>0</v>
      </c>
      <c r="AU19" s="28">
        <f t="array" aca="1" ref="AU19" ca="1">IF($L19=LARGE(IF(TransAsset=$C19,IF(TransIDDate&lt;Assets!$J$2,TransIDDate,0),0),1),IF($B19="DIS",0,MIN(SUMIFS(TransTDCost,TransAsset,$C19,TransDate,"&lt;="&amp;$L19)+IF($U19=0,0,MIN(($S19-$V19)/($U19*12)*(((YEAR(Assets!$J$2)*12)+MONTH(Assets!$J$2)-1)-((YEAR($L19)*12)+MONTH($L19)-1)),$S19-$V19)),SUMIFS(TransTDCost,TransAsset,$C19,TransDate,"&lt;="&amp;$L19)+IF($U19=0,0,MIN(($T19-$V19)/($U19*12)*(((YEAR(Assets!$J$2)*12)+MONTH(Assets!$J$2)-1)-((YEAR($L19)*12)+MONTH($L19)-1)),$T19-$V19)),$T19-$V19)),0)</f>
        <v>0</v>
      </c>
    </row>
    <row r="20" spans="1:47" ht="16" customHeight="1" x14ac:dyDescent="0.25">
      <c r="A20" s="33">
        <v>42205</v>
      </c>
      <c r="B20" s="4" t="s">
        <v>79</v>
      </c>
      <c r="C20" s="8" t="s">
        <v>283</v>
      </c>
      <c r="D20" s="3" t="s">
        <v>274</v>
      </c>
      <c r="E20" s="3" t="s">
        <v>275</v>
      </c>
      <c r="F20" s="28">
        <v>260000</v>
      </c>
      <c r="G20" s="28">
        <v>5</v>
      </c>
      <c r="H20" s="28">
        <v>0</v>
      </c>
      <c r="I20" s="28">
        <v>0</v>
      </c>
      <c r="J20" s="59" t="str" cm="1">
        <f t="array" aca="1" ref="J20" ca="1">IF(ISNA(VLOOKUP($C20,AssetCode,1,0))=TRUE,"E3",IF(OR(ISBLANK($B20)=TRUE,SUMPRODUCT((TransAsset=$C20)*(TransIDDate&lt;$L20)*(TransType="DIS")*(1))&gt;0),"E4",IF(SUMPRODUCT((TransAsset=$C20)*(TransType="ACQ")*(1))&gt;1,"E5",IF(OR($F20&lt;0,AND(TransType="DIS",$F20&lt;&gt;0)=TRUE),"E6",IF(OR(AND($G20&lt;0,TransType&lt;&gt;"DIS")=TRUE,AND(TransType="DIS",$G20&lt;&gt;0)=TRUE),"E7",IF(OR($H20&lt;0,AND(TransType="DIS",$H20&lt;&gt;0)=TRUE,$H20&gt;$F20),"E8",IF($I20&lt;0,"E9","-")))))))</f>
        <v>-</v>
      </c>
      <c r="K20" s="60" t="str">
        <f>IF(ISNA(VLOOKUP($C20,AssetAll,COLUMN(Assets!$E$4),0))=TRUE,"add!",VLOOKUP($C20,AssetAll,COLUMN(Assets!$E$4),0))</f>
        <v>PPM01</v>
      </c>
      <c r="L20" s="61">
        <f t="shared" ca="1" si="0"/>
        <v>42205.000231481485</v>
      </c>
      <c r="M20" s="61">
        <f t="array" aca="1" ref="M20" ca="1">IF(ISBLANK($C20)=TRUE,0,LARGE(IF(TransAsset=$C20,IF(TransIDDate&lt;$L20,TransIDDate,0),0),1))</f>
        <v>0</v>
      </c>
      <c r="N20" s="61">
        <f t="array" aca="1" ref="N20" ca="1">IF(ISBLANK($C20)=TRUE,0,SMALL(IF(TransAsset=$C20,IF(TransIDDate&gt;$L20,TransIDDate,(Assets!$I$2+1)),(Assets!$I$2+1)),1))</f>
        <v>43891.000671296293</v>
      </c>
      <c r="O20" s="61">
        <f t="shared" ca="1" si="1"/>
        <v>44012</v>
      </c>
      <c r="P20" s="61">
        <f ca="1">IF(OR($N20&lt;Assets!$H$2,$O20&lt;Assets!$H$2,$L20&gt;(Assets!$I$2+1)),0,IF($B20="DIS",IF($L20&lt;Assets!$H$2,0,IF($L20&lt;(Assets!$I$2+1),DATE(YEAR($L20),MONTH($L20),0),Assets!$H$2)),IF($L20&lt;Assets!$H$2,Assets!$H$2,DATE(YEAR($L20),MONTH($L20),1))))</f>
        <v>43891</v>
      </c>
      <c r="Q20" s="61">
        <f ca="1">IF($P20=0,0,IF($B20="DIS",IF($L20&gt;(Assets!$I$2+1),MIN(Assets!$I$2,$O20),MIN($L20,$O20)),IF($N20&lt;(Assets!$I$2+1),MIN(IF(DATE(YEAR($N20),MONTH($N20),0)&lt;$P20,$P20,DATE(YEAR($N20),MONTH($N20),0)),$O20),MIN(Assets!$I$2,$O20))))</f>
        <v>43891</v>
      </c>
      <c r="R20" s="60">
        <f t="shared" ca="1" si="2"/>
        <v>0</v>
      </c>
      <c r="S20" s="60">
        <f t="shared" si="3"/>
        <v>260000</v>
      </c>
      <c r="T20" s="60" cm="1">
        <f t="array" ref="T20">IF(ISBLANK($B20)=FALSE,SUMIFS(TransAmount,TransAsset,$C20,TransType,"ACQ"),0)</f>
        <v>260000</v>
      </c>
      <c r="U20" s="60">
        <f t="shared" si="4"/>
        <v>5</v>
      </c>
      <c r="V20" s="60">
        <f t="shared" si="5"/>
        <v>0</v>
      </c>
      <c r="W20" s="28">
        <f t="shared" ca="1" si="6"/>
        <v>0</v>
      </c>
      <c r="X20" s="28">
        <f t="shared" ca="1" si="7"/>
        <v>0</v>
      </c>
      <c r="Y20" s="28">
        <f t="shared" ca="1" si="8"/>
        <v>0</v>
      </c>
      <c r="Z20" s="28">
        <f t="shared" ca="1" si="9"/>
        <v>0</v>
      </c>
      <c r="AA20" s="28">
        <f t="shared" ca="1" si="10"/>
        <v>0</v>
      </c>
      <c r="AB20" s="28" cm="1">
        <f t="array" aca="1" ref="AB20" ca="1">IF(SUMIFS(TransTDCost,TransAsset,$C20,TransDate,"&lt;="&amp;$L20)&gt;($T20-$X20),($T20-$X20),SUMIFS(TransTDCost,TransAsset,$C20,TransDate,"&lt;="&amp;$L20))</f>
        <v>0</v>
      </c>
      <c r="AC20" s="28">
        <f t="shared" ca="1" si="11"/>
        <v>0</v>
      </c>
      <c r="AD20" s="28">
        <f t="array" aca="1" ref="AD20" ca="1">IF($L20=LARGE(IF(TransAsset=$C20,IF(TransIDDate&lt;Assets!$H$2,TransIDDate,0),0),1),IF($B20="DIS",$AC20,SUMIFS(TransCAccDep,TransAsset,$C20,TransDate,"&lt;="&amp;$L20)+IF($U20=0,0,MIN(($S20-$V20)/($U20*12)*(((YEAR(Assets!$H$2)*12)+MONTH(Assets!$H$2)-1)-((YEAR($L20)*12)+MONTH($L20)-1)),$S20-$V20))),0)-$AO20</f>
        <v>0</v>
      </c>
      <c r="AE20" s="28">
        <f t="shared" ca="1" si="12"/>
        <v>0</v>
      </c>
      <c r="AF20" s="28">
        <f t="shared" ca="1" si="13"/>
        <v>0</v>
      </c>
      <c r="AG20" s="28">
        <f t="shared" ca="1" si="14"/>
        <v>0</v>
      </c>
      <c r="AH20" s="28">
        <f t="shared" ca="1" si="15"/>
        <v>0</v>
      </c>
      <c r="AI20" s="28" cm="1">
        <f t="array" ref="AI20">IF($B20="REV",IF($S20-$AA20+$AE20&gt;0,IF(SUMIFS(TransImpair,TransAsset,$C20,TransDate,"&lt;"&amp;$M20)&gt;0,IF(SUMIFS(TransImpair,TransAsset,$C20,TransDate,"&lt;"&amp;$M20)&gt;$S20-$AA20+$AE20,-($S20-$AA20+$AE20),-SUMIFS(TransImpair,TransAsset,$C20,TransDate,"&lt;"&amp;$M20)),0),-($S20-$AA20+$AE20)),0)</f>
        <v>0</v>
      </c>
      <c r="AJ20" s="28">
        <f t="shared" si="16"/>
        <v>0</v>
      </c>
      <c r="AK20" s="28">
        <f t="shared" ca="1" si="17"/>
        <v>0</v>
      </c>
      <c r="AL20" s="28">
        <f t="shared" ca="1" si="18"/>
        <v>0</v>
      </c>
      <c r="AM20" s="28" cm="1">
        <f t="array" aca="1" ref="AM20" ca="1">IF($AN20&gt;($T20-$V20),($T20-$V20)-SUMIFS(TransPCAccDep,TransAsset,$C20,TransDate,"&lt;="&amp;$L20),$AL20)</f>
        <v>0</v>
      </c>
      <c r="AN20" s="28" cm="1">
        <f t="array" aca="1" ref="AN20" ca="1">IF($AL20=0,0,SUMIFS(TransCCYDep2,TransAsset,$C20,TransDate,"&lt;="&amp;$L20)+SUMIFS(TransPCAccDep,TransAsset,$C20,TransDate,"&lt;="&amp;$L20))</f>
        <v>0</v>
      </c>
      <c r="AO20" s="28">
        <f t="array" aca="1" ref="AO20" ca="1">IF($L20=LARGE(IF(TransAsset=$C20,IF(TransIDDate&lt;Assets!$H$2,TransIDDate,0),0),1),IF($B20="DIS",0,MIN(SUMIFS(TransTDCost,TransAsset,$C20,TransDate,"&lt;="&amp;$L20)+IF($U20=0,0,MIN(($S20-$V20)/($U20*12)*(((YEAR(Assets!$H$2)*12)+MONTH(Assets!$H$2)-1)-((YEAR($L20)*12)+MONTH($L20)-1)),$S20-$V20)),SUMIFS(TransTDCost,TransAsset,$C20,TransDate,"&lt;="&amp;$L20)+IF($U20=0,0,MIN(($T20-$V20)/($U20*12)*(((YEAR(Assets!$H$2)*12)+MONTH(Assets!$H$2)-1)-((YEAR($L20)*12)+MONTH($L20)-1)),$T20-$V20)),$T20-$V20)),0)</f>
        <v>242666.66666666666</v>
      </c>
      <c r="AP20" s="28">
        <f t="shared" ca="1" si="19"/>
        <v>0</v>
      </c>
      <c r="AQ20" s="60">
        <f ca="1">IF(SUMPRODUCT((TransAsset=$C20)*(TransType="DIS")*(TransIDDate&lt;(Assets!$I$2+1))*(1))&gt;0,0,IF(AND($AR20=0,DATE(YEAR($L20),MONTH($L20),1)&lt;&gt;DATE(YEAR(Assets!$J$2),MONTH(Assets!$J$2),1)),0,IF(DATE(YEAR($Q20),MONTH($Q20),1)&lt;&gt;DATE(YEAR(Assets!$I$2),MONTH(Assets!$I$2),1),0,IF($AR20=$S20-$V20,0,IF($U20=0,0,MIN(($S20-$V20)/($U20*12),($S20-$V20)-$AR20))))))</f>
        <v>0</v>
      </c>
      <c r="AR20" s="60">
        <f t="array" aca="1" ref="AR20" ca="1">IF($L20=LARGE(IF(TransAsset=$C20,IF(TransIDDate&lt;Assets!$J$2,TransIDDate,0),0),1),IF($B20="DIS",0,MIN(IF($U20=0,0,(($S20-$V20)/($U20*12)*(((YEAR(Assets!$J$2)*12)+MONTH(Assets!$J$2)-1)-((YEAR($L20)*12)+MONTH($L20)-1)))),($S20-$V20))),0)</f>
        <v>0</v>
      </c>
      <c r="AS20" s="60">
        <f t="shared" si="20"/>
        <v>4333.333333333333</v>
      </c>
      <c r="AT20" s="28" cm="1">
        <f t="array" aca="1" ref="AT20" ca="1">IF(SUMPRODUCT((TransAsset=$C20)*(TransType="DIS")*(TransIDDate&lt;(Assets!$I$2+1))*(1))&gt;0,0,IF(AND($AU20=0,DATE(YEAR($L20),MONTH($L20),1)&lt;&gt;DATE(YEAR(Assets!$J$2),MONTH(Assets!$J$2),1)),0,IF(DATE(YEAR($Q20),MONTH($Q20),1)&lt;&gt;DATE(YEAR(Assets!$I$2),MONTH(Assets!$I$2),1),0,IF(SUMIFS(TransPMAccDep,TransAsset,$C20)&gt;=($T20-$V20),($T20-$V20)-SUMIFS(TransPMAccDep,TransAsset,$C20),IF($U20=0,0,IF($S20&lt;$T20,MIN(($S20-$V20)/($U20*12),($T20-$V20)-$AU20),MIN(($T20-$V20)/($U20*12),($T20-$V20)-$AU20)))))))</f>
        <v>0</v>
      </c>
      <c r="AU20" s="28">
        <f t="array" aca="1" ref="AU20" ca="1">IF($L20=LARGE(IF(TransAsset=$C20,IF(TransIDDate&lt;Assets!$J$2,TransIDDate,0),0),1),IF($B20="DIS",0,MIN(SUMIFS(TransTDCost,TransAsset,$C20,TransDate,"&lt;="&amp;$L20)+IF($U20=0,0,MIN(($S20-$V20)/($U20*12)*(((YEAR(Assets!$J$2)*12)+MONTH(Assets!$J$2)-1)-((YEAR($L20)*12)+MONTH($L20)-1)),$S20-$V20)),SUMIFS(TransTDCost,TransAsset,$C20,TransDate,"&lt;="&amp;$L20)+IF($U20=0,0,MIN(($T20-$V20)/($U20*12)*(((YEAR(Assets!$J$2)*12)+MONTH(Assets!$J$2)-1)-((YEAR($L20)*12)+MONTH($L20)-1)),$T20-$V20)),$T20-$V20)),0)</f>
        <v>0</v>
      </c>
    </row>
    <row r="21" spans="1:47" ht="16" customHeight="1" x14ac:dyDescent="0.25">
      <c r="A21" s="33">
        <v>42205</v>
      </c>
      <c r="B21" s="4" t="s">
        <v>79</v>
      </c>
      <c r="C21" s="8" t="s">
        <v>284</v>
      </c>
      <c r="D21" s="3" t="s">
        <v>274</v>
      </c>
      <c r="E21" s="3" t="s">
        <v>275</v>
      </c>
      <c r="F21" s="28">
        <v>295000</v>
      </c>
      <c r="G21" s="28">
        <v>5</v>
      </c>
      <c r="H21" s="28">
        <v>0</v>
      </c>
      <c r="I21" s="28">
        <v>0</v>
      </c>
      <c r="J21" s="59" t="str" cm="1">
        <f t="array" aca="1" ref="J21" ca="1">IF(ISNA(VLOOKUP($C21,AssetCode,1,0))=TRUE,"E3",IF(OR(ISBLANK($B21)=TRUE,SUMPRODUCT((TransAsset=$C21)*(TransIDDate&lt;$L21)*(TransType="DIS")*(1))&gt;0),"E4",IF(SUMPRODUCT((TransAsset=$C21)*(TransType="ACQ")*(1))&gt;1,"E5",IF(OR($F21&lt;0,AND(TransType="DIS",$F21&lt;&gt;0)=TRUE),"E6",IF(OR(AND($G21&lt;0,TransType&lt;&gt;"DIS")=TRUE,AND(TransType="DIS",$G21&lt;&gt;0)=TRUE),"E7",IF(OR($H21&lt;0,AND(TransType="DIS",$H21&lt;&gt;0)=TRUE,$H21&gt;$F21),"E8",IF($I21&lt;0,"E9","-")))))))</f>
        <v>-</v>
      </c>
      <c r="K21" s="60" t="str">
        <f>IF(ISNA(VLOOKUP($C21,AssetAll,COLUMN(Assets!$E$4),0))=TRUE,"add!",VLOOKUP($C21,AssetAll,COLUMN(Assets!$E$4),0))</f>
        <v>PPM01</v>
      </c>
      <c r="L21" s="61">
        <f t="shared" ca="1" si="0"/>
        <v>42205.000243055554</v>
      </c>
      <c r="M21" s="61">
        <f t="array" aca="1" ref="M21" ca="1">IF(ISBLANK($C21)=TRUE,0,LARGE(IF(TransAsset=$C21,IF(TransIDDate&lt;$L21,TransIDDate,0),0),1))</f>
        <v>0</v>
      </c>
      <c r="N21" s="61">
        <f t="array" aca="1" ref="N21" ca="1">IF(ISBLANK($C21)=TRUE,0,SMALL(IF(TransAsset=$C21,IF(TransIDDate&gt;$L21,TransIDDate,(Assets!$I$2+1)),(Assets!$I$2+1)),1))</f>
        <v>43891.00068287037</v>
      </c>
      <c r="O21" s="61">
        <f t="shared" ca="1" si="1"/>
        <v>44012</v>
      </c>
      <c r="P21" s="61">
        <f ca="1">IF(OR($N21&lt;Assets!$H$2,$O21&lt;Assets!$H$2,$L21&gt;(Assets!$I$2+1)),0,IF($B21="DIS",IF($L21&lt;Assets!$H$2,0,IF($L21&lt;(Assets!$I$2+1),DATE(YEAR($L21),MONTH($L21),0),Assets!$H$2)),IF($L21&lt;Assets!$H$2,Assets!$H$2,DATE(YEAR($L21),MONTH($L21),1))))</f>
        <v>43891</v>
      </c>
      <c r="Q21" s="61">
        <f ca="1">IF($P21=0,0,IF($B21="DIS",IF($L21&gt;(Assets!$I$2+1),MIN(Assets!$I$2,$O21),MIN($L21,$O21)),IF($N21&lt;(Assets!$I$2+1),MIN(IF(DATE(YEAR($N21),MONTH($N21),0)&lt;$P21,$P21,DATE(YEAR($N21),MONTH($N21),0)),$O21),MIN(Assets!$I$2,$O21))))</f>
        <v>43891</v>
      </c>
      <c r="R21" s="60">
        <f t="shared" ca="1" si="2"/>
        <v>0</v>
      </c>
      <c r="S21" s="60">
        <f t="shared" si="3"/>
        <v>295000</v>
      </c>
      <c r="T21" s="60" cm="1">
        <f t="array" ref="T21">IF(ISBLANK($B21)=FALSE,SUMIFS(TransAmount,TransAsset,$C21,TransType,"ACQ"),0)</f>
        <v>295000</v>
      </c>
      <c r="U21" s="60">
        <f t="shared" si="4"/>
        <v>5</v>
      </c>
      <c r="V21" s="60">
        <f t="shared" si="5"/>
        <v>0</v>
      </c>
      <c r="W21" s="28">
        <f t="shared" ca="1" si="6"/>
        <v>0</v>
      </c>
      <c r="X21" s="28">
        <f t="shared" ca="1" si="7"/>
        <v>0</v>
      </c>
      <c r="Y21" s="28">
        <f t="shared" ca="1" si="8"/>
        <v>0</v>
      </c>
      <c r="Z21" s="28">
        <f t="shared" ca="1" si="9"/>
        <v>0</v>
      </c>
      <c r="AA21" s="28">
        <f t="shared" ca="1" si="10"/>
        <v>0</v>
      </c>
      <c r="AB21" s="28" cm="1">
        <f t="array" aca="1" ref="AB21" ca="1">IF(SUMIFS(TransTDCost,TransAsset,$C21,TransDate,"&lt;="&amp;$L21)&gt;($T21-$X21),($T21-$X21),SUMIFS(TransTDCost,TransAsset,$C21,TransDate,"&lt;="&amp;$L21))</f>
        <v>0</v>
      </c>
      <c r="AC21" s="28">
        <f t="shared" ca="1" si="11"/>
        <v>0</v>
      </c>
      <c r="AD21" s="28">
        <f t="array" aca="1" ref="AD21" ca="1">IF($L21=LARGE(IF(TransAsset=$C21,IF(TransIDDate&lt;Assets!$H$2,TransIDDate,0),0),1),IF($B21="DIS",$AC21,SUMIFS(TransCAccDep,TransAsset,$C21,TransDate,"&lt;="&amp;$L21)+IF($U21=0,0,MIN(($S21-$V21)/($U21*12)*(((YEAR(Assets!$H$2)*12)+MONTH(Assets!$H$2)-1)-((YEAR($L21)*12)+MONTH($L21)-1)),$S21-$V21))),0)-$AO21</f>
        <v>0</v>
      </c>
      <c r="AE21" s="28">
        <f t="shared" ca="1" si="12"/>
        <v>0</v>
      </c>
      <c r="AF21" s="28">
        <f t="shared" ca="1" si="13"/>
        <v>0</v>
      </c>
      <c r="AG21" s="28">
        <f t="shared" ca="1" si="14"/>
        <v>0</v>
      </c>
      <c r="AH21" s="28">
        <f t="shared" ca="1" si="15"/>
        <v>0</v>
      </c>
      <c r="AI21" s="28" cm="1">
        <f t="array" ref="AI21">IF($B21="REV",IF($S21-$AA21+$AE21&gt;0,IF(SUMIFS(TransImpair,TransAsset,$C21,TransDate,"&lt;"&amp;$M21)&gt;0,IF(SUMIFS(TransImpair,TransAsset,$C21,TransDate,"&lt;"&amp;$M21)&gt;$S21-$AA21+$AE21,-($S21-$AA21+$AE21),-SUMIFS(TransImpair,TransAsset,$C21,TransDate,"&lt;"&amp;$M21)),0),-($S21-$AA21+$AE21)),0)</f>
        <v>0</v>
      </c>
      <c r="AJ21" s="28">
        <f t="shared" si="16"/>
        <v>0</v>
      </c>
      <c r="AK21" s="28">
        <f t="shared" ca="1" si="17"/>
        <v>0</v>
      </c>
      <c r="AL21" s="28">
        <f t="shared" ca="1" si="18"/>
        <v>0</v>
      </c>
      <c r="AM21" s="28" cm="1">
        <f t="array" aca="1" ref="AM21" ca="1">IF($AN21&gt;($T21-$V21),($T21-$V21)-SUMIFS(TransPCAccDep,TransAsset,$C21,TransDate,"&lt;="&amp;$L21),$AL21)</f>
        <v>0</v>
      </c>
      <c r="AN21" s="28" cm="1">
        <f t="array" aca="1" ref="AN21" ca="1">IF($AL21=0,0,SUMIFS(TransCCYDep2,TransAsset,$C21,TransDate,"&lt;="&amp;$L21)+SUMIFS(TransPCAccDep,TransAsset,$C21,TransDate,"&lt;="&amp;$L21))</f>
        <v>0</v>
      </c>
      <c r="AO21" s="28">
        <f t="array" aca="1" ref="AO21" ca="1">IF($L21=LARGE(IF(TransAsset=$C21,IF(TransIDDate&lt;Assets!$H$2,TransIDDate,0),0),1),IF($B21="DIS",0,MIN(SUMIFS(TransTDCost,TransAsset,$C21,TransDate,"&lt;="&amp;$L21)+IF($U21=0,0,MIN(($S21-$V21)/($U21*12)*(((YEAR(Assets!$H$2)*12)+MONTH(Assets!$H$2)-1)-((YEAR($L21)*12)+MONTH($L21)-1)),$S21-$V21)),SUMIFS(TransTDCost,TransAsset,$C21,TransDate,"&lt;="&amp;$L21)+IF($U21=0,0,MIN(($T21-$V21)/($U21*12)*(((YEAR(Assets!$H$2)*12)+MONTH(Assets!$H$2)-1)-((YEAR($L21)*12)+MONTH($L21)-1)),$T21-$V21)),$T21-$V21)),0)</f>
        <v>275333.33333333337</v>
      </c>
      <c r="AP21" s="28">
        <f t="shared" ca="1" si="19"/>
        <v>0</v>
      </c>
      <c r="AQ21" s="60">
        <f ca="1">IF(SUMPRODUCT((TransAsset=$C21)*(TransType="DIS")*(TransIDDate&lt;(Assets!$I$2+1))*(1))&gt;0,0,IF(AND($AR21=0,DATE(YEAR($L21),MONTH($L21),1)&lt;&gt;DATE(YEAR(Assets!$J$2),MONTH(Assets!$J$2),1)),0,IF(DATE(YEAR($Q21),MONTH($Q21),1)&lt;&gt;DATE(YEAR(Assets!$I$2),MONTH(Assets!$I$2),1),0,IF($AR21=$S21-$V21,0,IF($U21=0,0,MIN(($S21-$V21)/($U21*12),($S21-$V21)-$AR21))))))</f>
        <v>0</v>
      </c>
      <c r="AR21" s="60">
        <f t="array" aca="1" ref="AR21" ca="1">IF($L21=LARGE(IF(TransAsset=$C21,IF(TransIDDate&lt;Assets!$J$2,TransIDDate,0),0),1),IF($B21="DIS",0,MIN(IF($U21=0,0,(($S21-$V21)/($U21*12)*(((YEAR(Assets!$J$2)*12)+MONTH(Assets!$J$2)-1)-((YEAR($L21)*12)+MONTH($L21)-1)))),($S21-$V21))),0)</f>
        <v>0</v>
      </c>
      <c r="AS21" s="60">
        <f t="shared" si="20"/>
        <v>4916.666666666667</v>
      </c>
      <c r="AT21" s="28" cm="1">
        <f t="array" aca="1" ref="AT21" ca="1">IF(SUMPRODUCT((TransAsset=$C21)*(TransType="DIS")*(TransIDDate&lt;(Assets!$I$2+1))*(1))&gt;0,0,IF(AND($AU21=0,DATE(YEAR($L21),MONTH($L21),1)&lt;&gt;DATE(YEAR(Assets!$J$2),MONTH(Assets!$J$2),1)),0,IF(DATE(YEAR($Q21),MONTH($Q21),1)&lt;&gt;DATE(YEAR(Assets!$I$2),MONTH(Assets!$I$2),1),0,IF(SUMIFS(TransPMAccDep,TransAsset,$C21)&gt;=($T21-$V21),($T21-$V21)-SUMIFS(TransPMAccDep,TransAsset,$C21),IF($U21=0,0,IF($S21&lt;$T21,MIN(($S21-$V21)/($U21*12),($T21-$V21)-$AU21),MIN(($T21-$V21)/($U21*12),($T21-$V21)-$AU21)))))))</f>
        <v>0</v>
      </c>
      <c r="AU21" s="28">
        <f t="array" aca="1" ref="AU21" ca="1">IF($L21=LARGE(IF(TransAsset=$C21,IF(TransIDDate&lt;Assets!$J$2,TransIDDate,0),0),1),IF($B21="DIS",0,MIN(SUMIFS(TransTDCost,TransAsset,$C21,TransDate,"&lt;="&amp;$L21)+IF($U21=0,0,MIN(($S21-$V21)/($U21*12)*(((YEAR(Assets!$J$2)*12)+MONTH(Assets!$J$2)-1)-((YEAR($L21)*12)+MONTH($L21)-1)),$S21-$V21)),SUMIFS(TransTDCost,TransAsset,$C21,TransDate,"&lt;="&amp;$L21)+IF($U21=0,0,MIN(($T21-$V21)/($U21*12)*(((YEAR(Assets!$J$2)*12)+MONTH(Assets!$J$2)-1)-((YEAR($L21)*12)+MONTH($L21)-1)),$T21-$V21)),$T21-$V21)),0)</f>
        <v>0</v>
      </c>
    </row>
    <row r="22" spans="1:47" ht="16" customHeight="1" x14ac:dyDescent="0.25">
      <c r="A22" s="33">
        <v>42205</v>
      </c>
      <c r="B22" s="4" t="s">
        <v>79</v>
      </c>
      <c r="C22" s="8" t="s">
        <v>285</v>
      </c>
      <c r="D22" s="3" t="s">
        <v>274</v>
      </c>
      <c r="E22" s="3" t="s">
        <v>275</v>
      </c>
      <c r="F22" s="28">
        <v>750000</v>
      </c>
      <c r="G22" s="28">
        <v>5</v>
      </c>
      <c r="H22" s="28">
        <v>0</v>
      </c>
      <c r="I22" s="28">
        <v>0</v>
      </c>
      <c r="J22" s="59" t="str" cm="1">
        <f t="array" aca="1" ref="J22" ca="1">IF(ISNA(VLOOKUP($C22,AssetCode,1,0))=TRUE,"E3",IF(OR(ISBLANK($B22)=TRUE,SUMPRODUCT((TransAsset=$C22)*(TransIDDate&lt;$L22)*(TransType="DIS")*(1))&gt;0),"E4",IF(SUMPRODUCT((TransAsset=$C22)*(TransType="ACQ")*(1))&gt;1,"E5",IF(OR($F22&lt;0,AND(TransType="DIS",$F22&lt;&gt;0)=TRUE),"E6",IF(OR(AND($G22&lt;0,TransType&lt;&gt;"DIS")=TRUE,AND(TransType="DIS",$G22&lt;&gt;0)=TRUE),"E7",IF(OR($H22&lt;0,AND(TransType="DIS",$H22&lt;&gt;0)=TRUE,$H22&gt;$F22),"E8",IF($I22&lt;0,"E9","-")))))))</f>
        <v>-</v>
      </c>
      <c r="K22" s="60" t="str">
        <f>IF(ISNA(VLOOKUP($C22,AssetAll,COLUMN(Assets!$E$4),0))=TRUE,"add!",VLOOKUP($C22,AssetAll,COLUMN(Assets!$E$4),0))</f>
        <v>PPM01</v>
      </c>
      <c r="L22" s="61">
        <f t="shared" ca="1" si="0"/>
        <v>42205.000254629631</v>
      </c>
      <c r="M22" s="61">
        <f t="array" aca="1" ref="M22" ca="1">IF(ISBLANK($C22)=TRUE,0,LARGE(IF(TransAsset=$C22,IF(TransIDDate&lt;$L22,TransIDDate,0),0),1))</f>
        <v>0</v>
      </c>
      <c r="N22" s="61">
        <f t="array" aca="1" ref="N22" ca="1">IF(ISBLANK($C22)=TRUE,0,SMALL(IF(TransAsset=$C22,IF(TransIDDate&gt;$L22,TransIDDate,(Assets!$I$2+1)),(Assets!$I$2+1)),1))</f>
        <v>43891.000694444447</v>
      </c>
      <c r="O22" s="61">
        <f t="shared" ca="1" si="1"/>
        <v>44012</v>
      </c>
      <c r="P22" s="61">
        <f ca="1">IF(OR($N22&lt;Assets!$H$2,$O22&lt;Assets!$H$2,$L22&gt;(Assets!$I$2+1)),0,IF($B22="DIS",IF($L22&lt;Assets!$H$2,0,IF($L22&lt;(Assets!$I$2+1),DATE(YEAR($L22),MONTH($L22),0),Assets!$H$2)),IF($L22&lt;Assets!$H$2,Assets!$H$2,DATE(YEAR($L22),MONTH($L22),1))))</f>
        <v>43891</v>
      </c>
      <c r="Q22" s="61">
        <f ca="1">IF($P22=0,0,IF($B22="DIS",IF($L22&gt;(Assets!$I$2+1),MIN(Assets!$I$2,$O22),MIN($L22,$O22)),IF($N22&lt;(Assets!$I$2+1),MIN(IF(DATE(YEAR($N22),MONTH($N22),0)&lt;$P22,$P22,DATE(YEAR($N22),MONTH($N22),0)),$O22),MIN(Assets!$I$2,$O22))))</f>
        <v>43891</v>
      </c>
      <c r="R22" s="60">
        <f t="shared" ca="1" si="2"/>
        <v>0</v>
      </c>
      <c r="S22" s="60">
        <f t="shared" si="3"/>
        <v>750000</v>
      </c>
      <c r="T22" s="60" cm="1">
        <f t="array" ref="T22">IF(ISBLANK($B22)=FALSE,SUMIFS(TransAmount,TransAsset,$C22,TransType,"ACQ"),0)</f>
        <v>750000</v>
      </c>
      <c r="U22" s="60">
        <f t="shared" si="4"/>
        <v>5</v>
      </c>
      <c r="V22" s="60">
        <f t="shared" si="5"/>
        <v>0</v>
      </c>
      <c r="W22" s="28">
        <f t="shared" ca="1" si="6"/>
        <v>0</v>
      </c>
      <c r="X22" s="28">
        <f t="shared" ca="1" si="7"/>
        <v>0</v>
      </c>
      <c r="Y22" s="28">
        <f t="shared" ca="1" si="8"/>
        <v>0</v>
      </c>
      <c r="Z22" s="28">
        <f t="shared" ca="1" si="9"/>
        <v>0</v>
      </c>
      <c r="AA22" s="28">
        <f t="shared" ca="1" si="10"/>
        <v>0</v>
      </c>
      <c r="AB22" s="28" cm="1">
        <f t="array" aca="1" ref="AB22" ca="1">IF(SUMIFS(TransTDCost,TransAsset,$C22,TransDate,"&lt;="&amp;$L22)&gt;($T22-$X22),($T22-$X22),SUMIFS(TransTDCost,TransAsset,$C22,TransDate,"&lt;="&amp;$L22))</f>
        <v>0</v>
      </c>
      <c r="AC22" s="28">
        <f t="shared" ca="1" si="11"/>
        <v>0</v>
      </c>
      <c r="AD22" s="28">
        <f t="array" aca="1" ref="AD22" ca="1">IF($L22=LARGE(IF(TransAsset=$C22,IF(TransIDDate&lt;Assets!$H$2,TransIDDate,0),0),1),IF($B22="DIS",$AC22,SUMIFS(TransCAccDep,TransAsset,$C22,TransDate,"&lt;="&amp;$L22)+IF($U22=0,0,MIN(($S22-$V22)/($U22*12)*(((YEAR(Assets!$H$2)*12)+MONTH(Assets!$H$2)-1)-((YEAR($L22)*12)+MONTH($L22)-1)),$S22-$V22))),0)-$AO22</f>
        <v>0</v>
      </c>
      <c r="AE22" s="28">
        <f t="shared" ca="1" si="12"/>
        <v>0</v>
      </c>
      <c r="AF22" s="28">
        <f t="shared" ca="1" si="13"/>
        <v>0</v>
      </c>
      <c r="AG22" s="28">
        <f t="shared" ca="1" si="14"/>
        <v>0</v>
      </c>
      <c r="AH22" s="28">
        <f t="shared" ca="1" si="15"/>
        <v>0</v>
      </c>
      <c r="AI22" s="28" cm="1">
        <f t="array" ref="AI22">IF($B22="REV",IF($S22-$AA22+$AE22&gt;0,IF(SUMIFS(TransImpair,TransAsset,$C22,TransDate,"&lt;"&amp;$M22)&gt;0,IF(SUMIFS(TransImpair,TransAsset,$C22,TransDate,"&lt;"&amp;$M22)&gt;$S22-$AA22+$AE22,-($S22-$AA22+$AE22),-SUMIFS(TransImpair,TransAsset,$C22,TransDate,"&lt;"&amp;$M22)),0),-($S22-$AA22+$AE22)),0)</f>
        <v>0</v>
      </c>
      <c r="AJ22" s="28">
        <f t="shared" si="16"/>
        <v>0</v>
      </c>
      <c r="AK22" s="28">
        <f t="shared" ca="1" si="17"/>
        <v>0</v>
      </c>
      <c r="AL22" s="28">
        <f t="shared" ca="1" si="18"/>
        <v>0</v>
      </c>
      <c r="AM22" s="28" cm="1">
        <f t="array" aca="1" ref="AM22" ca="1">IF($AN22&gt;($T22-$V22),($T22-$V22)-SUMIFS(TransPCAccDep,TransAsset,$C22,TransDate,"&lt;="&amp;$L22),$AL22)</f>
        <v>0</v>
      </c>
      <c r="AN22" s="28" cm="1">
        <f t="array" aca="1" ref="AN22" ca="1">IF($AL22=0,0,SUMIFS(TransCCYDep2,TransAsset,$C22,TransDate,"&lt;="&amp;$L22)+SUMIFS(TransPCAccDep,TransAsset,$C22,TransDate,"&lt;="&amp;$L22))</f>
        <v>0</v>
      </c>
      <c r="AO22" s="28">
        <f t="array" aca="1" ref="AO22" ca="1">IF($L22=LARGE(IF(TransAsset=$C22,IF(TransIDDate&lt;Assets!$H$2,TransIDDate,0),0),1),IF($B22="DIS",0,MIN(SUMIFS(TransTDCost,TransAsset,$C22,TransDate,"&lt;="&amp;$L22)+IF($U22=0,0,MIN(($S22-$V22)/($U22*12)*(((YEAR(Assets!$H$2)*12)+MONTH(Assets!$H$2)-1)-((YEAR($L22)*12)+MONTH($L22)-1)),$S22-$V22)),SUMIFS(TransTDCost,TransAsset,$C22,TransDate,"&lt;="&amp;$L22)+IF($U22=0,0,MIN(($T22-$V22)/($U22*12)*(((YEAR(Assets!$H$2)*12)+MONTH(Assets!$H$2)-1)-((YEAR($L22)*12)+MONTH($L22)-1)),$T22-$V22)),$T22-$V22)),0)</f>
        <v>700000</v>
      </c>
      <c r="AP22" s="28">
        <f t="shared" ca="1" si="19"/>
        <v>0</v>
      </c>
      <c r="AQ22" s="60">
        <f ca="1">IF(SUMPRODUCT((TransAsset=$C22)*(TransType="DIS")*(TransIDDate&lt;(Assets!$I$2+1))*(1))&gt;0,0,IF(AND($AR22=0,DATE(YEAR($L22),MONTH($L22),1)&lt;&gt;DATE(YEAR(Assets!$J$2),MONTH(Assets!$J$2),1)),0,IF(DATE(YEAR($Q22),MONTH($Q22),1)&lt;&gt;DATE(YEAR(Assets!$I$2),MONTH(Assets!$I$2),1),0,IF($AR22=$S22-$V22,0,IF($U22=0,0,MIN(($S22-$V22)/($U22*12),($S22-$V22)-$AR22))))))</f>
        <v>0</v>
      </c>
      <c r="AR22" s="60">
        <f t="array" aca="1" ref="AR22" ca="1">IF($L22=LARGE(IF(TransAsset=$C22,IF(TransIDDate&lt;Assets!$J$2,TransIDDate,0),0),1),IF($B22="DIS",0,MIN(IF($U22=0,0,(($S22-$V22)/($U22*12)*(((YEAR(Assets!$J$2)*12)+MONTH(Assets!$J$2)-1)-((YEAR($L22)*12)+MONTH($L22)-1)))),($S22-$V22))),0)</f>
        <v>0</v>
      </c>
      <c r="AS22" s="60">
        <f t="shared" si="20"/>
        <v>12500</v>
      </c>
      <c r="AT22" s="28" cm="1">
        <f t="array" aca="1" ref="AT22" ca="1">IF(SUMPRODUCT((TransAsset=$C22)*(TransType="DIS")*(TransIDDate&lt;(Assets!$I$2+1))*(1))&gt;0,0,IF(AND($AU22=0,DATE(YEAR($L22),MONTH($L22),1)&lt;&gt;DATE(YEAR(Assets!$J$2),MONTH(Assets!$J$2),1)),0,IF(DATE(YEAR($Q22),MONTH($Q22),1)&lt;&gt;DATE(YEAR(Assets!$I$2),MONTH(Assets!$I$2),1),0,IF(SUMIFS(TransPMAccDep,TransAsset,$C22)&gt;=($T22-$V22),($T22-$V22)-SUMIFS(TransPMAccDep,TransAsset,$C22),IF($U22=0,0,IF($S22&lt;$T22,MIN(($S22-$V22)/($U22*12),($T22-$V22)-$AU22),MIN(($T22-$V22)/($U22*12),($T22-$V22)-$AU22)))))))</f>
        <v>0</v>
      </c>
      <c r="AU22" s="28">
        <f t="array" aca="1" ref="AU22" ca="1">IF($L22=LARGE(IF(TransAsset=$C22,IF(TransIDDate&lt;Assets!$J$2,TransIDDate,0),0),1),IF($B22="DIS",0,MIN(SUMIFS(TransTDCost,TransAsset,$C22,TransDate,"&lt;="&amp;$L22)+IF($U22=0,0,MIN(($S22-$V22)/($U22*12)*(((YEAR(Assets!$J$2)*12)+MONTH(Assets!$J$2)-1)-((YEAR($L22)*12)+MONTH($L22)-1)),$S22-$V22)),SUMIFS(TransTDCost,TransAsset,$C22,TransDate,"&lt;="&amp;$L22)+IF($U22=0,0,MIN(($T22-$V22)/($U22*12)*(((YEAR(Assets!$J$2)*12)+MONTH(Assets!$J$2)-1)-((YEAR($L22)*12)+MONTH($L22)-1)),$T22-$V22)),$T22-$V22)),0)</f>
        <v>0</v>
      </c>
    </row>
    <row r="23" spans="1:47" ht="16" customHeight="1" x14ac:dyDescent="0.25">
      <c r="A23" s="33">
        <v>42205</v>
      </c>
      <c r="B23" s="4" t="s">
        <v>79</v>
      </c>
      <c r="C23" s="8" t="s">
        <v>286</v>
      </c>
      <c r="D23" s="3" t="s">
        <v>274</v>
      </c>
      <c r="E23" s="3" t="s">
        <v>275</v>
      </c>
      <c r="F23" s="28">
        <v>422200</v>
      </c>
      <c r="G23" s="28">
        <v>5</v>
      </c>
      <c r="H23" s="28">
        <v>0</v>
      </c>
      <c r="I23" s="28">
        <v>0</v>
      </c>
      <c r="J23" s="59" t="str" cm="1">
        <f t="array" aca="1" ref="J23" ca="1">IF(ISNA(VLOOKUP($C23,AssetCode,1,0))=TRUE,"E3",IF(OR(ISBLANK($B23)=TRUE,SUMPRODUCT((TransAsset=$C23)*(TransIDDate&lt;$L23)*(TransType="DIS")*(1))&gt;0),"E4",IF(SUMPRODUCT((TransAsset=$C23)*(TransType="ACQ")*(1))&gt;1,"E5",IF(OR($F23&lt;0,AND(TransType="DIS",$F23&lt;&gt;0)=TRUE),"E6",IF(OR(AND($G23&lt;0,TransType&lt;&gt;"DIS")=TRUE,AND(TransType="DIS",$G23&lt;&gt;0)=TRUE),"E7",IF(OR($H23&lt;0,AND(TransType="DIS",$H23&lt;&gt;0)=TRUE,$H23&gt;$F23),"E8",IF($I23&lt;0,"E9","-")))))))</f>
        <v>-</v>
      </c>
      <c r="K23" s="60" t="str">
        <f>IF(ISNA(VLOOKUP($C23,AssetAll,COLUMN(Assets!$E$4),0))=TRUE,"add!",VLOOKUP($C23,AssetAll,COLUMN(Assets!$E$4),0))</f>
        <v>PPM01</v>
      </c>
      <c r="L23" s="61">
        <f t="shared" ca="1" si="0"/>
        <v>42205.0002662037</v>
      </c>
      <c r="M23" s="61">
        <f t="array" aca="1" ref="M23" ca="1">IF(ISBLANK($C23)=TRUE,0,LARGE(IF(TransAsset=$C23,IF(TransIDDate&lt;$L23,TransIDDate,0),0),1))</f>
        <v>0</v>
      </c>
      <c r="N23" s="61">
        <f t="array" aca="1" ref="N23" ca="1">IF(ISBLANK($C23)=TRUE,0,SMALL(IF(TransAsset=$C23,IF(TransIDDate&gt;$L23,TransIDDate,(Assets!$I$2+1)),(Assets!$I$2+1)),1))</f>
        <v>43891.000706018516</v>
      </c>
      <c r="O23" s="61">
        <f t="shared" ca="1" si="1"/>
        <v>44012</v>
      </c>
      <c r="P23" s="61">
        <f ca="1">IF(OR($N23&lt;Assets!$H$2,$O23&lt;Assets!$H$2,$L23&gt;(Assets!$I$2+1)),0,IF($B23="DIS",IF($L23&lt;Assets!$H$2,0,IF($L23&lt;(Assets!$I$2+1),DATE(YEAR($L23),MONTH($L23),0),Assets!$H$2)),IF($L23&lt;Assets!$H$2,Assets!$H$2,DATE(YEAR($L23),MONTH($L23),1))))</f>
        <v>43891</v>
      </c>
      <c r="Q23" s="61">
        <f ca="1">IF($P23=0,0,IF($B23="DIS",IF($L23&gt;(Assets!$I$2+1),MIN(Assets!$I$2,$O23),MIN($L23,$O23)),IF($N23&lt;(Assets!$I$2+1),MIN(IF(DATE(YEAR($N23),MONTH($N23),0)&lt;$P23,$P23,DATE(YEAR($N23),MONTH($N23),0)),$O23),MIN(Assets!$I$2,$O23))))</f>
        <v>43891</v>
      </c>
      <c r="R23" s="60">
        <f t="shared" ca="1" si="2"/>
        <v>0</v>
      </c>
      <c r="S23" s="60">
        <f t="shared" si="3"/>
        <v>422200</v>
      </c>
      <c r="T23" s="60" cm="1">
        <f t="array" ref="T23">IF(ISBLANK($B23)=FALSE,SUMIFS(TransAmount,TransAsset,$C23,TransType,"ACQ"),0)</f>
        <v>422200</v>
      </c>
      <c r="U23" s="60">
        <f t="shared" si="4"/>
        <v>5</v>
      </c>
      <c r="V23" s="60">
        <f t="shared" si="5"/>
        <v>0</v>
      </c>
      <c r="W23" s="28">
        <f t="shared" ca="1" si="6"/>
        <v>0</v>
      </c>
      <c r="X23" s="28">
        <f t="shared" ca="1" si="7"/>
        <v>0</v>
      </c>
      <c r="Y23" s="28">
        <f t="shared" ca="1" si="8"/>
        <v>0</v>
      </c>
      <c r="Z23" s="28">
        <f t="shared" ca="1" si="9"/>
        <v>0</v>
      </c>
      <c r="AA23" s="28">
        <f t="shared" ca="1" si="10"/>
        <v>0</v>
      </c>
      <c r="AB23" s="28" cm="1">
        <f t="array" aca="1" ref="AB23" ca="1">IF(SUMIFS(TransTDCost,TransAsset,$C23,TransDate,"&lt;="&amp;$L23)&gt;($T23-$X23),($T23-$X23),SUMIFS(TransTDCost,TransAsset,$C23,TransDate,"&lt;="&amp;$L23))</f>
        <v>0</v>
      </c>
      <c r="AC23" s="28">
        <f t="shared" ca="1" si="11"/>
        <v>0</v>
      </c>
      <c r="AD23" s="28">
        <f t="array" aca="1" ref="AD23" ca="1">IF($L23=LARGE(IF(TransAsset=$C23,IF(TransIDDate&lt;Assets!$H$2,TransIDDate,0),0),1),IF($B23="DIS",$AC23,SUMIFS(TransCAccDep,TransAsset,$C23,TransDate,"&lt;="&amp;$L23)+IF($U23=0,0,MIN(($S23-$V23)/($U23*12)*(((YEAR(Assets!$H$2)*12)+MONTH(Assets!$H$2)-1)-((YEAR($L23)*12)+MONTH($L23)-1)),$S23-$V23))),0)-$AO23</f>
        <v>0</v>
      </c>
      <c r="AE23" s="28">
        <f t="shared" ca="1" si="12"/>
        <v>0</v>
      </c>
      <c r="AF23" s="28">
        <f t="shared" ca="1" si="13"/>
        <v>0</v>
      </c>
      <c r="AG23" s="28">
        <f t="shared" ca="1" si="14"/>
        <v>0</v>
      </c>
      <c r="AH23" s="28">
        <f t="shared" ca="1" si="15"/>
        <v>0</v>
      </c>
      <c r="AI23" s="28" cm="1">
        <f t="array" ref="AI23">IF($B23="REV",IF($S23-$AA23+$AE23&gt;0,IF(SUMIFS(TransImpair,TransAsset,$C23,TransDate,"&lt;"&amp;$M23)&gt;0,IF(SUMIFS(TransImpair,TransAsset,$C23,TransDate,"&lt;"&amp;$M23)&gt;$S23-$AA23+$AE23,-($S23-$AA23+$AE23),-SUMIFS(TransImpair,TransAsset,$C23,TransDate,"&lt;"&amp;$M23)),0),-($S23-$AA23+$AE23)),0)</f>
        <v>0</v>
      </c>
      <c r="AJ23" s="28">
        <f t="shared" si="16"/>
        <v>0</v>
      </c>
      <c r="AK23" s="28">
        <f t="shared" ca="1" si="17"/>
        <v>0</v>
      </c>
      <c r="AL23" s="28">
        <f t="shared" ca="1" si="18"/>
        <v>0</v>
      </c>
      <c r="AM23" s="28" cm="1">
        <f t="array" aca="1" ref="AM23" ca="1">IF($AN23&gt;($T23-$V23),($T23-$V23)-SUMIFS(TransPCAccDep,TransAsset,$C23,TransDate,"&lt;="&amp;$L23),$AL23)</f>
        <v>0</v>
      </c>
      <c r="AN23" s="28" cm="1">
        <f t="array" aca="1" ref="AN23" ca="1">IF($AL23=0,0,SUMIFS(TransCCYDep2,TransAsset,$C23,TransDate,"&lt;="&amp;$L23)+SUMIFS(TransPCAccDep,TransAsset,$C23,TransDate,"&lt;="&amp;$L23))</f>
        <v>0</v>
      </c>
      <c r="AO23" s="28">
        <f t="array" aca="1" ref="AO23" ca="1">IF($L23=LARGE(IF(TransAsset=$C23,IF(TransIDDate&lt;Assets!$H$2,TransIDDate,0),0),1),IF($B23="DIS",0,MIN(SUMIFS(TransTDCost,TransAsset,$C23,TransDate,"&lt;="&amp;$L23)+IF($U23=0,0,MIN(($S23-$V23)/($U23*12)*(((YEAR(Assets!$H$2)*12)+MONTH(Assets!$H$2)-1)-((YEAR($L23)*12)+MONTH($L23)-1)),$S23-$V23)),SUMIFS(TransTDCost,TransAsset,$C23,TransDate,"&lt;="&amp;$L23)+IF($U23=0,0,MIN(($T23-$V23)/($U23*12)*(((YEAR(Assets!$H$2)*12)+MONTH(Assets!$H$2)-1)-((YEAR($L23)*12)+MONTH($L23)-1)),$T23-$V23)),$T23-$V23)),0)</f>
        <v>394053.33333333337</v>
      </c>
      <c r="AP23" s="28">
        <f t="shared" ca="1" si="19"/>
        <v>0</v>
      </c>
      <c r="AQ23" s="60">
        <f ca="1">IF(SUMPRODUCT((TransAsset=$C23)*(TransType="DIS")*(TransIDDate&lt;(Assets!$I$2+1))*(1))&gt;0,0,IF(AND($AR23=0,DATE(YEAR($L23),MONTH($L23),1)&lt;&gt;DATE(YEAR(Assets!$J$2),MONTH(Assets!$J$2),1)),0,IF(DATE(YEAR($Q23),MONTH($Q23),1)&lt;&gt;DATE(YEAR(Assets!$I$2),MONTH(Assets!$I$2),1),0,IF($AR23=$S23-$V23,0,IF($U23=0,0,MIN(($S23-$V23)/($U23*12),($S23-$V23)-$AR23))))))</f>
        <v>0</v>
      </c>
      <c r="AR23" s="60">
        <f t="array" aca="1" ref="AR23" ca="1">IF($L23=LARGE(IF(TransAsset=$C23,IF(TransIDDate&lt;Assets!$J$2,TransIDDate,0),0),1),IF($B23="DIS",0,MIN(IF($U23=0,0,(($S23-$V23)/($U23*12)*(((YEAR(Assets!$J$2)*12)+MONTH(Assets!$J$2)-1)-((YEAR($L23)*12)+MONTH($L23)-1)))),($S23-$V23))),0)</f>
        <v>0</v>
      </c>
      <c r="AS23" s="60">
        <f t="shared" si="20"/>
        <v>7036.666666666667</v>
      </c>
      <c r="AT23" s="28" cm="1">
        <f t="array" aca="1" ref="AT23" ca="1">IF(SUMPRODUCT((TransAsset=$C23)*(TransType="DIS")*(TransIDDate&lt;(Assets!$I$2+1))*(1))&gt;0,0,IF(AND($AU23=0,DATE(YEAR($L23),MONTH($L23),1)&lt;&gt;DATE(YEAR(Assets!$J$2),MONTH(Assets!$J$2),1)),0,IF(DATE(YEAR($Q23),MONTH($Q23),1)&lt;&gt;DATE(YEAR(Assets!$I$2),MONTH(Assets!$I$2),1),0,IF(SUMIFS(TransPMAccDep,TransAsset,$C23)&gt;=($T23-$V23),($T23-$V23)-SUMIFS(TransPMAccDep,TransAsset,$C23),IF($U23=0,0,IF($S23&lt;$T23,MIN(($S23-$V23)/($U23*12),($T23-$V23)-$AU23),MIN(($T23-$V23)/($U23*12),($T23-$V23)-$AU23)))))))</f>
        <v>0</v>
      </c>
      <c r="AU23" s="28">
        <f t="array" aca="1" ref="AU23" ca="1">IF($L23=LARGE(IF(TransAsset=$C23,IF(TransIDDate&lt;Assets!$J$2,TransIDDate,0),0),1),IF($B23="DIS",0,MIN(SUMIFS(TransTDCost,TransAsset,$C23,TransDate,"&lt;="&amp;$L23)+IF($U23=0,0,MIN(($S23-$V23)/($U23*12)*(((YEAR(Assets!$J$2)*12)+MONTH(Assets!$J$2)-1)-((YEAR($L23)*12)+MONTH($L23)-1)),$S23-$V23)),SUMIFS(TransTDCost,TransAsset,$C23,TransDate,"&lt;="&amp;$L23)+IF($U23=0,0,MIN(($T23-$V23)/($U23*12)*(((YEAR(Assets!$J$2)*12)+MONTH(Assets!$J$2)-1)-((YEAR($L23)*12)+MONTH($L23)-1)),$T23-$V23)),$T23-$V23)),0)</f>
        <v>0</v>
      </c>
    </row>
    <row r="24" spans="1:47" ht="16" customHeight="1" x14ac:dyDescent="0.25">
      <c r="A24" s="33">
        <v>42205</v>
      </c>
      <c r="B24" s="4" t="s">
        <v>79</v>
      </c>
      <c r="C24" s="8" t="s">
        <v>287</v>
      </c>
      <c r="D24" s="3" t="s">
        <v>274</v>
      </c>
      <c r="E24" s="3" t="s">
        <v>275</v>
      </c>
      <c r="F24" s="28">
        <v>660450</v>
      </c>
      <c r="G24" s="28">
        <v>5</v>
      </c>
      <c r="H24" s="28">
        <v>0</v>
      </c>
      <c r="I24" s="28">
        <v>0</v>
      </c>
      <c r="J24" s="59" t="str" cm="1">
        <f t="array" aca="1" ref="J24" ca="1">IF(ISNA(VLOOKUP($C24,AssetCode,1,0))=TRUE,"E3",IF(OR(ISBLANK($B24)=TRUE,SUMPRODUCT((TransAsset=$C24)*(TransIDDate&lt;$L24)*(TransType="DIS")*(1))&gt;0),"E4",IF(SUMPRODUCT((TransAsset=$C24)*(TransType="ACQ")*(1))&gt;1,"E5",IF(OR($F24&lt;0,AND(TransType="DIS",$F24&lt;&gt;0)=TRUE),"E6",IF(OR(AND($G24&lt;0,TransType&lt;&gt;"DIS")=TRUE,AND(TransType="DIS",$G24&lt;&gt;0)=TRUE),"E7",IF(OR($H24&lt;0,AND(TransType="DIS",$H24&lt;&gt;0)=TRUE,$H24&gt;$F24),"E8",IF($I24&lt;0,"E9","-")))))))</f>
        <v>-</v>
      </c>
      <c r="K24" s="60" t="str">
        <f>IF(ISNA(VLOOKUP($C24,AssetAll,COLUMN(Assets!$E$4),0))=TRUE,"add!",VLOOKUP($C24,AssetAll,COLUMN(Assets!$E$4),0))</f>
        <v>PPM01</v>
      </c>
      <c r="L24" s="61">
        <f t="shared" ca="1" si="0"/>
        <v>42205.000277777777</v>
      </c>
      <c r="M24" s="61">
        <f t="array" aca="1" ref="M24" ca="1">IF(ISBLANK($C24)=TRUE,0,LARGE(IF(TransAsset=$C24,IF(TransIDDate&lt;$L24,TransIDDate,0),0),1))</f>
        <v>0</v>
      </c>
      <c r="N24" s="61">
        <f t="array" aca="1" ref="N24" ca="1">IF(ISBLANK($C24)=TRUE,0,SMALL(IF(TransAsset=$C24,IF(TransIDDate&gt;$L24,TransIDDate,(Assets!$I$2+1)),(Assets!$I$2+1)),1))</f>
        <v>43891.000717592593</v>
      </c>
      <c r="O24" s="61">
        <f t="shared" ca="1" si="1"/>
        <v>44012</v>
      </c>
      <c r="P24" s="61">
        <f ca="1">IF(OR($N24&lt;Assets!$H$2,$O24&lt;Assets!$H$2,$L24&gt;(Assets!$I$2+1)),0,IF($B24="DIS",IF($L24&lt;Assets!$H$2,0,IF($L24&lt;(Assets!$I$2+1),DATE(YEAR($L24),MONTH($L24),0),Assets!$H$2)),IF($L24&lt;Assets!$H$2,Assets!$H$2,DATE(YEAR($L24),MONTH($L24),1))))</f>
        <v>43891</v>
      </c>
      <c r="Q24" s="61">
        <f ca="1">IF($P24=0,0,IF($B24="DIS",IF($L24&gt;(Assets!$I$2+1),MIN(Assets!$I$2,$O24),MIN($L24,$O24)),IF($N24&lt;(Assets!$I$2+1),MIN(IF(DATE(YEAR($N24),MONTH($N24),0)&lt;$P24,$P24,DATE(YEAR($N24),MONTH($N24),0)),$O24),MIN(Assets!$I$2,$O24))))</f>
        <v>43891</v>
      </c>
      <c r="R24" s="60">
        <f t="shared" ca="1" si="2"/>
        <v>0</v>
      </c>
      <c r="S24" s="60">
        <f t="shared" si="3"/>
        <v>660450</v>
      </c>
      <c r="T24" s="60" cm="1">
        <f t="array" ref="T24">IF(ISBLANK($B24)=FALSE,SUMIFS(TransAmount,TransAsset,$C24,TransType,"ACQ"),0)</f>
        <v>660450</v>
      </c>
      <c r="U24" s="60">
        <f t="shared" si="4"/>
        <v>5</v>
      </c>
      <c r="V24" s="60">
        <f t="shared" si="5"/>
        <v>0</v>
      </c>
      <c r="W24" s="28">
        <f t="shared" ca="1" si="6"/>
        <v>0</v>
      </c>
      <c r="X24" s="28">
        <f t="shared" ca="1" si="7"/>
        <v>0</v>
      </c>
      <c r="Y24" s="28">
        <f t="shared" ca="1" si="8"/>
        <v>0</v>
      </c>
      <c r="Z24" s="28">
        <f t="shared" ca="1" si="9"/>
        <v>0</v>
      </c>
      <c r="AA24" s="28">
        <f t="shared" ca="1" si="10"/>
        <v>0</v>
      </c>
      <c r="AB24" s="28" cm="1">
        <f t="array" aca="1" ref="AB24" ca="1">IF(SUMIFS(TransTDCost,TransAsset,$C24,TransDate,"&lt;="&amp;$L24)&gt;($T24-$X24),($T24-$X24),SUMIFS(TransTDCost,TransAsset,$C24,TransDate,"&lt;="&amp;$L24))</f>
        <v>0</v>
      </c>
      <c r="AC24" s="28">
        <f t="shared" ca="1" si="11"/>
        <v>0</v>
      </c>
      <c r="AD24" s="28">
        <f t="array" aca="1" ref="AD24" ca="1">IF($L24=LARGE(IF(TransAsset=$C24,IF(TransIDDate&lt;Assets!$H$2,TransIDDate,0),0),1),IF($B24="DIS",$AC24,SUMIFS(TransCAccDep,TransAsset,$C24,TransDate,"&lt;="&amp;$L24)+IF($U24=0,0,MIN(($S24-$V24)/($U24*12)*(((YEAR(Assets!$H$2)*12)+MONTH(Assets!$H$2)-1)-((YEAR($L24)*12)+MONTH($L24)-1)),$S24-$V24))),0)-$AO24</f>
        <v>0</v>
      </c>
      <c r="AE24" s="28">
        <f t="shared" ca="1" si="12"/>
        <v>0</v>
      </c>
      <c r="AF24" s="28">
        <f t="shared" ca="1" si="13"/>
        <v>0</v>
      </c>
      <c r="AG24" s="28">
        <f t="shared" ca="1" si="14"/>
        <v>0</v>
      </c>
      <c r="AH24" s="28">
        <f t="shared" ca="1" si="15"/>
        <v>0</v>
      </c>
      <c r="AI24" s="28" cm="1">
        <f t="array" ref="AI24">IF($B24="REV",IF($S24-$AA24+$AE24&gt;0,IF(SUMIFS(TransImpair,TransAsset,$C24,TransDate,"&lt;"&amp;$M24)&gt;0,IF(SUMIFS(TransImpair,TransAsset,$C24,TransDate,"&lt;"&amp;$M24)&gt;$S24-$AA24+$AE24,-($S24-$AA24+$AE24),-SUMIFS(TransImpair,TransAsset,$C24,TransDate,"&lt;"&amp;$M24)),0),-($S24-$AA24+$AE24)),0)</f>
        <v>0</v>
      </c>
      <c r="AJ24" s="28">
        <f t="shared" si="16"/>
        <v>0</v>
      </c>
      <c r="AK24" s="28">
        <f t="shared" ca="1" si="17"/>
        <v>0</v>
      </c>
      <c r="AL24" s="28">
        <f t="shared" ca="1" si="18"/>
        <v>0</v>
      </c>
      <c r="AM24" s="28" cm="1">
        <f t="array" aca="1" ref="AM24" ca="1">IF($AN24&gt;($T24-$V24),($T24-$V24)-SUMIFS(TransPCAccDep,TransAsset,$C24,TransDate,"&lt;="&amp;$L24),$AL24)</f>
        <v>0</v>
      </c>
      <c r="AN24" s="28" cm="1">
        <f t="array" aca="1" ref="AN24" ca="1">IF($AL24=0,0,SUMIFS(TransCCYDep2,TransAsset,$C24,TransDate,"&lt;="&amp;$L24)+SUMIFS(TransPCAccDep,TransAsset,$C24,TransDate,"&lt;="&amp;$L24))</f>
        <v>0</v>
      </c>
      <c r="AO24" s="28">
        <f t="array" aca="1" ref="AO24" ca="1">IF($L24=LARGE(IF(TransAsset=$C24,IF(TransIDDate&lt;Assets!$H$2,TransIDDate,0),0),1),IF($B24="DIS",0,MIN(SUMIFS(TransTDCost,TransAsset,$C24,TransDate,"&lt;="&amp;$L24)+IF($U24=0,0,MIN(($S24-$V24)/($U24*12)*(((YEAR(Assets!$H$2)*12)+MONTH(Assets!$H$2)-1)-((YEAR($L24)*12)+MONTH($L24)-1)),$S24-$V24)),SUMIFS(TransTDCost,TransAsset,$C24,TransDate,"&lt;="&amp;$L24)+IF($U24=0,0,MIN(($T24-$V24)/($U24*12)*(((YEAR(Assets!$H$2)*12)+MONTH(Assets!$H$2)-1)-((YEAR($L24)*12)+MONTH($L24)-1)),$T24-$V24)),$T24-$V24)),0)</f>
        <v>616420</v>
      </c>
      <c r="AP24" s="28">
        <f t="shared" ca="1" si="19"/>
        <v>0</v>
      </c>
      <c r="AQ24" s="60">
        <f ca="1">IF(SUMPRODUCT((TransAsset=$C24)*(TransType="DIS")*(TransIDDate&lt;(Assets!$I$2+1))*(1))&gt;0,0,IF(AND($AR24=0,DATE(YEAR($L24),MONTH($L24),1)&lt;&gt;DATE(YEAR(Assets!$J$2),MONTH(Assets!$J$2),1)),0,IF(DATE(YEAR($Q24),MONTH($Q24),1)&lt;&gt;DATE(YEAR(Assets!$I$2),MONTH(Assets!$I$2),1),0,IF($AR24=$S24-$V24,0,IF($U24=0,0,MIN(($S24-$V24)/($U24*12),($S24-$V24)-$AR24))))))</f>
        <v>0</v>
      </c>
      <c r="AR24" s="60">
        <f t="array" aca="1" ref="AR24" ca="1">IF($L24=LARGE(IF(TransAsset=$C24,IF(TransIDDate&lt;Assets!$J$2,TransIDDate,0),0),1),IF($B24="DIS",0,MIN(IF($U24=0,0,(($S24-$V24)/($U24*12)*(((YEAR(Assets!$J$2)*12)+MONTH(Assets!$J$2)-1)-((YEAR($L24)*12)+MONTH($L24)-1)))),($S24-$V24))),0)</f>
        <v>0</v>
      </c>
      <c r="AS24" s="60">
        <f t="shared" si="20"/>
        <v>11007.5</v>
      </c>
      <c r="AT24" s="28" cm="1">
        <f t="array" aca="1" ref="AT24" ca="1">IF(SUMPRODUCT((TransAsset=$C24)*(TransType="DIS")*(TransIDDate&lt;(Assets!$I$2+1))*(1))&gt;0,0,IF(AND($AU24=0,DATE(YEAR($L24),MONTH($L24),1)&lt;&gt;DATE(YEAR(Assets!$J$2),MONTH(Assets!$J$2),1)),0,IF(DATE(YEAR($Q24),MONTH($Q24),1)&lt;&gt;DATE(YEAR(Assets!$I$2),MONTH(Assets!$I$2),1),0,IF(SUMIFS(TransPMAccDep,TransAsset,$C24)&gt;=($T24-$V24),($T24-$V24)-SUMIFS(TransPMAccDep,TransAsset,$C24),IF($U24=0,0,IF($S24&lt;$T24,MIN(($S24-$V24)/($U24*12),($T24-$V24)-$AU24),MIN(($T24-$V24)/($U24*12),($T24-$V24)-$AU24)))))))</f>
        <v>0</v>
      </c>
      <c r="AU24" s="28">
        <f t="array" aca="1" ref="AU24" ca="1">IF($L24=LARGE(IF(TransAsset=$C24,IF(TransIDDate&lt;Assets!$J$2,TransIDDate,0),0),1),IF($B24="DIS",0,MIN(SUMIFS(TransTDCost,TransAsset,$C24,TransDate,"&lt;="&amp;$L24)+IF($U24=0,0,MIN(($S24-$V24)/($U24*12)*(((YEAR(Assets!$J$2)*12)+MONTH(Assets!$J$2)-1)-((YEAR($L24)*12)+MONTH($L24)-1)),$S24-$V24)),SUMIFS(TransTDCost,TransAsset,$C24,TransDate,"&lt;="&amp;$L24)+IF($U24=0,0,MIN(($T24-$V24)/($U24*12)*(((YEAR(Assets!$J$2)*12)+MONTH(Assets!$J$2)-1)-((YEAR($L24)*12)+MONTH($L24)-1)),$T24-$V24)),$T24-$V24)),0)</f>
        <v>0</v>
      </c>
    </row>
    <row r="25" spans="1:47" ht="16" customHeight="1" x14ac:dyDescent="0.25">
      <c r="A25" s="33">
        <v>42205</v>
      </c>
      <c r="B25" s="4" t="s">
        <v>79</v>
      </c>
      <c r="C25" s="8" t="s">
        <v>288</v>
      </c>
      <c r="D25" s="3" t="s">
        <v>274</v>
      </c>
      <c r="E25" s="3" t="s">
        <v>275</v>
      </c>
      <c r="F25" s="28">
        <v>354600</v>
      </c>
      <c r="G25" s="28">
        <v>5</v>
      </c>
      <c r="H25" s="28">
        <v>0</v>
      </c>
      <c r="I25" s="28">
        <v>0</v>
      </c>
      <c r="J25" s="59" t="str" cm="1">
        <f t="array" aca="1" ref="J25" ca="1">IF(ISNA(VLOOKUP($C25,AssetCode,1,0))=TRUE,"E3",IF(OR(ISBLANK($B25)=TRUE,SUMPRODUCT((TransAsset=$C25)*(TransIDDate&lt;$L25)*(TransType="DIS")*(1))&gt;0),"E4",IF(SUMPRODUCT((TransAsset=$C25)*(TransType="ACQ")*(1))&gt;1,"E5",IF(OR($F25&lt;0,AND(TransType="DIS",$F25&lt;&gt;0)=TRUE),"E6",IF(OR(AND($G25&lt;0,TransType&lt;&gt;"DIS")=TRUE,AND(TransType="DIS",$G25&lt;&gt;0)=TRUE),"E7",IF(OR($H25&lt;0,AND(TransType="DIS",$H25&lt;&gt;0)=TRUE,$H25&gt;$F25),"E8",IF($I25&lt;0,"E9","-")))))))</f>
        <v>-</v>
      </c>
      <c r="K25" s="60" t="str">
        <f>IF(ISNA(VLOOKUP($C25,AssetAll,COLUMN(Assets!$E$4),0))=TRUE,"add!",VLOOKUP($C25,AssetAll,COLUMN(Assets!$E$4),0))</f>
        <v>PPM01</v>
      </c>
      <c r="L25" s="61">
        <f t="shared" ca="1" si="0"/>
        <v>42205.000289351854</v>
      </c>
      <c r="M25" s="61">
        <f t="array" aca="1" ref="M25" ca="1">IF(ISBLANK($C25)=TRUE,0,LARGE(IF(TransAsset=$C25,IF(TransIDDate&lt;$L25,TransIDDate,0),0),1))</f>
        <v>0</v>
      </c>
      <c r="N25" s="61">
        <f t="array" aca="1" ref="N25" ca="1">IF(ISBLANK($C25)=TRUE,0,SMALL(IF(TransAsset=$C25,IF(TransIDDate&gt;$L25,TransIDDate,(Assets!$I$2+1)),(Assets!$I$2+1)),1))</f>
        <v>43891.00072916667</v>
      </c>
      <c r="O25" s="61">
        <f t="shared" ca="1" si="1"/>
        <v>44012</v>
      </c>
      <c r="P25" s="61">
        <f ca="1">IF(OR($N25&lt;Assets!$H$2,$O25&lt;Assets!$H$2,$L25&gt;(Assets!$I$2+1)),0,IF($B25="DIS",IF($L25&lt;Assets!$H$2,0,IF($L25&lt;(Assets!$I$2+1),DATE(YEAR($L25),MONTH($L25),0),Assets!$H$2)),IF($L25&lt;Assets!$H$2,Assets!$H$2,DATE(YEAR($L25),MONTH($L25),1))))</f>
        <v>43891</v>
      </c>
      <c r="Q25" s="61">
        <f ca="1">IF($P25=0,0,IF($B25="DIS",IF($L25&gt;(Assets!$I$2+1),MIN(Assets!$I$2,$O25),MIN($L25,$O25)),IF($N25&lt;(Assets!$I$2+1),MIN(IF(DATE(YEAR($N25),MONTH($N25),0)&lt;$P25,$P25,DATE(YEAR($N25),MONTH($N25),0)),$O25),MIN(Assets!$I$2,$O25))))</f>
        <v>43891</v>
      </c>
      <c r="R25" s="60">
        <f t="shared" ca="1" si="2"/>
        <v>0</v>
      </c>
      <c r="S25" s="60">
        <f t="shared" si="3"/>
        <v>354600</v>
      </c>
      <c r="T25" s="60" cm="1">
        <f t="array" ref="T25">IF(ISBLANK($B25)=FALSE,SUMIFS(TransAmount,TransAsset,$C25,TransType,"ACQ"),0)</f>
        <v>354600</v>
      </c>
      <c r="U25" s="60">
        <f t="shared" si="4"/>
        <v>5</v>
      </c>
      <c r="V25" s="60">
        <f t="shared" si="5"/>
        <v>0</v>
      </c>
      <c r="W25" s="28">
        <f t="shared" ca="1" si="6"/>
        <v>0</v>
      </c>
      <c r="X25" s="28">
        <f t="shared" ca="1" si="7"/>
        <v>0</v>
      </c>
      <c r="Y25" s="28">
        <f t="shared" ca="1" si="8"/>
        <v>0</v>
      </c>
      <c r="Z25" s="28">
        <f t="shared" ca="1" si="9"/>
        <v>0</v>
      </c>
      <c r="AA25" s="28">
        <f t="shared" ca="1" si="10"/>
        <v>0</v>
      </c>
      <c r="AB25" s="28" cm="1">
        <f t="array" aca="1" ref="AB25" ca="1">IF(SUMIFS(TransTDCost,TransAsset,$C25,TransDate,"&lt;="&amp;$L25)&gt;($T25-$X25),($T25-$X25),SUMIFS(TransTDCost,TransAsset,$C25,TransDate,"&lt;="&amp;$L25))</f>
        <v>0</v>
      </c>
      <c r="AC25" s="28">
        <f t="shared" ca="1" si="11"/>
        <v>0</v>
      </c>
      <c r="AD25" s="28">
        <f t="array" aca="1" ref="AD25" ca="1">IF($L25=LARGE(IF(TransAsset=$C25,IF(TransIDDate&lt;Assets!$H$2,TransIDDate,0),0),1),IF($B25="DIS",$AC25,SUMIFS(TransCAccDep,TransAsset,$C25,TransDate,"&lt;="&amp;$L25)+IF($U25=0,0,MIN(($S25-$V25)/($U25*12)*(((YEAR(Assets!$H$2)*12)+MONTH(Assets!$H$2)-1)-((YEAR($L25)*12)+MONTH($L25)-1)),$S25-$V25))),0)-$AO25</f>
        <v>0</v>
      </c>
      <c r="AE25" s="28">
        <f t="shared" ca="1" si="12"/>
        <v>0</v>
      </c>
      <c r="AF25" s="28">
        <f t="shared" ca="1" si="13"/>
        <v>0</v>
      </c>
      <c r="AG25" s="28">
        <f t="shared" ca="1" si="14"/>
        <v>0</v>
      </c>
      <c r="AH25" s="28">
        <f t="shared" ca="1" si="15"/>
        <v>0</v>
      </c>
      <c r="AI25" s="28" cm="1">
        <f t="array" ref="AI25">IF($B25="REV",IF($S25-$AA25+$AE25&gt;0,IF(SUMIFS(TransImpair,TransAsset,$C25,TransDate,"&lt;"&amp;$M25)&gt;0,IF(SUMIFS(TransImpair,TransAsset,$C25,TransDate,"&lt;"&amp;$M25)&gt;$S25-$AA25+$AE25,-($S25-$AA25+$AE25),-SUMIFS(TransImpair,TransAsset,$C25,TransDate,"&lt;"&amp;$M25)),0),-($S25-$AA25+$AE25)),0)</f>
        <v>0</v>
      </c>
      <c r="AJ25" s="28">
        <f t="shared" si="16"/>
        <v>0</v>
      </c>
      <c r="AK25" s="28">
        <f t="shared" ca="1" si="17"/>
        <v>0</v>
      </c>
      <c r="AL25" s="28">
        <f t="shared" ca="1" si="18"/>
        <v>0</v>
      </c>
      <c r="AM25" s="28" cm="1">
        <f t="array" aca="1" ref="AM25" ca="1">IF($AN25&gt;($T25-$V25),($T25-$V25)-SUMIFS(TransPCAccDep,TransAsset,$C25,TransDate,"&lt;="&amp;$L25),$AL25)</f>
        <v>0</v>
      </c>
      <c r="AN25" s="28" cm="1">
        <f t="array" aca="1" ref="AN25" ca="1">IF($AL25=0,0,SUMIFS(TransCCYDep2,TransAsset,$C25,TransDate,"&lt;="&amp;$L25)+SUMIFS(TransPCAccDep,TransAsset,$C25,TransDate,"&lt;="&amp;$L25))</f>
        <v>0</v>
      </c>
      <c r="AO25" s="28">
        <f t="array" aca="1" ref="AO25" ca="1">IF($L25=LARGE(IF(TransAsset=$C25,IF(TransIDDate&lt;Assets!$H$2,TransIDDate,0),0),1),IF($B25="DIS",0,MIN(SUMIFS(TransTDCost,TransAsset,$C25,TransDate,"&lt;="&amp;$L25)+IF($U25=0,0,MIN(($S25-$V25)/($U25*12)*(((YEAR(Assets!$H$2)*12)+MONTH(Assets!$H$2)-1)-((YEAR($L25)*12)+MONTH($L25)-1)),$S25-$V25)),SUMIFS(TransTDCost,TransAsset,$C25,TransDate,"&lt;="&amp;$L25)+IF($U25=0,0,MIN(($T25-$V25)/($U25*12)*(((YEAR(Assets!$H$2)*12)+MONTH(Assets!$H$2)-1)-((YEAR($L25)*12)+MONTH($L25)-1)),$T25-$V25)),$T25-$V25)),0)</f>
        <v>330960</v>
      </c>
      <c r="AP25" s="28">
        <f t="shared" ca="1" si="19"/>
        <v>0</v>
      </c>
      <c r="AQ25" s="60">
        <f ca="1">IF(SUMPRODUCT((TransAsset=$C25)*(TransType="DIS")*(TransIDDate&lt;(Assets!$I$2+1))*(1))&gt;0,0,IF(AND($AR25=0,DATE(YEAR($L25),MONTH($L25),1)&lt;&gt;DATE(YEAR(Assets!$J$2),MONTH(Assets!$J$2),1)),0,IF(DATE(YEAR($Q25),MONTH($Q25),1)&lt;&gt;DATE(YEAR(Assets!$I$2),MONTH(Assets!$I$2),1),0,IF($AR25=$S25-$V25,0,IF($U25=0,0,MIN(($S25-$V25)/($U25*12),($S25-$V25)-$AR25))))))</f>
        <v>0</v>
      </c>
      <c r="AR25" s="60">
        <f t="array" aca="1" ref="AR25" ca="1">IF($L25=LARGE(IF(TransAsset=$C25,IF(TransIDDate&lt;Assets!$J$2,TransIDDate,0),0),1),IF($B25="DIS",0,MIN(IF($U25=0,0,(($S25-$V25)/($U25*12)*(((YEAR(Assets!$J$2)*12)+MONTH(Assets!$J$2)-1)-((YEAR($L25)*12)+MONTH($L25)-1)))),($S25-$V25))),0)</f>
        <v>0</v>
      </c>
      <c r="AS25" s="60">
        <f t="shared" si="20"/>
        <v>5910</v>
      </c>
      <c r="AT25" s="28" cm="1">
        <f t="array" aca="1" ref="AT25" ca="1">IF(SUMPRODUCT((TransAsset=$C25)*(TransType="DIS")*(TransIDDate&lt;(Assets!$I$2+1))*(1))&gt;0,0,IF(AND($AU25=0,DATE(YEAR($L25),MONTH($L25),1)&lt;&gt;DATE(YEAR(Assets!$J$2),MONTH(Assets!$J$2),1)),0,IF(DATE(YEAR($Q25),MONTH($Q25),1)&lt;&gt;DATE(YEAR(Assets!$I$2),MONTH(Assets!$I$2),1),0,IF(SUMIFS(TransPMAccDep,TransAsset,$C25)&gt;=($T25-$V25),($T25-$V25)-SUMIFS(TransPMAccDep,TransAsset,$C25),IF($U25=0,0,IF($S25&lt;$T25,MIN(($S25-$V25)/($U25*12),($T25-$V25)-$AU25),MIN(($T25-$V25)/($U25*12),($T25-$V25)-$AU25)))))))</f>
        <v>0</v>
      </c>
      <c r="AU25" s="28">
        <f t="array" aca="1" ref="AU25" ca="1">IF($L25=LARGE(IF(TransAsset=$C25,IF(TransIDDate&lt;Assets!$J$2,TransIDDate,0),0),1),IF($B25="DIS",0,MIN(SUMIFS(TransTDCost,TransAsset,$C25,TransDate,"&lt;="&amp;$L25)+IF($U25=0,0,MIN(($S25-$V25)/($U25*12)*(((YEAR(Assets!$J$2)*12)+MONTH(Assets!$J$2)-1)-((YEAR($L25)*12)+MONTH($L25)-1)),$S25-$V25)),SUMIFS(TransTDCost,TransAsset,$C25,TransDate,"&lt;="&amp;$L25)+IF($U25=0,0,MIN(($T25-$V25)/($U25*12)*(((YEAR(Assets!$J$2)*12)+MONTH(Assets!$J$2)-1)-((YEAR($L25)*12)+MONTH($L25)-1)),$T25-$V25)),$T25-$V25)),0)</f>
        <v>0</v>
      </c>
    </row>
    <row r="26" spans="1:47" ht="16" customHeight="1" x14ac:dyDescent="0.25">
      <c r="A26" s="33">
        <v>42205</v>
      </c>
      <c r="B26" s="4" t="s">
        <v>79</v>
      </c>
      <c r="C26" s="8" t="s">
        <v>294</v>
      </c>
      <c r="D26" s="3" t="s">
        <v>274</v>
      </c>
      <c r="E26" s="3" t="s">
        <v>275</v>
      </c>
      <c r="F26" s="28">
        <v>15000</v>
      </c>
      <c r="G26" s="28">
        <v>5</v>
      </c>
      <c r="H26" s="28">
        <v>0</v>
      </c>
      <c r="I26" s="28">
        <v>0</v>
      </c>
      <c r="J26" s="59" t="str" cm="1">
        <f t="array" aca="1" ref="J26" ca="1">IF(ISNA(VLOOKUP($C26,AssetCode,1,0))=TRUE,"E3",IF(OR(ISBLANK($B26)=TRUE,SUMPRODUCT((TransAsset=$C26)*(TransIDDate&lt;$L26)*(TransType="DIS")*(1))&gt;0),"E4",IF(SUMPRODUCT((TransAsset=$C26)*(TransType="ACQ")*(1))&gt;1,"E5",IF(OR($F26&lt;0,AND(TransType="DIS",$F26&lt;&gt;0)=TRUE),"E6",IF(OR(AND($G26&lt;0,TransType&lt;&gt;"DIS")=TRUE,AND(TransType="DIS",$G26&lt;&gt;0)=TRUE),"E7",IF(OR($H26&lt;0,AND(TransType="DIS",$H26&lt;&gt;0)=TRUE,$H26&gt;$F26),"E8",IF($I26&lt;0,"E9","-")))))))</f>
        <v>-</v>
      </c>
      <c r="K26" s="60" t="str">
        <f>IF(ISNA(VLOOKUP($C26,AssetAll,COLUMN(Assets!$E$4),0))=TRUE,"add!",VLOOKUP($C26,AssetAll,COLUMN(Assets!$E$4),0))</f>
        <v>EQP01</v>
      </c>
      <c r="L26" s="61">
        <f t="shared" ca="1" si="0"/>
        <v>42205.000300925924</v>
      </c>
      <c r="M26" s="61">
        <f t="array" aca="1" ref="M26" ca="1">IF(ISBLANK($C26)=TRUE,0,LARGE(IF(TransAsset=$C26,IF(TransIDDate&lt;$L26,TransIDDate,0),0),1))</f>
        <v>0</v>
      </c>
      <c r="N26" s="61">
        <f t="array" aca="1" ref="N26" ca="1">IF(ISBLANK($C26)=TRUE,0,SMALL(IF(TransAsset=$C26,IF(TransIDDate&gt;$L26,TransIDDate,(Assets!$I$2+1)),(Assets!$I$2+1)),1))</f>
        <v>43891.000775462962</v>
      </c>
      <c r="O26" s="61">
        <f t="shared" ca="1" si="1"/>
        <v>44012</v>
      </c>
      <c r="P26" s="61">
        <f ca="1">IF(OR($N26&lt;Assets!$H$2,$O26&lt;Assets!$H$2,$L26&gt;(Assets!$I$2+1)),0,IF($B26="DIS",IF($L26&lt;Assets!$H$2,0,IF($L26&lt;(Assets!$I$2+1),DATE(YEAR($L26),MONTH($L26),0),Assets!$H$2)),IF($L26&lt;Assets!$H$2,Assets!$H$2,DATE(YEAR($L26),MONTH($L26),1))))</f>
        <v>43891</v>
      </c>
      <c r="Q26" s="61">
        <f ca="1">IF($P26=0,0,IF($B26="DIS",IF($L26&gt;(Assets!$I$2+1),MIN(Assets!$I$2,$O26),MIN($L26,$O26)),IF($N26&lt;(Assets!$I$2+1),MIN(IF(DATE(YEAR($N26),MONTH($N26),0)&lt;$P26,$P26,DATE(YEAR($N26),MONTH($N26),0)),$O26),MIN(Assets!$I$2,$O26))))</f>
        <v>43891</v>
      </c>
      <c r="R26" s="60">
        <f t="shared" ca="1" si="2"/>
        <v>0</v>
      </c>
      <c r="S26" s="60">
        <f t="shared" si="3"/>
        <v>15000</v>
      </c>
      <c r="T26" s="60" cm="1">
        <f t="array" ref="T26">IF(ISBLANK($B26)=FALSE,SUMIFS(TransAmount,TransAsset,$C26,TransType,"ACQ"),0)</f>
        <v>15000</v>
      </c>
      <c r="U26" s="60">
        <f t="shared" si="4"/>
        <v>5</v>
      </c>
      <c r="V26" s="60">
        <f t="shared" si="5"/>
        <v>0</v>
      </c>
      <c r="W26" s="28">
        <f t="shared" ca="1" si="6"/>
        <v>0</v>
      </c>
      <c r="X26" s="28">
        <f t="shared" ca="1" si="7"/>
        <v>0</v>
      </c>
      <c r="Y26" s="28">
        <f t="shared" ca="1" si="8"/>
        <v>0</v>
      </c>
      <c r="Z26" s="28">
        <f t="shared" ca="1" si="9"/>
        <v>0</v>
      </c>
      <c r="AA26" s="28">
        <f t="shared" ca="1" si="10"/>
        <v>0</v>
      </c>
      <c r="AB26" s="28" cm="1">
        <f t="array" aca="1" ref="AB26" ca="1">IF(SUMIFS(TransTDCost,TransAsset,$C26,TransDate,"&lt;="&amp;$L26)&gt;($T26-$X26),($T26-$X26),SUMIFS(TransTDCost,TransAsset,$C26,TransDate,"&lt;="&amp;$L26))</f>
        <v>0</v>
      </c>
      <c r="AC26" s="28">
        <f t="shared" ca="1" si="11"/>
        <v>0</v>
      </c>
      <c r="AD26" s="28">
        <f t="array" aca="1" ref="AD26" ca="1">IF($L26=LARGE(IF(TransAsset=$C26,IF(TransIDDate&lt;Assets!$H$2,TransIDDate,0),0),1),IF($B26="DIS",$AC26,SUMIFS(TransCAccDep,TransAsset,$C26,TransDate,"&lt;="&amp;$L26)+IF($U26=0,0,MIN(($S26-$V26)/($U26*12)*(((YEAR(Assets!$H$2)*12)+MONTH(Assets!$H$2)-1)-((YEAR($L26)*12)+MONTH($L26)-1)),$S26-$V26))),0)-$AO26</f>
        <v>0</v>
      </c>
      <c r="AE26" s="28">
        <f t="shared" ca="1" si="12"/>
        <v>0</v>
      </c>
      <c r="AF26" s="28">
        <f t="shared" ca="1" si="13"/>
        <v>0</v>
      </c>
      <c r="AG26" s="28">
        <f t="shared" ca="1" si="14"/>
        <v>0</v>
      </c>
      <c r="AH26" s="28">
        <f t="shared" ca="1" si="15"/>
        <v>0</v>
      </c>
      <c r="AI26" s="28" cm="1">
        <f t="array" ref="AI26">IF($B26="REV",IF($S26-$AA26+$AE26&gt;0,IF(SUMIFS(TransImpair,TransAsset,$C26,TransDate,"&lt;"&amp;$M26)&gt;0,IF(SUMIFS(TransImpair,TransAsset,$C26,TransDate,"&lt;"&amp;$M26)&gt;$S26-$AA26+$AE26,-($S26-$AA26+$AE26),-SUMIFS(TransImpair,TransAsset,$C26,TransDate,"&lt;"&amp;$M26)),0),-($S26-$AA26+$AE26)),0)</f>
        <v>0</v>
      </c>
      <c r="AJ26" s="28">
        <f t="shared" si="16"/>
        <v>0</v>
      </c>
      <c r="AK26" s="28">
        <f t="shared" ca="1" si="17"/>
        <v>0</v>
      </c>
      <c r="AL26" s="28">
        <f t="shared" ca="1" si="18"/>
        <v>0</v>
      </c>
      <c r="AM26" s="28" cm="1">
        <f t="array" aca="1" ref="AM26" ca="1">IF($AN26&gt;($T26-$V26),($T26-$V26)-SUMIFS(TransPCAccDep,TransAsset,$C26,TransDate,"&lt;="&amp;$L26),$AL26)</f>
        <v>0</v>
      </c>
      <c r="AN26" s="28" cm="1">
        <f t="array" aca="1" ref="AN26" ca="1">IF($AL26=0,0,SUMIFS(TransCCYDep2,TransAsset,$C26,TransDate,"&lt;="&amp;$L26)+SUMIFS(TransPCAccDep,TransAsset,$C26,TransDate,"&lt;="&amp;$L26))</f>
        <v>0</v>
      </c>
      <c r="AO26" s="28">
        <f t="array" aca="1" ref="AO26" ca="1">IF($L26=LARGE(IF(TransAsset=$C26,IF(TransIDDate&lt;Assets!$H$2,TransIDDate,0),0),1),IF($B26="DIS",0,MIN(SUMIFS(TransTDCost,TransAsset,$C26,TransDate,"&lt;="&amp;$L26)+IF($U26=0,0,MIN(($S26-$V26)/($U26*12)*(((YEAR(Assets!$H$2)*12)+MONTH(Assets!$H$2)-1)-((YEAR($L26)*12)+MONTH($L26)-1)),$S26-$V26)),SUMIFS(TransTDCost,TransAsset,$C26,TransDate,"&lt;="&amp;$L26)+IF($U26=0,0,MIN(($T26-$V26)/($U26*12)*(((YEAR(Assets!$H$2)*12)+MONTH(Assets!$H$2)-1)-((YEAR($L26)*12)+MONTH($L26)-1)),$T26-$V26)),$T26-$V26)),0)</f>
        <v>14000</v>
      </c>
      <c r="AP26" s="28">
        <f t="shared" ca="1" si="19"/>
        <v>0</v>
      </c>
      <c r="AQ26" s="60">
        <f ca="1">IF(SUMPRODUCT((TransAsset=$C26)*(TransType="DIS")*(TransIDDate&lt;(Assets!$I$2+1))*(1))&gt;0,0,IF(AND($AR26=0,DATE(YEAR($L26),MONTH($L26),1)&lt;&gt;DATE(YEAR(Assets!$J$2),MONTH(Assets!$J$2),1)),0,IF(DATE(YEAR($Q26),MONTH($Q26),1)&lt;&gt;DATE(YEAR(Assets!$I$2),MONTH(Assets!$I$2),1),0,IF($AR26=$S26-$V26,0,IF($U26=0,0,MIN(($S26-$V26)/($U26*12),($S26-$V26)-$AR26))))))</f>
        <v>0</v>
      </c>
      <c r="AR26" s="60">
        <f t="array" aca="1" ref="AR26" ca="1">IF($L26=LARGE(IF(TransAsset=$C26,IF(TransIDDate&lt;Assets!$J$2,TransIDDate,0),0),1),IF($B26="DIS",0,MIN(IF($U26=0,0,(($S26-$V26)/($U26*12)*(((YEAR(Assets!$J$2)*12)+MONTH(Assets!$J$2)-1)-((YEAR($L26)*12)+MONTH($L26)-1)))),($S26-$V26))),0)</f>
        <v>0</v>
      </c>
      <c r="AS26" s="60">
        <f t="shared" si="20"/>
        <v>250</v>
      </c>
      <c r="AT26" s="28" cm="1">
        <f t="array" aca="1" ref="AT26" ca="1">IF(SUMPRODUCT((TransAsset=$C26)*(TransType="DIS")*(TransIDDate&lt;(Assets!$I$2+1))*(1))&gt;0,0,IF(AND($AU26=0,DATE(YEAR($L26),MONTH($L26),1)&lt;&gt;DATE(YEAR(Assets!$J$2),MONTH(Assets!$J$2),1)),0,IF(DATE(YEAR($Q26),MONTH($Q26),1)&lt;&gt;DATE(YEAR(Assets!$I$2),MONTH(Assets!$I$2),1),0,IF(SUMIFS(TransPMAccDep,TransAsset,$C26)&gt;=($T26-$V26),($T26-$V26)-SUMIFS(TransPMAccDep,TransAsset,$C26),IF($U26=0,0,IF($S26&lt;$T26,MIN(($S26-$V26)/($U26*12),($T26-$V26)-$AU26),MIN(($T26-$V26)/($U26*12),($T26-$V26)-$AU26)))))))</f>
        <v>0</v>
      </c>
      <c r="AU26" s="28">
        <f t="array" aca="1" ref="AU26" ca="1">IF($L26=LARGE(IF(TransAsset=$C26,IF(TransIDDate&lt;Assets!$J$2,TransIDDate,0),0),1),IF($B26="DIS",0,MIN(SUMIFS(TransTDCost,TransAsset,$C26,TransDate,"&lt;="&amp;$L26)+IF($U26=0,0,MIN(($S26-$V26)/($U26*12)*(((YEAR(Assets!$J$2)*12)+MONTH(Assets!$J$2)-1)-((YEAR($L26)*12)+MONTH($L26)-1)),$S26-$V26)),SUMIFS(TransTDCost,TransAsset,$C26,TransDate,"&lt;="&amp;$L26)+IF($U26=0,0,MIN(($T26-$V26)/($U26*12)*(((YEAR(Assets!$J$2)*12)+MONTH(Assets!$J$2)-1)-((YEAR($L26)*12)+MONTH($L26)-1)),$T26-$V26)),$T26-$V26)),0)</f>
        <v>0</v>
      </c>
    </row>
    <row r="27" spans="1:47" ht="16" customHeight="1" x14ac:dyDescent="0.25">
      <c r="A27" s="33">
        <v>42205</v>
      </c>
      <c r="B27" s="4" t="s">
        <v>79</v>
      </c>
      <c r="C27" s="8" t="s">
        <v>295</v>
      </c>
      <c r="D27" s="3" t="s">
        <v>274</v>
      </c>
      <c r="E27" s="3" t="s">
        <v>275</v>
      </c>
      <c r="F27" s="28">
        <v>1500</v>
      </c>
      <c r="G27" s="28">
        <v>5</v>
      </c>
      <c r="H27" s="28">
        <v>0</v>
      </c>
      <c r="I27" s="28">
        <v>0</v>
      </c>
      <c r="J27" s="59" t="str" cm="1">
        <f t="array" aca="1" ref="J27" ca="1">IF(ISNA(VLOOKUP($C27,AssetCode,1,0))=TRUE,"E3",IF(OR(ISBLANK($B27)=TRUE,SUMPRODUCT((TransAsset=$C27)*(TransIDDate&lt;$L27)*(TransType="DIS")*(1))&gt;0),"E4",IF(SUMPRODUCT((TransAsset=$C27)*(TransType="ACQ")*(1))&gt;1,"E5",IF(OR($F27&lt;0,AND(TransType="DIS",$F27&lt;&gt;0)=TRUE),"E6",IF(OR(AND($G27&lt;0,TransType&lt;&gt;"DIS")=TRUE,AND(TransType="DIS",$G27&lt;&gt;0)=TRUE),"E7",IF(OR($H27&lt;0,AND(TransType="DIS",$H27&lt;&gt;0)=TRUE,$H27&gt;$F27),"E8",IF($I27&lt;0,"E9","-")))))))</f>
        <v>-</v>
      </c>
      <c r="K27" s="60" t="str">
        <f>IF(ISNA(VLOOKUP($C27,AssetAll,COLUMN(Assets!$E$4),0))=TRUE,"add!",VLOOKUP($C27,AssetAll,COLUMN(Assets!$E$4),0))</f>
        <v>EQP01</v>
      </c>
      <c r="L27" s="61">
        <f t="shared" ca="1" si="0"/>
        <v>42205.0003125</v>
      </c>
      <c r="M27" s="61">
        <f t="array" aca="1" ref="M27" ca="1">IF(ISBLANK($C27)=TRUE,0,LARGE(IF(TransAsset=$C27,IF(TransIDDate&lt;$L27,TransIDDate,0),0),1))</f>
        <v>0</v>
      </c>
      <c r="N27" s="61">
        <f t="array" aca="1" ref="N27" ca="1">IF(ISBLANK($C27)=TRUE,0,SMALL(IF(TransAsset=$C27,IF(TransIDDate&gt;$L27,TransIDDate,(Assets!$I$2+1)),(Assets!$I$2+1)),1))</f>
        <v>43891.000787037039</v>
      </c>
      <c r="O27" s="61">
        <f t="shared" ca="1" si="1"/>
        <v>44012</v>
      </c>
      <c r="P27" s="61">
        <f ca="1">IF(OR($N27&lt;Assets!$H$2,$O27&lt;Assets!$H$2,$L27&gt;(Assets!$I$2+1)),0,IF($B27="DIS",IF($L27&lt;Assets!$H$2,0,IF($L27&lt;(Assets!$I$2+1),DATE(YEAR($L27),MONTH($L27),0),Assets!$H$2)),IF($L27&lt;Assets!$H$2,Assets!$H$2,DATE(YEAR($L27),MONTH($L27),1))))</f>
        <v>43891</v>
      </c>
      <c r="Q27" s="61">
        <f ca="1">IF($P27=0,0,IF($B27="DIS",IF($L27&gt;(Assets!$I$2+1),MIN(Assets!$I$2,$O27),MIN($L27,$O27)),IF($N27&lt;(Assets!$I$2+1),MIN(IF(DATE(YEAR($N27),MONTH($N27),0)&lt;$P27,$P27,DATE(YEAR($N27),MONTH($N27),0)),$O27),MIN(Assets!$I$2,$O27))))</f>
        <v>43891</v>
      </c>
      <c r="R27" s="60">
        <f t="shared" ca="1" si="2"/>
        <v>0</v>
      </c>
      <c r="S27" s="60">
        <f t="shared" si="3"/>
        <v>1500</v>
      </c>
      <c r="T27" s="60" cm="1">
        <f t="array" ref="T27">IF(ISBLANK($B27)=FALSE,SUMIFS(TransAmount,TransAsset,$C27,TransType,"ACQ"),0)</f>
        <v>1500</v>
      </c>
      <c r="U27" s="60">
        <f t="shared" si="4"/>
        <v>5</v>
      </c>
      <c r="V27" s="60">
        <f t="shared" si="5"/>
        <v>0</v>
      </c>
      <c r="W27" s="28">
        <f t="shared" ca="1" si="6"/>
        <v>0</v>
      </c>
      <c r="X27" s="28">
        <f t="shared" ca="1" si="7"/>
        <v>0</v>
      </c>
      <c r="Y27" s="28">
        <f t="shared" ca="1" si="8"/>
        <v>0</v>
      </c>
      <c r="Z27" s="28">
        <f t="shared" ca="1" si="9"/>
        <v>0</v>
      </c>
      <c r="AA27" s="28">
        <f t="shared" ca="1" si="10"/>
        <v>0</v>
      </c>
      <c r="AB27" s="28" cm="1">
        <f t="array" aca="1" ref="AB27" ca="1">IF(SUMIFS(TransTDCost,TransAsset,$C27,TransDate,"&lt;="&amp;$L27)&gt;($T27-$X27),($T27-$X27),SUMIFS(TransTDCost,TransAsset,$C27,TransDate,"&lt;="&amp;$L27))</f>
        <v>0</v>
      </c>
      <c r="AC27" s="28">
        <f t="shared" ca="1" si="11"/>
        <v>0</v>
      </c>
      <c r="AD27" s="28">
        <f t="array" aca="1" ref="AD27" ca="1">IF($L27=LARGE(IF(TransAsset=$C27,IF(TransIDDate&lt;Assets!$H$2,TransIDDate,0),0),1),IF($B27="DIS",$AC27,SUMIFS(TransCAccDep,TransAsset,$C27,TransDate,"&lt;="&amp;$L27)+IF($U27=0,0,MIN(($S27-$V27)/($U27*12)*(((YEAR(Assets!$H$2)*12)+MONTH(Assets!$H$2)-1)-((YEAR($L27)*12)+MONTH($L27)-1)),$S27-$V27))),0)-$AO27</f>
        <v>0</v>
      </c>
      <c r="AE27" s="28">
        <f t="shared" ca="1" si="12"/>
        <v>0</v>
      </c>
      <c r="AF27" s="28">
        <f t="shared" ca="1" si="13"/>
        <v>0</v>
      </c>
      <c r="AG27" s="28">
        <f t="shared" ca="1" si="14"/>
        <v>0</v>
      </c>
      <c r="AH27" s="28">
        <f t="shared" ca="1" si="15"/>
        <v>0</v>
      </c>
      <c r="AI27" s="28" cm="1">
        <f t="array" ref="AI27">IF($B27="REV",IF($S27-$AA27+$AE27&gt;0,IF(SUMIFS(TransImpair,TransAsset,$C27,TransDate,"&lt;"&amp;$M27)&gt;0,IF(SUMIFS(TransImpair,TransAsset,$C27,TransDate,"&lt;"&amp;$M27)&gt;$S27-$AA27+$AE27,-($S27-$AA27+$AE27),-SUMIFS(TransImpair,TransAsset,$C27,TransDate,"&lt;"&amp;$M27)),0),-($S27-$AA27+$AE27)),0)</f>
        <v>0</v>
      </c>
      <c r="AJ27" s="28">
        <f t="shared" si="16"/>
        <v>0</v>
      </c>
      <c r="AK27" s="28">
        <f t="shared" ca="1" si="17"/>
        <v>0</v>
      </c>
      <c r="AL27" s="28">
        <f t="shared" ca="1" si="18"/>
        <v>0</v>
      </c>
      <c r="AM27" s="28" cm="1">
        <f t="array" aca="1" ref="AM27" ca="1">IF($AN27&gt;($T27-$V27),($T27-$V27)-SUMIFS(TransPCAccDep,TransAsset,$C27,TransDate,"&lt;="&amp;$L27),$AL27)</f>
        <v>0</v>
      </c>
      <c r="AN27" s="28" cm="1">
        <f t="array" aca="1" ref="AN27" ca="1">IF($AL27=0,0,SUMIFS(TransCCYDep2,TransAsset,$C27,TransDate,"&lt;="&amp;$L27)+SUMIFS(TransPCAccDep,TransAsset,$C27,TransDate,"&lt;="&amp;$L27))</f>
        <v>0</v>
      </c>
      <c r="AO27" s="28">
        <f t="array" aca="1" ref="AO27" ca="1">IF($L27=LARGE(IF(TransAsset=$C27,IF(TransIDDate&lt;Assets!$H$2,TransIDDate,0),0),1),IF($B27="DIS",0,MIN(SUMIFS(TransTDCost,TransAsset,$C27,TransDate,"&lt;="&amp;$L27)+IF($U27=0,0,MIN(($S27-$V27)/($U27*12)*(((YEAR(Assets!$H$2)*12)+MONTH(Assets!$H$2)-1)-((YEAR($L27)*12)+MONTH($L27)-1)),$S27-$V27)),SUMIFS(TransTDCost,TransAsset,$C27,TransDate,"&lt;="&amp;$L27)+IF($U27=0,0,MIN(($T27-$V27)/($U27*12)*(((YEAR(Assets!$H$2)*12)+MONTH(Assets!$H$2)-1)-((YEAR($L27)*12)+MONTH($L27)-1)),$T27-$V27)),$T27-$V27)),0)</f>
        <v>1400</v>
      </c>
      <c r="AP27" s="28">
        <f t="shared" ca="1" si="19"/>
        <v>0</v>
      </c>
      <c r="AQ27" s="60">
        <f ca="1">IF(SUMPRODUCT((TransAsset=$C27)*(TransType="DIS")*(TransIDDate&lt;(Assets!$I$2+1))*(1))&gt;0,0,IF(AND($AR27=0,DATE(YEAR($L27),MONTH($L27),1)&lt;&gt;DATE(YEAR(Assets!$J$2),MONTH(Assets!$J$2),1)),0,IF(DATE(YEAR($Q27),MONTH($Q27),1)&lt;&gt;DATE(YEAR(Assets!$I$2),MONTH(Assets!$I$2),1),0,IF($AR27=$S27-$V27,0,IF($U27=0,0,MIN(($S27-$V27)/($U27*12),($S27-$V27)-$AR27))))))</f>
        <v>0</v>
      </c>
      <c r="AR27" s="60">
        <f t="array" aca="1" ref="AR27" ca="1">IF($L27=LARGE(IF(TransAsset=$C27,IF(TransIDDate&lt;Assets!$J$2,TransIDDate,0),0),1),IF($B27="DIS",0,MIN(IF($U27=0,0,(($S27-$V27)/($U27*12)*(((YEAR(Assets!$J$2)*12)+MONTH(Assets!$J$2)-1)-((YEAR($L27)*12)+MONTH($L27)-1)))),($S27-$V27))),0)</f>
        <v>0</v>
      </c>
      <c r="AS27" s="60">
        <f t="shared" si="20"/>
        <v>25</v>
      </c>
      <c r="AT27" s="28" cm="1">
        <f t="array" aca="1" ref="AT27" ca="1">IF(SUMPRODUCT((TransAsset=$C27)*(TransType="DIS")*(TransIDDate&lt;(Assets!$I$2+1))*(1))&gt;0,0,IF(AND($AU27=0,DATE(YEAR($L27),MONTH($L27),1)&lt;&gt;DATE(YEAR(Assets!$J$2),MONTH(Assets!$J$2),1)),0,IF(DATE(YEAR($Q27),MONTH($Q27),1)&lt;&gt;DATE(YEAR(Assets!$I$2),MONTH(Assets!$I$2),1),0,IF(SUMIFS(TransPMAccDep,TransAsset,$C27)&gt;=($T27-$V27),($T27-$V27)-SUMIFS(TransPMAccDep,TransAsset,$C27),IF($U27=0,0,IF($S27&lt;$T27,MIN(($S27-$V27)/($U27*12),($T27-$V27)-$AU27),MIN(($T27-$V27)/($U27*12),($T27-$V27)-$AU27)))))))</f>
        <v>0</v>
      </c>
      <c r="AU27" s="28">
        <f t="array" aca="1" ref="AU27" ca="1">IF($L27=LARGE(IF(TransAsset=$C27,IF(TransIDDate&lt;Assets!$J$2,TransIDDate,0),0),1),IF($B27="DIS",0,MIN(SUMIFS(TransTDCost,TransAsset,$C27,TransDate,"&lt;="&amp;$L27)+IF($U27=0,0,MIN(($S27-$V27)/($U27*12)*(((YEAR(Assets!$J$2)*12)+MONTH(Assets!$J$2)-1)-((YEAR($L27)*12)+MONTH($L27)-1)),$S27-$V27)),SUMIFS(TransTDCost,TransAsset,$C27,TransDate,"&lt;="&amp;$L27)+IF($U27=0,0,MIN(($T27-$V27)/($U27*12)*(((YEAR(Assets!$J$2)*12)+MONTH(Assets!$J$2)-1)-((YEAR($L27)*12)+MONTH($L27)-1)),$T27-$V27)),$T27-$V27)),0)</f>
        <v>0</v>
      </c>
    </row>
    <row r="28" spans="1:47" ht="16" customHeight="1" x14ac:dyDescent="0.25">
      <c r="A28" s="33">
        <v>42205</v>
      </c>
      <c r="B28" s="4" t="s">
        <v>79</v>
      </c>
      <c r="C28" s="8" t="s">
        <v>296</v>
      </c>
      <c r="D28" s="3" t="s">
        <v>274</v>
      </c>
      <c r="E28" s="3" t="s">
        <v>275</v>
      </c>
      <c r="F28" s="28">
        <v>42200</v>
      </c>
      <c r="G28" s="28">
        <v>5</v>
      </c>
      <c r="H28" s="28">
        <v>0</v>
      </c>
      <c r="I28" s="28">
        <v>0</v>
      </c>
      <c r="J28" s="59" t="str" cm="1">
        <f t="array" aca="1" ref="J28" ca="1">IF(ISNA(VLOOKUP($C28,AssetCode,1,0))=TRUE,"E3",IF(OR(ISBLANK($B28)=TRUE,SUMPRODUCT((TransAsset=$C28)*(TransIDDate&lt;$L28)*(TransType="DIS")*(1))&gt;0),"E4",IF(SUMPRODUCT((TransAsset=$C28)*(TransType="ACQ")*(1))&gt;1,"E5",IF(OR($F28&lt;0,AND(TransType="DIS",$F28&lt;&gt;0)=TRUE),"E6",IF(OR(AND($G28&lt;0,TransType&lt;&gt;"DIS")=TRUE,AND(TransType="DIS",$G28&lt;&gt;0)=TRUE),"E7",IF(OR($H28&lt;0,AND(TransType="DIS",$H28&lt;&gt;0)=TRUE,$H28&gt;$F28),"E8",IF($I28&lt;0,"E9","-")))))))</f>
        <v>-</v>
      </c>
      <c r="K28" s="60" t="str">
        <f>IF(ISNA(VLOOKUP($C28,AssetAll,COLUMN(Assets!$E$4),0))=TRUE,"add!",VLOOKUP($C28,AssetAll,COLUMN(Assets!$E$4),0))</f>
        <v>EQP01</v>
      </c>
      <c r="L28" s="61">
        <f t="shared" ca="1" si="0"/>
        <v>42205.000324074077</v>
      </c>
      <c r="M28" s="61">
        <f t="array" aca="1" ref="M28" ca="1">IF(ISBLANK($C28)=TRUE,0,LARGE(IF(TransAsset=$C28,IF(TransIDDate&lt;$L28,TransIDDate,0),0),1))</f>
        <v>0</v>
      </c>
      <c r="N28" s="61">
        <f t="array" aca="1" ref="N28" ca="1">IF(ISBLANK($C28)=TRUE,0,SMALL(IF(TransAsset=$C28,IF(TransIDDate&gt;$L28,TransIDDate,(Assets!$I$2+1)),(Assets!$I$2+1)),1))</f>
        <v>43891.000798611109</v>
      </c>
      <c r="O28" s="61">
        <f t="shared" ca="1" si="1"/>
        <v>44012</v>
      </c>
      <c r="P28" s="61">
        <f ca="1">IF(OR($N28&lt;Assets!$H$2,$O28&lt;Assets!$H$2,$L28&gt;(Assets!$I$2+1)),0,IF($B28="DIS",IF($L28&lt;Assets!$H$2,0,IF($L28&lt;(Assets!$I$2+1),DATE(YEAR($L28),MONTH($L28),0),Assets!$H$2)),IF($L28&lt;Assets!$H$2,Assets!$H$2,DATE(YEAR($L28),MONTH($L28),1))))</f>
        <v>43891</v>
      </c>
      <c r="Q28" s="61">
        <f ca="1">IF($P28=0,0,IF($B28="DIS",IF($L28&gt;(Assets!$I$2+1),MIN(Assets!$I$2,$O28),MIN($L28,$O28)),IF($N28&lt;(Assets!$I$2+1),MIN(IF(DATE(YEAR($N28),MONTH($N28),0)&lt;$P28,$P28,DATE(YEAR($N28),MONTH($N28),0)),$O28),MIN(Assets!$I$2,$O28))))</f>
        <v>43891</v>
      </c>
      <c r="R28" s="60">
        <f t="shared" ca="1" si="2"/>
        <v>0</v>
      </c>
      <c r="S28" s="60">
        <f t="shared" si="3"/>
        <v>42200</v>
      </c>
      <c r="T28" s="60" cm="1">
        <f t="array" ref="T28">IF(ISBLANK($B28)=FALSE,SUMIFS(TransAmount,TransAsset,$C28,TransType,"ACQ"),0)</f>
        <v>42200</v>
      </c>
      <c r="U28" s="60">
        <f t="shared" si="4"/>
        <v>5</v>
      </c>
      <c r="V28" s="60">
        <f t="shared" si="5"/>
        <v>0</v>
      </c>
      <c r="W28" s="28">
        <f t="shared" ca="1" si="6"/>
        <v>0</v>
      </c>
      <c r="X28" s="28">
        <f t="shared" ca="1" si="7"/>
        <v>0</v>
      </c>
      <c r="Y28" s="28">
        <f t="shared" ca="1" si="8"/>
        <v>0</v>
      </c>
      <c r="Z28" s="28">
        <f t="shared" ca="1" si="9"/>
        <v>0</v>
      </c>
      <c r="AA28" s="28">
        <f t="shared" ca="1" si="10"/>
        <v>0</v>
      </c>
      <c r="AB28" s="28" cm="1">
        <f t="array" aca="1" ref="AB28" ca="1">IF(SUMIFS(TransTDCost,TransAsset,$C28,TransDate,"&lt;="&amp;$L28)&gt;($T28-$X28),($T28-$X28),SUMIFS(TransTDCost,TransAsset,$C28,TransDate,"&lt;="&amp;$L28))</f>
        <v>0</v>
      </c>
      <c r="AC28" s="28">
        <f t="shared" ca="1" si="11"/>
        <v>0</v>
      </c>
      <c r="AD28" s="28">
        <f t="array" aca="1" ref="AD28" ca="1">IF($L28=LARGE(IF(TransAsset=$C28,IF(TransIDDate&lt;Assets!$H$2,TransIDDate,0),0),1),IF($B28="DIS",$AC28,SUMIFS(TransCAccDep,TransAsset,$C28,TransDate,"&lt;="&amp;$L28)+IF($U28=0,0,MIN(($S28-$V28)/($U28*12)*(((YEAR(Assets!$H$2)*12)+MONTH(Assets!$H$2)-1)-((YEAR($L28)*12)+MONTH($L28)-1)),$S28-$V28))),0)-$AO28</f>
        <v>0</v>
      </c>
      <c r="AE28" s="28">
        <f t="shared" ca="1" si="12"/>
        <v>0</v>
      </c>
      <c r="AF28" s="28">
        <f t="shared" ca="1" si="13"/>
        <v>0</v>
      </c>
      <c r="AG28" s="28">
        <f t="shared" ca="1" si="14"/>
        <v>0</v>
      </c>
      <c r="AH28" s="28">
        <f t="shared" ca="1" si="15"/>
        <v>0</v>
      </c>
      <c r="AI28" s="28" cm="1">
        <f t="array" ref="AI28">IF($B28="REV",IF($S28-$AA28+$AE28&gt;0,IF(SUMIFS(TransImpair,TransAsset,$C28,TransDate,"&lt;"&amp;$M28)&gt;0,IF(SUMIFS(TransImpair,TransAsset,$C28,TransDate,"&lt;"&amp;$M28)&gt;$S28-$AA28+$AE28,-($S28-$AA28+$AE28),-SUMIFS(TransImpair,TransAsset,$C28,TransDate,"&lt;"&amp;$M28)),0),-($S28-$AA28+$AE28)),0)</f>
        <v>0</v>
      </c>
      <c r="AJ28" s="28">
        <f t="shared" si="16"/>
        <v>0</v>
      </c>
      <c r="AK28" s="28">
        <f t="shared" ca="1" si="17"/>
        <v>0</v>
      </c>
      <c r="AL28" s="28">
        <f t="shared" ca="1" si="18"/>
        <v>0</v>
      </c>
      <c r="AM28" s="28" cm="1">
        <f t="array" aca="1" ref="AM28" ca="1">IF($AN28&gt;($T28-$V28),($T28-$V28)-SUMIFS(TransPCAccDep,TransAsset,$C28,TransDate,"&lt;="&amp;$L28),$AL28)</f>
        <v>0</v>
      </c>
      <c r="AN28" s="28" cm="1">
        <f t="array" aca="1" ref="AN28" ca="1">IF($AL28=0,0,SUMIFS(TransCCYDep2,TransAsset,$C28,TransDate,"&lt;="&amp;$L28)+SUMIFS(TransPCAccDep,TransAsset,$C28,TransDate,"&lt;="&amp;$L28))</f>
        <v>0</v>
      </c>
      <c r="AO28" s="28">
        <f t="array" aca="1" ref="AO28" ca="1">IF($L28=LARGE(IF(TransAsset=$C28,IF(TransIDDate&lt;Assets!$H$2,TransIDDate,0),0),1),IF($B28="DIS",0,MIN(SUMIFS(TransTDCost,TransAsset,$C28,TransDate,"&lt;="&amp;$L28)+IF($U28=0,0,MIN(($S28-$V28)/($U28*12)*(((YEAR(Assets!$H$2)*12)+MONTH(Assets!$H$2)-1)-((YEAR($L28)*12)+MONTH($L28)-1)),$S28-$V28)),SUMIFS(TransTDCost,TransAsset,$C28,TransDate,"&lt;="&amp;$L28)+IF($U28=0,0,MIN(($T28-$V28)/($U28*12)*(((YEAR(Assets!$H$2)*12)+MONTH(Assets!$H$2)-1)-((YEAR($L28)*12)+MONTH($L28)-1)),$T28-$V28)),$T28-$V28)),0)</f>
        <v>39386.666666666672</v>
      </c>
      <c r="AP28" s="28">
        <f t="shared" ca="1" si="19"/>
        <v>0</v>
      </c>
      <c r="AQ28" s="60">
        <f ca="1">IF(SUMPRODUCT((TransAsset=$C28)*(TransType="DIS")*(TransIDDate&lt;(Assets!$I$2+1))*(1))&gt;0,0,IF(AND($AR28=0,DATE(YEAR($L28),MONTH($L28),1)&lt;&gt;DATE(YEAR(Assets!$J$2),MONTH(Assets!$J$2),1)),0,IF(DATE(YEAR($Q28),MONTH($Q28),1)&lt;&gt;DATE(YEAR(Assets!$I$2),MONTH(Assets!$I$2),1),0,IF($AR28=$S28-$V28,0,IF($U28=0,0,MIN(($S28-$V28)/($U28*12),($S28-$V28)-$AR28))))))</f>
        <v>0</v>
      </c>
      <c r="AR28" s="60">
        <f t="array" aca="1" ref="AR28" ca="1">IF($L28=LARGE(IF(TransAsset=$C28,IF(TransIDDate&lt;Assets!$J$2,TransIDDate,0),0),1),IF($B28="DIS",0,MIN(IF($U28=0,0,(($S28-$V28)/($U28*12)*(((YEAR(Assets!$J$2)*12)+MONTH(Assets!$J$2)-1)-((YEAR($L28)*12)+MONTH($L28)-1)))),($S28-$V28))),0)</f>
        <v>0</v>
      </c>
      <c r="AS28" s="60">
        <f t="shared" si="20"/>
        <v>703.33333333333337</v>
      </c>
      <c r="AT28" s="28" cm="1">
        <f t="array" aca="1" ref="AT28" ca="1">IF(SUMPRODUCT((TransAsset=$C28)*(TransType="DIS")*(TransIDDate&lt;(Assets!$I$2+1))*(1))&gt;0,0,IF(AND($AU28=0,DATE(YEAR($L28),MONTH($L28),1)&lt;&gt;DATE(YEAR(Assets!$J$2),MONTH(Assets!$J$2),1)),0,IF(DATE(YEAR($Q28),MONTH($Q28),1)&lt;&gt;DATE(YEAR(Assets!$I$2),MONTH(Assets!$I$2),1),0,IF(SUMIFS(TransPMAccDep,TransAsset,$C28)&gt;=($T28-$V28),($T28-$V28)-SUMIFS(TransPMAccDep,TransAsset,$C28),IF($U28=0,0,IF($S28&lt;$T28,MIN(($S28-$V28)/($U28*12),($T28-$V28)-$AU28),MIN(($T28-$V28)/($U28*12),($T28-$V28)-$AU28)))))))</f>
        <v>0</v>
      </c>
      <c r="AU28" s="28">
        <f t="array" aca="1" ref="AU28" ca="1">IF($L28=LARGE(IF(TransAsset=$C28,IF(TransIDDate&lt;Assets!$J$2,TransIDDate,0),0),1),IF($B28="DIS",0,MIN(SUMIFS(TransTDCost,TransAsset,$C28,TransDate,"&lt;="&amp;$L28)+IF($U28=0,0,MIN(($S28-$V28)/($U28*12)*(((YEAR(Assets!$J$2)*12)+MONTH(Assets!$J$2)-1)-((YEAR($L28)*12)+MONTH($L28)-1)),$S28-$V28)),SUMIFS(TransTDCost,TransAsset,$C28,TransDate,"&lt;="&amp;$L28)+IF($U28=0,0,MIN(($T28-$V28)/($U28*12)*(((YEAR(Assets!$J$2)*12)+MONTH(Assets!$J$2)-1)-((YEAR($L28)*12)+MONTH($L28)-1)),$T28-$V28)),$T28-$V28)),0)</f>
        <v>0</v>
      </c>
    </row>
    <row r="29" spans="1:47" ht="16" customHeight="1" x14ac:dyDescent="0.25">
      <c r="A29" s="33">
        <v>42205</v>
      </c>
      <c r="B29" s="4" t="s">
        <v>79</v>
      </c>
      <c r="C29" s="8" t="s">
        <v>297</v>
      </c>
      <c r="D29" s="3" t="s">
        <v>274</v>
      </c>
      <c r="E29" s="3" t="s">
        <v>275</v>
      </c>
      <c r="F29" s="28">
        <v>36900</v>
      </c>
      <c r="G29" s="28">
        <v>5</v>
      </c>
      <c r="H29" s="28">
        <v>0</v>
      </c>
      <c r="I29" s="28">
        <v>0</v>
      </c>
      <c r="J29" s="59" t="str" cm="1">
        <f t="array" aca="1" ref="J29" ca="1">IF(ISNA(VLOOKUP($C29,AssetCode,1,0))=TRUE,"E3",IF(OR(ISBLANK($B29)=TRUE,SUMPRODUCT((TransAsset=$C29)*(TransIDDate&lt;$L29)*(TransType="DIS")*(1))&gt;0),"E4",IF(SUMPRODUCT((TransAsset=$C29)*(TransType="ACQ")*(1))&gt;1,"E5",IF(OR($F29&lt;0,AND(TransType="DIS",$F29&lt;&gt;0)=TRUE),"E6",IF(OR(AND($G29&lt;0,TransType&lt;&gt;"DIS")=TRUE,AND(TransType="DIS",$G29&lt;&gt;0)=TRUE),"E7",IF(OR($H29&lt;0,AND(TransType="DIS",$H29&lt;&gt;0)=TRUE,$H29&gt;$F29),"E8",IF($I29&lt;0,"E9","-")))))))</f>
        <v>-</v>
      </c>
      <c r="K29" s="60" t="str">
        <f>IF(ISNA(VLOOKUP($C29,AssetAll,COLUMN(Assets!$E$4),0))=TRUE,"add!",VLOOKUP($C29,AssetAll,COLUMN(Assets!$E$4),0))</f>
        <v>EQP01</v>
      </c>
      <c r="L29" s="61">
        <f t="shared" ca="1" si="0"/>
        <v>42205.000335648147</v>
      </c>
      <c r="M29" s="61">
        <f t="array" aca="1" ref="M29" ca="1">IF(ISBLANK($C29)=TRUE,0,LARGE(IF(TransAsset=$C29,IF(TransIDDate&lt;$L29,TransIDDate,0),0),1))</f>
        <v>0</v>
      </c>
      <c r="N29" s="61">
        <f t="array" aca="1" ref="N29" ca="1">IF(ISBLANK($C29)=TRUE,0,SMALL(IF(TransAsset=$C29,IF(TransIDDate&gt;$L29,TransIDDate,(Assets!$I$2+1)),(Assets!$I$2+1)),1))</f>
        <v>43891.000810185185</v>
      </c>
      <c r="O29" s="61">
        <f t="shared" ca="1" si="1"/>
        <v>44012</v>
      </c>
      <c r="P29" s="61">
        <f ca="1">IF(OR($N29&lt;Assets!$H$2,$O29&lt;Assets!$H$2,$L29&gt;(Assets!$I$2+1)),0,IF($B29="DIS",IF($L29&lt;Assets!$H$2,0,IF($L29&lt;(Assets!$I$2+1),DATE(YEAR($L29),MONTH($L29),0),Assets!$H$2)),IF($L29&lt;Assets!$H$2,Assets!$H$2,DATE(YEAR($L29),MONTH($L29),1))))</f>
        <v>43891</v>
      </c>
      <c r="Q29" s="61">
        <f ca="1">IF($P29=0,0,IF($B29="DIS",IF($L29&gt;(Assets!$I$2+1),MIN(Assets!$I$2,$O29),MIN($L29,$O29)),IF($N29&lt;(Assets!$I$2+1),MIN(IF(DATE(YEAR($N29),MONTH($N29),0)&lt;$P29,$P29,DATE(YEAR($N29),MONTH($N29),0)),$O29),MIN(Assets!$I$2,$O29))))</f>
        <v>43891</v>
      </c>
      <c r="R29" s="60">
        <f t="shared" ca="1" si="2"/>
        <v>0</v>
      </c>
      <c r="S29" s="60">
        <f t="shared" si="3"/>
        <v>36900</v>
      </c>
      <c r="T29" s="60" cm="1">
        <f t="array" ref="T29">IF(ISBLANK($B29)=FALSE,SUMIFS(TransAmount,TransAsset,$C29,TransType,"ACQ"),0)</f>
        <v>36900</v>
      </c>
      <c r="U29" s="60">
        <f t="shared" si="4"/>
        <v>5</v>
      </c>
      <c r="V29" s="60">
        <f t="shared" si="5"/>
        <v>0</v>
      </c>
      <c r="W29" s="28">
        <f t="shared" ca="1" si="6"/>
        <v>0</v>
      </c>
      <c r="X29" s="28">
        <f t="shared" ca="1" si="7"/>
        <v>0</v>
      </c>
      <c r="Y29" s="28">
        <f t="shared" ca="1" si="8"/>
        <v>0</v>
      </c>
      <c r="Z29" s="28">
        <f t="shared" ca="1" si="9"/>
        <v>0</v>
      </c>
      <c r="AA29" s="28">
        <f t="shared" ca="1" si="10"/>
        <v>0</v>
      </c>
      <c r="AB29" s="28" cm="1">
        <f t="array" aca="1" ref="AB29" ca="1">IF(SUMIFS(TransTDCost,TransAsset,$C29,TransDate,"&lt;="&amp;$L29)&gt;($T29-$X29),($T29-$X29),SUMIFS(TransTDCost,TransAsset,$C29,TransDate,"&lt;="&amp;$L29))</f>
        <v>0</v>
      </c>
      <c r="AC29" s="28">
        <f t="shared" ca="1" si="11"/>
        <v>0</v>
      </c>
      <c r="AD29" s="28">
        <f t="array" aca="1" ref="AD29" ca="1">IF($L29=LARGE(IF(TransAsset=$C29,IF(TransIDDate&lt;Assets!$H$2,TransIDDate,0),0),1),IF($B29="DIS",$AC29,SUMIFS(TransCAccDep,TransAsset,$C29,TransDate,"&lt;="&amp;$L29)+IF($U29=0,0,MIN(($S29-$V29)/($U29*12)*(((YEAR(Assets!$H$2)*12)+MONTH(Assets!$H$2)-1)-((YEAR($L29)*12)+MONTH($L29)-1)),$S29-$V29))),0)-$AO29</f>
        <v>0</v>
      </c>
      <c r="AE29" s="28">
        <f t="shared" ca="1" si="12"/>
        <v>0</v>
      </c>
      <c r="AF29" s="28">
        <f t="shared" ca="1" si="13"/>
        <v>0</v>
      </c>
      <c r="AG29" s="28">
        <f t="shared" ca="1" si="14"/>
        <v>0</v>
      </c>
      <c r="AH29" s="28">
        <f t="shared" ca="1" si="15"/>
        <v>0</v>
      </c>
      <c r="AI29" s="28" cm="1">
        <f t="array" ref="AI29">IF($B29="REV",IF($S29-$AA29+$AE29&gt;0,IF(SUMIFS(TransImpair,TransAsset,$C29,TransDate,"&lt;"&amp;$M29)&gt;0,IF(SUMIFS(TransImpair,TransAsset,$C29,TransDate,"&lt;"&amp;$M29)&gt;$S29-$AA29+$AE29,-($S29-$AA29+$AE29),-SUMIFS(TransImpair,TransAsset,$C29,TransDate,"&lt;"&amp;$M29)),0),-($S29-$AA29+$AE29)),0)</f>
        <v>0</v>
      </c>
      <c r="AJ29" s="28">
        <f t="shared" si="16"/>
        <v>0</v>
      </c>
      <c r="AK29" s="28">
        <f t="shared" ca="1" si="17"/>
        <v>0</v>
      </c>
      <c r="AL29" s="28">
        <f t="shared" ca="1" si="18"/>
        <v>0</v>
      </c>
      <c r="AM29" s="28" cm="1">
        <f t="array" aca="1" ref="AM29" ca="1">IF($AN29&gt;($T29-$V29),($T29-$V29)-SUMIFS(TransPCAccDep,TransAsset,$C29,TransDate,"&lt;="&amp;$L29),$AL29)</f>
        <v>0</v>
      </c>
      <c r="AN29" s="28" cm="1">
        <f t="array" aca="1" ref="AN29" ca="1">IF($AL29=0,0,SUMIFS(TransCCYDep2,TransAsset,$C29,TransDate,"&lt;="&amp;$L29)+SUMIFS(TransPCAccDep,TransAsset,$C29,TransDate,"&lt;="&amp;$L29))</f>
        <v>0</v>
      </c>
      <c r="AO29" s="28">
        <f t="array" aca="1" ref="AO29" ca="1">IF($L29=LARGE(IF(TransAsset=$C29,IF(TransIDDate&lt;Assets!$H$2,TransIDDate,0),0),1),IF($B29="DIS",0,MIN(SUMIFS(TransTDCost,TransAsset,$C29,TransDate,"&lt;="&amp;$L29)+IF($U29=0,0,MIN(($S29-$V29)/($U29*12)*(((YEAR(Assets!$H$2)*12)+MONTH(Assets!$H$2)-1)-((YEAR($L29)*12)+MONTH($L29)-1)),$S29-$V29)),SUMIFS(TransTDCost,TransAsset,$C29,TransDate,"&lt;="&amp;$L29)+IF($U29=0,0,MIN(($T29-$V29)/($U29*12)*(((YEAR(Assets!$H$2)*12)+MONTH(Assets!$H$2)-1)-((YEAR($L29)*12)+MONTH($L29)-1)),$T29-$V29)),$T29-$V29)),0)</f>
        <v>34440</v>
      </c>
      <c r="AP29" s="28">
        <f t="shared" ca="1" si="19"/>
        <v>0</v>
      </c>
      <c r="AQ29" s="60">
        <f ca="1">IF(SUMPRODUCT((TransAsset=$C29)*(TransType="DIS")*(TransIDDate&lt;(Assets!$I$2+1))*(1))&gt;0,0,IF(AND($AR29=0,DATE(YEAR($L29),MONTH($L29),1)&lt;&gt;DATE(YEAR(Assets!$J$2),MONTH(Assets!$J$2),1)),0,IF(DATE(YEAR($Q29),MONTH($Q29),1)&lt;&gt;DATE(YEAR(Assets!$I$2),MONTH(Assets!$I$2),1),0,IF($AR29=$S29-$V29,0,IF($U29=0,0,MIN(($S29-$V29)/($U29*12),($S29-$V29)-$AR29))))))</f>
        <v>0</v>
      </c>
      <c r="AR29" s="60">
        <f t="array" aca="1" ref="AR29" ca="1">IF($L29=LARGE(IF(TransAsset=$C29,IF(TransIDDate&lt;Assets!$J$2,TransIDDate,0),0),1),IF($B29="DIS",0,MIN(IF($U29=0,0,(($S29-$V29)/($U29*12)*(((YEAR(Assets!$J$2)*12)+MONTH(Assets!$J$2)-1)-((YEAR($L29)*12)+MONTH($L29)-1)))),($S29-$V29))),0)</f>
        <v>0</v>
      </c>
      <c r="AS29" s="60">
        <f t="shared" si="20"/>
        <v>615</v>
      </c>
      <c r="AT29" s="28" cm="1">
        <f t="array" aca="1" ref="AT29" ca="1">IF(SUMPRODUCT((TransAsset=$C29)*(TransType="DIS")*(TransIDDate&lt;(Assets!$I$2+1))*(1))&gt;0,0,IF(AND($AU29=0,DATE(YEAR($L29),MONTH($L29),1)&lt;&gt;DATE(YEAR(Assets!$J$2),MONTH(Assets!$J$2),1)),0,IF(DATE(YEAR($Q29),MONTH($Q29),1)&lt;&gt;DATE(YEAR(Assets!$I$2),MONTH(Assets!$I$2),1),0,IF(SUMIFS(TransPMAccDep,TransAsset,$C29)&gt;=($T29-$V29),($T29-$V29)-SUMIFS(TransPMAccDep,TransAsset,$C29),IF($U29=0,0,IF($S29&lt;$T29,MIN(($S29-$V29)/($U29*12),($T29-$V29)-$AU29),MIN(($T29-$V29)/($U29*12),($T29-$V29)-$AU29)))))))</f>
        <v>0</v>
      </c>
      <c r="AU29" s="28">
        <f t="array" aca="1" ref="AU29" ca="1">IF($L29=LARGE(IF(TransAsset=$C29,IF(TransIDDate&lt;Assets!$J$2,TransIDDate,0),0),1),IF($B29="DIS",0,MIN(SUMIFS(TransTDCost,TransAsset,$C29,TransDate,"&lt;="&amp;$L29)+IF($U29=0,0,MIN(($S29-$V29)/($U29*12)*(((YEAR(Assets!$J$2)*12)+MONTH(Assets!$J$2)-1)-((YEAR($L29)*12)+MONTH($L29)-1)),$S29-$V29)),SUMIFS(TransTDCost,TransAsset,$C29,TransDate,"&lt;="&amp;$L29)+IF($U29=0,0,MIN(($T29-$V29)/($U29*12)*(((YEAR(Assets!$J$2)*12)+MONTH(Assets!$J$2)-1)-((YEAR($L29)*12)+MONTH($L29)-1)),$T29-$V29)),$T29-$V29)),0)</f>
        <v>0</v>
      </c>
    </row>
    <row r="30" spans="1:47" ht="16" customHeight="1" x14ac:dyDescent="0.25">
      <c r="A30" s="33">
        <v>42205</v>
      </c>
      <c r="B30" s="4" t="s">
        <v>79</v>
      </c>
      <c r="C30" s="8" t="s">
        <v>298</v>
      </c>
      <c r="D30" s="3" t="s">
        <v>274</v>
      </c>
      <c r="E30" s="3" t="s">
        <v>275</v>
      </c>
      <c r="F30" s="28">
        <v>49950</v>
      </c>
      <c r="G30" s="28">
        <v>5</v>
      </c>
      <c r="H30" s="28">
        <v>0</v>
      </c>
      <c r="I30" s="28">
        <v>0</v>
      </c>
      <c r="J30" s="59" t="str" cm="1">
        <f t="array" aca="1" ref="J30" ca="1">IF(ISNA(VLOOKUP($C30,AssetCode,1,0))=TRUE,"E3",IF(OR(ISBLANK($B30)=TRUE,SUMPRODUCT((TransAsset=$C30)*(TransIDDate&lt;$L30)*(TransType="DIS")*(1))&gt;0),"E4",IF(SUMPRODUCT((TransAsset=$C30)*(TransType="ACQ")*(1))&gt;1,"E5",IF(OR($F30&lt;0,AND(TransType="DIS",$F30&lt;&gt;0)=TRUE),"E6",IF(OR(AND($G30&lt;0,TransType&lt;&gt;"DIS")=TRUE,AND(TransType="DIS",$G30&lt;&gt;0)=TRUE),"E7",IF(OR($H30&lt;0,AND(TransType="DIS",$H30&lt;&gt;0)=TRUE,$H30&gt;$F30),"E8",IF($I30&lt;0,"E9","-")))))))</f>
        <v>-</v>
      </c>
      <c r="K30" s="60" t="str">
        <f>IF(ISNA(VLOOKUP($C30,AssetAll,COLUMN(Assets!$E$4),0))=TRUE,"add!",VLOOKUP($C30,AssetAll,COLUMN(Assets!$E$4),0))</f>
        <v>EQP01</v>
      </c>
      <c r="L30" s="61">
        <f t="shared" ca="1" si="0"/>
        <v>42205.000347222223</v>
      </c>
      <c r="M30" s="61">
        <f t="array" aca="1" ref="M30" ca="1">IF(ISBLANK($C30)=TRUE,0,LARGE(IF(TransAsset=$C30,IF(TransIDDate&lt;$L30,TransIDDate,0),0),1))</f>
        <v>0</v>
      </c>
      <c r="N30" s="61">
        <f t="array" aca="1" ref="N30" ca="1">IF(ISBLANK($C30)=TRUE,0,SMALL(IF(TransAsset=$C30,IF(TransIDDate&gt;$L30,TransIDDate,(Assets!$I$2+1)),(Assets!$I$2+1)),1))</f>
        <v>43891.000821759262</v>
      </c>
      <c r="O30" s="61">
        <f t="shared" ca="1" si="1"/>
        <v>44012</v>
      </c>
      <c r="P30" s="61">
        <f ca="1">IF(OR($N30&lt;Assets!$H$2,$O30&lt;Assets!$H$2,$L30&gt;(Assets!$I$2+1)),0,IF($B30="DIS",IF($L30&lt;Assets!$H$2,0,IF($L30&lt;(Assets!$I$2+1),DATE(YEAR($L30),MONTH($L30),0),Assets!$H$2)),IF($L30&lt;Assets!$H$2,Assets!$H$2,DATE(YEAR($L30),MONTH($L30),1))))</f>
        <v>43891</v>
      </c>
      <c r="Q30" s="61">
        <f ca="1">IF($P30=0,0,IF($B30="DIS",IF($L30&gt;(Assets!$I$2+1),MIN(Assets!$I$2,$O30),MIN($L30,$O30)),IF($N30&lt;(Assets!$I$2+1),MIN(IF(DATE(YEAR($N30),MONTH($N30),0)&lt;$P30,$P30,DATE(YEAR($N30),MONTH($N30),0)),$O30),MIN(Assets!$I$2,$O30))))</f>
        <v>43891</v>
      </c>
      <c r="R30" s="60">
        <f t="shared" ca="1" si="2"/>
        <v>0</v>
      </c>
      <c r="S30" s="60">
        <f t="shared" si="3"/>
        <v>49950</v>
      </c>
      <c r="T30" s="60" cm="1">
        <f t="array" ref="T30">IF(ISBLANK($B30)=FALSE,SUMIFS(TransAmount,TransAsset,$C30,TransType,"ACQ"),0)</f>
        <v>49950</v>
      </c>
      <c r="U30" s="60">
        <f t="shared" si="4"/>
        <v>5</v>
      </c>
      <c r="V30" s="60">
        <f t="shared" si="5"/>
        <v>0</v>
      </c>
      <c r="W30" s="28">
        <f t="shared" ca="1" si="6"/>
        <v>0</v>
      </c>
      <c r="X30" s="28">
        <f t="shared" ca="1" si="7"/>
        <v>0</v>
      </c>
      <c r="Y30" s="28">
        <f t="shared" ca="1" si="8"/>
        <v>0</v>
      </c>
      <c r="Z30" s="28">
        <f t="shared" ca="1" si="9"/>
        <v>0</v>
      </c>
      <c r="AA30" s="28">
        <f t="shared" ca="1" si="10"/>
        <v>0</v>
      </c>
      <c r="AB30" s="28" cm="1">
        <f t="array" aca="1" ref="AB30" ca="1">IF(SUMIFS(TransTDCost,TransAsset,$C30,TransDate,"&lt;="&amp;$L30)&gt;($T30-$X30),($T30-$X30),SUMIFS(TransTDCost,TransAsset,$C30,TransDate,"&lt;="&amp;$L30))</f>
        <v>0</v>
      </c>
      <c r="AC30" s="28">
        <f t="shared" ca="1" si="11"/>
        <v>0</v>
      </c>
      <c r="AD30" s="28">
        <f t="array" aca="1" ref="AD30" ca="1">IF($L30=LARGE(IF(TransAsset=$C30,IF(TransIDDate&lt;Assets!$H$2,TransIDDate,0),0),1),IF($B30="DIS",$AC30,SUMIFS(TransCAccDep,TransAsset,$C30,TransDate,"&lt;="&amp;$L30)+IF($U30=0,0,MIN(($S30-$V30)/($U30*12)*(((YEAR(Assets!$H$2)*12)+MONTH(Assets!$H$2)-1)-((YEAR($L30)*12)+MONTH($L30)-1)),$S30-$V30))),0)-$AO30</f>
        <v>0</v>
      </c>
      <c r="AE30" s="28">
        <f t="shared" ca="1" si="12"/>
        <v>0</v>
      </c>
      <c r="AF30" s="28">
        <f t="shared" ca="1" si="13"/>
        <v>0</v>
      </c>
      <c r="AG30" s="28">
        <f t="shared" ca="1" si="14"/>
        <v>0</v>
      </c>
      <c r="AH30" s="28">
        <f t="shared" ca="1" si="15"/>
        <v>0</v>
      </c>
      <c r="AI30" s="28" cm="1">
        <f t="array" ref="AI30">IF($B30="REV",IF($S30-$AA30+$AE30&gt;0,IF(SUMIFS(TransImpair,TransAsset,$C30,TransDate,"&lt;"&amp;$M30)&gt;0,IF(SUMIFS(TransImpair,TransAsset,$C30,TransDate,"&lt;"&amp;$M30)&gt;$S30-$AA30+$AE30,-($S30-$AA30+$AE30),-SUMIFS(TransImpair,TransAsset,$C30,TransDate,"&lt;"&amp;$M30)),0),-($S30-$AA30+$AE30)),0)</f>
        <v>0</v>
      </c>
      <c r="AJ30" s="28">
        <f t="shared" si="16"/>
        <v>0</v>
      </c>
      <c r="AK30" s="28">
        <f t="shared" ca="1" si="17"/>
        <v>0</v>
      </c>
      <c r="AL30" s="28">
        <f t="shared" ca="1" si="18"/>
        <v>0</v>
      </c>
      <c r="AM30" s="28" cm="1">
        <f t="array" aca="1" ref="AM30" ca="1">IF($AN30&gt;($T30-$V30),($T30-$V30)-SUMIFS(TransPCAccDep,TransAsset,$C30,TransDate,"&lt;="&amp;$L30),$AL30)</f>
        <v>0</v>
      </c>
      <c r="AN30" s="28" cm="1">
        <f t="array" aca="1" ref="AN30" ca="1">IF($AL30=0,0,SUMIFS(TransCCYDep2,TransAsset,$C30,TransDate,"&lt;="&amp;$L30)+SUMIFS(TransPCAccDep,TransAsset,$C30,TransDate,"&lt;="&amp;$L30))</f>
        <v>0</v>
      </c>
      <c r="AO30" s="28">
        <f t="array" aca="1" ref="AO30" ca="1">IF($L30=LARGE(IF(TransAsset=$C30,IF(TransIDDate&lt;Assets!$H$2,TransIDDate,0),0),1),IF($B30="DIS",0,MIN(SUMIFS(TransTDCost,TransAsset,$C30,TransDate,"&lt;="&amp;$L30)+IF($U30=0,0,MIN(($S30-$V30)/($U30*12)*(((YEAR(Assets!$H$2)*12)+MONTH(Assets!$H$2)-1)-((YEAR($L30)*12)+MONTH($L30)-1)),$S30-$V30)),SUMIFS(TransTDCost,TransAsset,$C30,TransDate,"&lt;="&amp;$L30)+IF($U30=0,0,MIN(($T30-$V30)/($U30*12)*(((YEAR(Assets!$H$2)*12)+MONTH(Assets!$H$2)-1)-((YEAR($L30)*12)+MONTH($L30)-1)),$T30-$V30)),$T30-$V30)),0)</f>
        <v>46620</v>
      </c>
      <c r="AP30" s="28">
        <f t="shared" ca="1" si="19"/>
        <v>0</v>
      </c>
      <c r="AQ30" s="60">
        <f ca="1">IF(SUMPRODUCT((TransAsset=$C30)*(TransType="DIS")*(TransIDDate&lt;(Assets!$I$2+1))*(1))&gt;0,0,IF(AND($AR30=0,DATE(YEAR($L30),MONTH($L30),1)&lt;&gt;DATE(YEAR(Assets!$J$2),MONTH(Assets!$J$2),1)),0,IF(DATE(YEAR($Q30),MONTH($Q30),1)&lt;&gt;DATE(YEAR(Assets!$I$2),MONTH(Assets!$I$2),1),0,IF($AR30=$S30-$V30,0,IF($U30=0,0,MIN(($S30-$V30)/($U30*12),($S30-$V30)-$AR30))))))</f>
        <v>0</v>
      </c>
      <c r="AR30" s="60">
        <f t="array" aca="1" ref="AR30" ca="1">IF($L30=LARGE(IF(TransAsset=$C30,IF(TransIDDate&lt;Assets!$J$2,TransIDDate,0),0),1),IF($B30="DIS",0,MIN(IF($U30=0,0,(($S30-$V30)/($U30*12)*(((YEAR(Assets!$J$2)*12)+MONTH(Assets!$J$2)-1)-((YEAR($L30)*12)+MONTH($L30)-1)))),($S30-$V30))),0)</f>
        <v>0</v>
      </c>
      <c r="AS30" s="60">
        <f t="shared" si="20"/>
        <v>832.5</v>
      </c>
      <c r="AT30" s="28" cm="1">
        <f t="array" aca="1" ref="AT30" ca="1">IF(SUMPRODUCT((TransAsset=$C30)*(TransType="DIS")*(TransIDDate&lt;(Assets!$I$2+1))*(1))&gt;0,0,IF(AND($AU30=0,DATE(YEAR($L30),MONTH($L30),1)&lt;&gt;DATE(YEAR(Assets!$J$2),MONTH(Assets!$J$2),1)),0,IF(DATE(YEAR($Q30),MONTH($Q30),1)&lt;&gt;DATE(YEAR(Assets!$I$2),MONTH(Assets!$I$2),1),0,IF(SUMIFS(TransPMAccDep,TransAsset,$C30)&gt;=($T30-$V30),($T30-$V30)-SUMIFS(TransPMAccDep,TransAsset,$C30),IF($U30=0,0,IF($S30&lt;$T30,MIN(($S30-$V30)/($U30*12),($T30-$V30)-$AU30),MIN(($T30-$V30)/($U30*12),($T30-$V30)-$AU30)))))))</f>
        <v>0</v>
      </c>
      <c r="AU30" s="28">
        <f t="array" aca="1" ref="AU30" ca="1">IF($L30=LARGE(IF(TransAsset=$C30,IF(TransIDDate&lt;Assets!$J$2,TransIDDate,0),0),1),IF($B30="DIS",0,MIN(SUMIFS(TransTDCost,TransAsset,$C30,TransDate,"&lt;="&amp;$L30)+IF($U30=0,0,MIN(($S30-$V30)/($U30*12)*(((YEAR(Assets!$J$2)*12)+MONTH(Assets!$J$2)-1)-((YEAR($L30)*12)+MONTH($L30)-1)),$S30-$V30)),SUMIFS(TransTDCost,TransAsset,$C30,TransDate,"&lt;="&amp;$L30)+IF($U30=0,0,MIN(($T30-$V30)/($U30*12)*(((YEAR(Assets!$J$2)*12)+MONTH(Assets!$J$2)-1)-((YEAR($L30)*12)+MONTH($L30)-1)),$T30-$V30)),$T30-$V30)),0)</f>
        <v>0</v>
      </c>
    </row>
    <row r="31" spans="1:47" ht="16" customHeight="1" x14ac:dyDescent="0.25">
      <c r="A31" s="33">
        <v>42205</v>
      </c>
      <c r="B31" s="4" t="s">
        <v>79</v>
      </c>
      <c r="C31" s="8" t="s">
        <v>299</v>
      </c>
      <c r="D31" s="3" t="s">
        <v>274</v>
      </c>
      <c r="E31" s="3" t="s">
        <v>275</v>
      </c>
      <c r="F31" s="28">
        <v>113130</v>
      </c>
      <c r="G31" s="28">
        <v>5</v>
      </c>
      <c r="H31" s="28">
        <v>0</v>
      </c>
      <c r="I31" s="28">
        <v>0</v>
      </c>
      <c r="J31" s="59" t="str" cm="1">
        <f t="array" aca="1" ref="J31" ca="1">IF(ISNA(VLOOKUP($C31,AssetCode,1,0))=TRUE,"E3",IF(OR(ISBLANK($B31)=TRUE,SUMPRODUCT((TransAsset=$C31)*(TransIDDate&lt;$L31)*(TransType="DIS")*(1))&gt;0),"E4",IF(SUMPRODUCT((TransAsset=$C31)*(TransType="ACQ")*(1))&gt;1,"E5",IF(OR($F31&lt;0,AND(TransType="DIS",$F31&lt;&gt;0)=TRUE),"E6",IF(OR(AND($G31&lt;0,TransType&lt;&gt;"DIS")=TRUE,AND(TransType="DIS",$G31&lt;&gt;0)=TRUE),"E7",IF(OR($H31&lt;0,AND(TransType="DIS",$H31&lt;&gt;0)=TRUE,$H31&gt;$F31),"E8",IF($I31&lt;0,"E9","-")))))))</f>
        <v>-</v>
      </c>
      <c r="K31" s="60" t="str">
        <f>IF(ISNA(VLOOKUP($C31,AssetAll,COLUMN(Assets!$E$4),0))=TRUE,"add!",VLOOKUP($C31,AssetAll,COLUMN(Assets!$E$4),0))</f>
        <v>EQP01</v>
      </c>
      <c r="L31" s="61">
        <f t="shared" ca="1" si="0"/>
        <v>42205.000358796293</v>
      </c>
      <c r="M31" s="61">
        <f t="array" aca="1" ref="M31" ca="1">IF(ISBLANK($C31)=TRUE,0,LARGE(IF(TransAsset=$C31,IF(TransIDDate&lt;$L31,TransIDDate,0),0),1))</f>
        <v>0</v>
      </c>
      <c r="N31" s="61">
        <f t="array" aca="1" ref="N31" ca="1">IF(ISBLANK($C31)=TRUE,0,SMALL(IF(TransAsset=$C31,IF(TransIDDate&gt;$L31,TransIDDate,(Assets!$I$2+1)),(Assets!$I$2+1)),1))</f>
        <v>43891.000833333332</v>
      </c>
      <c r="O31" s="61">
        <f t="shared" ca="1" si="1"/>
        <v>44012</v>
      </c>
      <c r="P31" s="61">
        <f ca="1">IF(OR($N31&lt;Assets!$H$2,$O31&lt;Assets!$H$2,$L31&gt;(Assets!$I$2+1)),0,IF($B31="DIS",IF($L31&lt;Assets!$H$2,0,IF($L31&lt;(Assets!$I$2+1),DATE(YEAR($L31),MONTH($L31),0),Assets!$H$2)),IF($L31&lt;Assets!$H$2,Assets!$H$2,DATE(YEAR($L31),MONTH($L31),1))))</f>
        <v>43891</v>
      </c>
      <c r="Q31" s="61">
        <f ca="1">IF($P31=0,0,IF($B31="DIS",IF($L31&gt;(Assets!$I$2+1),MIN(Assets!$I$2,$O31),MIN($L31,$O31)),IF($N31&lt;(Assets!$I$2+1),MIN(IF(DATE(YEAR($N31),MONTH($N31),0)&lt;$P31,$P31,DATE(YEAR($N31),MONTH($N31),0)),$O31),MIN(Assets!$I$2,$O31))))</f>
        <v>43891</v>
      </c>
      <c r="R31" s="60">
        <f t="shared" ca="1" si="2"/>
        <v>0</v>
      </c>
      <c r="S31" s="60">
        <f t="shared" si="3"/>
        <v>113130</v>
      </c>
      <c r="T31" s="60" cm="1">
        <f t="array" ref="T31">IF(ISBLANK($B31)=FALSE,SUMIFS(TransAmount,TransAsset,$C31,TransType,"ACQ"),0)</f>
        <v>113130</v>
      </c>
      <c r="U31" s="60">
        <f t="shared" si="4"/>
        <v>5</v>
      </c>
      <c r="V31" s="60">
        <f t="shared" si="5"/>
        <v>0</v>
      </c>
      <c r="W31" s="28">
        <f t="shared" ca="1" si="6"/>
        <v>0</v>
      </c>
      <c r="X31" s="28">
        <f t="shared" ca="1" si="7"/>
        <v>0</v>
      </c>
      <c r="Y31" s="28">
        <f t="shared" ca="1" si="8"/>
        <v>0</v>
      </c>
      <c r="Z31" s="28">
        <f t="shared" ca="1" si="9"/>
        <v>0</v>
      </c>
      <c r="AA31" s="28">
        <f t="shared" ca="1" si="10"/>
        <v>0</v>
      </c>
      <c r="AB31" s="28" cm="1">
        <f t="array" aca="1" ref="AB31" ca="1">IF(SUMIFS(TransTDCost,TransAsset,$C31,TransDate,"&lt;="&amp;$L31)&gt;($T31-$X31),($T31-$X31),SUMIFS(TransTDCost,TransAsset,$C31,TransDate,"&lt;="&amp;$L31))</f>
        <v>0</v>
      </c>
      <c r="AC31" s="28">
        <f t="shared" ca="1" si="11"/>
        <v>0</v>
      </c>
      <c r="AD31" s="28">
        <f t="array" aca="1" ref="AD31" ca="1">IF($L31=LARGE(IF(TransAsset=$C31,IF(TransIDDate&lt;Assets!$H$2,TransIDDate,0),0),1),IF($B31="DIS",$AC31,SUMIFS(TransCAccDep,TransAsset,$C31,TransDate,"&lt;="&amp;$L31)+IF($U31=0,0,MIN(($S31-$V31)/($U31*12)*(((YEAR(Assets!$H$2)*12)+MONTH(Assets!$H$2)-1)-((YEAR($L31)*12)+MONTH($L31)-1)),$S31-$V31))),0)-$AO31</f>
        <v>0</v>
      </c>
      <c r="AE31" s="28">
        <f t="shared" ca="1" si="12"/>
        <v>0</v>
      </c>
      <c r="AF31" s="28">
        <f t="shared" ca="1" si="13"/>
        <v>0</v>
      </c>
      <c r="AG31" s="28">
        <f t="shared" ca="1" si="14"/>
        <v>0</v>
      </c>
      <c r="AH31" s="28">
        <f t="shared" ca="1" si="15"/>
        <v>0</v>
      </c>
      <c r="AI31" s="28" cm="1">
        <f t="array" ref="AI31">IF($B31="REV",IF($S31-$AA31+$AE31&gt;0,IF(SUMIFS(TransImpair,TransAsset,$C31,TransDate,"&lt;"&amp;$M31)&gt;0,IF(SUMIFS(TransImpair,TransAsset,$C31,TransDate,"&lt;"&amp;$M31)&gt;$S31-$AA31+$AE31,-($S31-$AA31+$AE31),-SUMIFS(TransImpair,TransAsset,$C31,TransDate,"&lt;"&amp;$M31)),0),-($S31-$AA31+$AE31)),0)</f>
        <v>0</v>
      </c>
      <c r="AJ31" s="28">
        <f t="shared" si="16"/>
        <v>0</v>
      </c>
      <c r="AK31" s="28">
        <f t="shared" ca="1" si="17"/>
        <v>0</v>
      </c>
      <c r="AL31" s="28">
        <f t="shared" ca="1" si="18"/>
        <v>0</v>
      </c>
      <c r="AM31" s="28" cm="1">
        <f t="array" aca="1" ref="AM31" ca="1">IF($AN31&gt;($T31-$V31),($T31-$V31)-SUMIFS(TransPCAccDep,TransAsset,$C31,TransDate,"&lt;="&amp;$L31),$AL31)</f>
        <v>0</v>
      </c>
      <c r="AN31" s="28" cm="1">
        <f t="array" aca="1" ref="AN31" ca="1">IF($AL31=0,0,SUMIFS(TransCCYDep2,TransAsset,$C31,TransDate,"&lt;="&amp;$L31)+SUMIFS(TransPCAccDep,TransAsset,$C31,TransDate,"&lt;="&amp;$L31))</f>
        <v>0</v>
      </c>
      <c r="AO31" s="28">
        <f t="array" aca="1" ref="AO31" ca="1">IF($L31=LARGE(IF(TransAsset=$C31,IF(TransIDDate&lt;Assets!$H$2,TransIDDate,0),0),1),IF($B31="DIS",0,MIN(SUMIFS(TransTDCost,TransAsset,$C31,TransDate,"&lt;="&amp;$L31)+IF($U31=0,0,MIN(($S31-$V31)/($U31*12)*(((YEAR(Assets!$H$2)*12)+MONTH(Assets!$H$2)-1)-((YEAR($L31)*12)+MONTH($L31)-1)),$S31-$V31)),SUMIFS(TransTDCost,TransAsset,$C31,TransDate,"&lt;="&amp;$L31)+IF($U31=0,0,MIN(($T31-$V31)/($U31*12)*(((YEAR(Assets!$H$2)*12)+MONTH(Assets!$H$2)-1)-((YEAR($L31)*12)+MONTH($L31)-1)),$T31-$V31)),$T31-$V31)),0)</f>
        <v>105588</v>
      </c>
      <c r="AP31" s="28">
        <f t="shared" ca="1" si="19"/>
        <v>0</v>
      </c>
      <c r="AQ31" s="60">
        <f ca="1">IF(SUMPRODUCT((TransAsset=$C31)*(TransType="DIS")*(TransIDDate&lt;(Assets!$I$2+1))*(1))&gt;0,0,IF(AND($AR31=0,DATE(YEAR($L31),MONTH($L31),1)&lt;&gt;DATE(YEAR(Assets!$J$2),MONTH(Assets!$J$2),1)),0,IF(DATE(YEAR($Q31),MONTH($Q31),1)&lt;&gt;DATE(YEAR(Assets!$I$2),MONTH(Assets!$I$2),1),0,IF($AR31=$S31-$V31,0,IF($U31=0,0,MIN(($S31-$V31)/($U31*12),($S31-$V31)-$AR31))))))</f>
        <v>0</v>
      </c>
      <c r="AR31" s="60">
        <f t="array" aca="1" ref="AR31" ca="1">IF($L31=LARGE(IF(TransAsset=$C31,IF(TransIDDate&lt;Assets!$J$2,TransIDDate,0),0),1),IF($B31="DIS",0,MIN(IF($U31=0,0,(($S31-$V31)/($U31*12)*(((YEAR(Assets!$J$2)*12)+MONTH(Assets!$J$2)-1)-((YEAR($L31)*12)+MONTH($L31)-1)))),($S31-$V31))),0)</f>
        <v>0</v>
      </c>
      <c r="AS31" s="60">
        <f t="shared" si="20"/>
        <v>1885.5</v>
      </c>
      <c r="AT31" s="28" cm="1">
        <f t="array" aca="1" ref="AT31" ca="1">IF(SUMPRODUCT((TransAsset=$C31)*(TransType="DIS")*(TransIDDate&lt;(Assets!$I$2+1))*(1))&gt;0,0,IF(AND($AU31=0,DATE(YEAR($L31),MONTH($L31),1)&lt;&gt;DATE(YEAR(Assets!$J$2),MONTH(Assets!$J$2),1)),0,IF(DATE(YEAR($Q31),MONTH($Q31),1)&lt;&gt;DATE(YEAR(Assets!$I$2),MONTH(Assets!$I$2),1),0,IF(SUMIFS(TransPMAccDep,TransAsset,$C31)&gt;=($T31-$V31),($T31-$V31)-SUMIFS(TransPMAccDep,TransAsset,$C31),IF($U31=0,0,IF($S31&lt;$T31,MIN(($S31-$V31)/($U31*12),($T31-$V31)-$AU31),MIN(($T31-$V31)/($U31*12),($T31-$V31)-$AU31)))))))</f>
        <v>0</v>
      </c>
      <c r="AU31" s="28">
        <f t="array" aca="1" ref="AU31" ca="1">IF($L31=LARGE(IF(TransAsset=$C31,IF(TransIDDate&lt;Assets!$J$2,TransIDDate,0),0),1),IF($B31="DIS",0,MIN(SUMIFS(TransTDCost,TransAsset,$C31,TransDate,"&lt;="&amp;$L31)+IF($U31=0,0,MIN(($S31-$V31)/($U31*12)*(((YEAR(Assets!$J$2)*12)+MONTH(Assets!$J$2)-1)-((YEAR($L31)*12)+MONTH($L31)-1)),$S31-$V31)),SUMIFS(TransTDCost,TransAsset,$C31,TransDate,"&lt;="&amp;$L31)+IF($U31=0,0,MIN(($T31-$V31)/($U31*12)*(((YEAR(Assets!$J$2)*12)+MONTH(Assets!$J$2)-1)-((YEAR($L31)*12)+MONTH($L31)-1)),$T31-$V31)),$T31-$V31)),0)</f>
        <v>0</v>
      </c>
    </row>
    <row r="32" spans="1:47" ht="16" customHeight="1" x14ac:dyDescent="0.25">
      <c r="A32" s="33">
        <v>42218</v>
      </c>
      <c r="B32" s="4" t="s">
        <v>79</v>
      </c>
      <c r="C32" s="8" t="s">
        <v>322</v>
      </c>
      <c r="D32" s="3" t="s">
        <v>324</v>
      </c>
      <c r="E32" s="3" t="s">
        <v>325</v>
      </c>
      <c r="F32" s="28">
        <v>12800</v>
      </c>
      <c r="G32" s="28">
        <v>2</v>
      </c>
      <c r="H32" s="28">
        <v>0</v>
      </c>
      <c r="I32" s="28">
        <v>0</v>
      </c>
      <c r="J32" s="59" t="str" cm="1">
        <f t="array" aca="1" ref="J32" ca="1">IF(ISNA(VLOOKUP($C32,AssetCode,1,0))=TRUE,"E3",IF(OR(ISBLANK($B32)=TRUE,SUMPRODUCT((TransAsset=$C32)*(TransIDDate&lt;$L32)*(TransType="DIS")*(1))&gt;0),"E4",IF(SUMPRODUCT((TransAsset=$C32)*(TransType="ACQ")*(1))&gt;1,"E5",IF(OR($F32&lt;0,AND(TransType="DIS",$F32&lt;&gt;0)=TRUE),"E6",IF(OR(AND($G32&lt;0,TransType&lt;&gt;"DIS")=TRUE,AND(TransType="DIS",$G32&lt;&gt;0)=TRUE),"E7",IF(OR($H32&lt;0,AND(TransType="DIS",$H32&lt;&gt;0)=TRUE,$H32&gt;$F32),"E8",IF($I32&lt;0,"E9","-")))))))</f>
        <v>-</v>
      </c>
      <c r="K32" s="60" t="str">
        <f>IF(ISNA(VLOOKUP($C32,AssetAll,COLUMN(Assets!$E$4),0))=TRUE,"add!",VLOOKUP($C32,AssetAll,COLUMN(Assets!$E$4),0))</f>
        <v>CSW01</v>
      </c>
      <c r="L32" s="61">
        <f t="shared" ca="1" si="0"/>
        <v>42218.00037037037</v>
      </c>
      <c r="M32" s="61">
        <f t="array" aca="1" ref="M32" ca="1">IF(ISBLANK($C32)=TRUE,0,LARGE(IF(TransAsset=$C32,IF(TransIDDate&lt;$L32,TransIDDate,0),0),1))</f>
        <v>0</v>
      </c>
      <c r="N32" s="61">
        <f t="array" aca="1" ref="N32" ca="1">IF(ISBLANK($C32)=TRUE,0,SMALL(IF(TransAsset=$C32,IF(TransIDDate&gt;$L32,TransIDDate,(Assets!$I$2+1)),(Assets!$I$2+1)),1))</f>
        <v>43891.000509259262</v>
      </c>
      <c r="O32" s="61">
        <f t="shared" ca="1" si="1"/>
        <v>42947</v>
      </c>
      <c r="P32" s="61">
        <f ca="1">IF(OR($N32&lt;Assets!$H$2,$O32&lt;Assets!$H$2,$L32&gt;(Assets!$I$2+1)),0,IF($B32="DIS",IF($L32&lt;Assets!$H$2,0,IF($L32&lt;(Assets!$I$2+1),DATE(YEAR($L32),MONTH($L32),0),Assets!$H$2)),IF($L32&lt;Assets!$H$2,Assets!$H$2,DATE(YEAR($L32),MONTH($L32),1))))</f>
        <v>0</v>
      </c>
      <c r="Q32" s="61">
        <f ca="1">IF($P32=0,0,IF($B32="DIS",IF($L32&gt;(Assets!$I$2+1),MIN(Assets!$I$2,$O32),MIN($L32,$O32)),IF($N32&lt;(Assets!$I$2+1),MIN(IF(DATE(YEAR($N32),MONTH($N32),0)&lt;$P32,$P32,DATE(YEAR($N32),MONTH($N32),0)),$O32),MIN(Assets!$I$2,$O32))))</f>
        <v>0</v>
      </c>
      <c r="R32" s="60">
        <f t="shared" ca="1" si="2"/>
        <v>0</v>
      </c>
      <c r="S32" s="60">
        <f t="shared" si="3"/>
        <v>12800</v>
      </c>
      <c r="T32" s="60" cm="1">
        <f t="array" ref="T32">IF(ISBLANK($B32)=FALSE,SUMIFS(TransAmount,TransAsset,$C32,TransType,"ACQ"),0)</f>
        <v>12800</v>
      </c>
      <c r="U32" s="60">
        <f t="shared" si="4"/>
        <v>2</v>
      </c>
      <c r="V32" s="60">
        <f t="shared" si="5"/>
        <v>0</v>
      </c>
      <c r="W32" s="28">
        <f t="shared" ca="1" si="6"/>
        <v>0</v>
      </c>
      <c r="X32" s="28">
        <f t="shared" ca="1" si="7"/>
        <v>0</v>
      </c>
      <c r="Y32" s="28">
        <f t="shared" ca="1" si="8"/>
        <v>0</v>
      </c>
      <c r="Z32" s="28">
        <f t="shared" ca="1" si="9"/>
        <v>0</v>
      </c>
      <c r="AA32" s="28">
        <f t="shared" ca="1" si="10"/>
        <v>0</v>
      </c>
      <c r="AB32" s="28" cm="1">
        <f t="array" aca="1" ref="AB32" ca="1">IF(SUMIFS(TransTDCost,TransAsset,$C32,TransDate,"&lt;="&amp;$L32)&gt;($T32-$X32),($T32-$X32),SUMIFS(TransTDCost,TransAsset,$C32,TransDate,"&lt;="&amp;$L32))</f>
        <v>0</v>
      </c>
      <c r="AC32" s="28">
        <f t="shared" ca="1" si="11"/>
        <v>0</v>
      </c>
      <c r="AD32" s="28">
        <f t="array" aca="1" ref="AD32" ca="1">IF($L32=LARGE(IF(TransAsset=$C32,IF(TransIDDate&lt;Assets!$H$2,TransIDDate,0),0),1),IF($B32="DIS",$AC32,SUMIFS(TransCAccDep,TransAsset,$C32,TransDate,"&lt;="&amp;$L32)+IF($U32=0,0,MIN(($S32-$V32)/($U32*12)*(((YEAR(Assets!$H$2)*12)+MONTH(Assets!$H$2)-1)-((YEAR($L32)*12)+MONTH($L32)-1)),$S32-$V32))),0)-$AO32</f>
        <v>0</v>
      </c>
      <c r="AE32" s="28">
        <f t="shared" ca="1" si="12"/>
        <v>0</v>
      </c>
      <c r="AF32" s="28">
        <f t="shared" ca="1" si="13"/>
        <v>0</v>
      </c>
      <c r="AG32" s="28">
        <f t="shared" ca="1" si="14"/>
        <v>0</v>
      </c>
      <c r="AH32" s="28">
        <f t="shared" ca="1" si="15"/>
        <v>0</v>
      </c>
      <c r="AI32" s="28" cm="1">
        <f t="array" ref="AI32">IF($B32="REV",IF($S32-$AA32+$AE32&gt;0,IF(SUMIFS(TransImpair,TransAsset,$C32,TransDate,"&lt;"&amp;$M32)&gt;0,IF(SUMIFS(TransImpair,TransAsset,$C32,TransDate,"&lt;"&amp;$M32)&gt;$S32-$AA32+$AE32,-($S32-$AA32+$AE32),-SUMIFS(TransImpair,TransAsset,$C32,TransDate,"&lt;"&amp;$M32)),0),-($S32-$AA32+$AE32)),0)</f>
        <v>0</v>
      </c>
      <c r="AJ32" s="28">
        <f t="shared" si="16"/>
        <v>0</v>
      </c>
      <c r="AK32" s="28">
        <f t="shared" ca="1" si="17"/>
        <v>0</v>
      </c>
      <c r="AL32" s="28">
        <f t="shared" ca="1" si="18"/>
        <v>0</v>
      </c>
      <c r="AM32" s="28" cm="1">
        <f t="array" aca="1" ref="AM32" ca="1">IF($AN32&gt;($T32-$V32),($T32-$V32)-SUMIFS(TransPCAccDep,TransAsset,$C32,TransDate,"&lt;="&amp;$L32),$AL32)</f>
        <v>0</v>
      </c>
      <c r="AN32" s="28" cm="1">
        <f t="array" aca="1" ref="AN32" ca="1">IF($AL32=0,0,SUMIFS(TransCCYDep2,TransAsset,$C32,TransDate,"&lt;="&amp;$L32)+SUMIFS(TransPCAccDep,TransAsset,$C32,TransDate,"&lt;="&amp;$L32))</f>
        <v>0</v>
      </c>
      <c r="AO32" s="28">
        <f t="array" aca="1" ref="AO32" ca="1">IF($L32=LARGE(IF(TransAsset=$C32,IF(TransIDDate&lt;Assets!$H$2,TransIDDate,0),0),1),IF($B32="DIS",0,MIN(SUMIFS(TransTDCost,TransAsset,$C32,TransDate,"&lt;="&amp;$L32)+IF($U32=0,0,MIN(($S32-$V32)/($U32*12)*(((YEAR(Assets!$H$2)*12)+MONTH(Assets!$H$2)-1)-((YEAR($L32)*12)+MONTH($L32)-1)),$S32-$V32)),SUMIFS(TransTDCost,TransAsset,$C32,TransDate,"&lt;="&amp;$L32)+IF($U32=0,0,MIN(($T32-$V32)/($U32*12)*(((YEAR(Assets!$H$2)*12)+MONTH(Assets!$H$2)-1)-((YEAR($L32)*12)+MONTH($L32)-1)),$T32-$V32)),$T32-$V32)),0)</f>
        <v>12800</v>
      </c>
      <c r="AP32" s="28">
        <f t="shared" ca="1" si="19"/>
        <v>0</v>
      </c>
      <c r="AQ32" s="60">
        <f ca="1">IF(SUMPRODUCT((TransAsset=$C32)*(TransType="DIS")*(TransIDDate&lt;(Assets!$I$2+1))*(1))&gt;0,0,IF(AND($AR32=0,DATE(YEAR($L32),MONTH($L32),1)&lt;&gt;DATE(YEAR(Assets!$J$2),MONTH(Assets!$J$2),1)),0,IF(DATE(YEAR($Q32),MONTH($Q32),1)&lt;&gt;DATE(YEAR(Assets!$I$2),MONTH(Assets!$I$2),1),0,IF($AR32=$S32-$V32,0,IF($U32=0,0,MIN(($S32-$V32)/($U32*12),($S32-$V32)-$AR32))))))</f>
        <v>0</v>
      </c>
      <c r="AR32" s="60">
        <f t="array" aca="1" ref="AR32" ca="1">IF($L32=LARGE(IF(TransAsset=$C32,IF(TransIDDate&lt;Assets!$J$2,TransIDDate,0),0),1),IF($B32="DIS",0,MIN(IF($U32=0,0,(($S32-$V32)/($U32*12)*(((YEAR(Assets!$J$2)*12)+MONTH(Assets!$J$2)-1)-((YEAR($L32)*12)+MONTH($L32)-1)))),($S32-$V32))),0)</f>
        <v>0</v>
      </c>
      <c r="AS32" s="60">
        <f t="shared" si="20"/>
        <v>533.33333333333337</v>
      </c>
      <c r="AT32" s="28" cm="1">
        <f t="array" aca="1" ref="AT32" ca="1">IF(SUMPRODUCT((TransAsset=$C32)*(TransType="DIS")*(TransIDDate&lt;(Assets!$I$2+1))*(1))&gt;0,0,IF(AND($AU32=0,DATE(YEAR($L32),MONTH($L32),1)&lt;&gt;DATE(YEAR(Assets!$J$2),MONTH(Assets!$J$2),1)),0,IF(DATE(YEAR($Q32),MONTH($Q32),1)&lt;&gt;DATE(YEAR(Assets!$I$2),MONTH(Assets!$I$2),1),0,IF(SUMIFS(TransPMAccDep,TransAsset,$C32)&gt;=($T32-$V32),($T32-$V32)-SUMIFS(TransPMAccDep,TransAsset,$C32),IF($U32=0,0,IF($S32&lt;$T32,MIN(($S32-$V32)/($U32*12),($T32-$V32)-$AU32),MIN(($T32-$V32)/($U32*12),($T32-$V32)-$AU32)))))))</f>
        <v>0</v>
      </c>
      <c r="AU32" s="28">
        <f t="array" aca="1" ref="AU32" ca="1">IF($L32=LARGE(IF(TransAsset=$C32,IF(TransIDDate&lt;Assets!$J$2,TransIDDate,0),0),1),IF($B32="DIS",0,MIN(SUMIFS(TransTDCost,TransAsset,$C32,TransDate,"&lt;="&amp;$L32)+IF($U32=0,0,MIN(($S32-$V32)/($U32*12)*(((YEAR(Assets!$J$2)*12)+MONTH(Assets!$J$2)-1)-((YEAR($L32)*12)+MONTH($L32)-1)),$S32-$V32)),SUMIFS(TransTDCost,TransAsset,$C32,TransDate,"&lt;="&amp;$L32)+IF($U32=0,0,MIN(($T32-$V32)/($U32*12)*(((YEAR(Assets!$J$2)*12)+MONTH(Assets!$J$2)-1)-((YEAR($L32)*12)+MONTH($L32)-1)),$T32-$V32)),$T32-$V32)),0)</f>
        <v>0</v>
      </c>
    </row>
    <row r="33" spans="1:47" ht="16" customHeight="1" x14ac:dyDescent="0.25">
      <c r="A33" s="33">
        <v>42623</v>
      </c>
      <c r="B33" s="4" t="s">
        <v>79</v>
      </c>
      <c r="C33" s="8" t="s">
        <v>328</v>
      </c>
      <c r="D33" s="3" t="s">
        <v>333</v>
      </c>
      <c r="E33" s="3" t="s">
        <v>335</v>
      </c>
      <c r="F33" s="28">
        <v>12500</v>
      </c>
      <c r="G33" s="28">
        <v>5</v>
      </c>
      <c r="H33" s="28">
        <v>0</v>
      </c>
      <c r="I33" s="28">
        <v>0</v>
      </c>
      <c r="J33" s="59" t="str" cm="1">
        <f t="array" aca="1" ref="J33" ca="1">IF(ISNA(VLOOKUP($C33,AssetCode,1,0))=TRUE,"E3",IF(OR(ISBLANK($B33)=TRUE,SUMPRODUCT((TransAsset=$C33)*(TransIDDate&lt;$L33)*(TransType="DIS")*(1))&gt;0),"E4",IF(SUMPRODUCT((TransAsset=$C33)*(TransType="ACQ")*(1))&gt;1,"E5",IF(OR($F33&lt;0,AND(TransType="DIS",$F33&lt;&gt;0)=TRUE),"E6",IF(OR(AND($G33&lt;0,TransType&lt;&gt;"DIS")=TRUE,AND(TransType="DIS",$G33&lt;&gt;0)=TRUE),"E7",IF(OR($H33&lt;0,AND(TransType="DIS",$H33&lt;&gt;0)=TRUE,$H33&gt;$F33),"E8",IF($I33&lt;0,"E9","-")))))))</f>
        <v>-</v>
      </c>
      <c r="K33" s="60" t="str">
        <f>IF(ISNA(VLOOKUP($C33,AssetAll,COLUMN(Assets!$E$4),0))=TRUE,"add!",VLOOKUP($C33,AssetAll,COLUMN(Assets!$E$4),0))</f>
        <v>PPM01</v>
      </c>
      <c r="L33" s="61">
        <f t="shared" ca="1" si="0"/>
        <v>42623.000381944446</v>
      </c>
      <c r="M33" s="61">
        <f t="array" aca="1" ref="M33" ca="1">IF(ISBLANK($C33)=TRUE,0,LARGE(IF(TransAsset=$C33,IF(TransIDDate&lt;$L33,TransIDDate,0),0),1))</f>
        <v>0</v>
      </c>
      <c r="N33" s="61">
        <f t="array" aca="1" ref="N33" ca="1">IF(ISBLANK($C33)=TRUE,0,SMALL(IF(TransAsset=$C33,IF(TransIDDate&gt;$L33,TransIDDate,(Assets!$I$2+1)),(Assets!$I$2+1)),1))</f>
        <v>43891.000740740739</v>
      </c>
      <c r="O33" s="61">
        <f t="shared" ca="1" si="1"/>
        <v>44439</v>
      </c>
      <c r="P33" s="61">
        <f ca="1">IF(OR($N33&lt;Assets!$H$2,$O33&lt;Assets!$H$2,$L33&gt;(Assets!$I$2+1)),0,IF($B33="DIS",IF($L33&lt;Assets!$H$2,0,IF($L33&lt;(Assets!$I$2+1),DATE(YEAR($L33),MONTH($L33),0),Assets!$H$2)),IF($L33&lt;Assets!$H$2,Assets!$H$2,DATE(YEAR($L33),MONTH($L33),1))))</f>
        <v>43891</v>
      </c>
      <c r="Q33" s="61">
        <f ca="1">IF($P33=0,0,IF($B33="DIS",IF($L33&gt;(Assets!$I$2+1),MIN(Assets!$I$2,$O33),MIN($L33,$O33)),IF($N33&lt;(Assets!$I$2+1),MIN(IF(DATE(YEAR($N33),MONTH($N33),0)&lt;$P33,$P33,DATE(YEAR($N33),MONTH($N33),0)),$O33),MIN(Assets!$I$2,$O33))))</f>
        <v>43891</v>
      </c>
      <c r="R33" s="60">
        <f t="shared" ca="1" si="2"/>
        <v>0</v>
      </c>
      <c r="S33" s="60">
        <f t="shared" si="3"/>
        <v>12500</v>
      </c>
      <c r="T33" s="60" cm="1">
        <f t="array" ref="T33">IF(ISBLANK($B33)=FALSE,SUMIFS(TransAmount,TransAsset,$C33,TransType,"ACQ"),0)</f>
        <v>12500</v>
      </c>
      <c r="U33" s="60">
        <f t="shared" si="4"/>
        <v>5</v>
      </c>
      <c r="V33" s="60">
        <f t="shared" si="5"/>
        <v>0</v>
      </c>
      <c r="W33" s="28">
        <f t="shared" ca="1" si="6"/>
        <v>0</v>
      </c>
      <c r="X33" s="28">
        <f t="shared" ca="1" si="7"/>
        <v>0</v>
      </c>
      <c r="Y33" s="28">
        <f t="shared" ca="1" si="8"/>
        <v>0</v>
      </c>
      <c r="Z33" s="28">
        <f t="shared" ca="1" si="9"/>
        <v>0</v>
      </c>
      <c r="AA33" s="28">
        <f t="shared" ca="1" si="10"/>
        <v>0</v>
      </c>
      <c r="AB33" s="28" cm="1">
        <f t="array" aca="1" ref="AB33" ca="1">IF(SUMIFS(TransTDCost,TransAsset,$C33,TransDate,"&lt;="&amp;$L33)&gt;($T33-$X33),($T33-$X33),SUMIFS(TransTDCost,TransAsset,$C33,TransDate,"&lt;="&amp;$L33))</f>
        <v>0</v>
      </c>
      <c r="AC33" s="28">
        <f t="shared" ca="1" si="11"/>
        <v>0</v>
      </c>
      <c r="AD33" s="28">
        <f t="array" aca="1" ref="AD33" ca="1">IF($L33=LARGE(IF(TransAsset=$C33,IF(TransIDDate&lt;Assets!$H$2,TransIDDate,0),0),1),IF($B33="DIS",$AC33,SUMIFS(TransCAccDep,TransAsset,$C33,TransDate,"&lt;="&amp;$L33)+IF($U33=0,0,MIN(($S33-$V33)/($U33*12)*(((YEAR(Assets!$H$2)*12)+MONTH(Assets!$H$2)-1)-((YEAR($L33)*12)+MONTH($L33)-1)),$S33-$V33))),0)-$AO33</f>
        <v>0</v>
      </c>
      <c r="AE33" s="28">
        <f t="shared" ca="1" si="12"/>
        <v>0</v>
      </c>
      <c r="AF33" s="28">
        <f t="shared" ca="1" si="13"/>
        <v>0</v>
      </c>
      <c r="AG33" s="28">
        <f t="shared" ca="1" si="14"/>
        <v>0</v>
      </c>
      <c r="AH33" s="28">
        <f t="shared" ca="1" si="15"/>
        <v>0</v>
      </c>
      <c r="AI33" s="28" cm="1">
        <f t="array" ref="AI33">IF($B33="REV",IF($S33-$AA33+$AE33&gt;0,IF(SUMIFS(TransImpair,TransAsset,$C33,TransDate,"&lt;"&amp;$M33)&gt;0,IF(SUMIFS(TransImpair,TransAsset,$C33,TransDate,"&lt;"&amp;$M33)&gt;$S33-$AA33+$AE33,-($S33-$AA33+$AE33),-SUMIFS(TransImpair,TransAsset,$C33,TransDate,"&lt;"&amp;$M33)),0),-($S33-$AA33+$AE33)),0)</f>
        <v>0</v>
      </c>
      <c r="AJ33" s="28">
        <f t="shared" si="16"/>
        <v>0</v>
      </c>
      <c r="AK33" s="28">
        <f t="shared" ca="1" si="17"/>
        <v>0</v>
      </c>
      <c r="AL33" s="28">
        <f t="shared" ca="1" si="18"/>
        <v>0</v>
      </c>
      <c r="AM33" s="28" cm="1">
        <f t="array" aca="1" ref="AM33" ca="1">IF($AN33&gt;($T33-$V33),($T33-$V33)-SUMIFS(TransPCAccDep,TransAsset,$C33,TransDate,"&lt;="&amp;$L33),$AL33)</f>
        <v>0</v>
      </c>
      <c r="AN33" s="28" cm="1">
        <f t="array" aca="1" ref="AN33" ca="1">IF($AL33=0,0,SUMIFS(TransCCYDep2,TransAsset,$C33,TransDate,"&lt;="&amp;$L33)+SUMIFS(TransPCAccDep,TransAsset,$C33,TransDate,"&lt;="&amp;$L33))</f>
        <v>0</v>
      </c>
      <c r="AO33" s="28">
        <f t="array" aca="1" ref="AO33" ca="1">IF($L33=LARGE(IF(TransAsset=$C33,IF(TransIDDate&lt;Assets!$H$2,TransIDDate,0),0),1),IF($B33="DIS",0,MIN(SUMIFS(TransTDCost,TransAsset,$C33,TransDate,"&lt;="&amp;$L33)+IF($U33=0,0,MIN(($S33-$V33)/($U33*12)*(((YEAR(Assets!$H$2)*12)+MONTH(Assets!$H$2)-1)-((YEAR($L33)*12)+MONTH($L33)-1)),$S33-$V33)),SUMIFS(TransTDCost,TransAsset,$C33,TransDate,"&lt;="&amp;$L33)+IF($U33=0,0,MIN(($T33-$V33)/($U33*12)*(((YEAR(Assets!$H$2)*12)+MONTH(Assets!$H$2)-1)-((YEAR($L33)*12)+MONTH($L33)-1)),$T33-$V33)),$T33-$V33)),0)</f>
        <v>8750</v>
      </c>
      <c r="AP33" s="28">
        <f t="shared" ca="1" si="19"/>
        <v>0</v>
      </c>
      <c r="AQ33" s="60">
        <f ca="1">IF(SUMPRODUCT((TransAsset=$C33)*(TransType="DIS")*(TransIDDate&lt;(Assets!$I$2+1))*(1))&gt;0,0,IF(AND($AR33=0,DATE(YEAR($L33),MONTH($L33),1)&lt;&gt;DATE(YEAR(Assets!$J$2),MONTH(Assets!$J$2),1)),0,IF(DATE(YEAR($Q33),MONTH($Q33),1)&lt;&gt;DATE(YEAR(Assets!$I$2),MONTH(Assets!$I$2),1),0,IF($AR33=$S33-$V33,0,IF($U33=0,0,MIN(($S33-$V33)/($U33*12),($S33-$V33)-$AR33))))))</f>
        <v>0</v>
      </c>
      <c r="AR33" s="60">
        <f t="array" aca="1" ref="AR33" ca="1">IF($L33=LARGE(IF(TransAsset=$C33,IF(TransIDDate&lt;Assets!$J$2,TransIDDate,0),0),1),IF($B33="DIS",0,MIN(IF($U33=0,0,(($S33-$V33)/($U33*12)*(((YEAR(Assets!$J$2)*12)+MONTH(Assets!$J$2)-1)-((YEAR($L33)*12)+MONTH($L33)-1)))),($S33-$V33))),0)</f>
        <v>0</v>
      </c>
      <c r="AS33" s="60">
        <f t="shared" si="20"/>
        <v>208.33333333333334</v>
      </c>
      <c r="AT33" s="28" cm="1">
        <f t="array" aca="1" ref="AT33" ca="1">IF(SUMPRODUCT((TransAsset=$C33)*(TransType="DIS")*(TransIDDate&lt;(Assets!$I$2+1))*(1))&gt;0,0,IF(AND($AU33=0,DATE(YEAR($L33),MONTH($L33),1)&lt;&gt;DATE(YEAR(Assets!$J$2),MONTH(Assets!$J$2),1)),0,IF(DATE(YEAR($Q33),MONTH($Q33),1)&lt;&gt;DATE(YEAR(Assets!$I$2),MONTH(Assets!$I$2),1),0,IF(SUMIFS(TransPMAccDep,TransAsset,$C33)&gt;=($T33-$V33),($T33-$V33)-SUMIFS(TransPMAccDep,TransAsset,$C33),IF($U33=0,0,IF($S33&lt;$T33,MIN(($S33-$V33)/($U33*12),($T33-$V33)-$AU33),MIN(($T33-$V33)/($U33*12),($T33-$V33)-$AU33)))))))</f>
        <v>0</v>
      </c>
      <c r="AU33" s="28">
        <f t="array" aca="1" ref="AU33" ca="1">IF($L33=LARGE(IF(TransAsset=$C33,IF(TransIDDate&lt;Assets!$J$2,TransIDDate,0),0),1),IF($B33="DIS",0,MIN(SUMIFS(TransTDCost,TransAsset,$C33,TransDate,"&lt;="&amp;$L33)+IF($U33=0,0,MIN(($S33-$V33)/($U33*12)*(((YEAR(Assets!$J$2)*12)+MONTH(Assets!$J$2)-1)-((YEAR($L33)*12)+MONTH($L33)-1)),$S33-$V33)),SUMIFS(TransTDCost,TransAsset,$C33,TransDate,"&lt;="&amp;$L33)+IF($U33=0,0,MIN(($T33-$V33)/($U33*12)*(((YEAR(Assets!$J$2)*12)+MONTH(Assets!$J$2)-1)-((YEAR($L33)*12)+MONTH($L33)-1)),$T33-$V33)),$T33-$V33)),0)</f>
        <v>0</v>
      </c>
    </row>
    <row r="34" spans="1:47" ht="16" customHeight="1" x14ac:dyDescent="0.25">
      <c r="A34" s="33">
        <v>42655</v>
      </c>
      <c r="B34" s="4" t="s">
        <v>79</v>
      </c>
      <c r="C34" s="8" t="s">
        <v>340</v>
      </c>
      <c r="D34" s="3" t="s">
        <v>333</v>
      </c>
      <c r="E34" s="3" t="s">
        <v>346</v>
      </c>
      <c r="F34" s="28">
        <v>6890</v>
      </c>
      <c r="G34" s="28">
        <v>5</v>
      </c>
      <c r="H34" s="28">
        <v>0</v>
      </c>
      <c r="I34" s="28">
        <v>0</v>
      </c>
      <c r="J34" s="59" t="str" cm="1">
        <f t="array" aca="1" ref="J34" ca="1">IF(ISNA(VLOOKUP($C34,AssetCode,1,0))=TRUE,"E3",IF(OR(ISBLANK($B34)=TRUE,SUMPRODUCT((TransAsset=$C34)*(TransIDDate&lt;$L34)*(TransType="DIS")*(1))&gt;0),"E4",IF(SUMPRODUCT((TransAsset=$C34)*(TransType="ACQ")*(1))&gt;1,"E5",IF(OR($F34&lt;0,AND(TransType="DIS",$F34&lt;&gt;0)=TRUE),"E6",IF(OR(AND($G34&lt;0,TransType&lt;&gt;"DIS")=TRUE,AND(TransType="DIS",$G34&lt;&gt;0)=TRUE),"E7",IF(OR($H34&lt;0,AND(TransType="DIS",$H34&lt;&gt;0)=TRUE,$H34&gt;$F34),"E8",IF($I34&lt;0,"E9","-")))))))</f>
        <v>-</v>
      </c>
      <c r="K34" s="60" t="str">
        <f>IF(ISNA(VLOOKUP($C34,AssetAll,COLUMN(Assets!$E$4),0))=TRUE,"add!",VLOOKUP($C34,AssetAll,COLUMN(Assets!$E$4),0))</f>
        <v>EQP01</v>
      </c>
      <c r="L34" s="61">
        <f t="shared" ca="1" si="0"/>
        <v>42655.000393518516</v>
      </c>
      <c r="M34" s="61">
        <f t="array" aca="1" ref="M34" ca="1">IF(ISBLANK($C34)=TRUE,0,LARGE(IF(TransAsset=$C34,IF(TransIDDate&lt;$L34,TransIDDate,0),0),1))</f>
        <v>0</v>
      </c>
      <c r="N34" s="61">
        <f t="array" aca="1" ref="N34" ca="1">IF(ISBLANK($C34)=TRUE,0,SMALL(IF(TransAsset=$C34,IF(TransIDDate&gt;$L34,TransIDDate,(Assets!$I$2+1)),(Assets!$I$2+1)),1))</f>
        <v>43891.000844907408</v>
      </c>
      <c r="O34" s="61">
        <f t="shared" ca="1" si="1"/>
        <v>44469</v>
      </c>
      <c r="P34" s="61">
        <f ca="1">IF(OR($N34&lt;Assets!$H$2,$O34&lt;Assets!$H$2,$L34&gt;(Assets!$I$2+1)),0,IF($B34="DIS",IF($L34&lt;Assets!$H$2,0,IF($L34&lt;(Assets!$I$2+1),DATE(YEAR($L34),MONTH($L34),0),Assets!$H$2)),IF($L34&lt;Assets!$H$2,Assets!$H$2,DATE(YEAR($L34),MONTH($L34),1))))</f>
        <v>43891</v>
      </c>
      <c r="Q34" s="61">
        <f ca="1">IF($P34=0,0,IF($B34="DIS",IF($L34&gt;(Assets!$I$2+1),MIN(Assets!$I$2,$O34),MIN($L34,$O34)),IF($N34&lt;(Assets!$I$2+1),MIN(IF(DATE(YEAR($N34),MONTH($N34),0)&lt;$P34,$P34,DATE(YEAR($N34),MONTH($N34),0)),$O34),MIN(Assets!$I$2,$O34))))</f>
        <v>43891</v>
      </c>
      <c r="R34" s="60">
        <f t="shared" ca="1" si="2"/>
        <v>0</v>
      </c>
      <c r="S34" s="60">
        <f t="shared" si="3"/>
        <v>6890</v>
      </c>
      <c r="T34" s="60" cm="1">
        <f t="array" ref="T34">IF(ISBLANK($B34)=FALSE,SUMIFS(TransAmount,TransAsset,$C34,TransType,"ACQ"),0)</f>
        <v>6890</v>
      </c>
      <c r="U34" s="60">
        <f t="shared" si="4"/>
        <v>5</v>
      </c>
      <c r="V34" s="60">
        <f t="shared" si="5"/>
        <v>0</v>
      </c>
      <c r="W34" s="28">
        <f t="shared" ca="1" si="6"/>
        <v>0</v>
      </c>
      <c r="X34" s="28">
        <f t="shared" ca="1" si="7"/>
        <v>0</v>
      </c>
      <c r="Y34" s="28">
        <f t="shared" ca="1" si="8"/>
        <v>0</v>
      </c>
      <c r="Z34" s="28">
        <f t="shared" ca="1" si="9"/>
        <v>0</v>
      </c>
      <c r="AA34" s="28">
        <f t="shared" ca="1" si="10"/>
        <v>0</v>
      </c>
      <c r="AB34" s="28" cm="1">
        <f t="array" aca="1" ref="AB34" ca="1">IF(SUMIFS(TransTDCost,TransAsset,$C34,TransDate,"&lt;="&amp;$L34)&gt;($T34-$X34),($T34-$X34),SUMIFS(TransTDCost,TransAsset,$C34,TransDate,"&lt;="&amp;$L34))</f>
        <v>0</v>
      </c>
      <c r="AC34" s="28">
        <f t="shared" ca="1" si="11"/>
        <v>0</v>
      </c>
      <c r="AD34" s="28">
        <f t="array" aca="1" ref="AD34" ca="1">IF($L34=LARGE(IF(TransAsset=$C34,IF(TransIDDate&lt;Assets!$H$2,TransIDDate,0),0),1),IF($B34="DIS",$AC34,SUMIFS(TransCAccDep,TransAsset,$C34,TransDate,"&lt;="&amp;$L34)+IF($U34=0,0,MIN(($S34-$V34)/($U34*12)*(((YEAR(Assets!$H$2)*12)+MONTH(Assets!$H$2)-1)-((YEAR($L34)*12)+MONTH($L34)-1)),$S34-$V34))),0)-$AO34</f>
        <v>0</v>
      </c>
      <c r="AE34" s="28">
        <f t="shared" ca="1" si="12"/>
        <v>0</v>
      </c>
      <c r="AF34" s="28">
        <f t="shared" ca="1" si="13"/>
        <v>0</v>
      </c>
      <c r="AG34" s="28">
        <f t="shared" ca="1" si="14"/>
        <v>0</v>
      </c>
      <c r="AH34" s="28">
        <f t="shared" ca="1" si="15"/>
        <v>0</v>
      </c>
      <c r="AI34" s="28" cm="1">
        <f t="array" ref="AI34">IF($B34="REV",IF($S34-$AA34+$AE34&gt;0,IF(SUMIFS(TransImpair,TransAsset,$C34,TransDate,"&lt;"&amp;$M34)&gt;0,IF(SUMIFS(TransImpair,TransAsset,$C34,TransDate,"&lt;"&amp;$M34)&gt;$S34-$AA34+$AE34,-($S34-$AA34+$AE34),-SUMIFS(TransImpair,TransAsset,$C34,TransDate,"&lt;"&amp;$M34)),0),-($S34-$AA34+$AE34)),0)</f>
        <v>0</v>
      </c>
      <c r="AJ34" s="28">
        <f t="shared" si="16"/>
        <v>0</v>
      </c>
      <c r="AK34" s="28">
        <f t="shared" ca="1" si="17"/>
        <v>0</v>
      </c>
      <c r="AL34" s="28">
        <f t="shared" ca="1" si="18"/>
        <v>0</v>
      </c>
      <c r="AM34" s="28" cm="1">
        <f t="array" aca="1" ref="AM34" ca="1">IF($AN34&gt;($T34-$V34),($T34-$V34)-SUMIFS(TransPCAccDep,TransAsset,$C34,TransDate,"&lt;="&amp;$L34),$AL34)</f>
        <v>0</v>
      </c>
      <c r="AN34" s="28" cm="1">
        <f t="array" aca="1" ref="AN34" ca="1">IF($AL34=0,0,SUMIFS(TransCCYDep2,TransAsset,$C34,TransDate,"&lt;="&amp;$L34)+SUMIFS(TransPCAccDep,TransAsset,$C34,TransDate,"&lt;="&amp;$L34))</f>
        <v>0</v>
      </c>
      <c r="AO34" s="28">
        <f t="array" aca="1" ref="AO34" ca="1">IF($L34=LARGE(IF(TransAsset=$C34,IF(TransIDDate&lt;Assets!$H$2,TransIDDate,0),0),1),IF($B34="DIS",0,MIN(SUMIFS(TransTDCost,TransAsset,$C34,TransDate,"&lt;="&amp;$L34)+IF($U34=0,0,MIN(($S34-$V34)/($U34*12)*(((YEAR(Assets!$H$2)*12)+MONTH(Assets!$H$2)-1)-((YEAR($L34)*12)+MONTH($L34)-1)),$S34-$V34)),SUMIFS(TransTDCost,TransAsset,$C34,TransDate,"&lt;="&amp;$L34)+IF($U34=0,0,MIN(($T34-$V34)/($U34*12)*(((YEAR(Assets!$H$2)*12)+MONTH(Assets!$H$2)-1)-((YEAR($L34)*12)+MONTH($L34)-1)),$T34-$V34)),$T34-$V34)),0)</f>
        <v>4708.1666666666661</v>
      </c>
      <c r="AP34" s="28">
        <f t="shared" ca="1" si="19"/>
        <v>0</v>
      </c>
      <c r="AQ34" s="60">
        <f ca="1">IF(SUMPRODUCT((TransAsset=$C34)*(TransType="DIS")*(TransIDDate&lt;(Assets!$I$2+1))*(1))&gt;0,0,IF(AND($AR34=0,DATE(YEAR($L34),MONTH($L34),1)&lt;&gt;DATE(YEAR(Assets!$J$2),MONTH(Assets!$J$2),1)),0,IF(DATE(YEAR($Q34),MONTH($Q34),1)&lt;&gt;DATE(YEAR(Assets!$I$2),MONTH(Assets!$I$2),1),0,IF($AR34=$S34-$V34,0,IF($U34=0,0,MIN(($S34-$V34)/($U34*12),($S34-$V34)-$AR34))))))</f>
        <v>0</v>
      </c>
      <c r="AR34" s="60">
        <f t="array" aca="1" ref="AR34" ca="1">IF($L34=LARGE(IF(TransAsset=$C34,IF(TransIDDate&lt;Assets!$J$2,TransIDDate,0),0),1),IF($B34="DIS",0,MIN(IF($U34=0,0,(($S34-$V34)/($U34*12)*(((YEAR(Assets!$J$2)*12)+MONTH(Assets!$J$2)-1)-((YEAR($L34)*12)+MONTH($L34)-1)))),($S34-$V34))),0)</f>
        <v>0</v>
      </c>
      <c r="AS34" s="60">
        <f t="shared" si="20"/>
        <v>114.83333333333333</v>
      </c>
      <c r="AT34" s="28" cm="1">
        <f t="array" aca="1" ref="AT34" ca="1">IF(SUMPRODUCT((TransAsset=$C34)*(TransType="DIS")*(TransIDDate&lt;(Assets!$I$2+1))*(1))&gt;0,0,IF(AND($AU34=0,DATE(YEAR($L34),MONTH($L34),1)&lt;&gt;DATE(YEAR(Assets!$J$2),MONTH(Assets!$J$2),1)),0,IF(DATE(YEAR($Q34),MONTH($Q34),1)&lt;&gt;DATE(YEAR(Assets!$I$2),MONTH(Assets!$I$2),1),0,IF(SUMIFS(TransPMAccDep,TransAsset,$C34)&gt;=($T34-$V34),($T34-$V34)-SUMIFS(TransPMAccDep,TransAsset,$C34),IF($U34=0,0,IF($S34&lt;$T34,MIN(($S34-$V34)/($U34*12),($T34-$V34)-$AU34),MIN(($T34-$V34)/($U34*12),($T34-$V34)-$AU34)))))))</f>
        <v>0</v>
      </c>
      <c r="AU34" s="28">
        <f t="array" aca="1" ref="AU34" ca="1">IF($L34=LARGE(IF(TransAsset=$C34,IF(TransIDDate&lt;Assets!$J$2,TransIDDate,0),0),1),IF($B34="DIS",0,MIN(SUMIFS(TransTDCost,TransAsset,$C34,TransDate,"&lt;="&amp;$L34)+IF($U34=0,0,MIN(($S34-$V34)/($U34*12)*(((YEAR(Assets!$J$2)*12)+MONTH(Assets!$J$2)-1)-((YEAR($L34)*12)+MONTH($L34)-1)),$S34-$V34)),SUMIFS(TransTDCost,TransAsset,$C34,TransDate,"&lt;="&amp;$L34)+IF($U34=0,0,MIN(($T34-$V34)/($U34*12)*(((YEAR(Assets!$J$2)*12)+MONTH(Assets!$J$2)-1)-((YEAR($L34)*12)+MONTH($L34)-1)),$T34-$V34)),$T34-$V34)),0)</f>
        <v>0</v>
      </c>
    </row>
    <row r="35" spans="1:47" ht="16" customHeight="1" x14ac:dyDescent="0.25">
      <c r="A35" s="33">
        <v>42811</v>
      </c>
      <c r="B35" s="4" t="s">
        <v>79</v>
      </c>
      <c r="C35" s="8" t="s">
        <v>329</v>
      </c>
      <c r="D35" s="3" t="s">
        <v>333</v>
      </c>
      <c r="E35" s="3" t="s">
        <v>336</v>
      </c>
      <c r="F35" s="28">
        <v>70000</v>
      </c>
      <c r="G35" s="28">
        <v>5</v>
      </c>
      <c r="H35" s="28">
        <v>0</v>
      </c>
      <c r="I35" s="28">
        <v>0</v>
      </c>
      <c r="J35" s="59" t="str" cm="1">
        <f t="array" aca="1" ref="J35" ca="1">IF(ISNA(VLOOKUP($C35,AssetCode,1,0))=TRUE,"E3",IF(OR(ISBLANK($B35)=TRUE,SUMPRODUCT((TransAsset=$C35)*(TransIDDate&lt;$L35)*(TransType="DIS")*(1))&gt;0),"E4",IF(SUMPRODUCT((TransAsset=$C35)*(TransType="ACQ")*(1))&gt;1,"E5",IF(OR($F35&lt;0,AND(TransType="DIS",$F35&lt;&gt;0)=TRUE),"E6",IF(OR(AND($G35&lt;0,TransType&lt;&gt;"DIS")=TRUE,AND(TransType="DIS",$G35&lt;&gt;0)=TRUE),"E7",IF(OR($H35&lt;0,AND(TransType="DIS",$H35&lt;&gt;0)=TRUE,$H35&gt;$F35),"E8",IF($I35&lt;0,"E9","-")))))))</f>
        <v>-</v>
      </c>
      <c r="K35" s="60" t="str">
        <f>IF(ISNA(VLOOKUP($C35,AssetAll,COLUMN(Assets!$E$4),0))=TRUE,"add!",VLOOKUP($C35,AssetAll,COLUMN(Assets!$E$4),0))</f>
        <v>PPM01</v>
      </c>
      <c r="L35" s="61">
        <f t="shared" ca="1" si="0"/>
        <v>42811.000405092593</v>
      </c>
      <c r="M35" s="61">
        <f t="array" aca="1" ref="M35" ca="1">IF(ISBLANK($C35)=TRUE,0,LARGE(IF(TransAsset=$C35,IF(TransIDDate&lt;$L35,TransIDDate,0),0),1))</f>
        <v>0</v>
      </c>
      <c r="N35" s="61">
        <f t="array" aca="1" ref="N35" ca="1">IF(ISBLANK($C35)=TRUE,0,SMALL(IF(TransAsset=$C35,IF(TransIDDate&gt;$L35,TransIDDate,(Assets!$I$2+1)),(Assets!$I$2+1)),1))</f>
        <v>43891.000752314816</v>
      </c>
      <c r="O35" s="61">
        <f t="shared" ca="1" si="1"/>
        <v>44620</v>
      </c>
      <c r="P35" s="61">
        <f ca="1">IF(OR($N35&lt;Assets!$H$2,$O35&lt;Assets!$H$2,$L35&gt;(Assets!$I$2+1)),0,IF($B35="DIS",IF($L35&lt;Assets!$H$2,0,IF($L35&lt;(Assets!$I$2+1),DATE(YEAR($L35),MONTH($L35),0),Assets!$H$2)),IF($L35&lt;Assets!$H$2,Assets!$H$2,DATE(YEAR($L35),MONTH($L35),1))))</f>
        <v>43891</v>
      </c>
      <c r="Q35" s="61">
        <f ca="1">IF($P35=0,0,IF($B35="DIS",IF($L35&gt;(Assets!$I$2+1),MIN(Assets!$I$2,$O35),MIN($L35,$O35)),IF($N35&lt;(Assets!$I$2+1),MIN(IF(DATE(YEAR($N35),MONTH($N35),0)&lt;$P35,$P35,DATE(YEAR($N35),MONTH($N35),0)),$O35),MIN(Assets!$I$2,$O35))))</f>
        <v>43891</v>
      </c>
      <c r="R35" s="60">
        <f t="shared" ca="1" si="2"/>
        <v>0</v>
      </c>
      <c r="S35" s="60">
        <f t="shared" si="3"/>
        <v>70000</v>
      </c>
      <c r="T35" s="60" cm="1">
        <f t="array" ref="T35">IF(ISBLANK($B35)=FALSE,SUMIFS(TransAmount,TransAsset,$C35,TransType,"ACQ"),0)</f>
        <v>70000</v>
      </c>
      <c r="U35" s="60">
        <f t="shared" si="4"/>
        <v>5</v>
      </c>
      <c r="V35" s="60">
        <f t="shared" si="5"/>
        <v>0</v>
      </c>
      <c r="W35" s="28">
        <f t="shared" ca="1" si="6"/>
        <v>0</v>
      </c>
      <c r="X35" s="28">
        <f t="shared" ca="1" si="7"/>
        <v>0</v>
      </c>
      <c r="Y35" s="28">
        <f t="shared" ca="1" si="8"/>
        <v>0</v>
      </c>
      <c r="Z35" s="28">
        <f t="shared" ca="1" si="9"/>
        <v>0</v>
      </c>
      <c r="AA35" s="28">
        <f t="shared" ca="1" si="10"/>
        <v>0</v>
      </c>
      <c r="AB35" s="28" cm="1">
        <f t="array" aca="1" ref="AB35" ca="1">IF(SUMIFS(TransTDCost,TransAsset,$C35,TransDate,"&lt;="&amp;$L35)&gt;($T35-$X35),($T35-$X35),SUMIFS(TransTDCost,TransAsset,$C35,TransDate,"&lt;="&amp;$L35))</f>
        <v>0</v>
      </c>
      <c r="AC35" s="28">
        <f t="shared" ca="1" si="11"/>
        <v>0</v>
      </c>
      <c r="AD35" s="28">
        <f t="array" aca="1" ref="AD35" ca="1">IF($L35=LARGE(IF(TransAsset=$C35,IF(TransIDDate&lt;Assets!$H$2,TransIDDate,0),0),1),IF($B35="DIS",$AC35,SUMIFS(TransCAccDep,TransAsset,$C35,TransDate,"&lt;="&amp;$L35)+IF($U35=0,0,MIN(($S35-$V35)/($U35*12)*(((YEAR(Assets!$H$2)*12)+MONTH(Assets!$H$2)-1)-((YEAR($L35)*12)+MONTH($L35)-1)),$S35-$V35))),0)-$AO35</f>
        <v>0</v>
      </c>
      <c r="AE35" s="28">
        <f t="shared" ca="1" si="12"/>
        <v>0</v>
      </c>
      <c r="AF35" s="28">
        <f t="shared" ca="1" si="13"/>
        <v>0</v>
      </c>
      <c r="AG35" s="28">
        <f t="shared" ca="1" si="14"/>
        <v>0</v>
      </c>
      <c r="AH35" s="28">
        <f t="shared" ca="1" si="15"/>
        <v>0</v>
      </c>
      <c r="AI35" s="28" cm="1">
        <f t="array" ref="AI35">IF($B35="REV",IF($S35-$AA35+$AE35&gt;0,IF(SUMIFS(TransImpair,TransAsset,$C35,TransDate,"&lt;"&amp;$M35)&gt;0,IF(SUMIFS(TransImpair,TransAsset,$C35,TransDate,"&lt;"&amp;$M35)&gt;$S35-$AA35+$AE35,-($S35-$AA35+$AE35),-SUMIFS(TransImpair,TransAsset,$C35,TransDate,"&lt;"&amp;$M35)),0),-($S35-$AA35+$AE35)),0)</f>
        <v>0</v>
      </c>
      <c r="AJ35" s="28">
        <f t="shared" si="16"/>
        <v>0</v>
      </c>
      <c r="AK35" s="28">
        <f t="shared" ca="1" si="17"/>
        <v>0</v>
      </c>
      <c r="AL35" s="28">
        <f t="shared" ca="1" si="18"/>
        <v>0</v>
      </c>
      <c r="AM35" s="28" cm="1">
        <f t="array" aca="1" ref="AM35" ca="1">IF($AN35&gt;($T35-$V35),($T35-$V35)-SUMIFS(TransPCAccDep,TransAsset,$C35,TransDate,"&lt;="&amp;$L35),$AL35)</f>
        <v>0</v>
      </c>
      <c r="AN35" s="28" cm="1">
        <f t="array" aca="1" ref="AN35" ca="1">IF($AL35=0,0,SUMIFS(TransCCYDep2,TransAsset,$C35,TransDate,"&lt;="&amp;$L35)+SUMIFS(TransPCAccDep,TransAsset,$C35,TransDate,"&lt;="&amp;$L35))</f>
        <v>0</v>
      </c>
      <c r="AO35" s="28">
        <f t="array" aca="1" ref="AO35" ca="1">IF($L35=LARGE(IF(TransAsset=$C35,IF(TransIDDate&lt;Assets!$H$2,TransIDDate,0),0),1),IF($B35="DIS",0,MIN(SUMIFS(TransTDCost,TransAsset,$C35,TransDate,"&lt;="&amp;$L35)+IF($U35=0,0,MIN(($S35-$V35)/($U35*12)*(((YEAR(Assets!$H$2)*12)+MONTH(Assets!$H$2)-1)-((YEAR($L35)*12)+MONTH($L35)-1)),$S35-$V35)),SUMIFS(TransTDCost,TransAsset,$C35,TransDate,"&lt;="&amp;$L35)+IF($U35=0,0,MIN(($T35-$V35)/($U35*12)*(((YEAR(Assets!$H$2)*12)+MONTH(Assets!$H$2)-1)-((YEAR($L35)*12)+MONTH($L35)-1)),$T35-$V35)),$T35-$V35)),0)</f>
        <v>42000</v>
      </c>
      <c r="AP35" s="28">
        <f t="shared" ca="1" si="19"/>
        <v>0</v>
      </c>
      <c r="AQ35" s="60">
        <f ca="1">IF(SUMPRODUCT((TransAsset=$C35)*(TransType="DIS")*(TransIDDate&lt;(Assets!$I$2+1))*(1))&gt;0,0,IF(AND($AR35=0,DATE(YEAR($L35),MONTH($L35),1)&lt;&gt;DATE(YEAR(Assets!$J$2),MONTH(Assets!$J$2),1)),0,IF(DATE(YEAR($Q35),MONTH($Q35),1)&lt;&gt;DATE(YEAR(Assets!$I$2),MONTH(Assets!$I$2),1),0,IF($AR35=$S35-$V35,0,IF($U35=0,0,MIN(($S35-$V35)/($U35*12),($S35-$V35)-$AR35))))))</f>
        <v>0</v>
      </c>
      <c r="AR35" s="60">
        <f t="array" aca="1" ref="AR35" ca="1">IF($L35=LARGE(IF(TransAsset=$C35,IF(TransIDDate&lt;Assets!$J$2,TransIDDate,0),0),1),IF($B35="DIS",0,MIN(IF($U35=0,0,(($S35-$V35)/($U35*12)*(((YEAR(Assets!$J$2)*12)+MONTH(Assets!$J$2)-1)-((YEAR($L35)*12)+MONTH($L35)-1)))),($S35-$V35))),0)</f>
        <v>0</v>
      </c>
      <c r="AS35" s="60">
        <f t="shared" si="20"/>
        <v>1166.6666666666667</v>
      </c>
      <c r="AT35" s="28" cm="1">
        <f t="array" aca="1" ref="AT35" ca="1">IF(SUMPRODUCT((TransAsset=$C35)*(TransType="DIS")*(TransIDDate&lt;(Assets!$I$2+1))*(1))&gt;0,0,IF(AND($AU35=0,DATE(YEAR($L35),MONTH($L35),1)&lt;&gt;DATE(YEAR(Assets!$J$2),MONTH(Assets!$J$2),1)),0,IF(DATE(YEAR($Q35),MONTH($Q35),1)&lt;&gt;DATE(YEAR(Assets!$I$2),MONTH(Assets!$I$2),1),0,IF(SUMIFS(TransPMAccDep,TransAsset,$C35)&gt;=($T35-$V35),($T35-$V35)-SUMIFS(TransPMAccDep,TransAsset,$C35),IF($U35=0,0,IF($S35&lt;$T35,MIN(($S35-$V35)/($U35*12),($T35-$V35)-$AU35),MIN(($T35-$V35)/($U35*12),($T35-$V35)-$AU35)))))))</f>
        <v>0</v>
      </c>
      <c r="AU35" s="28">
        <f t="array" aca="1" ref="AU35" ca="1">IF($L35=LARGE(IF(TransAsset=$C35,IF(TransIDDate&lt;Assets!$J$2,TransIDDate,0),0),1),IF($B35="DIS",0,MIN(SUMIFS(TransTDCost,TransAsset,$C35,TransDate,"&lt;="&amp;$L35)+IF($U35=0,0,MIN(($S35-$V35)/($U35*12)*(((YEAR(Assets!$J$2)*12)+MONTH(Assets!$J$2)-1)-((YEAR($L35)*12)+MONTH($L35)-1)),$S35-$V35)),SUMIFS(TransTDCost,TransAsset,$C35,TransDate,"&lt;="&amp;$L35)+IF($U35=0,0,MIN(($T35-$V35)/($U35*12)*(((YEAR(Assets!$J$2)*12)+MONTH(Assets!$J$2)-1)-((YEAR($L35)*12)+MONTH($L35)-1)),$T35-$V35)),$T35-$V35)),0)</f>
        <v>0</v>
      </c>
    </row>
    <row r="36" spans="1:47" ht="16" customHeight="1" x14ac:dyDescent="0.25">
      <c r="A36" s="33">
        <v>43062</v>
      </c>
      <c r="B36" s="4" t="s">
        <v>79</v>
      </c>
      <c r="C36" s="8" t="s">
        <v>341</v>
      </c>
      <c r="D36" s="3" t="s">
        <v>333</v>
      </c>
      <c r="E36" s="3" t="s">
        <v>347</v>
      </c>
      <c r="F36" s="28">
        <v>19100</v>
      </c>
      <c r="G36" s="28">
        <v>5</v>
      </c>
      <c r="H36" s="28">
        <v>0</v>
      </c>
      <c r="I36" s="28">
        <v>0</v>
      </c>
      <c r="J36" s="59" t="str" cm="1">
        <f t="array" aca="1" ref="J36" ca="1">IF(ISNA(VLOOKUP($C36,AssetCode,1,0))=TRUE,"E3",IF(OR(ISBLANK($B36)=TRUE,SUMPRODUCT((TransAsset=$C36)*(TransIDDate&lt;$L36)*(TransType="DIS")*(1))&gt;0),"E4",IF(SUMPRODUCT((TransAsset=$C36)*(TransType="ACQ")*(1))&gt;1,"E5",IF(OR($F36&lt;0,AND(TransType="DIS",$F36&lt;&gt;0)=TRUE),"E6",IF(OR(AND($G36&lt;0,TransType&lt;&gt;"DIS")=TRUE,AND(TransType="DIS",$G36&lt;&gt;0)=TRUE),"E7",IF(OR($H36&lt;0,AND(TransType="DIS",$H36&lt;&gt;0)=TRUE,$H36&gt;$F36),"E8",IF($I36&lt;0,"E9","-")))))))</f>
        <v>-</v>
      </c>
      <c r="K36" s="60" t="str">
        <f>IF(ISNA(VLOOKUP($C36,AssetAll,COLUMN(Assets!$E$4),0))=TRUE,"add!",VLOOKUP($C36,AssetAll,COLUMN(Assets!$E$4),0))</f>
        <v>EQP01</v>
      </c>
      <c r="L36" s="61">
        <f t="shared" ca="1" si="0"/>
        <v>43062.000416666669</v>
      </c>
      <c r="M36" s="61">
        <f t="array" aca="1" ref="M36" ca="1">IF(ISBLANK($C36)=TRUE,0,LARGE(IF(TransAsset=$C36,IF(TransIDDate&lt;$L36,TransIDDate,0),0),1))</f>
        <v>0</v>
      </c>
      <c r="N36" s="61">
        <f t="array" aca="1" ref="N36" ca="1">IF(ISBLANK($C36)=TRUE,0,SMALL(IF(TransAsset=$C36,IF(TransIDDate&gt;$L36,TransIDDate,(Assets!$I$2+1)),(Assets!$I$2+1)),1))</f>
        <v>43891.000856481478</v>
      </c>
      <c r="O36" s="61">
        <f t="shared" ca="1" si="1"/>
        <v>44865</v>
      </c>
      <c r="P36" s="61">
        <f ca="1">IF(OR($N36&lt;Assets!$H$2,$O36&lt;Assets!$H$2,$L36&gt;(Assets!$I$2+1)),0,IF($B36="DIS",IF($L36&lt;Assets!$H$2,0,IF($L36&lt;(Assets!$I$2+1),DATE(YEAR($L36),MONTH($L36),0),Assets!$H$2)),IF($L36&lt;Assets!$H$2,Assets!$H$2,DATE(YEAR($L36),MONTH($L36),1))))</f>
        <v>43891</v>
      </c>
      <c r="Q36" s="61">
        <f ca="1">IF($P36=0,0,IF($B36="DIS",IF($L36&gt;(Assets!$I$2+1),MIN(Assets!$I$2,$O36),MIN($L36,$O36)),IF($N36&lt;(Assets!$I$2+1),MIN(IF(DATE(YEAR($N36),MONTH($N36),0)&lt;$P36,$P36,DATE(YEAR($N36),MONTH($N36),0)),$O36),MIN(Assets!$I$2,$O36))))</f>
        <v>43891</v>
      </c>
      <c r="R36" s="60">
        <f t="shared" ca="1" si="2"/>
        <v>0</v>
      </c>
      <c r="S36" s="60">
        <f t="shared" si="3"/>
        <v>19100</v>
      </c>
      <c r="T36" s="60" cm="1">
        <f t="array" ref="T36">IF(ISBLANK($B36)=FALSE,SUMIFS(TransAmount,TransAsset,$C36,TransType,"ACQ"),0)</f>
        <v>19100</v>
      </c>
      <c r="U36" s="60">
        <f t="shared" si="4"/>
        <v>5</v>
      </c>
      <c r="V36" s="60">
        <f t="shared" si="5"/>
        <v>0</v>
      </c>
      <c r="W36" s="28">
        <f t="shared" ca="1" si="6"/>
        <v>0</v>
      </c>
      <c r="X36" s="28">
        <f t="shared" ca="1" si="7"/>
        <v>0</v>
      </c>
      <c r="Y36" s="28">
        <f t="shared" ca="1" si="8"/>
        <v>0</v>
      </c>
      <c r="Z36" s="28">
        <f t="shared" ca="1" si="9"/>
        <v>0</v>
      </c>
      <c r="AA36" s="28">
        <f t="shared" ca="1" si="10"/>
        <v>0</v>
      </c>
      <c r="AB36" s="28" cm="1">
        <f t="array" aca="1" ref="AB36" ca="1">IF(SUMIFS(TransTDCost,TransAsset,$C36,TransDate,"&lt;="&amp;$L36)&gt;($T36-$X36),($T36-$X36),SUMIFS(TransTDCost,TransAsset,$C36,TransDate,"&lt;="&amp;$L36))</f>
        <v>0</v>
      </c>
      <c r="AC36" s="28">
        <f t="shared" ca="1" si="11"/>
        <v>0</v>
      </c>
      <c r="AD36" s="28">
        <f t="array" aca="1" ref="AD36" ca="1">IF($L36=LARGE(IF(TransAsset=$C36,IF(TransIDDate&lt;Assets!$H$2,TransIDDate,0),0),1),IF($B36="DIS",$AC36,SUMIFS(TransCAccDep,TransAsset,$C36,TransDate,"&lt;="&amp;$L36)+IF($U36=0,0,MIN(($S36-$V36)/($U36*12)*(((YEAR(Assets!$H$2)*12)+MONTH(Assets!$H$2)-1)-((YEAR($L36)*12)+MONTH($L36)-1)),$S36-$V36))),0)-$AO36</f>
        <v>0</v>
      </c>
      <c r="AE36" s="28">
        <f t="shared" ca="1" si="12"/>
        <v>0</v>
      </c>
      <c r="AF36" s="28">
        <f t="shared" ca="1" si="13"/>
        <v>0</v>
      </c>
      <c r="AG36" s="28">
        <f t="shared" ca="1" si="14"/>
        <v>0</v>
      </c>
      <c r="AH36" s="28">
        <f t="shared" ca="1" si="15"/>
        <v>0</v>
      </c>
      <c r="AI36" s="28" cm="1">
        <f t="array" ref="AI36">IF($B36="REV",IF($S36-$AA36+$AE36&gt;0,IF(SUMIFS(TransImpair,TransAsset,$C36,TransDate,"&lt;"&amp;$M36)&gt;0,IF(SUMIFS(TransImpair,TransAsset,$C36,TransDate,"&lt;"&amp;$M36)&gt;$S36-$AA36+$AE36,-($S36-$AA36+$AE36),-SUMIFS(TransImpair,TransAsset,$C36,TransDate,"&lt;"&amp;$M36)),0),-($S36-$AA36+$AE36)),0)</f>
        <v>0</v>
      </c>
      <c r="AJ36" s="28">
        <f t="shared" si="16"/>
        <v>0</v>
      </c>
      <c r="AK36" s="28">
        <f t="shared" ca="1" si="17"/>
        <v>0</v>
      </c>
      <c r="AL36" s="28">
        <f t="shared" ca="1" si="18"/>
        <v>0</v>
      </c>
      <c r="AM36" s="28" cm="1">
        <f t="array" aca="1" ref="AM36" ca="1">IF($AN36&gt;($T36-$V36),($T36-$V36)-SUMIFS(TransPCAccDep,TransAsset,$C36,TransDate,"&lt;="&amp;$L36),$AL36)</f>
        <v>0</v>
      </c>
      <c r="AN36" s="28" cm="1">
        <f t="array" aca="1" ref="AN36" ca="1">IF($AL36=0,0,SUMIFS(TransCCYDep2,TransAsset,$C36,TransDate,"&lt;="&amp;$L36)+SUMIFS(TransPCAccDep,TransAsset,$C36,TransDate,"&lt;="&amp;$L36))</f>
        <v>0</v>
      </c>
      <c r="AO36" s="28">
        <f t="array" aca="1" ref="AO36" ca="1">IF($L36=LARGE(IF(TransAsset=$C36,IF(TransIDDate&lt;Assets!$H$2,TransIDDate,0),0),1),IF($B36="DIS",0,MIN(SUMIFS(TransTDCost,TransAsset,$C36,TransDate,"&lt;="&amp;$L36)+IF($U36=0,0,MIN(($S36-$V36)/($U36*12)*(((YEAR(Assets!$H$2)*12)+MONTH(Assets!$H$2)-1)-((YEAR($L36)*12)+MONTH($L36)-1)),$S36-$V36)),SUMIFS(TransTDCost,TransAsset,$C36,TransDate,"&lt;="&amp;$L36)+IF($U36=0,0,MIN(($T36-$V36)/($U36*12)*(((YEAR(Assets!$H$2)*12)+MONTH(Assets!$H$2)-1)-((YEAR($L36)*12)+MONTH($L36)-1)),$T36-$V36)),$T36-$V36)),0)</f>
        <v>8913.3333333333321</v>
      </c>
      <c r="AP36" s="28">
        <f t="shared" ca="1" si="19"/>
        <v>0</v>
      </c>
      <c r="AQ36" s="60">
        <f ca="1">IF(SUMPRODUCT((TransAsset=$C36)*(TransType="DIS")*(TransIDDate&lt;(Assets!$I$2+1))*(1))&gt;0,0,IF(AND($AR36=0,DATE(YEAR($L36),MONTH($L36),1)&lt;&gt;DATE(YEAR(Assets!$J$2),MONTH(Assets!$J$2),1)),0,IF(DATE(YEAR($Q36),MONTH($Q36),1)&lt;&gt;DATE(YEAR(Assets!$I$2),MONTH(Assets!$I$2),1),0,IF($AR36=$S36-$V36,0,IF($U36=0,0,MIN(($S36-$V36)/($U36*12),($S36-$V36)-$AR36))))))</f>
        <v>0</v>
      </c>
      <c r="AR36" s="60">
        <f t="array" aca="1" ref="AR36" ca="1">IF($L36=LARGE(IF(TransAsset=$C36,IF(TransIDDate&lt;Assets!$J$2,TransIDDate,0),0),1),IF($B36="DIS",0,MIN(IF($U36=0,0,(($S36-$V36)/($U36*12)*(((YEAR(Assets!$J$2)*12)+MONTH(Assets!$J$2)-1)-((YEAR($L36)*12)+MONTH($L36)-1)))),($S36-$V36))),0)</f>
        <v>0</v>
      </c>
      <c r="AS36" s="60">
        <f t="shared" si="20"/>
        <v>318.33333333333331</v>
      </c>
      <c r="AT36" s="28" cm="1">
        <f t="array" aca="1" ref="AT36" ca="1">IF(SUMPRODUCT((TransAsset=$C36)*(TransType="DIS")*(TransIDDate&lt;(Assets!$I$2+1))*(1))&gt;0,0,IF(AND($AU36=0,DATE(YEAR($L36),MONTH($L36),1)&lt;&gt;DATE(YEAR(Assets!$J$2),MONTH(Assets!$J$2),1)),0,IF(DATE(YEAR($Q36),MONTH($Q36),1)&lt;&gt;DATE(YEAR(Assets!$I$2),MONTH(Assets!$I$2),1),0,IF(SUMIFS(TransPMAccDep,TransAsset,$C36)&gt;=($T36-$V36),($T36-$V36)-SUMIFS(TransPMAccDep,TransAsset,$C36),IF($U36=0,0,IF($S36&lt;$T36,MIN(($S36-$V36)/($U36*12),($T36-$V36)-$AU36),MIN(($T36-$V36)/($U36*12),($T36-$V36)-$AU36)))))))</f>
        <v>0</v>
      </c>
      <c r="AU36" s="28">
        <f t="array" aca="1" ref="AU36" ca="1">IF($L36=LARGE(IF(TransAsset=$C36,IF(TransIDDate&lt;Assets!$J$2,TransIDDate,0),0),1),IF($B36="DIS",0,MIN(SUMIFS(TransTDCost,TransAsset,$C36,TransDate,"&lt;="&amp;$L36)+IF($U36=0,0,MIN(($S36-$V36)/($U36*12)*(((YEAR(Assets!$J$2)*12)+MONTH(Assets!$J$2)-1)-((YEAR($L36)*12)+MONTH($L36)-1)),$S36-$V36)),SUMIFS(TransTDCost,TransAsset,$C36,TransDate,"&lt;="&amp;$L36)+IF($U36=0,0,MIN(($T36-$V36)/($U36*12)*(((YEAR(Assets!$J$2)*12)+MONTH(Assets!$J$2)-1)-((YEAR($L36)*12)+MONTH($L36)-1)),$T36-$V36)),$T36-$V36)),0)</f>
        <v>0</v>
      </c>
    </row>
    <row r="37" spans="1:47" ht="16" customHeight="1" x14ac:dyDescent="0.25">
      <c r="A37" s="33">
        <v>43151</v>
      </c>
      <c r="B37" s="4" t="s">
        <v>79</v>
      </c>
      <c r="C37" s="8" t="s">
        <v>342</v>
      </c>
      <c r="D37" s="3" t="s">
        <v>333</v>
      </c>
      <c r="E37" s="3" t="s">
        <v>348</v>
      </c>
      <c r="F37" s="28">
        <v>36900</v>
      </c>
      <c r="G37" s="28">
        <v>5</v>
      </c>
      <c r="H37" s="28">
        <v>0</v>
      </c>
      <c r="I37" s="28">
        <v>0</v>
      </c>
      <c r="J37" s="59" t="str" cm="1">
        <f t="array" aca="1" ref="J37" ca="1">IF(ISNA(VLOOKUP($C37,AssetCode,1,0))=TRUE,"E3",IF(OR(ISBLANK($B37)=TRUE,SUMPRODUCT((TransAsset=$C37)*(TransIDDate&lt;$L37)*(TransType="DIS")*(1))&gt;0),"E4",IF(SUMPRODUCT((TransAsset=$C37)*(TransType="ACQ")*(1))&gt;1,"E5",IF(OR($F37&lt;0,AND(TransType="DIS",$F37&lt;&gt;0)=TRUE),"E6",IF(OR(AND($G37&lt;0,TransType&lt;&gt;"DIS")=TRUE,AND(TransType="DIS",$G37&lt;&gt;0)=TRUE),"E7",IF(OR($H37&lt;0,AND(TransType="DIS",$H37&lt;&gt;0)=TRUE,$H37&gt;$F37),"E8",IF($I37&lt;0,"E9","-")))))))</f>
        <v>-</v>
      </c>
      <c r="K37" s="60" t="str">
        <f>IF(ISNA(VLOOKUP($C37,AssetAll,COLUMN(Assets!$E$4),0))=TRUE,"add!",VLOOKUP($C37,AssetAll,COLUMN(Assets!$E$4),0))</f>
        <v>EQP01</v>
      </c>
      <c r="L37" s="61">
        <f t="shared" ref="L37:L68" ca="1" si="21">IF(OR(ISBLANK($A37)=TRUE,ISNUMBER($A37)=FALSE),TODAY()+(ROW($A37)/86400),$A37+(ROW($A37)/86400))</f>
        <v>43151.000428240739</v>
      </c>
      <c r="M37" s="61">
        <f t="array" aca="1" ref="M37" ca="1">IF(ISBLANK($C37)=TRUE,0,LARGE(IF(TransAsset=$C37,IF(TransIDDate&lt;$L37,TransIDDate,0),0),1))</f>
        <v>0</v>
      </c>
      <c r="N37" s="61">
        <f t="array" aca="1" ref="N37" ca="1">IF(ISBLANK($C37)=TRUE,0,SMALL(IF(TransAsset=$C37,IF(TransIDDate&gt;$L37,TransIDDate,(Assets!$I$2+1)),(Assets!$I$2+1)),1))</f>
        <v>43891.000868055555</v>
      </c>
      <c r="O37" s="61">
        <f t="shared" ref="O37:O68" ca="1" si="22">DATE(YEAR($L37),MONTH($L37)+(U37*12),0)</f>
        <v>44957</v>
      </c>
      <c r="P37" s="61">
        <f ca="1">IF(OR($N37&lt;Assets!$H$2,$O37&lt;Assets!$H$2,$L37&gt;(Assets!$I$2+1)),0,IF($B37="DIS",IF($L37&lt;Assets!$H$2,0,IF($L37&lt;(Assets!$I$2+1),DATE(YEAR($L37),MONTH($L37),0),Assets!$H$2)),IF($L37&lt;Assets!$H$2,Assets!$H$2,DATE(YEAR($L37),MONTH($L37),1))))</f>
        <v>43891</v>
      </c>
      <c r="Q37" s="61">
        <f ca="1">IF($P37=0,0,IF($B37="DIS",IF($L37&gt;(Assets!$I$2+1),MIN(Assets!$I$2,$O37),MIN($L37,$O37)),IF($N37&lt;(Assets!$I$2+1),MIN(IF(DATE(YEAR($N37),MONTH($N37),0)&lt;$P37,$P37,DATE(YEAR($N37),MONTH($N37),0)),$O37),MIN(Assets!$I$2,$O37))))</f>
        <v>43891</v>
      </c>
      <c r="R37" s="60">
        <f t="shared" ref="R37:R68" ca="1" si="23">IF($P37=0,0,IF($Q37=$P37,0,((YEAR($Q37)*12)+MONTH($Q37))-((YEAR($P37)*12)+MONTH($P37)-1)))</f>
        <v>0</v>
      </c>
      <c r="S37" s="60">
        <f t="shared" ref="S37:S68" si="24">IF(ISBLANK($B37)=FALSE,IF(ISNUMBER($F37)=TRUE,$F37,0),0)</f>
        <v>36900</v>
      </c>
      <c r="T37" s="60" cm="1">
        <f t="array" ref="T37">IF(ISBLANK($B37)=FALSE,SUMIFS(TransAmount,TransAsset,$C37,TransType,"ACQ"),0)</f>
        <v>36900</v>
      </c>
      <c r="U37" s="60">
        <f t="shared" ref="U37:U68" si="25">IF(ISBLANK($B37)=FALSE,IF(ISNUMBER($G37)=TRUE,$G37,0),0)</f>
        <v>5</v>
      </c>
      <c r="V37" s="60">
        <f t="shared" ref="V37:V68" si="26">IF(ISBLANK($B37)=FALSE,IF(ISNUMBER($H37)=TRUE,$H37,0),0)</f>
        <v>0</v>
      </c>
      <c r="W37" s="28">
        <f t="shared" ref="W37:W68" ca="1" si="27">IF($M37=0,0,OFFSET($L$4,MATCH($M37,TransIDDate,0),COLUMN($S$4)-COLUMN($L$4),1,1))</f>
        <v>0</v>
      </c>
      <c r="X37" s="28">
        <f t="shared" ref="X37:X68" ca="1" si="28">IF($M37=0,0,OFFSET($L$4,MATCH($M37,TransIDDate,0),COLUMN($V$4)-COLUMN($L$4),1,1))</f>
        <v>0</v>
      </c>
      <c r="Y37" s="28">
        <f t="shared" ref="Y37:Y68" ca="1" si="29">IF($M37=0,0,OFFSET($L$4,MATCH($M37,TransIDDate,0),COLUMN($U$4)-COLUMN($L$4),1,1))</f>
        <v>0</v>
      </c>
      <c r="Z37" s="28">
        <f t="shared" ref="Z37:Z68" ca="1" si="30">IF($M37=0,0,IF($Y37=0,0,IF(($W37-$X37)/($Y37*12)*(((YEAR($A37)*12)+MONTH($A37))-((YEAR($M37)*12)+MONTH($M37)))&gt;($W37-$X37),$W37-$X37,($W37-$X37)/($Y37*12)*(((YEAR($A37)*12)+MONTH($A37))-((YEAR($M37)*12)+MONTH($M37))))))</f>
        <v>0</v>
      </c>
      <c r="AA37" s="28">
        <f t="shared" ref="AA37:AA68" ca="1" si="31">W37-Z37</f>
        <v>0</v>
      </c>
      <c r="AB37" s="28" cm="1">
        <f t="array" aca="1" ref="AB37" ca="1">IF(SUMIFS(TransTDCost,TransAsset,$C37,TransDate,"&lt;="&amp;$L37)&gt;($T37-$X37),($T37-$X37),SUMIFS(TransTDCost,TransAsset,$C37,TransDate,"&lt;="&amp;$L37))</f>
        <v>0</v>
      </c>
      <c r="AC37" s="28">
        <f t="shared" ref="AC37:AC68" ca="1" si="32">SUMIFS(TransCAccDep,TransAsset,$C37,TransDate,"&lt;="&amp;$L37)-AB37</f>
        <v>0</v>
      </c>
      <c r="AD37" s="28">
        <f t="array" aca="1" ref="AD37" ca="1">IF($L37=LARGE(IF(TransAsset=$C37,IF(TransIDDate&lt;Assets!$H$2,TransIDDate,0),0),1),IF($B37="DIS",$AC37,SUMIFS(TransCAccDep,TransAsset,$C37,TransDate,"&lt;="&amp;$L37)+IF($U37=0,0,MIN(($S37-$V37)/($U37*12)*(((YEAR(Assets!$H$2)*12)+MONTH(Assets!$H$2)-1)-((YEAR($L37)*12)+MONTH($L37)-1)),$S37-$V37))),0)-$AO37</f>
        <v>0</v>
      </c>
      <c r="AE37" s="28">
        <f t="shared" ref="AE37:AE68" ca="1" si="33">SUMIFS(TransRSurplus,TransAsset,$C37,TransDate,"&lt;"&amp;$M37)-AC37</f>
        <v>0</v>
      </c>
      <c r="AF37" s="28">
        <f t="shared" ref="AF37:AF68" ca="1" si="34">IF($B37="REV",IF($S37&gt;=$AA37,IF($AH37&gt;0,IF($S37-$AA37-$AH37&lt;0,0,$S37-$AA37-$AH37),$S37-$AA37),IF($S37-$AA37+$AE37&lt;0,-$AE37,$F37-$AA37)),-$AE37)</f>
        <v>0</v>
      </c>
      <c r="AG37" s="28">
        <f t="shared" ref="AG37:AG68" ca="1" si="35">SUM(AE37:AF37)</f>
        <v>0</v>
      </c>
      <c r="AH37" s="28">
        <f t="shared" ref="AH37:AH68" ca="1" si="36">SUMIFS(TransImpair,TransAsset,$C37,TransDate,"&lt;"&amp;$M37)</f>
        <v>0</v>
      </c>
      <c r="AI37" s="28" cm="1">
        <f t="array" ref="AI37">IF($B37="REV",IF($S37-$AA37+$AE37&gt;0,IF(SUMIFS(TransImpair,TransAsset,$C37,TransDate,"&lt;"&amp;$M37)&gt;0,IF(SUMIFS(TransImpair,TransAsset,$C37,TransDate,"&lt;"&amp;$M37)&gt;$S37-$AA37+$AE37,-($S37-$AA37+$AE37),-SUMIFS(TransImpair,TransAsset,$C37,TransDate,"&lt;"&amp;$M37)),0),-($S37-$AA37+$AE37)),0)</f>
        <v>0</v>
      </c>
      <c r="AJ37" s="28">
        <f t="shared" ref="AJ37:AJ68" si="37">IF($B37="DIS",IF(ISNUMBER($I37)=FALSE,-($W37-$Z37)+$AE37,$I37-($W37-$Z37)+$AE37),0)</f>
        <v>0</v>
      </c>
      <c r="AK37" s="28">
        <f t="shared" ref="AK37:AK68" ca="1" si="38">IF($B37="DIS",IF($Y37=0,0,($W37-$X37)/($Y37*12)*$R37),IF($U37=0,0,($S37-$V37)/($U37*12)*$R37))</f>
        <v>0</v>
      </c>
      <c r="AL37" s="28">
        <f t="shared" ref="AL37:AL68" ca="1" si="39">IF($B37="DIS",IF($W37&lt;$T37,IF($Y37=0,0,($W37-$X37)/($Y37*12)*$R37),IF($Y37=0,0,($T37-$X37)/($Y37*12)*$R37)),IF($S37&lt;$T37,IF($U37=0,0,($S37-$V37)/($U37*12)*$R37),IF($U37=0,0,($T37-$V37)/($U37*12)*$R37)))</f>
        <v>0</v>
      </c>
      <c r="AM37" s="28" cm="1">
        <f t="array" aca="1" ref="AM37" ca="1">IF($AN37&gt;($T37-$V37),($T37-$V37)-SUMIFS(TransPCAccDep,TransAsset,$C37,TransDate,"&lt;="&amp;$L37),$AL37)</f>
        <v>0</v>
      </c>
      <c r="AN37" s="28" cm="1">
        <f t="array" aca="1" ref="AN37" ca="1">IF($AL37=0,0,SUMIFS(TransCCYDep2,TransAsset,$C37,TransDate,"&lt;="&amp;$L37)+SUMIFS(TransPCAccDep,TransAsset,$C37,TransDate,"&lt;="&amp;$L37))</f>
        <v>0</v>
      </c>
      <c r="AO37" s="28">
        <f t="array" aca="1" ref="AO37" ca="1">IF($L37=LARGE(IF(TransAsset=$C37,IF(TransIDDate&lt;Assets!$H$2,TransIDDate,0),0),1),IF($B37="DIS",0,MIN(SUMIFS(TransTDCost,TransAsset,$C37,TransDate,"&lt;="&amp;$L37)+IF($U37=0,0,MIN(($S37-$V37)/($U37*12)*(((YEAR(Assets!$H$2)*12)+MONTH(Assets!$H$2)-1)-((YEAR($L37)*12)+MONTH($L37)-1)),$S37-$V37)),SUMIFS(TransTDCost,TransAsset,$C37,TransDate,"&lt;="&amp;$L37)+IF($U37=0,0,MIN(($T37-$V37)/($U37*12)*(((YEAR(Assets!$H$2)*12)+MONTH(Assets!$H$2)-1)-((YEAR($L37)*12)+MONTH($L37)-1)),$T37-$V37)),$T37-$V37)),0)</f>
        <v>15375</v>
      </c>
      <c r="AP37" s="28">
        <f t="shared" ref="AP37:AP68" ca="1" si="40">IF($M37=0,0,IF($W37&lt;$T37,IF($Y37=0,0,IF(($W37-$X37)/($Y37*12)*(((YEAR($A37)*12)+MONTH($A37))-((YEAR($M37)*12)+MONTH($M37)))&gt;($W37-$X37),$W37-$X37,($W37-$X37)/($Y37*12)*(((YEAR($A37)*12)+MONTH($A37))-((YEAR($M37)*12)+MONTH($M37))))),IF($Y37=0,0,IF(($T37-$X37)/($Y37*12)*(((YEAR($A37)*12)+MONTH($A37))-((YEAR($M37)*12)+MONTH($M37)))&gt;($T37-$X37),$T37-$X37,($T37-$X37)/($Y37*12)*(((YEAR($A37)*12)+MONTH($A37))-((YEAR($M37)*12)+MONTH($M37)))))))</f>
        <v>0</v>
      </c>
      <c r="AQ37" s="60">
        <f ca="1">IF(SUMPRODUCT((TransAsset=$C37)*(TransType="DIS")*(TransIDDate&lt;(Assets!$I$2+1))*(1))&gt;0,0,IF(AND($AR37=0,DATE(YEAR($L37),MONTH($L37),1)&lt;&gt;DATE(YEAR(Assets!$J$2),MONTH(Assets!$J$2),1)),0,IF(DATE(YEAR($Q37),MONTH($Q37),1)&lt;&gt;DATE(YEAR(Assets!$I$2),MONTH(Assets!$I$2),1),0,IF($AR37=$S37-$V37,0,IF($U37=0,0,MIN(($S37-$V37)/($U37*12),($S37-$V37)-$AR37))))))</f>
        <v>0</v>
      </c>
      <c r="AR37" s="60">
        <f t="array" aca="1" ref="AR37" ca="1">IF($L37=LARGE(IF(TransAsset=$C37,IF(TransIDDate&lt;Assets!$J$2,TransIDDate,0),0),1),IF($B37="DIS",0,MIN(IF($U37=0,0,(($S37-$V37)/($U37*12)*(((YEAR(Assets!$J$2)*12)+MONTH(Assets!$J$2)-1)-((YEAR($L37)*12)+MONTH($L37)-1)))),($S37-$V37))),0)</f>
        <v>0</v>
      </c>
      <c r="AS37" s="60">
        <f t="shared" ref="AS37:AS68" si="41">IF($B37="DIS",IF($W37&lt;$T37,IF($Y37=0,0,($W37-$X37)/($Y37*12)),IF($Y37=0,0,($T37-$X37)/($Y37*12))),IF($S37&lt;$T37,IF($U37=0,0,($S37-$V37)/($U37*12)),IF($U37=0,0,($T37-$V37)/($U37*12))))</f>
        <v>615</v>
      </c>
      <c r="AT37" s="28" cm="1">
        <f t="array" aca="1" ref="AT37" ca="1">IF(SUMPRODUCT((TransAsset=$C37)*(TransType="DIS")*(TransIDDate&lt;(Assets!$I$2+1))*(1))&gt;0,0,IF(AND($AU37=0,DATE(YEAR($L37),MONTH($L37),1)&lt;&gt;DATE(YEAR(Assets!$J$2),MONTH(Assets!$J$2),1)),0,IF(DATE(YEAR($Q37),MONTH($Q37),1)&lt;&gt;DATE(YEAR(Assets!$I$2),MONTH(Assets!$I$2),1),0,IF(SUMIFS(TransPMAccDep,TransAsset,$C37)&gt;=($T37-$V37),($T37-$V37)-SUMIFS(TransPMAccDep,TransAsset,$C37),IF($U37=0,0,IF($S37&lt;$T37,MIN(($S37-$V37)/($U37*12),($T37-$V37)-$AU37),MIN(($T37-$V37)/($U37*12),($T37-$V37)-$AU37)))))))</f>
        <v>0</v>
      </c>
      <c r="AU37" s="28">
        <f t="array" aca="1" ref="AU37" ca="1">IF($L37=LARGE(IF(TransAsset=$C37,IF(TransIDDate&lt;Assets!$J$2,TransIDDate,0),0),1),IF($B37="DIS",0,MIN(SUMIFS(TransTDCost,TransAsset,$C37,TransDate,"&lt;="&amp;$L37)+IF($U37=0,0,MIN(($S37-$V37)/($U37*12)*(((YEAR(Assets!$J$2)*12)+MONTH(Assets!$J$2)-1)-((YEAR($L37)*12)+MONTH($L37)-1)),$S37-$V37)),SUMIFS(TransTDCost,TransAsset,$C37,TransDate,"&lt;="&amp;$L37)+IF($U37=0,0,MIN(($T37-$V37)/($U37*12)*(((YEAR(Assets!$J$2)*12)+MONTH(Assets!$J$2)-1)-((YEAR($L37)*12)+MONTH($L37)-1)),$T37-$V37)),$T37-$V37)),0)</f>
        <v>0</v>
      </c>
    </row>
    <row r="38" spans="1:47" ht="16" customHeight="1" x14ac:dyDescent="0.25">
      <c r="A38" s="33">
        <v>43250</v>
      </c>
      <c r="B38" s="4" t="s">
        <v>79</v>
      </c>
      <c r="C38" s="8" t="s">
        <v>308</v>
      </c>
      <c r="D38" s="3" t="s">
        <v>357</v>
      </c>
      <c r="E38" s="3" t="s">
        <v>358</v>
      </c>
      <c r="F38" s="28">
        <v>5150</v>
      </c>
      <c r="G38" s="28">
        <v>4</v>
      </c>
      <c r="H38" s="28">
        <v>0</v>
      </c>
      <c r="I38" s="28">
        <v>0</v>
      </c>
      <c r="J38" s="59" t="str" cm="1">
        <f t="array" aca="1" ref="J38" ca="1">IF(ISNA(VLOOKUP($C38,AssetCode,1,0))=TRUE,"E3",IF(OR(ISBLANK($B38)=TRUE,SUMPRODUCT((TransAsset=$C38)*(TransIDDate&lt;$L38)*(TransType="DIS")*(1))&gt;0),"E4",IF(SUMPRODUCT((TransAsset=$C38)*(TransType="ACQ")*(1))&gt;1,"E5",IF(OR($F38&lt;0,AND(TransType="DIS",$F38&lt;&gt;0)=TRUE),"E6",IF(OR(AND($G38&lt;0,TransType&lt;&gt;"DIS")=TRUE,AND(TransType="DIS",$G38&lt;&gt;0)=TRUE),"E7",IF(OR($H38&lt;0,AND(TransType="DIS",$H38&lt;&gt;0)=TRUE,$H38&gt;$F38),"E8",IF($I38&lt;0,"E9","-")))))))</f>
        <v>-</v>
      </c>
      <c r="K38" s="60" t="str">
        <f>IF(ISNA(VLOOKUP($C38,AssetAll,COLUMN(Assets!$E$4),0))=TRUE,"add!",VLOOKUP($C38,AssetAll,COLUMN(Assets!$E$4),0))</f>
        <v>OFE01</v>
      </c>
      <c r="L38" s="61">
        <f t="shared" ca="1" si="21"/>
        <v>43250.000439814816</v>
      </c>
      <c r="M38" s="61">
        <f t="array" aca="1" ref="M38" ca="1">IF(ISBLANK($C38)=TRUE,0,LARGE(IF(TransAsset=$C38,IF(TransIDDate&lt;$L38,TransIDDate,0),0),1))</f>
        <v>0</v>
      </c>
      <c r="N38" s="61">
        <f t="array" aca="1" ref="N38" ca="1">IF(ISBLANK($C38)=TRUE,0,SMALL(IF(TransAsset=$C38,IF(TransIDDate&gt;$L38,TransIDDate,(Assets!$I$2+1)),(Assets!$I$2+1)),1))</f>
        <v>43891.000590277778</v>
      </c>
      <c r="O38" s="61">
        <f t="shared" ca="1" si="22"/>
        <v>44681</v>
      </c>
      <c r="P38" s="61">
        <f ca="1">IF(OR($N38&lt;Assets!$H$2,$O38&lt;Assets!$H$2,$L38&gt;(Assets!$I$2+1)),0,IF($B38="DIS",IF($L38&lt;Assets!$H$2,0,IF($L38&lt;(Assets!$I$2+1),DATE(YEAR($L38),MONTH($L38),0),Assets!$H$2)),IF($L38&lt;Assets!$H$2,Assets!$H$2,DATE(YEAR($L38),MONTH($L38),1))))</f>
        <v>43891</v>
      </c>
      <c r="Q38" s="61">
        <f ca="1">IF($P38=0,0,IF($B38="DIS",IF($L38&gt;(Assets!$I$2+1),MIN(Assets!$I$2,$O38),MIN($L38,$O38)),IF($N38&lt;(Assets!$I$2+1),MIN(IF(DATE(YEAR($N38),MONTH($N38),0)&lt;$P38,$P38,DATE(YEAR($N38),MONTH($N38),0)),$O38),MIN(Assets!$I$2,$O38))))</f>
        <v>43891</v>
      </c>
      <c r="R38" s="60">
        <f t="shared" ca="1" si="23"/>
        <v>0</v>
      </c>
      <c r="S38" s="60">
        <f t="shared" si="24"/>
        <v>5150</v>
      </c>
      <c r="T38" s="60" cm="1">
        <f t="array" ref="T38">IF(ISBLANK($B38)=FALSE,SUMIFS(TransAmount,TransAsset,$C38,TransType,"ACQ"),0)</f>
        <v>5150</v>
      </c>
      <c r="U38" s="60">
        <f t="shared" si="25"/>
        <v>4</v>
      </c>
      <c r="V38" s="60">
        <f t="shared" si="26"/>
        <v>0</v>
      </c>
      <c r="W38" s="28">
        <f t="shared" ca="1" si="27"/>
        <v>0</v>
      </c>
      <c r="X38" s="28">
        <f t="shared" ca="1" si="28"/>
        <v>0</v>
      </c>
      <c r="Y38" s="28">
        <f t="shared" ca="1" si="29"/>
        <v>0</v>
      </c>
      <c r="Z38" s="28">
        <f t="shared" ca="1" si="30"/>
        <v>0</v>
      </c>
      <c r="AA38" s="28">
        <f t="shared" ca="1" si="31"/>
        <v>0</v>
      </c>
      <c r="AB38" s="28" cm="1">
        <f t="array" aca="1" ref="AB38" ca="1">IF(SUMIFS(TransTDCost,TransAsset,$C38,TransDate,"&lt;="&amp;$L38)&gt;($T38-$X38),($T38-$X38),SUMIFS(TransTDCost,TransAsset,$C38,TransDate,"&lt;="&amp;$L38))</f>
        <v>0</v>
      </c>
      <c r="AC38" s="28">
        <f t="shared" ca="1" si="32"/>
        <v>0</v>
      </c>
      <c r="AD38" s="28">
        <f t="array" aca="1" ref="AD38" ca="1">IF($L38=LARGE(IF(TransAsset=$C38,IF(TransIDDate&lt;Assets!$H$2,TransIDDate,0),0),1),IF($B38="DIS",$AC38,SUMIFS(TransCAccDep,TransAsset,$C38,TransDate,"&lt;="&amp;$L38)+IF($U38=0,0,MIN(($S38-$V38)/($U38*12)*(((YEAR(Assets!$H$2)*12)+MONTH(Assets!$H$2)-1)-((YEAR($L38)*12)+MONTH($L38)-1)),$S38-$V38))),0)-$AO38</f>
        <v>0</v>
      </c>
      <c r="AE38" s="28">
        <f t="shared" ca="1" si="33"/>
        <v>0</v>
      </c>
      <c r="AF38" s="28">
        <f t="shared" ca="1" si="34"/>
        <v>0</v>
      </c>
      <c r="AG38" s="28">
        <f t="shared" ca="1" si="35"/>
        <v>0</v>
      </c>
      <c r="AH38" s="28">
        <f t="shared" ca="1" si="36"/>
        <v>0</v>
      </c>
      <c r="AI38" s="28" cm="1">
        <f t="array" ref="AI38">IF($B38="REV",IF($S38-$AA38+$AE38&gt;0,IF(SUMIFS(TransImpair,TransAsset,$C38,TransDate,"&lt;"&amp;$M38)&gt;0,IF(SUMIFS(TransImpair,TransAsset,$C38,TransDate,"&lt;"&amp;$M38)&gt;$S38-$AA38+$AE38,-($S38-$AA38+$AE38),-SUMIFS(TransImpair,TransAsset,$C38,TransDate,"&lt;"&amp;$M38)),0),-($S38-$AA38+$AE38)),0)</f>
        <v>0</v>
      </c>
      <c r="AJ38" s="28">
        <f t="shared" si="37"/>
        <v>0</v>
      </c>
      <c r="AK38" s="28">
        <f t="shared" ca="1" si="38"/>
        <v>0</v>
      </c>
      <c r="AL38" s="28">
        <f t="shared" ca="1" si="39"/>
        <v>0</v>
      </c>
      <c r="AM38" s="28" cm="1">
        <f t="array" aca="1" ref="AM38" ca="1">IF($AN38&gt;($T38-$V38),($T38-$V38)-SUMIFS(TransPCAccDep,TransAsset,$C38,TransDate,"&lt;="&amp;$L38),$AL38)</f>
        <v>0</v>
      </c>
      <c r="AN38" s="28" cm="1">
        <f t="array" aca="1" ref="AN38" ca="1">IF($AL38=0,0,SUMIFS(TransCCYDep2,TransAsset,$C38,TransDate,"&lt;="&amp;$L38)+SUMIFS(TransPCAccDep,TransAsset,$C38,TransDate,"&lt;="&amp;$L38))</f>
        <v>0</v>
      </c>
      <c r="AO38" s="28">
        <f t="array" aca="1" ref="AO38" ca="1">IF($L38=LARGE(IF(TransAsset=$C38,IF(TransIDDate&lt;Assets!$H$2,TransIDDate,0),0),1),IF($B38="DIS",0,MIN(SUMIFS(TransTDCost,TransAsset,$C38,TransDate,"&lt;="&amp;$L38)+IF($U38=0,0,MIN(($S38-$V38)/($U38*12)*(((YEAR(Assets!$H$2)*12)+MONTH(Assets!$H$2)-1)-((YEAR($L38)*12)+MONTH($L38)-1)),$S38-$V38)),SUMIFS(TransTDCost,TransAsset,$C38,TransDate,"&lt;="&amp;$L38)+IF($U38=0,0,MIN(($T38-$V38)/($U38*12)*(((YEAR(Assets!$H$2)*12)+MONTH(Assets!$H$2)-1)-((YEAR($L38)*12)+MONTH($L38)-1)),$T38-$V38)),$T38-$V38)),0)</f>
        <v>2360.416666666667</v>
      </c>
      <c r="AP38" s="28">
        <f t="shared" ca="1" si="40"/>
        <v>0</v>
      </c>
      <c r="AQ38" s="60">
        <f ca="1">IF(SUMPRODUCT((TransAsset=$C38)*(TransType="DIS")*(TransIDDate&lt;(Assets!$I$2+1))*(1))&gt;0,0,IF(AND($AR38=0,DATE(YEAR($L38),MONTH($L38),1)&lt;&gt;DATE(YEAR(Assets!$J$2),MONTH(Assets!$J$2),1)),0,IF(DATE(YEAR($Q38),MONTH($Q38),1)&lt;&gt;DATE(YEAR(Assets!$I$2),MONTH(Assets!$I$2),1),0,IF($AR38=$S38-$V38,0,IF($U38=0,0,MIN(($S38-$V38)/($U38*12),($S38-$V38)-$AR38))))))</f>
        <v>0</v>
      </c>
      <c r="AR38" s="60">
        <f t="array" aca="1" ref="AR38" ca="1">IF($L38=LARGE(IF(TransAsset=$C38,IF(TransIDDate&lt;Assets!$J$2,TransIDDate,0),0),1),IF($B38="DIS",0,MIN(IF($U38=0,0,(($S38-$V38)/($U38*12)*(((YEAR(Assets!$J$2)*12)+MONTH(Assets!$J$2)-1)-((YEAR($L38)*12)+MONTH($L38)-1)))),($S38-$V38))),0)</f>
        <v>0</v>
      </c>
      <c r="AS38" s="60">
        <f t="shared" si="41"/>
        <v>107.29166666666667</v>
      </c>
      <c r="AT38" s="28" cm="1">
        <f t="array" aca="1" ref="AT38" ca="1">IF(SUMPRODUCT((TransAsset=$C38)*(TransType="DIS")*(TransIDDate&lt;(Assets!$I$2+1))*(1))&gt;0,0,IF(AND($AU38=0,DATE(YEAR($L38),MONTH($L38),1)&lt;&gt;DATE(YEAR(Assets!$J$2),MONTH(Assets!$J$2),1)),0,IF(DATE(YEAR($Q38),MONTH($Q38),1)&lt;&gt;DATE(YEAR(Assets!$I$2),MONTH(Assets!$I$2),1),0,IF(SUMIFS(TransPMAccDep,TransAsset,$C38)&gt;=($T38-$V38),($T38-$V38)-SUMIFS(TransPMAccDep,TransAsset,$C38),IF($U38=0,0,IF($S38&lt;$T38,MIN(($S38-$V38)/($U38*12),($T38-$V38)-$AU38),MIN(($T38-$V38)/($U38*12),($T38-$V38)-$AU38)))))))</f>
        <v>0</v>
      </c>
      <c r="AU38" s="28">
        <f t="array" aca="1" ref="AU38" ca="1">IF($L38=LARGE(IF(TransAsset=$C38,IF(TransIDDate&lt;Assets!$J$2,TransIDDate,0),0),1),IF($B38="DIS",0,MIN(SUMIFS(TransTDCost,TransAsset,$C38,TransDate,"&lt;="&amp;$L38)+IF($U38=0,0,MIN(($S38-$V38)/($U38*12)*(((YEAR(Assets!$J$2)*12)+MONTH(Assets!$J$2)-1)-((YEAR($L38)*12)+MONTH($L38)-1)),$S38-$V38)),SUMIFS(TransTDCost,TransAsset,$C38,TransDate,"&lt;="&amp;$L38)+IF($U38=0,0,MIN(($T38-$V38)/($U38*12)*(((YEAR(Assets!$J$2)*12)+MONTH(Assets!$J$2)-1)-((YEAR($L38)*12)+MONTH($L38)-1)),$T38-$V38)),$T38-$V38)),0)</f>
        <v>0</v>
      </c>
    </row>
    <row r="39" spans="1:47" ht="16" customHeight="1" x14ac:dyDescent="0.25">
      <c r="A39" s="33">
        <v>43263</v>
      </c>
      <c r="B39" s="4" t="s">
        <v>79</v>
      </c>
      <c r="C39" s="8" t="s">
        <v>330</v>
      </c>
      <c r="D39" s="3" t="s">
        <v>333</v>
      </c>
      <c r="E39" s="3" t="s">
        <v>337</v>
      </c>
      <c r="F39" s="28">
        <v>15000</v>
      </c>
      <c r="G39" s="28">
        <v>5</v>
      </c>
      <c r="H39" s="28">
        <v>0</v>
      </c>
      <c r="I39" s="28">
        <v>0</v>
      </c>
      <c r="J39" s="59" t="str" cm="1">
        <f t="array" aca="1" ref="J39" ca="1">IF(ISNA(VLOOKUP($C39,AssetCode,1,0))=TRUE,"E3",IF(OR(ISBLANK($B39)=TRUE,SUMPRODUCT((TransAsset=$C39)*(TransIDDate&lt;$L39)*(TransType="DIS")*(1))&gt;0),"E4",IF(SUMPRODUCT((TransAsset=$C39)*(TransType="ACQ")*(1))&gt;1,"E5",IF(OR($F39&lt;0,AND(TransType="DIS",$F39&lt;&gt;0)=TRUE),"E6",IF(OR(AND($G39&lt;0,TransType&lt;&gt;"DIS")=TRUE,AND(TransType="DIS",$G39&lt;&gt;0)=TRUE),"E7",IF(OR($H39&lt;0,AND(TransType="DIS",$H39&lt;&gt;0)=TRUE,$H39&gt;$F39),"E8",IF($I39&lt;0,"E9","-")))))))</f>
        <v>-</v>
      </c>
      <c r="K39" s="60" t="str">
        <f>IF(ISNA(VLOOKUP($C39,AssetAll,COLUMN(Assets!$E$4),0))=TRUE,"add!",VLOOKUP($C39,AssetAll,COLUMN(Assets!$E$4),0))</f>
        <v>PPM01</v>
      </c>
      <c r="L39" s="61">
        <f t="shared" ca="1" si="21"/>
        <v>43263.000451388885</v>
      </c>
      <c r="M39" s="61">
        <f t="array" aca="1" ref="M39" ca="1">IF(ISBLANK($C39)=TRUE,0,LARGE(IF(TransAsset=$C39,IF(TransIDDate&lt;$L39,TransIDDate,0),0),1))</f>
        <v>0</v>
      </c>
      <c r="N39" s="61">
        <f t="array" aca="1" ref="N39" ca="1">IF(ISBLANK($C39)=TRUE,0,SMALL(IF(TransAsset=$C39,IF(TransIDDate&gt;$L39,TransIDDate,(Assets!$I$2+1)),(Assets!$I$2+1)),1))</f>
        <v>43891.000763888886</v>
      </c>
      <c r="O39" s="61">
        <f t="shared" ca="1" si="22"/>
        <v>45077</v>
      </c>
      <c r="P39" s="61">
        <f ca="1">IF(OR($N39&lt;Assets!$H$2,$O39&lt;Assets!$H$2,$L39&gt;(Assets!$I$2+1)),0,IF($B39="DIS",IF($L39&lt;Assets!$H$2,0,IF($L39&lt;(Assets!$I$2+1),DATE(YEAR($L39),MONTH($L39),0),Assets!$H$2)),IF($L39&lt;Assets!$H$2,Assets!$H$2,DATE(YEAR($L39),MONTH($L39),1))))</f>
        <v>43891</v>
      </c>
      <c r="Q39" s="61">
        <f ca="1">IF($P39=0,0,IF($B39="DIS",IF($L39&gt;(Assets!$I$2+1),MIN(Assets!$I$2,$O39),MIN($L39,$O39)),IF($N39&lt;(Assets!$I$2+1),MIN(IF(DATE(YEAR($N39),MONTH($N39),0)&lt;$P39,$P39,DATE(YEAR($N39),MONTH($N39),0)),$O39),MIN(Assets!$I$2,$O39))))</f>
        <v>43891</v>
      </c>
      <c r="R39" s="60">
        <f t="shared" ca="1" si="23"/>
        <v>0</v>
      </c>
      <c r="S39" s="60">
        <f t="shared" si="24"/>
        <v>15000</v>
      </c>
      <c r="T39" s="60" cm="1">
        <f t="array" ref="T39">IF(ISBLANK($B39)=FALSE,SUMIFS(TransAmount,TransAsset,$C39,TransType,"ACQ"),0)</f>
        <v>15000</v>
      </c>
      <c r="U39" s="60">
        <f t="shared" si="25"/>
        <v>5</v>
      </c>
      <c r="V39" s="60">
        <f t="shared" si="26"/>
        <v>0</v>
      </c>
      <c r="W39" s="28">
        <f t="shared" ca="1" si="27"/>
        <v>0</v>
      </c>
      <c r="X39" s="28">
        <f t="shared" ca="1" si="28"/>
        <v>0</v>
      </c>
      <c r="Y39" s="28">
        <f t="shared" ca="1" si="29"/>
        <v>0</v>
      </c>
      <c r="Z39" s="28">
        <f t="shared" ca="1" si="30"/>
        <v>0</v>
      </c>
      <c r="AA39" s="28">
        <f t="shared" ca="1" si="31"/>
        <v>0</v>
      </c>
      <c r="AB39" s="28" cm="1">
        <f t="array" aca="1" ref="AB39" ca="1">IF(SUMIFS(TransTDCost,TransAsset,$C39,TransDate,"&lt;="&amp;$L39)&gt;($T39-$X39),($T39-$X39),SUMIFS(TransTDCost,TransAsset,$C39,TransDate,"&lt;="&amp;$L39))</f>
        <v>0</v>
      </c>
      <c r="AC39" s="28">
        <f t="shared" ca="1" si="32"/>
        <v>0</v>
      </c>
      <c r="AD39" s="28">
        <f t="array" aca="1" ref="AD39" ca="1">IF($L39=LARGE(IF(TransAsset=$C39,IF(TransIDDate&lt;Assets!$H$2,TransIDDate,0),0),1),IF($B39="DIS",$AC39,SUMIFS(TransCAccDep,TransAsset,$C39,TransDate,"&lt;="&amp;$L39)+IF($U39=0,0,MIN(($S39-$V39)/($U39*12)*(((YEAR(Assets!$H$2)*12)+MONTH(Assets!$H$2)-1)-((YEAR($L39)*12)+MONTH($L39)-1)),$S39-$V39))),0)-$AO39</f>
        <v>0</v>
      </c>
      <c r="AE39" s="28">
        <f t="shared" ca="1" si="33"/>
        <v>0</v>
      </c>
      <c r="AF39" s="28">
        <f t="shared" ca="1" si="34"/>
        <v>0</v>
      </c>
      <c r="AG39" s="28">
        <f t="shared" ca="1" si="35"/>
        <v>0</v>
      </c>
      <c r="AH39" s="28">
        <f t="shared" ca="1" si="36"/>
        <v>0</v>
      </c>
      <c r="AI39" s="28" cm="1">
        <f t="array" ref="AI39">IF($B39="REV",IF($S39-$AA39+$AE39&gt;0,IF(SUMIFS(TransImpair,TransAsset,$C39,TransDate,"&lt;"&amp;$M39)&gt;0,IF(SUMIFS(TransImpair,TransAsset,$C39,TransDate,"&lt;"&amp;$M39)&gt;$S39-$AA39+$AE39,-($S39-$AA39+$AE39),-SUMIFS(TransImpair,TransAsset,$C39,TransDate,"&lt;"&amp;$M39)),0),-($S39-$AA39+$AE39)),0)</f>
        <v>0</v>
      </c>
      <c r="AJ39" s="28">
        <f t="shared" si="37"/>
        <v>0</v>
      </c>
      <c r="AK39" s="28">
        <f t="shared" ca="1" si="38"/>
        <v>0</v>
      </c>
      <c r="AL39" s="28">
        <f t="shared" ca="1" si="39"/>
        <v>0</v>
      </c>
      <c r="AM39" s="28" cm="1">
        <f t="array" aca="1" ref="AM39" ca="1">IF($AN39&gt;($T39-$V39),($T39-$V39)-SUMIFS(TransPCAccDep,TransAsset,$C39,TransDate,"&lt;="&amp;$L39),$AL39)</f>
        <v>0</v>
      </c>
      <c r="AN39" s="28" cm="1">
        <f t="array" aca="1" ref="AN39" ca="1">IF($AL39=0,0,SUMIFS(TransCCYDep2,TransAsset,$C39,TransDate,"&lt;="&amp;$L39)+SUMIFS(TransPCAccDep,TransAsset,$C39,TransDate,"&lt;="&amp;$L39))</f>
        <v>0</v>
      </c>
      <c r="AO39" s="28">
        <f t="array" aca="1" ref="AO39" ca="1">IF($L39=LARGE(IF(TransAsset=$C39,IF(TransIDDate&lt;Assets!$H$2,TransIDDate,0),0),1),IF($B39="DIS",0,MIN(SUMIFS(TransTDCost,TransAsset,$C39,TransDate,"&lt;="&amp;$L39)+IF($U39=0,0,MIN(($S39-$V39)/($U39*12)*(((YEAR(Assets!$H$2)*12)+MONTH(Assets!$H$2)-1)-((YEAR($L39)*12)+MONTH($L39)-1)),$S39-$V39)),SUMIFS(TransTDCost,TransAsset,$C39,TransDate,"&lt;="&amp;$L39)+IF($U39=0,0,MIN(($T39-$V39)/($U39*12)*(((YEAR(Assets!$H$2)*12)+MONTH(Assets!$H$2)-1)-((YEAR($L39)*12)+MONTH($L39)-1)),$T39-$V39)),$T39-$V39)),0)</f>
        <v>5250</v>
      </c>
      <c r="AP39" s="28">
        <f t="shared" ca="1" si="40"/>
        <v>0</v>
      </c>
      <c r="AQ39" s="60">
        <f ca="1">IF(SUMPRODUCT((TransAsset=$C39)*(TransType="DIS")*(TransIDDate&lt;(Assets!$I$2+1))*(1))&gt;0,0,IF(AND($AR39=0,DATE(YEAR($L39),MONTH($L39),1)&lt;&gt;DATE(YEAR(Assets!$J$2),MONTH(Assets!$J$2),1)),0,IF(DATE(YEAR($Q39),MONTH($Q39),1)&lt;&gt;DATE(YEAR(Assets!$I$2),MONTH(Assets!$I$2),1),0,IF($AR39=$S39-$V39,0,IF($U39=0,0,MIN(($S39-$V39)/($U39*12),($S39-$V39)-$AR39))))))</f>
        <v>0</v>
      </c>
      <c r="AR39" s="60">
        <f t="array" aca="1" ref="AR39" ca="1">IF($L39=LARGE(IF(TransAsset=$C39,IF(TransIDDate&lt;Assets!$J$2,TransIDDate,0),0),1),IF($B39="DIS",0,MIN(IF($U39=0,0,(($S39-$V39)/($U39*12)*(((YEAR(Assets!$J$2)*12)+MONTH(Assets!$J$2)-1)-((YEAR($L39)*12)+MONTH($L39)-1)))),($S39-$V39))),0)</f>
        <v>0</v>
      </c>
      <c r="AS39" s="60">
        <f t="shared" si="41"/>
        <v>250</v>
      </c>
      <c r="AT39" s="28" cm="1">
        <f t="array" aca="1" ref="AT39" ca="1">IF(SUMPRODUCT((TransAsset=$C39)*(TransType="DIS")*(TransIDDate&lt;(Assets!$I$2+1))*(1))&gt;0,0,IF(AND($AU39=0,DATE(YEAR($L39),MONTH($L39),1)&lt;&gt;DATE(YEAR(Assets!$J$2),MONTH(Assets!$J$2),1)),0,IF(DATE(YEAR($Q39),MONTH($Q39),1)&lt;&gt;DATE(YEAR(Assets!$I$2),MONTH(Assets!$I$2),1),0,IF(SUMIFS(TransPMAccDep,TransAsset,$C39)&gt;=($T39-$V39),($T39-$V39)-SUMIFS(TransPMAccDep,TransAsset,$C39),IF($U39=0,0,IF($S39&lt;$T39,MIN(($S39-$V39)/($U39*12),($T39-$V39)-$AU39),MIN(($T39-$V39)/($U39*12),($T39-$V39)-$AU39)))))))</f>
        <v>0</v>
      </c>
      <c r="AU39" s="28">
        <f t="array" aca="1" ref="AU39" ca="1">IF($L39=LARGE(IF(TransAsset=$C39,IF(TransIDDate&lt;Assets!$J$2,TransIDDate,0),0),1),IF($B39="DIS",0,MIN(SUMIFS(TransTDCost,TransAsset,$C39,TransDate,"&lt;="&amp;$L39)+IF($U39=0,0,MIN(($S39-$V39)/($U39*12)*(((YEAR(Assets!$J$2)*12)+MONTH(Assets!$J$2)-1)-((YEAR($L39)*12)+MONTH($L39)-1)),$S39-$V39)),SUMIFS(TransTDCost,TransAsset,$C39,TransDate,"&lt;="&amp;$L39)+IF($U39=0,0,MIN(($T39-$V39)/($U39*12)*(((YEAR(Assets!$J$2)*12)+MONTH(Assets!$J$2)-1)-((YEAR($L39)*12)+MONTH($L39)-1)),$T39-$V39)),$T39-$V39)),0)</f>
        <v>0</v>
      </c>
    </row>
    <row r="40" spans="1:47" ht="16" customHeight="1" x14ac:dyDescent="0.25">
      <c r="A40" s="33">
        <v>43327</v>
      </c>
      <c r="B40" s="4" t="s">
        <v>79</v>
      </c>
      <c r="C40" s="8" t="s">
        <v>343</v>
      </c>
      <c r="D40" s="3" t="s">
        <v>333</v>
      </c>
      <c r="E40" s="3" t="s">
        <v>349</v>
      </c>
      <c r="F40" s="28">
        <v>40000</v>
      </c>
      <c r="G40" s="28">
        <v>5</v>
      </c>
      <c r="H40" s="28">
        <v>0</v>
      </c>
      <c r="I40" s="28">
        <v>0</v>
      </c>
      <c r="J40" s="59" t="str" cm="1">
        <f t="array" aca="1" ref="J40" ca="1">IF(ISNA(VLOOKUP($C40,AssetCode,1,0))=TRUE,"E3",IF(OR(ISBLANK($B40)=TRUE,SUMPRODUCT((TransAsset=$C40)*(TransIDDate&lt;$L40)*(TransType="DIS")*(1))&gt;0),"E4",IF(SUMPRODUCT((TransAsset=$C40)*(TransType="ACQ")*(1))&gt;1,"E5",IF(OR($F40&lt;0,AND(TransType="DIS",$F40&lt;&gt;0)=TRUE),"E6",IF(OR(AND($G40&lt;0,TransType&lt;&gt;"DIS")=TRUE,AND(TransType="DIS",$G40&lt;&gt;0)=TRUE),"E7",IF(OR($H40&lt;0,AND(TransType="DIS",$H40&lt;&gt;0)=TRUE,$H40&gt;$F40),"E8",IF($I40&lt;0,"E9","-")))))))</f>
        <v>-</v>
      </c>
      <c r="K40" s="60" t="str">
        <f>IF(ISNA(VLOOKUP($C40,AssetAll,COLUMN(Assets!$E$4),0))=TRUE,"add!",VLOOKUP($C40,AssetAll,COLUMN(Assets!$E$4),0))</f>
        <v>EQP01</v>
      </c>
      <c r="L40" s="61">
        <f t="shared" ca="1" si="21"/>
        <v>43327.000462962962</v>
      </c>
      <c r="M40" s="61">
        <f t="array" aca="1" ref="M40" ca="1">IF(ISBLANK($C40)=TRUE,0,LARGE(IF(TransAsset=$C40,IF(TransIDDate&lt;$L40,TransIDDate,0),0),1))</f>
        <v>0</v>
      </c>
      <c r="N40" s="61">
        <f t="array" aca="1" ref="N40" ca="1">IF(ISBLANK($C40)=TRUE,0,SMALL(IF(TransAsset=$C40,IF(TransIDDate&gt;$L40,TransIDDate,(Assets!$I$2+1)),(Assets!$I$2+1)),1))</f>
        <v>43891.000879629632</v>
      </c>
      <c r="O40" s="61">
        <f t="shared" ca="1" si="22"/>
        <v>45138</v>
      </c>
      <c r="P40" s="61">
        <f ca="1">IF(OR($N40&lt;Assets!$H$2,$O40&lt;Assets!$H$2,$L40&gt;(Assets!$I$2+1)),0,IF($B40="DIS",IF($L40&lt;Assets!$H$2,0,IF($L40&lt;(Assets!$I$2+1),DATE(YEAR($L40),MONTH($L40),0),Assets!$H$2)),IF($L40&lt;Assets!$H$2,Assets!$H$2,DATE(YEAR($L40),MONTH($L40),1))))</f>
        <v>43891</v>
      </c>
      <c r="Q40" s="61">
        <f ca="1">IF($P40=0,0,IF($B40="DIS",IF($L40&gt;(Assets!$I$2+1),MIN(Assets!$I$2,$O40),MIN($L40,$O40)),IF($N40&lt;(Assets!$I$2+1),MIN(IF(DATE(YEAR($N40),MONTH($N40),0)&lt;$P40,$P40,DATE(YEAR($N40),MONTH($N40),0)),$O40),MIN(Assets!$I$2,$O40))))</f>
        <v>43891</v>
      </c>
      <c r="R40" s="60">
        <f t="shared" ca="1" si="23"/>
        <v>0</v>
      </c>
      <c r="S40" s="60">
        <f t="shared" si="24"/>
        <v>40000</v>
      </c>
      <c r="T40" s="60" cm="1">
        <f t="array" ref="T40">IF(ISBLANK($B40)=FALSE,SUMIFS(TransAmount,TransAsset,$C40,TransType,"ACQ"),0)</f>
        <v>40000</v>
      </c>
      <c r="U40" s="60">
        <f t="shared" si="25"/>
        <v>5</v>
      </c>
      <c r="V40" s="60">
        <f t="shared" si="26"/>
        <v>0</v>
      </c>
      <c r="W40" s="28">
        <f t="shared" ca="1" si="27"/>
        <v>0</v>
      </c>
      <c r="X40" s="28">
        <f t="shared" ca="1" si="28"/>
        <v>0</v>
      </c>
      <c r="Y40" s="28">
        <f t="shared" ca="1" si="29"/>
        <v>0</v>
      </c>
      <c r="Z40" s="28">
        <f t="shared" ca="1" si="30"/>
        <v>0</v>
      </c>
      <c r="AA40" s="28">
        <f t="shared" ca="1" si="31"/>
        <v>0</v>
      </c>
      <c r="AB40" s="28" cm="1">
        <f t="array" aca="1" ref="AB40" ca="1">IF(SUMIFS(TransTDCost,TransAsset,$C40,TransDate,"&lt;="&amp;$L40)&gt;($T40-$X40),($T40-$X40),SUMIFS(TransTDCost,TransAsset,$C40,TransDate,"&lt;="&amp;$L40))</f>
        <v>0</v>
      </c>
      <c r="AC40" s="28">
        <f t="shared" ca="1" si="32"/>
        <v>0</v>
      </c>
      <c r="AD40" s="28">
        <f t="array" aca="1" ref="AD40" ca="1">IF($L40=LARGE(IF(TransAsset=$C40,IF(TransIDDate&lt;Assets!$H$2,TransIDDate,0),0),1),IF($B40="DIS",$AC40,SUMIFS(TransCAccDep,TransAsset,$C40,TransDate,"&lt;="&amp;$L40)+IF($U40=0,0,MIN(($S40-$V40)/($U40*12)*(((YEAR(Assets!$H$2)*12)+MONTH(Assets!$H$2)-1)-((YEAR($L40)*12)+MONTH($L40)-1)),$S40-$V40))),0)-$AO40</f>
        <v>0</v>
      </c>
      <c r="AE40" s="28">
        <f t="shared" ca="1" si="33"/>
        <v>0</v>
      </c>
      <c r="AF40" s="28">
        <f t="shared" ca="1" si="34"/>
        <v>0</v>
      </c>
      <c r="AG40" s="28">
        <f t="shared" ca="1" si="35"/>
        <v>0</v>
      </c>
      <c r="AH40" s="28">
        <f t="shared" ca="1" si="36"/>
        <v>0</v>
      </c>
      <c r="AI40" s="28" cm="1">
        <f t="array" ref="AI40">IF($B40="REV",IF($S40-$AA40+$AE40&gt;0,IF(SUMIFS(TransImpair,TransAsset,$C40,TransDate,"&lt;"&amp;$M40)&gt;0,IF(SUMIFS(TransImpair,TransAsset,$C40,TransDate,"&lt;"&amp;$M40)&gt;$S40-$AA40+$AE40,-($S40-$AA40+$AE40),-SUMIFS(TransImpair,TransAsset,$C40,TransDate,"&lt;"&amp;$M40)),0),-($S40-$AA40+$AE40)),0)</f>
        <v>0</v>
      </c>
      <c r="AJ40" s="28">
        <f t="shared" si="37"/>
        <v>0</v>
      </c>
      <c r="AK40" s="28">
        <f t="shared" ca="1" si="38"/>
        <v>0</v>
      </c>
      <c r="AL40" s="28">
        <f t="shared" ca="1" si="39"/>
        <v>0</v>
      </c>
      <c r="AM40" s="28" cm="1">
        <f t="array" aca="1" ref="AM40" ca="1">IF($AN40&gt;($T40-$V40),($T40-$V40)-SUMIFS(TransPCAccDep,TransAsset,$C40,TransDate,"&lt;="&amp;$L40),$AL40)</f>
        <v>0</v>
      </c>
      <c r="AN40" s="28" cm="1">
        <f t="array" aca="1" ref="AN40" ca="1">IF($AL40=0,0,SUMIFS(TransCCYDep2,TransAsset,$C40,TransDate,"&lt;="&amp;$L40)+SUMIFS(TransPCAccDep,TransAsset,$C40,TransDate,"&lt;="&amp;$L40))</f>
        <v>0</v>
      </c>
      <c r="AO40" s="28">
        <f t="array" aca="1" ref="AO40" ca="1">IF($L40=LARGE(IF(TransAsset=$C40,IF(TransIDDate&lt;Assets!$H$2,TransIDDate,0),0),1),IF($B40="DIS",0,MIN(SUMIFS(TransTDCost,TransAsset,$C40,TransDate,"&lt;="&amp;$L40)+IF($U40=0,0,MIN(($S40-$V40)/($U40*12)*(((YEAR(Assets!$H$2)*12)+MONTH(Assets!$H$2)-1)-((YEAR($L40)*12)+MONTH($L40)-1)),$S40-$V40)),SUMIFS(TransTDCost,TransAsset,$C40,TransDate,"&lt;="&amp;$L40)+IF($U40=0,0,MIN(($T40-$V40)/($U40*12)*(((YEAR(Assets!$H$2)*12)+MONTH(Assets!$H$2)-1)-((YEAR($L40)*12)+MONTH($L40)-1)),$T40-$V40)),$T40-$V40)),0)</f>
        <v>12666.666666666666</v>
      </c>
      <c r="AP40" s="28">
        <f t="shared" ca="1" si="40"/>
        <v>0</v>
      </c>
      <c r="AQ40" s="60">
        <f ca="1">IF(SUMPRODUCT((TransAsset=$C40)*(TransType="DIS")*(TransIDDate&lt;(Assets!$I$2+1))*(1))&gt;0,0,IF(AND($AR40=0,DATE(YEAR($L40),MONTH($L40),1)&lt;&gt;DATE(YEAR(Assets!$J$2),MONTH(Assets!$J$2),1)),0,IF(DATE(YEAR($Q40),MONTH($Q40),1)&lt;&gt;DATE(YEAR(Assets!$I$2),MONTH(Assets!$I$2),1),0,IF($AR40=$S40-$V40,0,IF($U40=0,0,MIN(($S40-$V40)/($U40*12),($S40-$V40)-$AR40))))))</f>
        <v>0</v>
      </c>
      <c r="AR40" s="60">
        <f t="array" aca="1" ref="AR40" ca="1">IF($L40=LARGE(IF(TransAsset=$C40,IF(TransIDDate&lt;Assets!$J$2,TransIDDate,0),0),1),IF($B40="DIS",0,MIN(IF($U40=0,0,(($S40-$V40)/($U40*12)*(((YEAR(Assets!$J$2)*12)+MONTH(Assets!$J$2)-1)-((YEAR($L40)*12)+MONTH($L40)-1)))),($S40-$V40))),0)</f>
        <v>0</v>
      </c>
      <c r="AS40" s="60">
        <f t="shared" si="41"/>
        <v>666.66666666666663</v>
      </c>
      <c r="AT40" s="28" cm="1">
        <f t="array" aca="1" ref="AT40" ca="1">IF(SUMPRODUCT((TransAsset=$C40)*(TransType="DIS")*(TransIDDate&lt;(Assets!$I$2+1))*(1))&gt;0,0,IF(AND($AU40=0,DATE(YEAR($L40),MONTH($L40),1)&lt;&gt;DATE(YEAR(Assets!$J$2),MONTH(Assets!$J$2),1)),0,IF(DATE(YEAR($Q40),MONTH($Q40),1)&lt;&gt;DATE(YEAR(Assets!$I$2),MONTH(Assets!$I$2),1),0,IF(SUMIFS(TransPMAccDep,TransAsset,$C40)&gt;=($T40-$V40),($T40-$V40)-SUMIFS(TransPMAccDep,TransAsset,$C40),IF($U40=0,0,IF($S40&lt;$T40,MIN(($S40-$V40)/($U40*12),($T40-$V40)-$AU40),MIN(($T40-$V40)/($U40*12),($T40-$V40)-$AU40)))))))</f>
        <v>0</v>
      </c>
      <c r="AU40" s="28">
        <f t="array" aca="1" ref="AU40" ca="1">IF($L40=LARGE(IF(TransAsset=$C40,IF(TransIDDate&lt;Assets!$J$2,TransIDDate,0),0),1),IF($B40="DIS",0,MIN(SUMIFS(TransTDCost,TransAsset,$C40,TransDate,"&lt;="&amp;$L40)+IF($U40=0,0,MIN(($S40-$V40)/($U40*12)*(((YEAR(Assets!$J$2)*12)+MONTH(Assets!$J$2)-1)-((YEAR($L40)*12)+MONTH($L40)-1)),$S40-$V40)),SUMIFS(TransTDCost,TransAsset,$C40,TransDate,"&lt;="&amp;$L40)+IF($U40=0,0,MIN(($T40-$V40)/($U40*12)*(((YEAR(Assets!$J$2)*12)+MONTH(Assets!$J$2)-1)-((YEAR($L40)*12)+MONTH($L40)-1)),$T40-$V40)),$T40-$V40)),0)</f>
        <v>0</v>
      </c>
    </row>
    <row r="41" spans="1:47" ht="16" customHeight="1" x14ac:dyDescent="0.25">
      <c r="A41" s="33">
        <v>43891</v>
      </c>
      <c r="B41" s="4" t="s">
        <v>360</v>
      </c>
      <c r="C41" s="8" t="s">
        <v>319</v>
      </c>
      <c r="D41" s="3" t="s">
        <v>361</v>
      </c>
      <c r="E41" s="3" t="s">
        <v>168</v>
      </c>
      <c r="F41" s="28">
        <v>1500</v>
      </c>
      <c r="G41" s="28">
        <v>3</v>
      </c>
      <c r="H41" s="28">
        <v>0</v>
      </c>
      <c r="I41" s="28">
        <v>0</v>
      </c>
      <c r="J41" s="59" t="str" cm="1">
        <f t="array" aca="1" ref="J41" ca="1">IF(ISNA(VLOOKUP($C41,AssetCode,1,0))=TRUE,"E3",IF(OR(ISBLANK($B41)=TRUE,SUMPRODUCT((TransAsset=$C41)*(TransIDDate&lt;$L41)*(TransType="DIS")*(1))&gt;0),"E4",IF(SUMPRODUCT((TransAsset=$C41)*(TransType="ACQ")*(1))&gt;1,"E5",IF(OR($F41&lt;0,AND(TransType="DIS",$F41&lt;&gt;0)=TRUE),"E6",IF(OR(AND($G41&lt;0,TransType&lt;&gt;"DIS")=TRUE,AND(TransType="DIS",$G41&lt;&gt;0)=TRUE),"E7",IF(OR($H41&lt;0,AND(TransType="DIS",$H41&lt;&gt;0)=TRUE,$H41&gt;$F41),"E8",IF($I41&lt;0,"E9","-")))))))</f>
        <v>-</v>
      </c>
      <c r="K41" s="60" t="str">
        <f>IF(ISNA(VLOOKUP($C41,AssetAll,COLUMN(Assets!$E$4),0))=TRUE,"add!",VLOOKUP($C41,AssetAll,COLUMN(Assets!$E$4),0))</f>
        <v>CHW01</v>
      </c>
      <c r="L41" s="61">
        <f t="shared" ca="1" si="21"/>
        <v>43891.000474537039</v>
      </c>
      <c r="M41" s="61">
        <f t="array" aca="1" ref="M41" ca="1">IF(ISBLANK($C41)=TRUE,0,LARGE(IF(TransAsset=$C41,IF(TransIDDate&lt;$L41,TransIDDate,0),0),1))</f>
        <v>42205.000057870369</v>
      </c>
      <c r="N41" s="61">
        <f t="array" aca="1" ref="N41" ca="1">IF(ISBLANK($C41)=TRUE,0,SMALL(IF(TransAsset=$C41,IF(TransIDDate&gt;$L41,TransIDDate,(Assets!$I$2+1)),(Assets!$I$2+1)),1))</f>
        <v>44256</v>
      </c>
      <c r="O41" s="61">
        <f t="shared" ca="1" si="22"/>
        <v>44985</v>
      </c>
      <c r="P41" s="61">
        <f ca="1">IF(OR($N41&lt;Assets!$H$2,$O41&lt;Assets!$H$2,$L41&gt;(Assets!$I$2+1)),0,IF($B41="DIS",IF($L41&lt;Assets!$H$2,0,IF($L41&lt;(Assets!$I$2+1),DATE(YEAR($L41),MONTH($L41),0),Assets!$H$2)),IF($L41&lt;Assets!$H$2,Assets!$H$2,DATE(YEAR($L41),MONTH($L41),1))))</f>
        <v>43891</v>
      </c>
      <c r="Q41" s="61">
        <f ca="1">IF($P41=0,0,IF($B41="DIS",IF($L41&gt;(Assets!$I$2+1),MIN(Assets!$I$2,$O41),MIN($L41,$O41)),IF($N41&lt;(Assets!$I$2+1),MIN(IF(DATE(YEAR($N41),MONTH($N41),0)&lt;$P41,$P41,DATE(YEAR($N41),MONTH($N41),0)),$O41),MIN(Assets!$I$2,$O41))))</f>
        <v>44255</v>
      </c>
      <c r="R41" s="60">
        <f t="shared" ca="1" si="23"/>
        <v>12</v>
      </c>
      <c r="S41" s="60">
        <f t="shared" si="24"/>
        <v>1500</v>
      </c>
      <c r="T41" s="60" cm="1">
        <f t="array" ref="T41">IF(ISBLANK($B41)=FALSE,SUMIFS(TransAmount,TransAsset,$C41,TransType,"ACQ"),0)</f>
        <v>8200</v>
      </c>
      <c r="U41" s="60">
        <f t="shared" si="25"/>
        <v>3</v>
      </c>
      <c r="V41" s="60">
        <f t="shared" si="26"/>
        <v>0</v>
      </c>
      <c r="W41" s="28">
        <f t="shared" ca="1" si="27"/>
        <v>8200</v>
      </c>
      <c r="X41" s="28">
        <f t="shared" ca="1" si="28"/>
        <v>0</v>
      </c>
      <c r="Y41" s="28">
        <f t="shared" ca="1" si="29"/>
        <v>3</v>
      </c>
      <c r="Z41" s="28">
        <f t="shared" ca="1" si="30"/>
        <v>8200</v>
      </c>
      <c r="AA41" s="28">
        <f t="shared" ca="1" si="31"/>
        <v>0</v>
      </c>
      <c r="AB41" s="28" cm="1">
        <f t="array" aca="1" ref="AB41" ca="1">IF(SUMIFS(TransTDCost,TransAsset,$C41,TransDate,"&lt;="&amp;$L41)&gt;($T41-$X41),($T41-$X41),SUMIFS(TransTDCost,TransAsset,$C41,TransDate,"&lt;="&amp;$L41))</f>
        <v>8200</v>
      </c>
      <c r="AC41" s="28">
        <f t="shared" ca="1" si="32"/>
        <v>0</v>
      </c>
      <c r="AD41" s="28">
        <f t="array" aca="1" ref="AD41" ca="1">IF($L41=LARGE(IF(TransAsset=$C41,IF(TransIDDate&lt;Assets!$H$2,TransIDDate,0),0),1),IF($B41="DIS",$AC41,SUMIFS(TransCAccDep,TransAsset,$C41,TransDate,"&lt;="&amp;$L41)+IF($U41=0,0,MIN(($S41-$V41)/($U41*12)*(((YEAR(Assets!$H$2)*12)+MONTH(Assets!$H$2)-1)-((YEAR($L41)*12)+MONTH($L41)-1)),$S41-$V41))),0)-$AO41</f>
        <v>0</v>
      </c>
      <c r="AE41" s="28">
        <f t="shared" ca="1" si="33"/>
        <v>0</v>
      </c>
      <c r="AF41" s="28">
        <f t="shared" ca="1" si="34"/>
        <v>1500</v>
      </c>
      <c r="AG41" s="28">
        <f t="shared" ca="1" si="35"/>
        <v>1500</v>
      </c>
      <c r="AH41" s="28">
        <f t="shared" ca="1" si="36"/>
        <v>0</v>
      </c>
      <c r="AI41" s="28" cm="1">
        <f t="array" aca="1" ref="AI41" ca="1">IF($B41="REV",IF($S41-$AA41+$AE41&gt;0,IF(SUMIFS(TransImpair,TransAsset,$C41,TransDate,"&lt;"&amp;$M41)&gt;0,IF(SUMIFS(TransImpair,TransAsset,$C41,TransDate,"&lt;"&amp;$M41)&gt;$S41-$AA41+$AE41,-($S41-$AA41+$AE41),-SUMIFS(TransImpair,TransAsset,$C41,TransDate,"&lt;"&amp;$M41)),0),-($S41-$AA41+$AE41)),0)</f>
        <v>0</v>
      </c>
      <c r="AJ41" s="28">
        <f t="shared" si="37"/>
        <v>0</v>
      </c>
      <c r="AK41" s="28">
        <f t="shared" ca="1" si="38"/>
        <v>500</v>
      </c>
      <c r="AL41" s="28">
        <f t="shared" ca="1" si="39"/>
        <v>500</v>
      </c>
      <c r="AM41" s="28" cm="1">
        <f t="array" aca="1" ref="AM41" ca="1">IF($AN41&gt;($T41-$V41),($T41-$V41)-SUMIFS(TransPCAccDep,TransAsset,$C41,TransDate,"&lt;="&amp;$L41),$AL41)</f>
        <v>0</v>
      </c>
      <c r="AN41" s="28" cm="1">
        <f t="array" aca="1" ref="AN41" ca="1">IF($AL41=0,0,SUMIFS(TransCCYDep2,TransAsset,$C41,TransDate,"&lt;="&amp;$L41)+SUMIFS(TransPCAccDep,TransAsset,$C41,TransDate,"&lt;="&amp;$L41))</f>
        <v>8700</v>
      </c>
      <c r="AO41" s="28">
        <f t="array" aca="1" ref="AO41" ca="1">IF($L41=LARGE(IF(TransAsset=$C41,IF(TransIDDate&lt;Assets!$H$2,TransIDDate,0),0),1),IF($B41="DIS",0,MIN(SUMIFS(TransTDCost,TransAsset,$C41,TransDate,"&lt;="&amp;$L41)+IF($U41=0,0,MIN(($S41-$V41)/($U41*12)*(((YEAR(Assets!$H$2)*12)+MONTH(Assets!$H$2)-1)-((YEAR($L41)*12)+MONTH($L41)-1)),$S41-$V41)),SUMIFS(TransTDCost,TransAsset,$C41,TransDate,"&lt;="&amp;$L41)+IF($U41=0,0,MIN(($T41-$V41)/($U41*12)*(((YEAR(Assets!$H$2)*12)+MONTH(Assets!$H$2)-1)-((YEAR($L41)*12)+MONTH($L41)-1)),$T41-$V41)),$T41-$V41)),0)</f>
        <v>0</v>
      </c>
      <c r="AP41" s="28">
        <f t="shared" ca="1" si="40"/>
        <v>8200</v>
      </c>
      <c r="AQ41" s="60">
        <f ca="1">IF(SUMPRODUCT((TransAsset=$C41)*(TransType="DIS")*(TransIDDate&lt;(Assets!$I$2+1))*(1))&gt;0,0,IF(AND($AR41=0,DATE(YEAR($L41),MONTH($L41),1)&lt;&gt;DATE(YEAR(Assets!$J$2),MONTH(Assets!$J$2),1)),0,IF(DATE(YEAR($Q41),MONTH($Q41),1)&lt;&gt;DATE(YEAR(Assets!$I$2),MONTH(Assets!$I$2),1),0,IF($AR41=$S41-$V41,0,IF($U41=0,0,MIN(($S41-$V41)/($U41*12),($S41-$V41)-$AR41))))))</f>
        <v>41.666666666666664</v>
      </c>
      <c r="AR41" s="60">
        <f t="array" aca="1" ref="AR41" ca="1">IF($L41=LARGE(IF(TransAsset=$C41,IF(TransIDDate&lt;Assets!$J$2,TransIDDate,0),0),1),IF($B41="DIS",0,MIN(IF($U41=0,0,(($S41-$V41)/($U41*12)*(((YEAR(Assets!$J$2)*12)+MONTH(Assets!$J$2)-1)-((YEAR($L41)*12)+MONTH($L41)-1)))),($S41-$V41))),0)</f>
        <v>458.33333333333331</v>
      </c>
      <c r="AS41" s="60">
        <f t="shared" si="41"/>
        <v>41.666666666666664</v>
      </c>
      <c r="AT41" s="28" cm="1">
        <f t="array" aca="1" ref="AT41" ca="1">IF(SUMPRODUCT((TransAsset=$C41)*(TransType="DIS")*(TransIDDate&lt;(Assets!$I$2+1))*(1))&gt;0,0,IF(AND($AU41=0,DATE(YEAR($L41),MONTH($L41),1)&lt;&gt;DATE(YEAR(Assets!$J$2),MONTH(Assets!$J$2),1)),0,IF(DATE(YEAR($Q41),MONTH($Q41),1)&lt;&gt;DATE(YEAR(Assets!$I$2),MONTH(Assets!$I$2),1),0,IF(SUMIFS(TransPMAccDep,TransAsset,$C41)&gt;=($T41-$V41),($T41-$V41)-SUMIFS(TransPMAccDep,TransAsset,$C41),IF($U41=0,0,IF($S41&lt;$T41,MIN(($S41-$V41)/($U41*12),($T41-$V41)-$AU41),MIN(($T41-$V41)/($U41*12),($T41-$V41)-$AU41)))))))</f>
        <v>0</v>
      </c>
      <c r="AU41" s="28">
        <f t="array" aca="1" ref="AU41" ca="1">IF($L41=LARGE(IF(TransAsset=$C41,IF(TransIDDate&lt;Assets!$J$2,TransIDDate,0),0),1),IF($B41="DIS",0,MIN(SUMIFS(TransTDCost,TransAsset,$C41,TransDate,"&lt;="&amp;$L41)+IF($U41=0,0,MIN(($S41-$V41)/($U41*12)*(((YEAR(Assets!$J$2)*12)+MONTH(Assets!$J$2)-1)-((YEAR($L41)*12)+MONTH($L41)-1)),$S41-$V41)),SUMIFS(TransTDCost,TransAsset,$C41,TransDate,"&lt;="&amp;$L41)+IF($U41=0,0,MIN(($T41-$V41)/($U41*12)*(((YEAR(Assets!$J$2)*12)+MONTH(Assets!$J$2)-1)-((YEAR($L41)*12)+MONTH($L41)-1)),$T41-$V41)),$T41-$V41)),0)</f>
        <v>8200</v>
      </c>
    </row>
    <row r="42" spans="1:47" ht="16" customHeight="1" x14ac:dyDescent="0.25">
      <c r="A42" s="33">
        <v>43891</v>
      </c>
      <c r="B42" s="4" t="s">
        <v>360</v>
      </c>
      <c r="C42" s="8" t="s">
        <v>320</v>
      </c>
      <c r="D42" s="3" t="s">
        <v>361</v>
      </c>
      <c r="E42" s="3" t="s">
        <v>168</v>
      </c>
      <c r="F42" s="28">
        <v>1800</v>
      </c>
      <c r="G42" s="28">
        <v>3</v>
      </c>
      <c r="H42" s="28">
        <v>0</v>
      </c>
      <c r="I42" s="28">
        <v>0</v>
      </c>
      <c r="J42" s="59" t="str" cm="1">
        <f t="array" aca="1" ref="J42" ca="1">IF(ISNA(VLOOKUP($C42,AssetCode,1,0))=TRUE,"E3",IF(OR(ISBLANK($B42)=TRUE,SUMPRODUCT((TransAsset=$C42)*(TransIDDate&lt;$L42)*(TransType="DIS")*(1))&gt;0),"E4",IF(SUMPRODUCT((TransAsset=$C42)*(TransType="ACQ")*(1))&gt;1,"E5",IF(OR($F42&lt;0,AND(TransType="DIS",$F42&lt;&gt;0)=TRUE),"E6",IF(OR(AND($G42&lt;0,TransType&lt;&gt;"DIS")=TRUE,AND(TransType="DIS",$G42&lt;&gt;0)=TRUE),"E7",IF(OR($H42&lt;0,AND(TransType="DIS",$H42&lt;&gt;0)=TRUE,$H42&gt;$F42),"E8",IF($I42&lt;0,"E9","-")))))))</f>
        <v>-</v>
      </c>
      <c r="K42" s="60" t="str">
        <f>IF(ISNA(VLOOKUP($C42,AssetAll,COLUMN(Assets!$E$4),0))=TRUE,"add!",VLOOKUP($C42,AssetAll,COLUMN(Assets!$E$4),0))</f>
        <v>CHW01</v>
      </c>
      <c r="L42" s="61">
        <f t="shared" ca="1" si="21"/>
        <v>43891.000486111108</v>
      </c>
      <c r="M42" s="61">
        <f t="array" aca="1" ref="M42" ca="1">IF(ISBLANK($C42)=TRUE,0,LARGE(IF(TransAsset=$C42,IF(TransIDDate&lt;$L42,TransIDDate,0),0),1))</f>
        <v>42205.000069444446</v>
      </c>
      <c r="N42" s="61">
        <f t="array" aca="1" ref="N42" ca="1">IF(ISBLANK($C42)=TRUE,0,SMALL(IF(TransAsset=$C42,IF(TransIDDate&gt;$L42,TransIDDate,(Assets!$I$2+1)),(Assets!$I$2+1)),1))</f>
        <v>44256</v>
      </c>
      <c r="O42" s="61">
        <f t="shared" ca="1" si="22"/>
        <v>44985</v>
      </c>
      <c r="P42" s="61">
        <f ca="1">IF(OR($N42&lt;Assets!$H$2,$O42&lt;Assets!$H$2,$L42&gt;(Assets!$I$2+1)),0,IF($B42="DIS",IF($L42&lt;Assets!$H$2,0,IF($L42&lt;(Assets!$I$2+1),DATE(YEAR($L42),MONTH($L42),0),Assets!$H$2)),IF($L42&lt;Assets!$H$2,Assets!$H$2,DATE(YEAR($L42),MONTH($L42),1))))</f>
        <v>43891</v>
      </c>
      <c r="Q42" s="61">
        <f ca="1">IF($P42=0,0,IF($B42="DIS",IF($L42&gt;(Assets!$I$2+1),MIN(Assets!$I$2,$O42),MIN($L42,$O42)),IF($N42&lt;(Assets!$I$2+1),MIN(IF(DATE(YEAR($N42),MONTH($N42),0)&lt;$P42,$P42,DATE(YEAR($N42),MONTH($N42),0)),$O42),MIN(Assets!$I$2,$O42))))</f>
        <v>44255</v>
      </c>
      <c r="R42" s="60">
        <f t="shared" ca="1" si="23"/>
        <v>12</v>
      </c>
      <c r="S42" s="60">
        <f t="shared" si="24"/>
        <v>1800</v>
      </c>
      <c r="T42" s="60" cm="1">
        <f t="array" ref="T42">IF(ISBLANK($B42)=FALSE,SUMIFS(TransAmount,TransAsset,$C42,TransType,"ACQ"),0)</f>
        <v>6600</v>
      </c>
      <c r="U42" s="60">
        <f t="shared" si="25"/>
        <v>3</v>
      </c>
      <c r="V42" s="60">
        <f t="shared" si="26"/>
        <v>0</v>
      </c>
      <c r="W42" s="28">
        <f t="shared" ca="1" si="27"/>
        <v>6600</v>
      </c>
      <c r="X42" s="28">
        <f t="shared" ca="1" si="28"/>
        <v>0</v>
      </c>
      <c r="Y42" s="28">
        <f t="shared" ca="1" si="29"/>
        <v>3</v>
      </c>
      <c r="Z42" s="28">
        <f t="shared" ca="1" si="30"/>
        <v>6600</v>
      </c>
      <c r="AA42" s="28">
        <f t="shared" ca="1" si="31"/>
        <v>0</v>
      </c>
      <c r="AB42" s="28" cm="1">
        <f t="array" aca="1" ref="AB42" ca="1">IF(SUMIFS(TransTDCost,TransAsset,$C42,TransDate,"&lt;="&amp;$L42)&gt;($T42-$X42),($T42-$X42),SUMIFS(TransTDCost,TransAsset,$C42,TransDate,"&lt;="&amp;$L42))</f>
        <v>6600</v>
      </c>
      <c r="AC42" s="28">
        <f t="shared" ca="1" si="32"/>
        <v>0</v>
      </c>
      <c r="AD42" s="28">
        <f t="array" aca="1" ref="AD42" ca="1">IF($L42=LARGE(IF(TransAsset=$C42,IF(TransIDDate&lt;Assets!$H$2,TransIDDate,0),0),1),IF($B42="DIS",$AC42,SUMIFS(TransCAccDep,TransAsset,$C42,TransDate,"&lt;="&amp;$L42)+IF($U42=0,0,MIN(($S42-$V42)/($U42*12)*(((YEAR(Assets!$H$2)*12)+MONTH(Assets!$H$2)-1)-((YEAR($L42)*12)+MONTH($L42)-1)),$S42-$V42))),0)-$AO42</f>
        <v>0</v>
      </c>
      <c r="AE42" s="28">
        <f t="shared" ca="1" si="33"/>
        <v>0</v>
      </c>
      <c r="AF42" s="28">
        <f t="shared" ca="1" si="34"/>
        <v>1800</v>
      </c>
      <c r="AG42" s="28">
        <f t="shared" ca="1" si="35"/>
        <v>1800</v>
      </c>
      <c r="AH42" s="28">
        <f t="shared" ca="1" si="36"/>
        <v>0</v>
      </c>
      <c r="AI42" s="28" cm="1">
        <f t="array" aca="1" ref="AI42" ca="1">IF($B42="REV",IF($S42-$AA42+$AE42&gt;0,IF(SUMIFS(TransImpair,TransAsset,$C42,TransDate,"&lt;"&amp;$M42)&gt;0,IF(SUMIFS(TransImpair,TransAsset,$C42,TransDate,"&lt;"&amp;$M42)&gt;$S42-$AA42+$AE42,-($S42-$AA42+$AE42),-SUMIFS(TransImpair,TransAsset,$C42,TransDate,"&lt;"&amp;$M42)),0),-($S42-$AA42+$AE42)),0)</f>
        <v>0</v>
      </c>
      <c r="AJ42" s="28">
        <f t="shared" si="37"/>
        <v>0</v>
      </c>
      <c r="AK42" s="28">
        <f t="shared" ca="1" si="38"/>
        <v>600</v>
      </c>
      <c r="AL42" s="28">
        <f t="shared" ca="1" si="39"/>
        <v>600</v>
      </c>
      <c r="AM42" s="28" cm="1">
        <f t="array" aca="1" ref="AM42" ca="1">IF($AN42&gt;($T42-$V42),($T42-$V42)-SUMIFS(TransPCAccDep,TransAsset,$C42,TransDate,"&lt;="&amp;$L42),$AL42)</f>
        <v>0</v>
      </c>
      <c r="AN42" s="28" cm="1">
        <f t="array" aca="1" ref="AN42" ca="1">IF($AL42=0,0,SUMIFS(TransCCYDep2,TransAsset,$C42,TransDate,"&lt;="&amp;$L42)+SUMIFS(TransPCAccDep,TransAsset,$C42,TransDate,"&lt;="&amp;$L42))</f>
        <v>7200</v>
      </c>
      <c r="AO42" s="28">
        <f t="array" aca="1" ref="AO42" ca="1">IF($L42=LARGE(IF(TransAsset=$C42,IF(TransIDDate&lt;Assets!$H$2,TransIDDate,0),0),1),IF($B42="DIS",0,MIN(SUMIFS(TransTDCost,TransAsset,$C42,TransDate,"&lt;="&amp;$L42)+IF($U42=0,0,MIN(($S42-$V42)/($U42*12)*(((YEAR(Assets!$H$2)*12)+MONTH(Assets!$H$2)-1)-((YEAR($L42)*12)+MONTH($L42)-1)),$S42-$V42)),SUMIFS(TransTDCost,TransAsset,$C42,TransDate,"&lt;="&amp;$L42)+IF($U42=0,0,MIN(($T42-$V42)/($U42*12)*(((YEAR(Assets!$H$2)*12)+MONTH(Assets!$H$2)-1)-((YEAR($L42)*12)+MONTH($L42)-1)),$T42-$V42)),$T42-$V42)),0)</f>
        <v>0</v>
      </c>
      <c r="AP42" s="28">
        <f t="shared" ca="1" si="40"/>
        <v>6600</v>
      </c>
      <c r="AQ42" s="60">
        <f ca="1">IF(SUMPRODUCT((TransAsset=$C42)*(TransType="DIS")*(TransIDDate&lt;(Assets!$I$2+1))*(1))&gt;0,0,IF(AND($AR42=0,DATE(YEAR($L42),MONTH($L42),1)&lt;&gt;DATE(YEAR(Assets!$J$2),MONTH(Assets!$J$2),1)),0,IF(DATE(YEAR($Q42),MONTH($Q42),1)&lt;&gt;DATE(YEAR(Assets!$I$2),MONTH(Assets!$I$2),1),0,IF($AR42=$S42-$V42,0,IF($U42=0,0,MIN(($S42-$V42)/($U42*12),($S42-$V42)-$AR42))))))</f>
        <v>50</v>
      </c>
      <c r="AR42" s="60">
        <f t="array" aca="1" ref="AR42" ca="1">IF($L42=LARGE(IF(TransAsset=$C42,IF(TransIDDate&lt;Assets!$J$2,TransIDDate,0),0),1),IF($B42="DIS",0,MIN(IF($U42=0,0,(($S42-$V42)/($U42*12)*(((YEAR(Assets!$J$2)*12)+MONTH(Assets!$J$2)-1)-((YEAR($L42)*12)+MONTH($L42)-1)))),($S42-$V42))),0)</f>
        <v>550</v>
      </c>
      <c r="AS42" s="60">
        <f t="shared" si="41"/>
        <v>50</v>
      </c>
      <c r="AT42" s="28" cm="1">
        <f t="array" aca="1" ref="AT42" ca="1">IF(SUMPRODUCT((TransAsset=$C42)*(TransType="DIS")*(TransIDDate&lt;(Assets!$I$2+1))*(1))&gt;0,0,IF(AND($AU42=0,DATE(YEAR($L42),MONTH($L42),1)&lt;&gt;DATE(YEAR(Assets!$J$2),MONTH(Assets!$J$2),1)),0,IF(DATE(YEAR($Q42),MONTH($Q42),1)&lt;&gt;DATE(YEAR(Assets!$I$2),MONTH(Assets!$I$2),1),0,IF(SUMIFS(TransPMAccDep,TransAsset,$C42)&gt;=($T42-$V42),($T42-$V42)-SUMIFS(TransPMAccDep,TransAsset,$C42),IF($U42=0,0,IF($S42&lt;$T42,MIN(($S42-$V42)/($U42*12),($T42-$V42)-$AU42),MIN(($T42-$V42)/($U42*12),($T42-$V42)-$AU42)))))))</f>
        <v>0</v>
      </c>
      <c r="AU42" s="28">
        <f t="array" aca="1" ref="AU42" ca="1">IF($L42=LARGE(IF(TransAsset=$C42,IF(TransIDDate&lt;Assets!$J$2,TransIDDate,0),0),1),IF($B42="DIS",0,MIN(SUMIFS(TransTDCost,TransAsset,$C42,TransDate,"&lt;="&amp;$L42)+IF($U42=0,0,MIN(($S42-$V42)/($U42*12)*(((YEAR(Assets!$J$2)*12)+MONTH(Assets!$J$2)-1)-((YEAR($L42)*12)+MONTH($L42)-1)),$S42-$V42)),SUMIFS(TransTDCost,TransAsset,$C42,TransDate,"&lt;="&amp;$L42)+IF($U42=0,0,MIN(($T42-$V42)/($U42*12)*(((YEAR(Assets!$J$2)*12)+MONTH(Assets!$J$2)-1)-((YEAR($L42)*12)+MONTH($L42)-1)),$T42-$V42)),$T42-$V42)),0)</f>
        <v>6600</v>
      </c>
    </row>
    <row r="43" spans="1:47" ht="16" customHeight="1" x14ac:dyDescent="0.25">
      <c r="A43" s="33">
        <v>43891</v>
      </c>
      <c r="B43" s="4" t="s">
        <v>360</v>
      </c>
      <c r="C43" s="8" t="s">
        <v>321</v>
      </c>
      <c r="D43" s="3" t="s">
        <v>361</v>
      </c>
      <c r="E43" s="3" t="s">
        <v>168</v>
      </c>
      <c r="F43" s="28">
        <v>4000</v>
      </c>
      <c r="G43" s="28">
        <v>3</v>
      </c>
      <c r="H43" s="28">
        <v>0</v>
      </c>
      <c r="I43" s="28">
        <v>0</v>
      </c>
      <c r="J43" s="59" t="str" cm="1">
        <f t="array" aca="1" ref="J43" ca="1">IF(ISNA(VLOOKUP($C43,AssetCode,1,0))=TRUE,"E3",IF(OR(ISBLANK($B43)=TRUE,SUMPRODUCT((TransAsset=$C43)*(TransIDDate&lt;$L43)*(TransType="DIS")*(1))&gt;0),"E4",IF(SUMPRODUCT((TransAsset=$C43)*(TransType="ACQ")*(1))&gt;1,"E5",IF(OR($F43&lt;0,AND(TransType="DIS",$F43&lt;&gt;0)=TRUE),"E6",IF(OR(AND($G43&lt;0,TransType&lt;&gt;"DIS")=TRUE,AND(TransType="DIS",$G43&lt;&gt;0)=TRUE),"E7",IF(OR($H43&lt;0,AND(TransType="DIS",$H43&lt;&gt;0)=TRUE,$H43&gt;$F43),"E8",IF($I43&lt;0,"E9","-")))))))</f>
        <v>-</v>
      </c>
      <c r="K43" s="60" t="str">
        <f>IF(ISNA(VLOOKUP($C43,AssetAll,COLUMN(Assets!$E$4),0))=TRUE,"add!",VLOOKUP($C43,AssetAll,COLUMN(Assets!$E$4),0))</f>
        <v>CHW01</v>
      </c>
      <c r="L43" s="61">
        <f t="shared" ca="1" si="21"/>
        <v>43891.000497685185</v>
      </c>
      <c r="M43" s="61">
        <f t="array" aca="1" ref="M43" ca="1">IF(ISBLANK($C43)=TRUE,0,LARGE(IF(TransAsset=$C43,IF(TransIDDate&lt;$L43,TransIDDate,0),0),1))</f>
        <v>42205.000081018516</v>
      </c>
      <c r="N43" s="61">
        <f t="array" aca="1" ref="N43" ca="1">IF(ISBLANK($C43)=TRUE,0,SMALL(IF(TransAsset=$C43,IF(TransIDDate&gt;$L43,TransIDDate,(Assets!$I$2+1)),(Assets!$I$2+1)),1))</f>
        <v>44256</v>
      </c>
      <c r="O43" s="61">
        <f t="shared" ca="1" si="22"/>
        <v>44985</v>
      </c>
      <c r="P43" s="61">
        <f ca="1">IF(OR($N43&lt;Assets!$H$2,$O43&lt;Assets!$H$2,$L43&gt;(Assets!$I$2+1)),0,IF($B43="DIS",IF($L43&lt;Assets!$H$2,0,IF($L43&lt;(Assets!$I$2+1),DATE(YEAR($L43),MONTH($L43),0),Assets!$H$2)),IF($L43&lt;Assets!$H$2,Assets!$H$2,DATE(YEAR($L43),MONTH($L43),1))))</f>
        <v>43891</v>
      </c>
      <c r="Q43" s="61">
        <f ca="1">IF($P43=0,0,IF($B43="DIS",IF($L43&gt;(Assets!$I$2+1),MIN(Assets!$I$2,$O43),MIN($L43,$O43)),IF($N43&lt;(Assets!$I$2+1),MIN(IF(DATE(YEAR($N43),MONTH($N43),0)&lt;$P43,$P43,DATE(YEAR($N43),MONTH($N43),0)),$O43),MIN(Assets!$I$2,$O43))))</f>
        <v>44255</v>
      </c>
      <c r="R43" s="60">
        <f t="shared" ca="1" si="23"/>
        <v>12</v>
      </c>
      <c r="S43" s="60">
        <f t="shared" si="24"/>
        <v>4000</v>
      </c>
      <c r="T43" s="60" cm="1">
        <f t="array" ref="T43">IF(ISBLANK($B43)=FALSE,SUMIFS(TransAmount,TransAsset,$C43,TransType,"ACQ"),0)</f>
        <v>2100</v>
      </c>
      <c r="U43" s="60">
        <f t="shared" si="25"/>
        <v>3</v>
      </c>
      <c r="V43" s="60">
        <f t="shared" si="26"/>
        <v>0</v>
      </c>
      <c r="W43" s="28">
        <f t="shared" ca="1" si="27"/>
        <v>2100</v>
      </c>
      <c r="X43" s="28">
        <f t="shared" ca="1" si="28"/>
        <v>0</v>
      </c>
      <c r="Y43" s="28">
        <f t="shared" ca="1" si="29"/>
        <v>3</v>
      </c>
      <c r="Z43" s="28">
        <f t="shared" ca="1" si="30"/>
        <v>2100</v>
      </c>
      <c r="AA43" s="28">
        <f t="shared" ca="1" si="31"/>
        <v>0</v>
      </c>
      <c r="AB43" s="28" cm="1">
        <f t="array" aca="1" ref="AB43" ca="1">IF(SUMIFS(TransTDCost,TransAsset,$C43,TransDate,"&lt;="&amp;$L43)&gt;($T43-$X43),($T43-$X43),SUMIFS(TransTDCost,TransAsset,$C43,TransDate,"&lt;="&amp;$L43))</f>
        <v>2100</v>
      </c>
      <c r="AC43" s="28">
        <f t="shared" ca="1" si="32"/>
        <v>0</v>
      </c>
      <c r="AD43" s="28">
        <f t="array" aca="1" ref="AD43" ca="1">IF($L43=LARGE(IF(TransAsset=$C43,IF(TransIDDate&lt;Assets!$H$2,TransIDDate,0),0),1),IF($B43="DIS",$AC43,SUMIFS(TransCAccDep,TransAsset,$C43,TransDate,"&lt;="&amp;$L43)+IF($U43=0,0,MIN(($S43-$V43)/($U43*12)*(((YEAR(Assets!$H$2)*12)+MONTH(Assets!$H$2)-1)-((YEAR($L43)*12)+MONTH($L43)-1)),$S43-$V43))),0)-$AO43</f>
        <v>0</v>
      </c>
      <c r="AE43" s="28">
        <f t="shared" ca="1" si="33"/>
        <v>0</v>
      </c>
      <c r="AF43" s="28">
        <f t="shared" ca="1" si="34"/>
        <v>4000</v>
      </c>
      <c r="AG43" s="28">
        <f t="shared" ca="1" si="35"/>
        <v>4000</v>
      </c>
      <c r="AH43" s="28">
        <f t="shared" ca="1" si="36"/>
        <v>0</v>
      </c>
      <c r="AI43" s="28" cm="1">
        <f t="array" aca="1" ref="AI43" ca="1">IF($B43="REV",IF($S43-$AA43+$AE43&gt;0,IF(SUMIFS(TransImpair,TransAsset,$C43,TransDate,"&lt;"&amp;$M43)&gt;0,IF(SUMIFS(TransImpair,TransAsset,$C43,TransDate,"&lt;"&amp;$M43)&gt;$S43-$AA43+$AE43,-($S43-$AA43+$AE43),-SUMIFS(TransImpair,TransAsset,$C43,TransDate,"&lt;"&amp;$M43)),0),-($S43-$AA43+$AE43)),0)</f>
        <v>0</v>
      </c>
      <c r="AJ43" s="28">
        <f t="shared" si="37"/>
        <v>0</v>
      </c>
      <c r="AK43" s="28">
        <f t="shared" ca="1" si="38"/>
        <v>1333.3333333333335</v>
      </c>
      <c r="AL43" s="28">
        <f t="shared" ca="1" si="39"/>
        <v>700</v>
      </c>
      <c r="AM43" s="28" cm="1">
        <f t="array" aca="1" ref="AM43" ca="1">IF($AN43&gt;($T43-$V43),($T43-$V43)-SUMIFS(TransPCAccDep,TransAsset,$C43,TransDate,"&lt;="&amp;$L43),$AL43)</f>
        <v>0</v>
      </c>
      <c r="AN43" s="28" cm="1">
        <f t="array" aca="1" ref="AN43" ca="1">IF($AL43=0,0,SUMIFS(TransCCYDep2,TransAsset,$C43,TransDate,"&lt;="&amp;$L43)+SUMIFS(TransPCAccDep,TransAsset,$C43,TransDate,"&lt;="&amp;$L43))</f>
        <v>2800</v>
      </c>
      <c r="AO43" s="28">
        <f t="array" aca="1" ref="AO43" ca="1">IF($L43=LARGE(IF(TransAsset=$C43,IF(TransIDDate&lt;Assets!$H$2,TransIDDate,0),0),1),IF($B43="DIS",0,MIN(SUMIFS(TransTDCost,TransAsset,$C43,TransDate,"&lt;="&amp;$L43)+IF($U43=0,0,MIN(($S43-$V43)/($U43*12)*(((YEAR(Assets!$H$2)*12)+MONTH(Assets!$H$2)-1)-((YEAR($L43)*12)+MONTH($L43)-1)),$S43-$V43)),SUMIFS(TransTDCost,TransAsset,$C43,TransDate,"&lt;="&amp;$L43)+IF($U43=0,0,MIN(($T43-$V43)/($U43*12)*(((YEAR(Assets!$H$2)*12)+MONTH(Assets!$H$2)-1)-((YEAR($L43)*12)+MONTH($L43)-1)),$T43-$V43)),$T43-$V43)),0)</f>
        <v>0</v>
      </c>
      <c r="AP43" s="28">
        <f t="shared" ca="1" si="40"/>
        <v>2100</v>
      </c>
      <c r="AQ43" s="60">
        <f ca="1">IF(SUMPRODUCT((TransAsset=$C43)*(TransType="DIS")*(TransIDDate&lt;(Assets!$I$2+1))*(1))&gt;0,0,IF(AND($AR43=0,DATE(YEAR($L43),MONTH($L43),1)&lt;&gt;DATE(YEAR(Assets!$J$2),MONTH(Assets!$J$2),1)),0,IF(DATE(YEAR($Q43),MONTH($Q43),1)&lt;&gt;DATE(YEAR(Assets!$I$2),MONTH(Assets!$I$2),1),0,IF($AR43=$S43-$V43,0,IF($U43=0,0,MIN(($S43-$V43)/($U43*12),($S43-$V43)-$AR43))))))</f>
        <v>111.11111111111111</v>
      </c>
      <c r="AR43" s="60">
        <f t="array" aca="1" ref="AR43" ca="1">IF($L43=LARGE(IF(TransAsset=$C43,IF(TransIDDate&lt;Assets!$J$2,TransIDDate,0),0),1),IF($B43="DIS",0,MIN(IF($U43=0,0,(($S43-$V43)/($U43*12)*(((YEAR(Assets!$J$2)*12)+MONTH(Assets!$J$2)-1)-((YEAR($L43)*12)+MONTH($L43)-1)))),($S43-$V43))),0)</f>
        <v>1222.2222222222222</v>
      </c>
      <c r="AS43" s="60">
        <f t="shared" si="41"/>
        <v>58.333333333333336</v>
      </c>
      <c r="AT43" s="28" cm="1">
        <f t="array" aca="1" ref="AT43" ca="1">IF(SUMPRODUCT((TransAsset=$C43)*(TransType="DIS")*(TransIDDate&lt;(Assets!$I$2+1))*(1))&gt;0,0,IF(AND($AU43=0,DATE(YEAR($L43),MONTH($L43),1)&lt;&gt;DATE(YEAR(Assets!$J$2),MONTH(Assets!$J$2),1)),0,IF(DATE(YEAR($Q43),MONTH($Q43),1)&lt;&gt;DATE(YEAR(Assets!$I$2),MONTH(Assets!$I$2),1),0,IF(SUMIFS(TransPMAccDep,TransAsset,$C43)&gt;=($T43-$V43),($T43-$V43)-SUMIFS(TransPMAccDep,TransAsset,$C43),IF($U43=0,0,IF($S43&lt;$T43,MIN(($S43-$V43)/($U43*12),($T43-$V43)-$AU43),MIN(($T43-$V43)/($U43*12),($T43-$V43)-$AU43)))))))</f>
        <v>0</v>
      </c>
      <c r="AU43" s="28">
        <f t="array" aca="1" ref="AU43" ca="1">IF($L43=LARGE(IF(TransAsset=$C43,IF(TransIDDate&lt;Assets!$J$2,TransIDDate,0),0),1),IF($B43="DIS",0,MIN(SUMIFS(TransTDCost,TransAsset,$C43,TransDate,"&lt;="&amp;$L43)+IF($U43=0,0,MIN(($S43-$V43)/($U43*12)*(((YEAR(Assets!$J$2)*12)+MONTH(Assets!$J$2)-1)-((YEAR($L43)*12)+MONTH($L43)-1)),$S43-$V43)),SUMIFS(TransTDCost,TransAsset,$C43,TransDate,"&lt;="&amp;$L43)+IF($U43=0,0,MIN(($T43-$V43)/($U43*12)*(((YEAR(Assets!$J$2)*12)+MONTH(Assets!$J$2)-1)-((YEAR($L43)*12)+MONTH($L43)-1)),$T43-$V43)),$T43-$V43)),0)</f>
        <v>2100</v>
      </c>
    </row>
    <row r="44" spans="1:47" ht="16" customHeight="1" x14ac:dyDescent="0.25">
      <c r="A44" s="33">
        <v>43891</v>
      </c>
      <c r="B44" s="4" t="s">
        <v>360</v>
      </c>
      <c r="C44" s="8" t="s">
        <v>322</v>
      </c>
      <c r="D44" s="3" t="s">
        <v>361</v>
      </c>
      <c r="E44" s="3" t="s">
        <v>168</v>
      </c>
      <c r="F44" s="28">
        <v>8200</v>
      </c>
      <c r="G44" s="28">
        <v>2</v>
      </c>
      <c r="H44" s="28">
        <v>0</v>
      </c>
      <c r="I44" s="28">
        <v>0</v>
      </c>
      <c r="J44" s="59" t="str" cm="1">
        <f t="array" aca="1" ref="J44" ca="1">IF(ISNA(VLOOKUP($C44,AssetCode,1,0))=TRUE,"E3",IF(OR(ISBLANK($B44)=TRUE,SUMPRODUCT((TransAsset=$C44)*(TransIDDate&lt;$L44)*(TransType="DIS")*(1))&gt;0),"E4",IF(SUMPRODUCT((TransAsset=$C44)*(TransType="ACQ")*(1))&gt;1,"E5",IF(OR($F44&lt;0,AND(TransType="DIS",$F44&lt;&gt;0)=TRUE),"E6",IF(OR(AND($G44&lt;0,TransType&lt;&gt;"DIS")=TRUE,AND(TransType="DIS",$G44&lt;&gt;0)=TRUE),"E7",IF(OR($H44&lt;0,AND(TransType="DIS",$H44&lt;&gt;0)=TRUE,$H44&gt;$F44),"E8",IF($I44&lt;0,"E9","-")))))))</f>
        <v>-</v>
      </c>
      <c r="K44" s="60" t="str">
        <f>IF(ISNA(VLOOKUP($C44,AssetAll,COLUMN(Assets!$E$4),0))=TRUE,"add!",VLOOKUP($C44,AssetAll,COLUMN(Assets!$E$4),0))</f>
        <v>CSW01</v>
      </c>
      <c r="L44" s="61">
        <f t="shared" ca="1" si="21"/>
        <v>43891.000509259262</v>
      </c>
      <c r="M44" s="61">
        <f t="array" aca="1" ref="M44" ca="1">IF(ISBLANK($C44)=TRUE,0,LARGE(IF(TransAsset=$C44,IF(TransIDDate&lt;$L44,TransIDDate,0),0),1))</f>
        <v>42218.00037037037</v>
      </c>
      <c r="N44" s="61">
        <f t="array" aca="1" ref="N44" ca="1">IF(ISBLANK($C44)=TRUE,0,SMALL(IF(TransAsset=$C44,IF(TransIDDate&gt;$L44,TransIDDate,(Assets!$I$2+1)),(Assets!$I$2+1)),1))</f>
        <v>44256</v>
      </c>
      <c r="O44" s="61">
        <f t="shared" ca="1" si="22"/>
        <v>44620</v>
      </c>
      <c r="P44" s="61">
        <f ca="1">IF(OR($N44&lt;Assets!$H$2,$O44&lt;Assets!$H$2,$L44&gt;(Assets!$I$2+1)),0,IF($B44="DIS",IF($L44&lt;Assets!$H$2,0,IF($L44&lt;(Assets!$I$2+1),DATE(YEAR($L44),MONTH($L44),0),Assets!$H$2)),IF($L44&lt;Assets!$H$2,Assets!$H$2,DATE(YEAR($L44),MONTH($L44),1))))</f>
        <v>43891</v>
      </c>
      <c r="Q44" s="61">
        <f ca="1">IF($P44=0,0,IF($B44="DIS",IF($L44&gt;(Assets!$I$2+1),MIN(Assets!$I$2,$O44),MIN($L44,$O44)),IF($N44&lt;(Assets!$I$2+1),MIN(IF(DATE(YEAR($N44),MONTH($N44),0)&lt;$P44,$P44,DATE(YEAR($N44),MONTH($N44),0)),$O44),MIN(Assets!$I$2,$O44))))</f>
        <v>44255</v>
      </c>
      <c r="R44" s="60">
        <f t="shared" ca="1" si="23"/>
        <v>12</v>
      </c>
      <c r="S44" s="60">
        <f t="shared" si="24"/>
        <v>8200</v>
      </c>
      <c r="T44" s="60" cm="1">
        <f t="array" ref="T44">IF(ISBLANK($B44)=FALSE,SUMIFS(TransAmount,TransAsset,$C44,TransType,"ACQ"),0)</f>
        <v>12800</v>
      </c>
      <c r="U44" s="60">
        <f t="shared" si="25"/>
        <v>2</v>
      </c>
      <c r="V44" s="60">
        <f t="shared" si="26"/>
        <v>0</v>
      </c>
      <c r="W44" s="28">
        <f t="shared" ca="1" si="27"/>
        <v>12800</v>
      </c>
      <c r="X44" s="28">
        <f t="shared" ca="1" si="28"/>
        <v>0</v>
      </c>
      <c r="Y44" s="28">
        <f t="shared" ca="1" si="29"/>
        <v>2</v>
      </c>
      <c r="Z44" s="28">
        <f t="shared" ca="1" si="30"/>
        <v>12800</v>
      </c>
      <c r="AA44" s="28">
        <f t="shared" ca="1" si="31"/>
        <v>0</v>
      </c>
      <c r="AB44" s="28" cm="1">
        <f t="array" aca="1" ref="AB44" ca="1">IF(SUMIFS(TransTDCost,TransAsset,$C44,TransDate,"&lt;="&amp;$L44)&gt;($T44-$X44),($T44-$X44),SUMIFS(TransTDCost,TransAsset,$C44,TransDate,"&lt;="&amp;$L44))</f>
        <v>12800</v>
      </c>
      <c r="AC44" s="28">
        <f t="shared" ca="1" si="32"/>
        <v>0</v>
      </c>
      <c r="AD44" s="28">
        <f t="array" aca="1" ref="AD44" ca="1">IF($L44=LARGE(IF(TransAsset=$C44,IF(TransIDDate&lt;Assets!$H$2,TransIDDate,0),0),1),IF($B44="DIS",$AC44,SUMIFS(TransCAccDep,TransAsset,$C44,TransDate,"&lt;="&amp;$L44)+IF($U44=0,0,MIN(($S44-$V44)/($U44*12)*(((YEAR(Assets!$H$2)*12)+MONTH(Assets!$H$2)-1)-((YEAR($L44)*12)+MONTH($L44)-1)),$S44-$V44))),0)-$AO44</f>
        <v>0</v>
      </c>
      <c r="AE44" s="28">
        <f t="shared" ca="1" si="33"/>
        <v>0</v>
      </c>
      <c r="AF44" s="28">
        <f t="shared" ca="1" si="34"/>
        <v>8200</v>
      </c>
      <c r="AG44" s="28">
        <f t="shared" ca="1" si="35"/>
        <v>8200</v>
      </c>
      <c r="AH44" s="28">
        <f t="shared" ca="1" si="36"/>
        <v>0</v>
      </c>
      <c r="AI44" s="28" cm="1">
        <f t="array" aca="1" ref="AI44" ca="1">IF($B44="REV",IF($S44-$AA44+$AE44&gt;0,IF(SUMIFS(TransImpair,TransAsset,$C44,TransDate,"&lt;"&amp;$M44)&gt;0,IF(SUMIFS(TransImpair,TransAsset,$C44,TransDate,"&lt;"&amp;$M44)&gt;$S44-$AA44+$AE44,-($S44-$AA44+$AE44),-SUMIFS(TransImpair,TransAsset,$C44,TransDate,"&lt;"&amp;$M44)),0),-($S44-$AA44+$AE44)),0)</f>
        <v>0</v>
      </c>
      <c r="AJ44" s="28">
        <f t="shared" si="37"/>
        <v>0</v>
      </c>
      <c r="AK44" s="28">
        <f t="shared" ca="1" si="38"/>
        <v>4100</v>
      </c>
      <c r="AL44" s="28">
        <f t="shared" ca="1" si="39"/>
        <v>4100</v>
      </c>
      <c r="AM44" s="28" cm="1">
        <f t="array" aca="1" ref="AM44" ca="1">IF($AN44&gt;($T44-$V44),($T44-$V44)-SUMIFS(TransPCAccDep,TransAsset,$C44,TransDate,"&lt;="&amp;$L44),$AL44)</f>
        <v>0</v>
      </c>
      <c r="AN44" s="28" cm="1">
        <f t="array" aca="1" ref="AN44" ca="1">IF($AL44=0,0,SUMIFS(TransCCYDep2,TransAsset,$C44,TransDate,"&lt;="&amp;$L44)+SUMIFS(TransPCAccDep,TransAsset,$C44,TransDate,"&lt;="&amp;$L44))</f>
        <v>16900</v>
      </c>
      <c r="AO44" s="28">
        <f t="array" aca="1" ref="AO44" ca="1">IF($L44=LARGE(IF(TransAsset=$C44,IF(TransIDDate&lt;Assets!$H$2,TransIDDate,0),0),1),IF($B44="DIS",0,MIN(SUMIFS(TransTDCost,TransAsset,$C44,TransDate,"&lt;="&amp;$L44)+IF($U44=0,0,MIN(($S44-$V44)/($U44*12)*(((YEAR(Assets!$H$2)*12)+MONTH(Assets!$H$2)-1)-((YEAR($L44)*12)+MONTH($L44)-1)),$S44-$V44)),SUMIFS(TransTDCost,TransAsset,$C44,TransDate,"&lt;="&amp;$L44)+IF($U44=0,0,MIN(($T44-$V44)/($U44*12)*(((YEAR(Assets!$H$2)*12)+MONTH(Assets!$H$2)-1)-((YEAR($L44)*12)+MONTH($L44)-1)),$T44-$V44)),$T44-$V44)),0)</f>
        <v>0</v>
      </c>
      <c r="AP44" s="28">
        <f t="shared" ca="1" si="40"/>
        <v>12800</v>
      </c>
      <c r="AQ44" s="60">
        <f ca="1">IF(SUMPRODUCT((TransAsset=$C44)*(TransType="DIS")*(TransIDDate&lt;(Assets!$I$2+1))*(1))&gt;0,0,IF(AND($AR44=0,DATE(YEAR($L44),MONTH($L44),1)&lt;&gt;DATE(YEAR(Assets!$J$2),MONTH(Assets!$J$2),1)),0,IF(DATE(YEAR($Q44),MONTH($Q44),1)&lt;&gt;DATE(YEAR(Assets!$I$2),MONTH(Assets!$I$2),1),0,IF($AR44=$S44-$V44,0,IF($U44=0,0,MIN(($S44-$V44)/($U44*12),($S44-$V44)-$AR44))))))</f>
        <v>341.66666666666669</v>
      </c>
      <c r="AR44" s="60">
        <f t="array" aca="1" ref="AR44" ca="1">IF($L44=LARGE(IF(TransAsset=$C44,IF(TransIDDate&lt;Assets!$J$2,TransIDDate,0),0),1),IF($B44="DIS",0,MIN(IF($U44=0,0,(($S44-$V44)/($U44*12)*(((YEAR(Assets!$J$2)*12)+MONTH(Assets!$J$2)-1)-((YEAR($L44)*12)+MONTH($L44)-1)))),($S44-$V44))),0)</f>
        <v>3758.3333333333335</v>
      </c>
      <c r="AS44" s="60">
        <f t="shared" si="41"/>
        <v>341.66666666666669</v>
      </c>
      <c r="AT44" s="28" cm="1">
        <f t="array" aca="1" ref="AT44" ca="1">IF(SUMPRODUCT((TransAsset=$C44)*(TransType="DIS")*(TransIDDate&lt;(Assets!$I$2+1))*(1))&gt;0,0,IF(AND($AU44=0,DATE(YEAR($L44),MONTH($L44),1)&lt;&gt;DATE(YEAR(Assets!$J$2),MONTH(Assets!$J$2),1)),0,IF(DATE(YEAR($Q44),MONTH($Q44),1)&lt;&gt;DATE(YEAR(Assets!$I$2),MONTH(Assets!$I$2),1),0,IF(SUMIFS(TransPMAccDep,TransAsset,$C44)&gt;=($T44-$V44),($T44-$V44)-SUMIFS(TransPMAccDep,TransAsset,$C44),IF($U44=0,0,IF($S44&lt;$T44,MIN(($S44-$V44)/($U44*12),($T44-$V44)-$AU44),MIN(($T44-$V44)/($U44*12),($T44-$V44)-$AU44)))))))</f>
        <v>0</v>
      </c>
      <c r="AU44" s="28">
        <f t="array" aca="1" ref="AU44" ca="1">IF($L44=LARGE(IF(TransAsset=$C44,IF(TransIDDate&lt;Assets!$J$2,TransIDDate,0),0),1),IF($B44="DIS",0,MIN(SUMIFS(TransTDCost,TransAsset,$C44,TransDate,"&lt;="&amp;$L44)+IF($U44=0,0,MIN(($S44-$V44)/($U44*12)*(((YEAR(Assets!$J$2)*12)+MONTH(Assets!$J$2)-1)-((YEAR($L44)*12)+MONTH($L44)-1)),$S44-$V44)),SUMIFS(TransTDCost,TransAsset,$C44,TransDate,"&lt;="&amp;$L44)+IF($U44=0,0,MIN(($T44-$V44)/($U44*12)*(((YEAR(Assets!$J$2)*12)+MONTH(Assets!$J$2)-1)-((YEAR($L44)*12)+MONTH($L44)-1)),$T44-$V44)),$T44-$V44)),0)</f>
        <v>12800</v>
      </c>
    </row>
    <row r="45" spans="1:47" ht="16" customHeight="1" x14ac:dyDescent="0.25">
      <c r="A45" s="33">
        <v>43891</v>
      </c>
      <c r="B45" s="4" t="s">
        <v>360</v>
      </c>
      <c r="C45" s="8" t="s">
        <v>317</v>
      </c>
      <c r="D45" s="3" t="s">
        <v>361</v>
      </c>
      <c r="E45" s="3" t="s">
        <v>168</v>
      </c>
      <c r="F45" s="28">
        <v>1450</v>
      </c>
      <c r="G45" s="28">
        <v>6</v>
      </c>
      <c r="H45" s="28">
        <v>0</v>
      </c>
      <c r="I45" s="28">
        <v>0</v>
      </c>
      <c r="J45" s="59" t="str" cm="1">
        <f t="array" aca="1" ref="J45" ca="1">IF(ISNA(VLOOKUP($C45,AssetCode,1,0))=TRUE,"E3",IF(OR(ISBLANK($B45)=TRUE,SUMPRODUCT((TransAsset=$C45)*(TransIDDate&lt;$L45)*(TransType="DIS")*(1))&gt;0),"E4",IF(SUMPRODUCT((TransAsset=$C45)*(TransType="ACQ")*(1))&gt;1,"E5",IF(OR($F45&lt;0,AND(TransType="DIS",$F45&lt;&gt;0)=TRUE),"E6",IF(OR(AND($G45&lt;0,TransType&lt;&gt;"DIS")=TRUE,AND(TransType="DIS",$G45&lt;&gt;0)=TRUE),"E7",IF(OR($H45&lt;0,AND(TransType="DIS",$H45&lt;&gt;0)=TRUE,$H45&gt;$F45),"E8",IF($I45&lt;0,"E9","-")))))))</f>
        <v>-</v>
      </c>
      <c r="K45" s="60" t="str">
        <f>IF(ISNA(VLOOKUP($C45,AssetAll,COLUMN(Assets!$E$4),0))=TRUE,"add!",VLOOKUP($C45,AssetAll,COLUMN(Assets!$E$4),0))</f>
        <v>FFX01</v>
      </c>
      <c r="L45" s="61">
        <f t="shared" ca="1" si="21"/>
        <v>43891.000520833331</v>
      </c>
      <c r="M45" s="61">
        <f t="array" aca="1" ref="M45" ca="1">IF(ISBLANK($C45)=TRUE,0,LARGE(IF(TransAsset=$C45,IF(TransIDDate&lt;$L45,TransIDDate,0),0),1))</f>
        <v>42205.000092592592</v>
      </c>
      <c r="N45" s="61">
        <f t="array" aca="1" ref="N45" ca="1">IF(ISBLANK($C45)=TRUE,0,SMALL(IF(TransAsset=$C45,IF(TransIDDate&gt;$L45,TransIDDate,(Assets!$I$2+1)),(Assets!$I$2+1)),1))</f>
        <v>44256</v>
      </c>
      <c r="O45" s="61">
        <f t="shared" ca="1" si="22"/>
        <v>46081</v>
      </c>
      <c r="P45" s="61">
        <f ca="1">IF(OR($N45&lt;Assets!$H$2,$O45&lt;Assets!$H$2,$L45&gt;(Assets!$I$2+1)),0,IF($B45="DIS",IF($L45&lt;Assets!$H$2,0,IF($L45&lt;(Assets!$I$2+1),DATE(YEAR($L45),MONTH($L45),0),Assets!$H$2)),IF($L45&lt;Assets!$H$2,Assets!$H$2,DATE(YEAR($L45),MONTH($L45),1))))</f>
        <v>43891</v>
      </c>
      <c r="Q45" s="61">
        <f ca="1">IF($P45=0,0,IF($B45="DIS",IF($L45&gt;(Assets!$I$2+1),MIN(Assets!$I$2,$O45),MIN($L45,$O45)),IF($N45&lt;(Assets!$I$2+1),MIN(IF(DATE(YEAR($N45),MONTH($N45),0)&lt;$P45,$P45,DATE(YEAR($N45),MONTH($N45),0)),$O45),MIN(Assets!$I$2,$O45))))</f>
        <v>44255</v>
      </c>
      <c r="R45" s="60">
        <f t="shared" ca="1" si="23"/>
        <v>12</v>
      </c>
      <c r="S45" s="60">
        <f t="shared" si="24"/>
        <v>1450</v>
      </c>
      <c r="T45" s="60" cm="1">
        <f t="array" ref="T45">IF(ISBLANK($B45)=FALSE,SUMIFS(TransAmount,TransAsset,$C45,TransType,"ACQ"),0)</f>
        <v>3600</v>
      </c>
      <c r="U45" s="60">
        <f t="shared" si="25"/>
        <v>6</v>
      </c>
      <c r="V45" s="60">
        <f t="shared" si="26"/>
        <v>0</v>
      </c>
      <c r="W45" s="28">
        <f t="shared" ca="1" si="27"/>
        <v>3600</v>
      </c>
      <c r="X45" s="28">
        <f t="shared" ca="1" si="28"/>
        <v>0</v>
      </c>
      <c r="Y45" s="28">
        <f t="shared" ca="1" si="29"/>
        <v>6</v>
      </c>
      <c r="Z45" s="28">
        <f t="shared" ca="1" si="30"/>
        <v>2800</v>
      </c>
      <c r="AA45" s="28">
        <f t="shared" ca="1" si="31"/>
        <v>800</v>
      </c>
      <c r="AB45" s="28" cm="1">
        <f t="array" aca="1" ref="AB45" ca="1">IF(SUMIFS(TransTDCost,TransAsset,$C45,TransDate,"&lt;="&amp;$L45)&gt;($T45-$X45),($T45-$X45),SUMIFS(TransTDCost,TransAsset,$C45,TransDate,"&lt;="&amp;$L45))</f>
        <v>2800</v>
      </c>
      <c r="AC45" s="28">
        <f t="shared" ca="1" si="32"/>
        <v>0</v>
      </c>
      <c r="AD45" s="28">
        <f t="array" aca="1" ref="AD45" ca="1">IF($L45=LARGE(IF(TransAsset=$C45,IF(TransIDDate&lt;Assets!$H$2,TransIDDate,0),0),1),IF($B45="DIS",$AC45,SUMIFS(TransCAccDep,TransAsset,$C45,TransDate,"&lt;="&amp;$L45)+IF($U45=0,0,MIN(($S45-$V45)/($U45*12)*(((YEAR(Assets!$H$2)*12)+MONTH(Assets!$H$2)-1)-((YEAR($L45)*12)+MONTH($L45)-1)),$S45-$V45))),0)-$AO45</f>
        <v>0</v>
      </c>
      <c r="AE45" s="28">
        <f t="shared" ca="1" si="33"/>
        <v>0</v>
      </c>
      <c r="AF45" s="28">
        <f t="shared" ca="1" si="34"/>
        <v>650</v>
      </c>
      <c r="AG45" s="28">
        <f t="shared" ca="1" si="35"/>
        <v>650</v>
      </c>
      <c r="AH45" s="28">
        <f t="shared" ca="1" si="36"/>
        <v>0</v>
      </c>
      <c r="AI45" s="28" cm="1">
        <f t="array" aca="1" ref="AI45" ca="1">IF($B45="REV",IF($S45-$AA45+$AE45&gt;0,IF(SUMIFS(TransImpair,TransAsset,$C45,TransDate,"&lt;"&amp;$M45)&gt;0,IF(SUMIFS(TransImpair,TransAsset,$C45,TransDate,"&lt;"&amp;$M45)&gt;$S45-$AA45+$AE45,-($S45-$AA45+$AE45),-SUMIFS(TransImpair,TransAsset,$C45,TransDate,"&lt;"&amp;$M45)),0),-($S45-$AA45+$AE45)),0)</f>
        <v>0</v>
      </c>
      <c r="AJ45" s="28">
        <f t="shared" si="37"/>
        <v>0</v>
      </c>
      <c r="AK45" s="28">
        <f t="shared" ca="1" si="38"/>
        <v>241.66666666666669</v>
      </c>
      <c r="AL45" s="28">
        <f t="shared" ca="1" si="39"/>
        <v>241.66666666666669</v>
      </c>
      <c r="AM45" s="28" cm="1">
        <f t="array" aca="1" ref="AM45" ca="1">IF($AN45&gt;($T45-$V45),($T45-$V45)-SUMIFS(TransPCAccDep,TransAsset,$C45,TransDate,"&lt;="&amp;$L45),$AL45)</f>
        <v>241.66666666666669</v>
      </c>
      <c r="AN45" s="28" cm="1">
        <f t="array" aca="1" ref="AN45" ca="1">IF($AL45=0,0,SUMIFS(TransCCYDep2,TransAsset,$C45,TransDate,"&lt;="&amp;$L45)+SUMIFS(TransPCAccDep,TransAsset,$C45,TransDate,"&lt;="&amp;$L45))</f>
        <v>3041.6666666666665</v>
      </c>
      <c r="AO45" s="28">
        <f t="array" aca="1" ref="AO45" ca="1">IF($L45=LARGE(IF(TransAsset=$C45,IF(TransIDDate&lt;Assets!$H$2,TransIDDate,0),0),1),IF($B45="DIS",0,MIN(SUMIFS(TransTDCost,TransAsset,$C45,TransDate,"&lt;="&amp;$L45)+IF($U45=0,0,MIN(($S45-$V45)/($U45*12)*(((YEAR(Assets!$H$2)*12)+MONTH(Assets!$H$2)-1)-((YEAR($L45)*12)+MONTH($L45)-1)),$S45-$V45)),SUMIFS(TransTDCost,TransAsset,$C45,TransDate,"&lt;="&amp;$L45)+IF($U45=0,0,MIN(($T45-$V45)/($U45*12)*(((YEAR(Assets!$H$2)*12)+MONTH(Assets!$H$2)-1)-((YEAR($L45)*12)+MONTH($L45)-1)),$T45-$V45)),$T45-$V45)),0)</f>
        <v>0</v>
      </c>
      <c r="AP45" s="28">
        <f t="shared" ca="1" si="40"/>
        <v>2800</v>
      </c>
      <c r="AQ45" s="60">
        <f ca="1">IF(SUMPRODUCT((TransAsset=$C45)*(TransType="DIS")*(TransIDDate&lt;(Assets!$I$2+1))*(1))&gt;0,0,IF(AND($AR45=0,DATE(YEAR($L45),MONTH($L45),1)&lt;&gt;DATE(YEAR(Assets!$J$2),MONTH(Assets!$J$2),1)),0,IF(DATE(YEAR($Q45),MONTH($Q45),1)&lt;&gt;DATE(YEAR(Assets!$I$2),MONTH(Assets!$I$2),1),0,IF($AR45=$S45-$V45,0,IF($U45=0,0,MIN(($S45-$V45)/($U45*12),($S45-$V45)-$AR45))))))</f>
        <v>20.138888888888889</v>
      </c>
      <c r="AR45" s="60">
        <f t="array" aca="1" ref="AR45" ca="1">IF($L45=LARGE(IF(TransAsset=$C45,IF(TransIDDate&lt;Assets!$J$2,TransIDDate,0),0),1),IF($B45="DIS",0,MIN(IF($U45=0,0,(($S45-$V45)/($U45*12)*(((YEAR(Assets!$J$2)*12)+MONTH(Assets!$J$2)-1)-((YEAR($L45)*12)+MONTH($L45)-1)))),($S45-$V45))),0)</f>
        <v>221.52777777777777</v>
      </c>
      <c r="AS45" s="60">
        <f t="shared" si="41"/>
        <v>20.138888888888889</v>
      </c>
      <c r="AT45" s="28" cm="1">
        <f t="array" aca="1" ref="AT45" ca="1">IF(SUMPRODUCT((TransAsset=$C45)*(TransType="DIS")*(TransIDDate&lt;(Assets!$I$2+1))*(1))&gt;0,0,IF(AND($AU45=0,DATE(YEAR($L45),MONTH($L45),1)&lt;&gt;DATE(YEAR(Assets!$J$2),MONTH(Assets!$J$2),1)),0,IF(DATE(YEAR($Q45),MONTH($Q45),1)&lt;&gt;DATE(YEAR(Assets!$I$2),MONTH(Assets!$I$2),1),0,IF(SUMIFS(TransPMAccDep,TransAsset,$C45)&gt;=($T45-$V45),($T45-$V45)-SUMIFS(TransPMAccDep,TransAsset,$C45),IF($U45=0,0,IF($S45&lt;$T45,MIN(($S45-$V45)/($U45*12),($T45-$V45)-$AU45),MIN(($T45-$V45)/($U45*12),($T45-$V45)-$AU45)))))))</f>
        <v>20.138888888888889</v>
      </c>
      <c r="AU45" s="28">
        <f t="array" aca="1" ref="AU45" ca="1">IF($L45=LARGE(IF(TransAsset=$C45,IF(TransIDDate&lt;Assets!$J$2,TransIDDate,0),0),1),IF($B45="DIS",0,MIN(SUMIFS(TransTDCost,TransAsset,$C45,TransDate,"&lt;="&amp;$L45)+IF($U45=0,0,MIN(($S45-$V45)/($U45*12)*(((YEAR(Assets!$J$2)*12)+MONTH(Assets!$J$2)-1)-((YEAR($L45)*12)+MONTH($L45)-1)),$S45-$V45)),SUMIFS(TransTDCost,TransAsset,$C45,TransDate,"&lt;="&amp;$L45)+IF($U45=0,0,MIN(($T45-$V45)/($U45*12)*(((YEAR(Assets!$J$2)*12)+MONTH(Assets!$J$2)-1)-((YEAR($L45)*12)+MONTH($L45)-1)),$T45-$V45)),$T45-$V45)),0)</f>
        <v>3021.5277777777778</v>
      </c>
    </row>
    <row r="46" spans="1:47" ht="16" customHeight="1" x14ac:dyDescent="0.25">
      <c r="A46" s="33">
        <v>43891</v>
      </c>
      <c r="B46" s="4" t="s">
        <v>360</v>
      </c>
      <c r="C46" s="8" t="s">
        <v>318</v>
      </c>
      <c r="D46" s="3" t="s">
        <v>361</v>
      </c>
      <c r="E46" s="3" t="s">
        <v>168</v>
      </c>
      <c r="F46" s="28">
        <v>5000</v>
      </c>
      <c r="G46" s="28">
        <v>6</v>
      </c>
      <c r="H46" s="28">
        <v>0</v>
      </c>
      <c r="I46" s="28">
        <v>0</v>
      </c>
      <c r="J46" s="59" t="str" cm="1">
        <f t="array" aca="1" ref="J46" ca="1">IF(ISNA(VLOOKUP($C46,AssetCode,1,0))=TRUE,"E3",IF(OR(ISBLANK($B46)=TRUE,SUMPRODUCT((TransAsset=$C46)*(TransIDDate&lt;$L46)*(TransType="DIS")*(1))&gt;0),"E4",IF(SUMPRODUCT((TransAsset=$C46)*(TransType="ACQ")*(1))&gt;1,"E5",IF(OR($F46&lt;0,AND(TransType="DIS",$F46&lt;&gt;0)=TRUE),"E6",IF(OR(AND($G46&lt;0,TransType&lt;&gt;"DIS")=TRUE,AND(TransType="DIS",$G46&lt;&gt;0)=TRUE),"E7",IF(OR($H46&lt;0,AND(TransType="DIS",$H46&lt;&gt;0)=TRUE,$H46&gt;$F46),"E8",IF($I46&lt;0,"E9","-")))))))</f>
        <v>-</v>
      </c>
      <c r="K46" s="60" t="str">
        <f>IF(ISNA(VLOOKUP($C46,AssetAll,COLUMN(Assets!$E$4),0))=TRUE,"add!",VLOOKUP($C46,AssetAll,COLUMN(Assets!$E$4),0))</f>
        <v>FFX01</v>
      </c>
      <c r="L46" s="61">
        <f t="shared" ca="1" si="21"/>
        <v>43891.000532407408</v>
      </c>
      <c r="M46" s="61">
        <f t="array" aca="1" ref="M46" ca="1">IF(ISBLANK($C46)=TRUE,0,LARGE(IF(TransAsset=$C46,IF(TransIDDate&lt;$L46,TransIDDate,0),0),1))</f>
        <v>42205.000104166669</v>
      </c>
      <c r="N46" s="61">
        <f t="array" aca="1" ref="N46" ca="1">IF(ISBLANK($C46)=TRUE,0,SMALL(IF(TransAsset=$C46,IF(TransIDDate&gt;$L46,TransIDDate,(Assets!$I$2+1)),(Assets!$I$2+1)),1))</f>
        <v>44256</v>
      </c>
      <c r="O46" s="61">
        <f t="shared" ca="1" si="22"/>
        <v>46081</v>
      </c>
      <c r="P46" s="61">
        <f ca="1">IF(OR($N46&lt;Assets!$H$2,$O46&lt;Assets!$H$2,$L46&gt;(Assets!$I$2+1)),0,IF($B46="DIS",IF($L46&lt;Assets!$H$2,0,IF($L46&lt;(Assets!$I$2+1),DATE(YEAR($L46),MONTH($L46),0),Assets!$H$2)),IF($L46&lt;Assets!$H$2,Assets!$H$2,DATE(YEAR($L46),MONTH($L46),1))))</f>
        <v>43891</v>
      </c>
      <c r="Q46" s="61">
        <f ca="1">IF($P46=0,0,IF($B46="DIS",IF($L46&gt;(Assets!$I$2+1),MIN(Assets!$I$2,$O46),MIN($L46,$O46)),IF($N46&lt;(Assets!$I$2+1),MIN(IF(DATE(YEAR($N46),MONTH($N46),0)&lt;$P46,$P46,DATE(YEAR($N46),MONTH($N46),0)),$O46),MIN(Assets!$I$2,$O46))))</f>
        <v>44255</v>
      </c>
      <c r="R46" s="60">
        <f t="shared" ca="1" si="23"/>
        <v>12</v>
      </c>
      <c r="S46" s="60">
        <f t="shared" si="24"/>
        <v>5000</v>
      </c>
      <c r="T46" s="60" cm="1">
        <f t="array" ref="T46">IF(ISBLANK($B46)=FALSE,SUMIFS(TransAmount,TransAsset,$C46,TransType,"ACQ"),0)</f>
        <v>12400</v>
      </c>
      <c r="U46" s="60">
        <f t="shared" si="25"/>
        <v>6</v>
      </c>
      <c r="V46" s="60">
        <f t="shared" si="26"/>
        <v>0</v>
      </c>
      <c r="W46" s="28">
        <f t="shared" ca="1" si="27"/>
        <v>12400</v>
      </c>
      <c r="X46" s="28">
        <f t="shared" ca="1" si="28"/>
        <v>0</v>
      </c>
      <c r="Y46" s="28">
        <f t="shared" ca="1" si="29"/>
        <v>6</v>
      </c>
      <c r="Z46" s="28">
        <f t="shared" ca="1" si="30"/>
        <v>9644.4444444444453</v>
      </c>
      <c r="AA46" s="28">
        <f t="shared" ca="1" si="31"/>
        <v>2755.5555555555547</v>
      </c>
      <c r="AB46" s="28" cm="1">
        <f t="array" aca="1" ref="AB46" ca="1">IF(SUMIFS(TransTDCost,TransAsset,$C46,TransDate,"&lt;="&amp;$L46)&gt;($T46-$X46),($T46-$X46),SUMIFS(TransTDCost,TransAsset,$C46,TransDate,"&lt;="&amp;$L46))</f>
        <v>9644.4444444444453</v>
      </c>
      <c r="AC46" s="28">
        <f t="shared" ca="1" si="32"/>
        <v>0</v>
      </c>
      <c r="AD46" s="28">
        <f t="array" aca="1" ref="AD46" ca="1">IF($L46=LARGE(IF(TransAsset=$C46,IF(TransIDDate&lt;Assets!$H$2,TransIDDate,0),0),1),IF($B46="DIS",$AC46,SUMIFS(TransCAccDep,TransAsset,$C46,TransDate,"&lt;="&amp;$L46)+IF($U46=0,0,MIN(($S46-$V46)/($U46*12)*(((YEAR(Assets!$H$2)*12)+MONTH(Assets!$H$2)-1)-((YEAR($L46)*12)+MONTH($L46)-1)),$S46-$V46))),0)-$AO46</f>
        <v>0</v>
      </c>
      <c r="AE46" s="28">
        <f t="shared" ca="1" si="33"/>
        <v>0</v>
      </c>
      <c r="AF46" s="28">
        <f t="shared" ca="1" si="34"/>
        <v>2244.4444444444453</v>
      </c>
      <c r="AG46" s="28">
        <f t="shared" ca="1" si="35"/>
        <v>2244.4444444444453</v>
      </c>
      <c r="AH46" s="28">
        <f t="shared" ca="1" si="36"/>
        <v>0</v>
      </c>
      <c r="AI46" s="28" cm="1">
        <f t="array" aca="1" ref="AI46" ca="1">IF($B46="REV",IF($S46-$AA46+$AE46&gt;0,IF(SUMIFS(TransImpair,TransAsset,$C46,TransDate,"&lt;"&amp;$M46)&gt;0,IF(SUMIFS(TransImpair,TransAsset,$C46,TransDate,"&lt;"&amp;$M46)&gt;$S46-$AA46+$AE46,-($S46-$AA46+$AE46),-SUMIFS(TransImpair,TransAsset,$C46,TransDate,"&lt;"&amp;$M46)),0),-($S46-$AA46+$AE46)),0)</f>
        <v>0</v>
      </c>
      <c r="AJ46" s="28">
        <f t="shared" si="37"/>
        <v>0</v>
      </c>
      <c r="AK46" s="28">
        <f t="shared" ca="1" si="38"/>
        <v>833.33333333333326</v>
      </c>
      <c r="AL46" s="28">
        <f t="shared" ca="1" si="39"/>
        <v>833.33333333333326</v>
      </c>
      <c r="AM46" s="28" cm="1">
        <f t="array" aca="1" ref="AM46" ca="1">IF($AN46&gt;($T46-$V46),($T46-$V46)-SUMIFS(TransPCAccDep,TransAsset,$C46,TransDate,"&lt;="&amp;$L46),$AL46)</f>
        <v>833.33333333333326</v>
      </c>
      <c r="AN46" s="28" cm="1">
        <f t="array" aca="1" ref="AN46" ca="1">IF($AL46=0,0,SUMIFS(TransCCYDep2,TransAsset,$C46,TransDate,"&lt;="&amp;$L46)+SUMIFS(TransPCAccDep,TransAsset,$C46,TransDate,"&lt;="&amp;$L46))</f>
        <v>10477.777777777779</v>
      </c>
      <c r="AO46" s="28">
        <f t="array" aca="1" ref="AO46" ca="1">IF($L46=LARGE(IF(TransAsset=$C46,IF(TransIDDate&lt;Assets!$H$2,TransIDDate,0),0),1),IF($B46="DIS",0,MIN(SUMIFS(TransTDCost,TransAsset,$C46,TransDate,"&lt;="&amp;$L46)+IF($U46=0,0,MIN(($S46-$V46)/($U46*12)*(((YEAR(Assets!$H$2)*12)+MONTH(Assets!$H$2)-1)-((YEAR($L46)*12)+MONTH($L46)-1)),$S46-$V46)),SUMIFS(TransTDCost,TransAsset,$C46,TransDate,"&lt;="&amp;$L46)+IF($U46=0,0,MIN(($T46-$V46)/($U46*12)*(((YEAR(Assets!$H$2)*12)+MONTH(Assets!$H$2)-1)-((YEAR($L46)*12)+MONTH($L46)-1)),$T46-$V46)),$T46-$V46)),0)</f>
        <v>0</v>
      </c>
      <c r="AP46" s="28">
        <f t="shared" ca="1" si="40"/>
        <v>9644.4444444444453</v>
      </c>
      <c r="AQ46" s="60">
        <f ca="1">IF(SUMPRODUCT((TransAsset=$C46)*(TransType="DIS")*(TransIDDate&lt;(Assets!$I$2+1))*(1))&gt;0,0,IF(AND($AR46=0,DATE(YEAR($L46),MONTH($L46),1)&lt;&gt;DATE(YEAR(Assets!$J$2),MONTH(Assets!$J$2),1)),0,IF(DATE(YEAR($Q46),MONTH($Q46),1)&lt;&gt;DATE(YEAR(Assets!$I$2),MONTH(Assets!$I$2),1),0,IF($AR46=$S46-$V46,0,IF($U46=0,0,MIN(($S46-$V46)/($U46*12),($S46-$V46)-$AR46))))))</f>
        <v>69.444444444444443</v>
      </c>
      <c r="AR46" s="60">
        <f t="array" aca="1" ref="AR46" ca="1">IF($L46=LARGE(IF(TransAsset=$C46,IF(TransIDDate&lt;Assets!$J$2,TransIDDate,0),0),1),IF($B46="DIS",0,MIN(IF($U46=0,0,(($S46-$V46)/($U46*12)*(((YEAR(Assets!$J$2)*12)+MONTH(Assets!$J$2)-1)-((YEAR($L46)*12)+MONTH($L46)-1)))),($S46-$V46))),0)</f>
        <v>763.88888888888891</v>
      </c>
      <c r="AS46" s="60">
        <f t="shared" si="41"/>
        <v>69.444444444444443</v>
      </c>
      <c r="AT46" s="28" cm="1">
        <f t="array" aca="1" ref="AT46" ca="1">IF(SUMPRODUCT((TransAsset=$C46)*(TransType="DIS")*(TransIDDate&lt;(Assets!$I$2+1))*(1))&gt;0,0,IF(AND($AU46=0,DATE(YEAR($L46),MONTH($L46),1)&lt;&gt;DATE(YEAR(Assets!$J$2),MONTH(Assets!$J$2),1)),0,IF(DATE(YEAR($Q46),MONTH($Q46),1)&lt;&gt;DATE(YEAR(Assets!$I$2),MONTH(Assets!$I$2),1),0,IF(SUMIFS(TransPMAccDep,TransAsset,$C46)&gt;=($T46-$V46),($T46-$V46)-SUMIFS(TransPMAccDep,TransAsset,$C46),IF($U46=0,0,IF($S46&lt;$T46,MIN(($S46-$V46)/($U46*12),($T46-$V46)-$AU46),MIN(($T46-$V46)/($U46*12),($T46-$V46)-$AU46)))))))</f>
        <v>69.444444444444443</v>
      </c>
      <c r="AU46" s="28">
        <f t="array" aca="1" ref="AU46" ca="1">IF($L46=LARGE(IF(TransAsset=$C46,IF(TransIDDate&lt;Assets!$J$2,TransIDDate,0),0),1),IF($B46="DIS",0,MIN(SUMIFS(TransTDCost,TransAsset,$C46,TransDate,"&lt;="&amp;$L46)+IF($U46=0,0,MIN(($S46-$V46)/($U46*12)*(((YEAR(Assets!$J$2)*12)+MONTH(Assets!$J$2)-1)-((YEAR($L46)*12)+MONTH($L46)-1)),$S46-$V46)),SUMIFS(TransTDCost,TransAsset,$C46,TransDate,"&lt;="&amp;$L46)+IF($U46=0,0,MIN(($T46-$V46)/($U46*12)*(((YEAR(Assets!$J$2)*12)+MONTH(Assets!$J$2)-1)-((YEAR($L46)*12)+MONTH($L46)-1)),$T46-$V46)),$T46-$V46)),0)</f>
        <v>10408.333333333334</v>
      </c>
    </row>
    <row r="47" spans="1:47" ht="16" customHeight="1" x14ac:dyDescent="0.25">
      <c r="A47" s="33">
        <v>43891</v>
      </c>
      <c r="B47" s="4" t="s">
        <v>360</v>
      </c>
      <c r="C47" s="8" t="s">
        <v>22</v>
      </c>
      <c r="D47" s="3" t="s">
        <v>361</v>
      </c>
      <c r="E47" s="3" t="s">
        <v>168</v>
      </c>
      <c r="F47" s="28">
        <v>3000</v>
      </c>
      <c r="G47" s="28">
        <v>6</v>
      </c>
      <c r="H47" s="28">
        <v>0</v>
      </c>
      <c r="I47" s="28">
        <v>0</v>
      </c>
      <c r="J47" s="59" t="str" cm="1">
        <f t="array" aca="1" ref="J47" ca="1">IF(ISNA(VLOOKUP($C47,AssetCode,1,0))=TRUE,"E3",IF(OR(ISBLANK($B47)=TRUE,SUMPRODUCT((TransAsset=$C47)*(TransIDDate&lt;$L47)*(TransType="DIS")*(1))&gt;0),"E4",IF(SUMPRODUCT((TransAsset=$C47)*(TransType="ACQ")*(1))&gt;1,"E5",IF(OR($F47&lt;0,AND(TransType="DIS",$F47&lt;&gt;0)=TRUE),"E6",IF(OR(AND($G47&lt;0,TransType&lt;&gt;"DIS")=TRUE,AND(TransType="DIS",$G47&lt;&gt;0)=TRUE),"E7",IF(OR($H47&lt;0,AND(TransType="DIS",$H47&lt;&gt;0)=TRUE,$H47&gt;$F47),"E8",IF($I47&lt;0,"E9","-")))))))</f>
        <v>-</v>
      </c>
      <c r="K47" s="60" t="str">
        <f>IF(ISNA(VLOOKUP($C47,AssetAll,COLUMN(Assets!$E$4),0))=TRUE,"add!",VLOOKUP($C47,AssetAll,COLUMN(Assets!$E$4),0))</f>
        <v>FFX01</v>
      </c>
      <c r="L47" s="61">
        <f t="shared" ca="1" si="21"/>
        <v>43891.000543981485</v>
      </c>
      <c r="M47" s="61">
        <f t="array" aca="1" ref="M47" ca="1">IF(ISBLANK($C47)=TRUE,0,LARGE(IF(TransAsset=$C47,IF(TransIDDate&lt;$L47,TransIDDate,0),0),1))</f>
        <v>42205.000115740739</v>
      </c>
      <c r="N47" s="61">
        <f t="array" aca="1" ref="N47" ca="1">IF(ISBLANK($C47)=TRUE,0,SMALL(IF(TransAsset=$C47,IF(TransIDDate&gt;$L47,TransIDDate,(Assets!$I$2+1)),(Assets!$I$2+1)),1))</f>
        <v>44256</v>
      </c>
      <c r="O47" s="61">
        <f t="shared" ca="1" si="22"/>
        <v>46081</v>
      </c>
      <c r="P47" s="61">
        <f ca="1">IF(OR($N47&lt;Assets!$H$2,$O47&lt;Assets!$H$2,$L47&gt;(Assets!$I$2+1)),0,IF($B47="DIS",IF($L47&lt;Assets!$H$2,0,IF($L47&lt;(Assets!$I$2+1),DATE(YEAR($L47),MONTH($L47),0),Assets!$H$2)),IF($L47&lt;Assets!$H$2,Assets!$H$2,DATE(YEAR($L47),MONTH($L47),1))))</f>
        <v>43891</v>
      </c>
      <c r="Q47" s="61">
        <f ca="1">IF($P47=0,0,IF($B47="DIS",IF($L47&gt;(Assets!$I$2+1),MIN(Assets!$I$2,$O47),MIN($L47,$O47)),IF($N47&lt;(Assets!$I$2+1),MIN(IF(DATE(YEAR($N47),MONTH($N47),0)&lt;$P47,$P47,DATE(YEAR($N47),MONTH($N47),0)),$O47),MIN(Assets!$I$2,$O47))))</f>
        <v>44255</v>
      </c>
      <c r="R47" s="60">
        <f t="shared" ca="1" si="23"/>
        <v>12</v>
      </c>
      <c r="S47" s="60">
        <f t="shared" si="24"/>
        <v>3000</v>
      </c>
      <c r="T47" s="60" cm="1">
        <f t="array" ref="T47">IF(ISBLANK($B47)=FALSE,SUMIFS(TransAmount,TransAsset,$C47,TransType,"ACQ"),0)</f>
        <v>5100</v>
      </c>
      <c r="U47" s="60">
        <f t="shared" si="25"/>
        <v>6</v>
      </c>
      <c r="V47" s="60">
        <f t="shared" si="26"/>
        <v>0</v>
      </c>
      <c r="W47" s="28">
        <f t="shared" ca="1" si="27"/>
        <v>5100</v>
      </c>
      <c r="X47" s="28">
        <f t="shared" ca="1" si="28"/>
        <v>0</v>
      </c>
      <c r="Y47" s="28">
        <f t="shared" ca="1" si="29"/>
        <v>6</v>
      </c>
      <c r="Z47" s="28">
        <f t="shared" ca="1" si="30"/>
        <v>3966.6666666666665</v>
      </c>
      <c r="AA47" s="28">
        <f t="shared" ca="1" si="31"/>
        <v>1133.3333333333335</v>
      </c>
      <c r="AB47" s="28" cm="1">
        <f t="array" aca="1" ref="AB47" ca="1">IF(SUMIFS(TransTDCost,TransAsset,$C47,TransDate,"&lt;="&amp;$L47)&gt;($T47-$X47),($T47-$X47),SUMIFS(TransTDCost,TransAsset,$C47,TransDate,"&lt;="&amp;$L47))</f>
        <v>3966.6666666666665</v>
      </c>
      <c r="AC47" s="28">
        <f t="shared" ca="1" si="32"/>
        <v>0</v>
      </c>
      <c r="AD47" s="28">
        <f t="array" aca="1" ref="AD47" ca="1">IF($L47=LARGE(IF(TransAsset=$C47,IF(TransIDDate&lt;Assets!$H$2,TransIDDate,0),0),1),IF($B47="DIS",$AC47,SUMIFS(TransCAccDep,TransAsset,$C47,TransDate,"&lt;="&amp;$L47)+IF($U47=0,0,MIN(($S47-$V47)/($U47*12)*(((YEAR(Assets!$H$2)*12)+MONTH(Assets!$H$2)-1)-((YEAR($L47)*12)+MONTH($L47)-1)),$S47-$V47))),0)-$AO47</f>
        <v>0</v>
      </c>
      <c r="AE47" s="28">
        <f t="shared" ca="1" si="33"/>
        <v>0</v>
      </c>
      <c r="AF47" s="28">
        <f t="shared" ca="1" si="34"/>
        <v>1866.6666666666665</v>
      </c>
      <c r="AG47" s="28">
        <f t="shared" ca="1" si="35"/>
        <v>1866.6666666666665</v>
      </c>
      <c r="AH47" s="28">
        <f t="shared" ca="1" si="36"/>
        <v>0</v>
      </c>
      <c r="AI47" s="28" cm="1">
        <f t="array" aca="1" ref="AI47" ca="1">IF($B47="REV",IF($S47-$AA47+$AE47&gt;0,IF(SUMIFS(TransImpair,TransAsset,$C47,TransDate,"&lt;"&amp;$M47)&gt;0,IF(SUMIFS(TransImpair,TransAsset,$C47,TransDate,"&lt;"&amp;$M47)&gt;$S47-$AA47+$AE47,-($S47-$AA47+$AE47),-SUMIFS(TransImpair,TransAsset,$C47,TransDate,"&lt;"&amp;$M47)),0),-($S47-$AA47+$AE47)),0)</f>
        <v>0</v>
      </c>
      <c r="AJ47" s="28">
        <f t="shared" si="37"/>
        <v>0</v>
      </c>
      <c r="AK47" s="28">
        <f t="shared" ca="1" si="38"/>
        <v>500</v>
      </c>
      <c r="AL47" s="28">
        <f t="shared" ca="1" si="39"/>
        <v>500</v>
      </c>
      <c r="AM47" s="28" cm="1">
        <f t="array" aca="1" ref="AM47" ca="1">IF($AN47&gt;($T47-$V47),($T47-$V47)-SUMIFS(TransPCAccDep,TransAsset,$C47,TransDate,"&lt;="&amp;$L47),$AL47)</f>
        <v>500</v>
      </c>
      <c r="AN47" s="28" cm="1">
        <f t="array" aca="1" ref="AN47" ca="1">IF($AL47=0,0,SUMIFS(TransCCYDep2,TransAsset,$C47,TransDate,"&lt;="&amp;$L47)+SUMIFS(TransPCAccDep,TransAsset,$C47,TransDate,"&lt;="&amp;$L47))</f>
        <v>4466.6666666666661</v>
      </c>
      <c r="AO47" s="28">
        <f t="array" aca="1" ref="AO47" ca="1">IF($L47=LARGE(IF(TransAsset=$C47,IF(TransIDDate&lt;Assets!$H$2,TransIDDate,0),0),1),IF($B47="DIS",0,MIN(SUMIFS(TransTDCost,TransAsset,$C47,TransDate,"&lt;="&amp;$L47)+IF($U47=0,0,MIN(($S47-$V47)/($U47*12)*(((YEAR(Assets!$H$2)*12)+MONTH(Assets!$H$2)-1)-((YEAR($L47)*12)+MONTH($L47)-1)),$S47-$V47)),SUMIFS(TransTDCost,TransAsset,$C47,TransDate,"&lt;="&amp;$L47)+IF($U47=0,0,MIN(($T47-$V47)/($U47*12)*(((YEAR(Assets!$H$2)*12)+MONTH(Assets!$H$2)-1)-((YEAR($L47)*12)+MONTH($L47)-1)),$T47-$V47)),$T47-$V47)),0)</f>
        <v>0</v>
      </c>
      <c r="AP47" s="28">
        <f t="shared" ca="1" si="40"/>
        <v>3966.6666666666665</v>
      </c>
      <c r="AQ47" s="60">
        <f ca="1">IF(SUMPRODUCT((TransAsset=$C47)*(TransType="DIS")*(TransIDDate&lt;(Assets!$I$2+1))*(1))&gt;0,0,IF(AND($AR47=0,DATE(YEAR($L47),MONTH($L47),1)&lt;&gt;DATE(YEAR(Assets!$J$2),MONTH(Assets!$J$2),1)),0,IF(DATE(YEAR($Q47),MONTH($Q47),1)&lt;&gt;DATE(YEAR(Assets!$I$2),MONTH(Assets!$I$2),1),0,IF($AR47=$S47-$V47,0,IF($U47=0,0,MIN(($S47-$V47)/($U47*12),($S47-$V47)-$AR47))))))</f>
        <v>41.666666666666664</v>
      </c>
      <c r="AR47" s="60">
        <f t="array" aca="1" ref="AR47" ca="1">IF($L47=LARGE(IF(TransAsset=$C47,IF(TransIDDate&lt;Assets!$J$2,TransIDDate,0),0),1),IF($B47="DIS",0,MIN(IF($U47=0,0,(($S47-$V47)/($U47*12)*(((YEAR(Assets!$J$2)*12)+MONTH(Assets!$J$2)-1)-((YEAR($L47)*12)+MONTH($L47)-1)))),($S47-$V47))),0)</f>
        <v>458.33333333333331</v>
      </c>
      <c r="AS47" s="60">
        <f t="shared" si="41"/>
        <v>41.666666666666664</v>
      </c>
      <c r="AT47" s="28" cm="1">
        <f t="array" aca="1" ref="AT47" ca="1">IF(SUMPRODUCT((TransAsset=$C47)*(TransType="DIS")*(TransIDDate&lt;(Assets!$I$2+1))*(1))&gt;0,0,IF(AND($AU47=0,DATE(YEAR($L47),MONTH($L47),1)&lt;&gt;DATE(YEAR(Assets!$J$2),MONTH(Assets!$J$2),1)),0,IF(DATE(YEAR($Q47),MONTH($Q47),1)&lt;&gt;DATE(YEAR(Assets!$I$2),MONTH(Assets!$I$2),1),0,IF(SUMIFS(TransPMAccDep,TransAsset,$C47)&gt;=($T47-$V47),($T47-$V47)-SUMIFS(TransPMAccDep,TransAsset,$C47),IF($U47=0,0,IF($S47&lt;$T47,MIN(($S47-$V47)/($U47*12),($T47-$V47)-$AU47),MIN(($T47-$V47)/($U47*12),($T47-$V47)-$AU47)))))))</f>
        <v>41.666666666666664</v>
      </c>
      <c r="AU47" s="28">
        <f t="array" aca="1" ref="AU47" ca="1">IF($L47=LARGE(IF(TransAsset=$C47,IF(TransIDDate&lt;Assets!$J$2,TransIDDate,0),0),1),IF($B47="DIS",0,MIN(SUMIFS(TransTDCost,TransAsset,$C47,TransDate,"&lt;="&amp;$L47)+IF($U47=0,0,MIN(($S47-$V47)/($U47*12)*(((YEAR(Assets!$J$2)*12)+MONTH(Assets!$J$2)-1)-((YEAR($L47)*12)+MONTH($L47)-1)),$S47-$V47)),SUMIFS(TransTDCost,TransAsset,$C47,TransDate,"&lt;="&amp;$L47)+IF($U47=0,0,MIN(($T47-$V47)/($U47*12)*(((YEAR(Assets!$J$2)*12)+MONTH(Assets!$J$2)-1)-((YEAR($L47)*12)+MONTH($L47)-1)),$T47-$V47)),$T47-$V47)),0)</f>
        <v>4425</v>
      </c>
    </row>
    <row r="48" spans="1:47" ht="16" customHeight="1" x14ac:dyDescent="0.25">
      <c r="A48" s="33">
        <v>43891</v>
      </c>
      <c r="B48" s="4" t="s">
        <v>360</v>
      </c>
      <c r="C48" s="8" t="s">
        <v>272</v>
      </c>
      <c r="D48" s="3" t="s">
        <v>361</v>
      </c>
      <c r="E48" s="3" t="s">
        <v>168</v>
      </c>
      <c r="F48" s="28">
        <v>1300000</v>
      </c>
      <c r="G48" s="28">
        <v>0</v>
      </c>
      <c r="H48" s="28">
        <v>0</v>
      </c>
      <c r="I48" s="28">
        <v>0</v>
      </c>
      <c r="J48" s="59" t="str" cm="1">
        <f t="array" aca="1" ref="J48" ca="1">IF(ISNA(VLOOKUP($C48,AssetCode,1,0))=TRUE,"E3",IF(OR(ISBLANK($B48)=TRUE,SUMPRODUCT((TransAsset=$C48)*(TransIDDate&lt;$L48)*(TransType="DIS")*(1))&gt;0),"E4",IF(SUMPRODUCT((TransAsset=$C48)*(TransType="ACQ")*(1))&gt;1,"E5",IF(OR($F48&lt;0,AND(TransType="DIS",$F48&lt;&gt;0)=TRUE),"E6",IF(OR(AND($G48&lt;0,TransType&lt;&gt;"DIS")=TRUE,AND(TransType="DIS",$G48&lt;&gt;0)=TRUE),"E7",IF(OR($H48&lt;0,AND(TransType="DIS",$H48&lt;&gt;0)=TRUE,$H48&gt;$F48),"E8",IF($I48&lt;0,"E9","-")))))))</f>
        <v>-</v>
      </c>
      <c r="K48" s="60" t="str">
        <f>IF(ISNA(VLOOKUP($C48,AssetAll,COLUMN(Assets!$E$4),0))=TRUE,"add!",VLOOKUP($C48,AssetAll,COLUMN(Assets!$E$4),0))</f>
        <v>LBU01</v>
      </c>
      <c r="L48" s="61">
        <f t="shared" ca="1" si="21"/>
        <v>43891.000555555554</v>
      </c>
      <c r="M48" s="61">
        <f t="array" aca="1" ref="M48" ca="1">IF(ISBLANK($C48)=TRUE,0,LARGE(IF(TransAsset=$C48,IF(TransIDDate&lt;$L48,TransIDDate,0),0),1))</f>
        <v>42205.000127314815</v>
      </c>
      <c r="N48" s="61">
        <f t="array" aca="1" ref="N48" ca="1">IF(ISBLANK($C48)=TRUE,0,SMALL(IF(TransAsset=$C48,IF(TransIDDate&gt;$L48,TransIDDate,(Assets!$I$2+1)),(Assets!$I$2+1)),1))</f>
        <v>44256</v>
      </c>
      <c r="O48" s="61">
        <f t="shared" ca="1" si="22"/>
        <v>43890</v>
      </c>
      <c r="P48" s="61">
        <f ca="1">IF(OR($N48&lt;Assets!$H$2,$O48&lt;Assets!$H$2,$L48&gt;(Assets!$I$2+1)),0,IF($B48="DIS",IF($L48&lt;Assets!$H$2,0,IF($L48&lt;(Assets!$I$2+1),DATE(YEAR($L48),MONTH($L48),0),Assets!$H$2)),IF($L48&lt;Assets!$H$2,Assets!$H$2,DATE(YEAR($L48),MONTH($L48),1))))</f>
        <v>0</v>
      </c>
      <c r="Q48" s="61">
        <f ca="1">IF($P48=0,0,IF($B48="DIS",IF($L48&gt;(Assets!$I$2+1),MIN(Assets!$I$2,$O48),MIN($L48,$O48)),IF($N48&lt;(Assets!$I$2+1),MIN(IF(DATE(YEAR($N48),MONTH($N48),0)&lt;$P48,$P48,DATE(YEAR($N48),MONTH($N48),0)),$O48),MIN(Assets!$I$2,$O48))))</f>
        <v>0</v>
      </c>
      <c r="R48" s="60">
        <f t="shared" ca="1" si="23"/>
        <v>0</v>
      </c>
      <c r="S48" s="60">
        <f t="shared" si="24"/>
        <v>1300000</v>
      </c>
      <c r="T48" s="60" cm="1">
        <f t="array" ref="T48">IF(ISBLANK($B48)=FALSE,SUMIFS(TransAmount,TransAsset,$C48,TransType,"ACQ"),0)</f>
        <v>1500000</v>
      </c>
      <c r="U48" s="60">
        <f t="shared" si="25"/>
        <v>0</v>
      </c>
      <c r="V48" s="60">
        <f t="shared" si="26"/>
        <v>0</v>
      </c>
      <c r="W48" s="28">
        <f t="shared" ca="1" si="27"/>
        <v>1500000</v>
      </c>
      <c r="X48" s="28">
        <f t="shared" ca="1" si="28"/>
        <v>0</v>
      </c>
      <c r="Y48" s="28">
        <f t="shared" ca="1" si="29"/>
        <v>0</v>
      </c>
      <c r="Z48" s="28">
        <f t="shared" ca="1" si="30"/>
        <v>0</v>
      </c>
      <c r="AA48" s="28">
        <f t="shared" ca="1" si="31"/>
        <v>1500000</v>
      </c>
      <c r="AB48" s="28" cm="1">
        <f t="array" aca="1" ref="AB48" ca="1">IF(SUMIFS(TransTDCost,TransAsset,$C48,TransDate,"&lt;="&amp;$L48)&gt;($T48-$X48),($T48-$X48),SUMIFS(TransTDCost,TransAsset,$C48,TransDate,"&lt;="&amp;$L48))</f>
        <v>0</v>
      </c>
      <c r="AC48" s="28">
        <f t="shared" ca="1" si="32"/>
        <v>0</v>
      </c>
      <c r="AD48" s="28">
        <f t="array" aca="1" ref="AD48" ca="1">IF($L48=LARGE(IF(TransAsset=$C48,IF(TransIDDate&lt;Assets!$H$2,TransIDDate,0),0),1),IF($B48="DIS",$AC48,SUMIFS(TransCAccDep,TransAsset,$C48,TransDate,"&lt;="&amp;$L48)+IF($U48=0,0,MIN(($S48-$V48)/($U48*12)*(((YEAR(Assets!$H$2)*12)+MONTH(Assets!$H$2)-1)-((YEAR($L48)*12)+MONTH($L48)-1)),$S48-$V48))),0)-$AO48</f>
        <v>0</v>
      </c>
      <c r="AE48" s="28">
        <f t="shared" ca="1" si="33"/>
        <v>0</v>
      </c>
      <c r="AF48" s="28">
        <f t="shared" ca="1" si="34"/>
        <v>0</v>
      </c>
      <c r="AG48" s="28">
        <f t="shared" ca="1" si="35"/>
        <v>0</v>
      </c>
      <c r="AH48" s="28">
        <f t="shared" ca="1" si="36"/>
        <v>0</v>
      </c>
      <c r="AI48" s="28" cm="1">
        <f t="array" aca="1" ref="AI48" ca="1">IF($B48="REV",IF($S48-$AA48+$AE48&gt;0,IF(SUMIFS(TransImpair,TransAsset,$C48,TransDate,"&lt;"&amp;$M48)&gt;0,IF(SUMIFS(TransImpair,TransAsset,$C48,TransDate,"&lt;"&amp;$M48)&gt;$S48-$AA48+$AE48,-($S48-$AA48+$AE48),-SUMIFS(TransImpair,TransAsset,$C48,TransDate,"&lt;"&amp;$M48)),0),-($S48-$AA48+$AE48)),0)</f>
        <v>200000</v>
      </c>
      <c r="AJ48" s="28">
        <f t="shared" si="37"/>
        <v>0</v>
      </c>
      <c r="AK48" s="28">
        <f t="shared" si="38"/>
        <v>0</v>
      </c>
      <c r="AL48" s="28">
        <f t="shared" si="39"/>
        <v>0</v>
      </c>
      <c r="AM48" s="28" cm="1">
        <f t="array" ref="AM48">IF($AN48&gt;($T48-$V48),($T48-$V48)-SUMIFS(TransPCAccDep,TransAsset,$C48,TransDate,"&lt;="&amp;$L48),$AL48)</f>
        <v>0</v>
      </c>
      <c r="AN48" s="28" cm="1">
        <f t="array" ref="AN48">IF($AL48=0,0,SUMIFS(TransCCYDep2,TransAsset,$C48,TransDate,"&lt;="&amp;$L48)+SUMIFS(TransPCAccDep,TransAsset,$C48,TransDate,"&lt;="&amp;$L48))</f>
        <v>0</v>
      </c>
      <c r="AO48" s="28">
        <f t="array" aca="1" ref="AO48" ca="1">IF($L48=LARGE(IF(TransAsset=$C48,IF(TransIDDate&lt;Assets!$H$2,TransIDDate,0),0),1),IF($B48="DIS",0,MIN(SUMIFS(TransTDCost,TransAsset,$C48,TransDate,"&lt;="&amp;$L48)+IF($U48=0,0,MIN(($S48-$V48)/($U48*12)*(((YEAR(Assets!$H$2)*12)+MONTH(Assets!$H$2)-1)-((YEAR($L48)*12)+MONTH($L48)-1)),$S48-$V48)),SUMIFS(TransTDCost,TransAsset,$C48,TransDate,"&lt;="&amp;$L48)+IF($U48=0,0,MIN(($T48-$V48)/($U48*12)*(((YEAR(Assets!$H$2)*12)+MONTH(Assets!$H$2)-1)-((YEAR($L48)*12)+MONTH($L48)-1)),$T48-$V48)),$T48-$V48)),0)</f>
        <v>0</v>
      </c>
      <c r="AP48" s="28">
        <f t="shared" ca="1" si="40"/>
        <v>0</v>
      </c>
      <c r="AQ48" s="60">
        <f ca="1">IF(SUMPRODUCT((TransAsset=$C48)*(TransType="DIS")*(TransIDDate&lt;(Assets!$I$2+1))*(1))&gt;0,0,IF(AND($AR48=0,DATE(YEAR($L48),MONTH($L48),1)&lt;&gt;DATE(YEAR(Assets!$J$2),MONTH(Assets!$J$2),1)),0,IF(DATE(YEAR($Q48),MONTH($Q48),1)&lt;&gt;DATE(YEAR(Assets!$I$2),MONTH(Assets!$I$2),1),0,IF($AR48=$S48-$V48,0,IF($U48=0,0,MIN(($S48-$V48)/($U48*12),($S48-$V48)-$AR48))))))</f>
        <v>0</v>
      </c>
      <c r="AR48" s="60">
        <f t="array" aca="1" ref="AR48" ca="1">IF($L48=LARGE(IF(TransAsset=$C48,IF(TransIDDate&lt;Assets!$J$2,TransIDDate,0),0),1),IF($B48="DIS",0,MIN(IF($U48=0,0,(($S48-$V48)/($U48*12)*(((YEAR(Assets!$J$2)*12)+MONTH(Assets!$J$2)-1)-((YEAR($L48)*12)+MONTH($L48)-1)))),($S48-$V48))),0)</f>
        <v>0</v>
      </c>
      <c r="AS48" s="60">
        <f t="shared" si="41"/>
        <v>0</v>
      </c>
      <c r="AT48" s="28" cm="1">
        <f t="array" aca="1" ref="AT48" ca="1">IF(SUMPRODUCT((TransAsset=$C48)*(TransType="DIS")*(TransIDDate&lt;(Assets!$I$2+1))*(1))&gt;0,0,IF(AND($AU48=0,DATE(YEAR($L48),MONTH($L48),1)&lt;&gt;DATE(YEAR(Assets!$J$2),MONTH(Assets!$J$2),1)),0,IF(DATE(YEAR($Q48),MONTH($Q48),1)&lt;&gt;DATE(YEAR(Assets!$I$2),MONTH(Assets!$I$2),1),0,IF(SUMIFS(TransPMAccDep,TransAsset,$C48)&gt;=($T48-$V48),($T48-$V48)-SUMIFS(TransPMAccDep,TransAsset,$C48),IF($U48=0,0,IF($S48&lt;$T48,MIN(($S48-$V48)/($U48*12),($T48-$V48)-$AU48),MIN(($T48-$V48)/($U48*12),($T48-$V48)-$AU48)))))))</f>
        <v>0</v>
      </c>
      <c r="AU48" s="28">
        <f t="array" aca="1" ref="AU48" ca="1">IF($L48=LARGE(IF(TransAsset=$C48,IF(TransIDDate&lt;Assets!$J$2,TransIDDate,0),0),1),IF($B48="DIS",0,MIN(SUMIFS(TransTDCost,TransAsset,$C48,TransDate,"&lt;="&amp;$L48)+IF($U48=0,0,MIN(($S48-$V48)/($U48*12)*(((YEAR(Assets!$J$2)*12)+MONTH(Assets!$J$2)-1)-((YEAR($L48)*12)+MONTH($L48)-1)),$S48-$V48)),SUMIFS(TransTDCost,TransAsset,$C48,TransDate,"&lt;="&amp;$L48)+IF($U48=0,0,MIN(($T48-$V48)/($U48*12)*(((YEAR(Assets!$J$2)*12)+MONTH(Assets!$J$2)-1)-((YEAR($L48)*12)+MONTH($L48)-1)),$T48-$V48)),$T48-$V48)),0)</f>
        <v>0</v>
      </c>
    </row>
    <row r="49" spans="1:47" ht="16" customHeight="1" x14ac:dyDescent="0.25">
      <c r="A49" s="33">
        <v>43891</v>
      </c>
      <c r="B49" s="4" t="s">
        <v>360</v>
      </c>
      <c r="C49" s="8" t="s">
        <v>326</v>
      </c>
      <c r="D49" s="3" t="s">
        <v>361</v>
      </c>
      <c r="E49" s="3" t="s">
        <v>168</v>
      </c>
      <c r="F49" s="28">
        <v>45000</v>
      </c>
      <c r="G49" s="28">
        <v>5</v>
      </c>
      <c r="H49" s="28">
        <v>15000</v>
      </c>
      <c r="I49" s="28">
        <v>0</v>
      </c>
      <c r="J49" s="59" t="str" cm="1">
        <f t="array" aca="1" ref="J49" ca="1">IF(ISNA(VLOOKUP($C49,AssetCode,1,0))=TRUE,"E3",IF(OR(ISBLANK($B49)=TRUE,SUMPRODUCT((TransAsset=$C49)*(TransIDDate&lt;$L49)*(TransType="DIS")*(1))&gt;0),"E4",IF(SUMPRODUCT((TransAsset=$C49)*(TransType="ACQ")*(1))&gt;1,"E5",IF(OR($F49&lt;0,AND(TransType="DIS",$F49&lt;&gt;0)=TRUE),"E6",IF(OR(AND($G49&lt;0,TransType&lt;&gt;"DIS")=TRUE,AND(TransType="DIS",$G49&lt;&gt;0)=TRUE),"E7",IF(OR($H49&lt;0,AND(TransType="DIS",$H49&lt;&gt;0)=TRUE,$H49&gt;$F49),"E8",IF($I49&lt;0,"E9","-")))))))</f>
        <v>-</v>
      </c>
      <c r="K49" s="60" t="str">
        <f>IF(ISNA(VLOOKUP($C49,AssetAll,COLUMN(Assets!$E$4),0))=TRUE,"add!",VLOOKUP($C49,AssetAll,COLUMN(Assets!$E$4),0))</f>
        <v>MVH01</v>
      </c>
      <c r="L49" s="61">
        <f t="shared" ca="1" si="21"/>
        <v>43891.000567129631</v>
      </c>
      <c r="M49" s="61">
        <f t="array" aca="1" ref="M49" ca="1">IF(ISBLANK($C49)=TRUE,0,LARGE(IF(TransAsset=$C49,IF(TransIDDate&lt;$L49,TransIDDate,0),0),1))</f>
        <v>42205.000138888892</v>
      </c>
      <c r="N49" s="61">
        <f t="array" aca="1" ref="N49" ca="1">IF(ISBLANK($C49)=TRUE,0,SMALL(IF(TransAsset=$C49,IF(TransIDDate&gt;$L49,TransIDDate,(Assets!$I$2+1)),(Assets!$I$2+1)),1))</f>
        <v>43981.000891203701</v>
      </c>
      <c r="O49" s="61">
        <f t="shared" ca="1" si="22"/>
        <v>45716</v>
      </c>
      <c r="P49" s="61">
        <f ca="1">IF(OR($N49&lt;Assets!$H$2,$O49&lt;Assets!$H$2,$L49&gt;(Assets!$I$2+1)),0,IF($B49="DIS",IF($L49&lt;Assets!$H$2,0,IF($L49&lt;(Assets!$I$2+1),DATE(YEAR($L49),MONTH($L49),0),Assets!$H$2)),IF($L49&lt;Assets!$H$2,Assets!$H$2,DATE(YEAR($L49),MONTH($L49),1))))</f>
        <v>43891</v>
      </c>
      <c r="Q49" s="61">
        <f ca="1">IF($P49=0,0,IF($B49="DIS",IF($L49&gt;(Assets!$I$2+1),MIN(Assets!$I$2,$O49),MIN($L49,$O49)),IF($N49&lt;(Assets!$I$2+1),MIN(IF(DATE(YEAR($N49),MONTH($N49),0)&lt;$P49,$P49,DATE(YEAR($N49),MONTH($N49),0)),$O49),MIN(Assets!$I$2,$O49))))</f>
        <v>43951</v>
      </c>
      <c r="R49" s="60">
        <f t="shared" ca="1" si="23"/>
        <v>2</v>
      </c>
      <c r="S49" s="60">
        <f t="shared" si="24"/>
        <v>45000</v>
      </c>
      <c r="T49" s="60" cm="1">
        <f t="array" ref="T49">IF(ISBLANK($B49)=FALSE,SUMIFS(TransAmount,TransAsset,$C49,TransType,"ACQ"),0)</f>
        <v>252200</v>
      </c>
      <c r="U49" s="60">
        <f t="shared" si="25"/>
        <v>5</v>
      </c>
      <c r="V49" s="60">
        <f t="shared" si="26"/>
        <v>15000</v>
      </c>
      <c r="W49" s="28">
        <f t="shared" ca="1" si="27"/>
        <v>252200</v>
      </c>
      <c r="X49" s="28">
        <f t="shared" ca="1" si="28"/>
        <v>15000</v>
      </c>
      <c r="Y49" s="28">
        <f t="shared" ca="1" si="29"/>
        <v>5</v>
      </c>
      <c r="Z49" s="28">
        <f t="shared" ca="1" si="30"/>
        <v>221386.66666666669</v>
      </c>
      <c r="AA49" s="28">
        <f t="shared" ca="1" si="31"/>
        <v>30813.333333333314</v>
      </c>
      <c r="AB49" s="28" cm="1">
        <f t="array" aca="1" ref="AB49" ca="1">IF(SUMIFS(TransTDCost,TransAsset,$C49,TransDate,"&lt;="&amp;$L49)&gt;($T49-$X49),($T49-$X49),SUMIFS(TransTDCost,TransAsset,$C49,TransDate,"&lt;="&amp;$L49))</f>
        <v>221386.66666666669</v>
      </c>
      <c r="AC49" s="28">
        <f t="shared" ca="1" si="32"/>
        <v>0</v>
      </c>
      <c r="AD49" s="28">
        <f t="array" aca="1" ref="AD49" ca="1">IF($L49=LARGE(IF(TransAsset=$C49,IF(TransIDDate&lt;Assets!$H$2,TransIDDate,0),0),1),IF($B49="DIS",$AC49,SUMIFS(TransCAccDep,TransAsset,$C49,TransDate,"&lt;="&amp;$L49)+IF($U49=0,0,MIN(($S49-$V49)/($U49*12)*(((YEAR(Assets!$H$2)*12)+MONTH(Assets!$H$2)-1)-((YEAR($L49)*12)+MONTH($L49)-1)),$S49-$V49))),0)-$AO49</f>
        <v>0</v>
      </c>
      <c r="AE49" s="28">
        <f t="shared" ca="1" si="33"/>
        <v>0</v>
      </c>
      <c r="AF49" s="28">
        <f t="shared" ca="1" si="34"/>
        <v>14186.666666666686</v>
      </c>
      <c r="AG49" s="28">
        <f t="shared" ca="1" si="35"/>
        <v>14186.666666666686</v>
      </c>
      <c r="AH49" s="28">
        <f t="shared" ca="1" si="36"/>
        <v>0</v>
      </c>
      <c r="AI49" s="28" cm="1">
        <f t="array" aca="1" ref="AI49" ca="1">IF($B49="REV",IF($S49-$AA49+$AE49&gt;0,IF(SUMIFS(TransImpair,TransAsset,$C49,TransDate,"&lt;"&amp;$M49)&gt;0,IF(SUMIFS(TransImpair,TransAsset,$C49,TransDate,"&lt;"&amp;$M49)&gt;$S49-$AA49+$AE49,-($S49-$AA49+$AE49),-SUMIFS(TransImpair,TransAsset,$C49,TransDate,"&lt;"&amp;$M49)),0),-($S49-$AA49+$AE49)),0)</f>
        <v>0</v>
      </c>
      <c r="AJ49" s="28">
        <f t="shared" si="37"/>
        <v>0</v>
      </c>
      <c r="AK49" s="28">
        <f t="shared" ca="1" si="38"/>
        <v>1000</v>
      </c>
      <c r="AL49" s="28">
        <f t="shared" ca="1" si="39"/>
        <v>1000</v>
      </c>
      <c r="AM49" s="28" cm="1">
        <f t="array" aca="1" ref="AM49" ca="1">IF($AN49&gt;($T49-$V49),($T49-$V49)-SUMIFS(TransPCAccDep,TransAsset,$C49,TransDate,"&lt;="&amp;$L49),$AL49)</f>
        <v>1000</v>
      </c>
      <c r="AN49" s="28" cm="1">
        <f t="array" aca="1" ref="AN49" ca="1">IF($AL49=0,0,SUMIFS(TransCCYDep2,TransAsset,$C49,TransDate,"&lt;="&amp;$L49)+SUMIFS(TransPCAccDep,TransAsset,$C49,TransDate,"&lt;="&amp;$L49))</f>
        <v>222386.66666666669</v>
      </c>
      <c r="AO49" s="28">
        <f t="array" aca="1" ref="AO49" ca="1">IF($L49=LARGE(IF(TransAsset=$C49,IF(TransIDDate&lt;Assets!$H$2,TransIDDate,0),0),1),IF($B49="DIS",0,MIN(SUMIFS(TransTDCost,TransAsset,$C49,TransDate,"&lt;="&amp;$L49)+IF($U49=0,0,MIN(($S49-$V49)/($U49*12)*(((YEAR(Assets!$H$2)*12)+MONTH(Assets!$H$2)-1)-((YEAR($L49)*12)+MONTH($L49)-1)),$S49-$V49)),SUMIFS(TransTDCost,TransAsset,$C49,TransDate,"&lt;="&amp;$L49)+IF($U49=0,0,MIN(($T49-$V49)/($U49*12)*(((YEAR(Assets!$H$2)*12)+MONTH(Assets!$H$2)-1)-((YEAR($L49)*12)+MONTH($L49)-1)),$T49-$V49)),$T49-$V49)),0)</f>
        <v>0</v>
      </c>
      <c r="AP49" s="28">
        <f t="shared" ca="1" si="40"/>
        <v>221386.66666666669</v>
      </c>
      <c r="AQ49" s="60">
        <f ca="1">IF(SUMPRODUCT((TransAsset=$C49)*(TransType="DIS")*(TransIDDate&lt;(Assets!$I$2+1))*(1))&gt;0,0,IF(AND($AR49=0,DATE(YEAR($L49),MONTH($L49),1)&lt;&gt;DATE(YEAR(Assets!$J$2),MONTH(Assets!$J$2),1)),0,IF(DATE(YEAR($Q49),MONTH($Q49),1)&lt;&gt;DATE(YEAR(Assets!$I$2),MONTH(Assets!$I$2),1),0,IF($AR49=$S49-$V49,0,IF($U49=0,0,MIN(($S49-$V49)/($U49*12),($S49-$V49)-$AR49))))))</f>
        <v>0</v>
      </c>
      <c r="AR49" s="60">
        <f t="array" aca="1" ref="AR49" ca="1">IF($L49=LARGE(IF(TransAsset=$C49,IF(TransIDDate&lt;Assets!$J$2,TransIDDate,0),0),1),IF($B49="DIS",0,MIN(IF($U49=0,0,(($S49-$V49)/($U49*12)*(((YEAR(Assets!$J$2)*12)+MONTH(Assets!$J$2)-1)-((YEAR($L49)*12)+MONTH($L49)-1)))),($S49-$V49))),0)</f>
        <v>0</v>
      </c>
      <c r="AS49" s="60">
        <f t="shared" si="41"/>
        <v>500</v>
      </c>
      <c r="AT49" s="28" cm="1">
        <f t="array" aca="1" ref="AT49" ca="1">IF(SUMPRODUCT((TransAsset=$C49)*(TransType="DIS")*(TransIDDate&lt;(Assets!$I$2+1))*(1))&gt;0,0,IF(AND($AU49=0,DATE(YEAR($L49),MONTH($L49),1)&lt;&gt;DATE(YEAR(Assets!$J$2),MONTH(Assets!$J$2),1)),0,IF(DATE(YEAR($Q49),MONTH($Q49),1)&lt;&gt;DATE(YEAR(Assets!$I$2),MONTH(Assets!$I$2),1),0,IF(SUMIFS(TransPMAccDep,TransAsset,$C49)&gt;=($T49-$V49),($T49-$V49)-SUMIFS(TransPMAccDep,TransAsset,$C49),IF($U49=0,0,IF($S49&lt;$T49,MIN(($S49-$V49)/($U49*12),($T49-$V49)-$AU49),MIN(($T49-$V49)/($U49*12),($T49-$V49)-$AU49)))))))</f>
        <v>0</v>
      </c>
      <c r="AU49" s="28">
        <f t="array" aca="1" ref="AU49" ca="1">IF($L49=LARGE(IF(TransAsset=$C49,IF(TransIDDate&lt;Assets!$J$2,TransIDDate,0),0),1),IF($B49="DIS",0,MIN(SUMIFS(TransTDCost,TransAsset,$C49,TransDate,"&lt;="&amp;$L49)+IF($U49=0,0,MIN(($S49-$V49)/($U49*12)*(((YEAR(Assets!$J$2)*12)+MONTH(Assets!$J$2)-1)-((YEAR($L49)*12)+MONTH($L49)-1)),$S49-$V49)),SUMIFS(TransTDCost,TransAsset,$C49,TransDate,"&lt;="&amp;$L49)+IF($U49=0,0,MIN(($T49-$V49)/($U49*12)*(((YEAR(Assets!$J$2)*12)+MONTH(Assets!$J$2)-1)-((YEAR($L49)*12)+MONTH($L49)-1)),$T49-$V49)),$T49-$V49)),0)</f>
        <v>0</v>
      </c>
    </row>
    <row r="50" spans="1:47" ht="16" customHeight="1" x14ac:dyDescent="0.25">
      <c r="A50" s="33">
        <v>43891</v>
      </c>
      <c r="B50" s="4" t="s">
        <v>360</v>
      </c>
      <c r="C50" s="8" t="s">
        <v>307</v>
      </c>
      <c r="D50" s="3" t="s">
        <v>361</v>
      </c>
      <c r="E50" s="3" t="s">
        <v>168</v>
      </c>
      <c r="F50" s="28">
        <v>1200</v>
      </c>
      <c r="G50" s="28">
        <v>4</v>
      </c>
      <c r="H50" s="28">
        <v>0</v>
      </c>
      <c r="I50" s="28">
        <v>0</v>
      </c>
      <c r="J50" s="59" t="str" cm="1">
        <f t="array" aca="1" ref="J50" ca="1">IF(ISNA(VLOOKUP($C50,AssetCode,1,0))=TRUE,"E3",IF(OR(ISBLANK($B50)=TRUE,SUMPRODUCT((TransAsset=$C50)*(TransIDDate&lt;$L50)*(TransType="DIS")*(1))&gt;0),"E4",IF(SUMPRODUCT((TransAsset=$C50)*(TransType="ACQ")*(1))&gt;1,"E5",IF(OR($F50&lt;0,AND(TransType="DIS",$F50&lt;&gt;0)=TRUE),"E6",IF(OR(AND($G50&lt;0,TransType&lt;&gt;"DIS")=TRUE,AND(TransType="DIS",$G50&lt;&gt;0)=TRUE),"E7",IF(OR($H50&lt;0,AND(TransType="DIS",$H50&lt;&gt;0)=TRUE,$H50&gt;$F50),"E8",IF($I50&lt;0,"E9","-")))))))</f>
        <v>-</v>
      </c>
      <c r="K50" s="60" t="str">
        <f>IF(ISNA(VLOOKUP($C50,AssetAll,COLUMN(Assets!$E$4),0))=TRUE,"add!",VLOOKUP($C50,AssetAll,COLUMN(Assets!$E$4),0))</f>
        <v>OFE01</v>
      </c>
      <c r="L50" s="61">
        <f t="shared" ca="1" si="21"/>
        <v>43891.000578703701</v>
      </c>
      <c r="M50" s="61">
        <f t="array" aca="1" ref="M50" ca="1">IF(ISBLANK($C50)=TRUE,0,LARGE(IF(TransAsset=$C50,IF(TransIDDate&lt;$L50,TransIDDate,0),0),1))</f>
        <v>42205.000150462962</v>
      </c>
      <c r="N50" s="61">
        <f t="array" aca="1" ref="N50" ca="1">IF(ISBLANK($C50)=TRUE,0,SMALL(IF(TransAsset=$C50,IF(TransIDDate&gt;$L50,TransIDDate,(Assets!$I$2+1)),(Assets!$I$2+1)),1))</f>
        <v>44256</v>
      </c>
      <c r="O50" s="61">
        <f t="shared" ca="1" si="22"/>
        <v>45351</v>
      </c>
      <c r="P50" s="61">
        <f ca="1">IF(OR($N50&lt;Assets!$H$2,$O50&lt;Assets!$H$2,$L50&gt;(Assets!$I$2+1)),0,IF($B50="DIS",IF($L50&lt;Assets!$H$2,0,IF($L50&lt;(Assets!$I$2+1),DATE(YEAR($L50),MONTH($L50),0),Assets!$H$2)),IF($L50&lt;Assets!$H$2,Assets!$H$2,DATE(YEAR($L50),MONTH($L50),1))))</f>
        <v>43891</v>
      </c>
      <c r="Q50" s="61">
        <f ca="1">IF($P50=0,0,IF($B50="DIS",IF($L50&gt;(Assets!$I$2+1),MIN(Assets!$I$2,$O50),MIN($L50,$O50)),IF($N50&lt;(Assets!$I$2+1),MIN(IF(DATE(YEAR($N50),MONTH($N50),0)&lt;$P50,$P50,DATE(YEAR($N50),MONTH($N50),0)),$O50),MIN(Assets!$I$2,$O50))))</f>
        <v>44255</v>
      </c>
      <c r="R50" s="60">
        <f t="shared" ca="1" si="23"/>
        <v>12</v>
      </c>
      <c r="S50" s="60">
        <f t="shared" si="24"/>
        <v>1200</v>
      </c>
      <c r="T50" s="60" cm="1">
        <f t="array" ref="T50">IF(ISBLANK($B50)=FALSE,SUMIFS(TransAmount,TransAsset,$C50,TransType,"ACQ"),0)</f>
        <v>3400</v>
      </c>
      <c r="U50" s="60">
        <f t="shared" si="25"/>
        <v>4</v>
      </c>
      <c r="V50" s="60">
        <f t="shared" si="26"/>
        <v>0</v>
      </c>
      <c r="W50" s="28">
        <f t="shared" ca="1" si="27"/>
        <v>3400</v>
      </c>
      <c r="X50" s="28">
        <f t="shared" ca="1" si="28"/>
        <v>0</v>
      </c>
      <c r="Y50" s="28">
        <f t="shared" ca="1" si="29"/>
        <v>4</v>
      </c>
      <c r="Z50" s="28">
        <f t="shared" ca="1" si="30"/>
        <v>3400</v>
      </c>
      <c r="AA50" s="28">
        <f t="shared" ca="1" si="31"/>
        <v>0</v>
      </c>
      <c r="AB50" s="28" cm="1">
        <f t="array" aca="1" ref="AB50" ca="1">IF(SUMIFS(TransTDCost,TransAsset,$C50,TransDate,"&lt;="&amp;$L50)&gt;($T50-$X50),($T50-$X50),SUMIFS(TransTDCost,TransAsset,$C50,TransDate,"&lt;="&amp;$L50))</f>
        <v>3400</v>
      </c>
      <c r="AC50" s="28">
        <f t="shared" ca="1" si="32"/>
        <v>0</v>
      </c>
      <c r="AD50" s="28">
        <f t="array" aca="1" ref="AD50" ca="1">IF($L50=LARGE(IF(TransAsset=$C50,IF(TransIDDate&lt;Assets!$H$2,TransIDDate,0),0),1),IF($B50="DIS",$AC50,SUMIFS(TransCAccDep,TransAsset,$C50,TransDate,"&lt;="&amp;$L50)+IF($U50=0,0,MIN(($S50-$V50)/($U50*12)*(((YEAR(Assets!$H$2)*12)+MONTH(Assets!$H$2)-1)-((YEAR($L50)*12)+MONTH($L50)-1)),$S50-$V50))),0)-$AO50</f>
        <v>0</v>
      </c>
      <c r="AE50" s="28">
        <f t="shared" ca="1" si="33"/>
        <v>0</v>
      </c>
      <c r="AF50" s="28">
        <f t="shared" ca="1" si="34"/>
        <v>1200</v>
      </c>
      <c r="AG50" s="28">
        <f t="shared" ca="1" si="35"/>
        <v>1200</v>
      </c>
      <c r="AH50" s="28">
        <f t="shared" ca="1" si="36"/>
        <v>0</v>
      </c>
      <c r="AI50" s="28" cm="1">
        <f t="array" aca="1" ref="AI50" ca="1">IF($B50="REV",IF($S50-$AA50+$AE50&gt;0,IF(SUMIFS(TransImpair,TransAsset,$C50,TransDate,"&lt;"&amp;$M50)&gt;0,IF(SUMIFS(TransImpair,TransAsset,$C50,TransDate,"&lt;"&amp;$M50)&gt;$S50-$AA50+$AE50,-($S50-$AA50+$AE50),-SUMIFS(TransImpair,TransAsset,$C50,TransDate,"&lt;"&amp;$M50)),0),-($S50-$AA50+$AE50)),0)</f>
        <v>0</v>
      </c>
      <c r="AJ50" s="28">
        <f t="shared" si="37"/>
        <v>0</v>
      </c>
      <c r="AK50" s="28">
        <f t="shared" ca="1" si="38"/>
        <v>300</v>
      </c>
      <c r="AL50" s="28">
        <f t="shared" ca="1" si="39"/>
        <v>300</v>
      </c>
      <c r="AM50" s="28" cm="1">
        <f t="array" aca="1" ref="AM50" ca="1">IF($AN50&gt;($T50-$V50),($T50-$V50)-SUMIFS(TransPCAccDep,TransAsset,$C50,TransDate,"&lt;="&amp;$L50),$AL50)</f>
        <v>0</v>
      </c>
      <c r="AN50" s="28" cm="1">
        <f t="array" aca="1" ref="AN50" ca="1">IF($AL50=0,0,SUMIFS(TransCCYDep2,TransAsset,$C50,TransDate,"&lt;="&amp;$L50)+SUMIFS(TransPCAccDep,TransAsset,$C50,TransDate,"&lt;="&amp;$L50))</f>
        <v>3700</v>
      </c>
      <c r="AO50" s="28">
        <f t="array" aca="1" ref="AO50" ca="1">IF($L50=LARGE(IF(TransAsset=$C50,IF(TransIDDate&lt;Assets!$H$2,TransIDDate,0),0),1),IF($B50="DIS",0,MIN(SUMIFS(TransTDCost,TransAsset,$C50,TransDate,"&lt;="&amp;$L50)+IF($U50=0,0,MIN(($S50-$V50)/($U50*12)*(((YEAR(Assets!$H$2)*12)+MONTH(Assets!$H$2)-1)-((YEAR($L50)*12)+MONTH($L50)-1)),$S50-$V50)),SUMIFS(TransTDCost,TransAsset,$C50,TransDate,"&lt;="&amp;$L50)+IF($U50=0,0,MIN(($T50-$V50)/($U50*12)*(((YEAR(Assets!$H$2)*12)+MONTH(Assets!$H$2)-1)-((YEAR($L50)*12)+MONTH($L50)-1)),$T50-$V50)),$T50-$V50)),0)</f>
        <v>0</v>
      </c>
      <c r="AP50" s="28">
        <f t="shared" ca="1" si="40"/>
        <v>3400</v>
      </c>
      <c r="AQ50" s="60">
        <f ca="1">IF(SUMPRODUCT((TransAsset=$C50)*(TransType="DIS")*(TransIDDate&lt;(Assets!$I$2+1))*(1))&gt;0,0,IF(AND($AR50=0,DATE(YEAR($L50),MONTH($L50),1)&lt;&gt;DATE(YEAR(Assets!$J$2),MONTH(Assets!$J$2),1)),0,IF(DATE(YEAR($Q50),MONTH($Q50),1)&lt;&gt;DATE(YEAR(Assets!$I$2),MONTH(Assets!$I$2),1),0,IF($AR50=$S50-$V50,0,IF($U50=0,0,MIN(($S50-$V50)/($U50*12),($S50-$V50)-$AR50))))))</f>
        <v>25</v>
      </c>
      <c r="AR50" s="60">
        <f t="array" aca="1" ref="AR50" ca="1">IF($L50=LARGE(IF(TransAsset=$C50,IF(TransIDDate&lt;Assets!$J$2,TransIDDate,0),0),1),IF($B50="DIS",0,MIN(IF($U50=0,0,(($S50-$V50)/($U50*12)*(((YEAR(Assets!$J$2)*12)+MONTH(Assets!$J$2)-1)-((YEAR($L50)*12)+MONTH($L50)-1)))),($S50-$V50))),0)</f>
        <v>275</v>
      </c>
      <c r="AS50" s="60">
        <f t="shared" si="41"/>
        <v>25</v>
      </c>
      <c r="AT50" s="28" cm="1">
        <f t="array" aca="1" ref="AT50" ca="1">IF(SUMPRODUCT((TransAsset=$C50)*(TransType="DIS")*(TransIDDate&lt;(Assets!$I$2+1))*(1))&gt;0,0,IF(AND($AU50=0,DATE(YEAR($L50),MONTH($L50),1)&lt;&gt;DATE(YEAR(Assets!$J$2),MONTH(Assets!$J$2),1)),0,IF(DATE(YEAR($Q50),MONTH($Q50),1)&lt;&gt;DATE(YEAR(Assets!$I$2),MONTH(Assets!$I$2),1),0,IF(SUMIFS(TransPMAccDep,TransAsset,$C50)&gt;=($T50-$V50),($T50-$V50)-SUMIFS(TransPMAccDep,TransAsset,$C50),IF($U50=0,0,IF($S50&lt;$T50,MIN(($S50-$V50)/($U50*12),($T50-$V50)-$AU50),MIN(($T50-$V50)/($U50*12),($T50-$V50)-$AU50)))))))</f>
        <v>0</v>
      </c>
      <c r="AU50" s="28">
        <f t="array" aca="1" ref="AU50" ca="1">IF($L50=LARGE(IF(TransAsset=$C50,IF(TransIDDate&lt;Assets!$J$2,TransIDDate,0),0),1),IF($B50="DIS",0,MIN(SUMIFS(TransTDCost,TransAsset,$C50,TransDate,"&lt;="&amp;$L50)+IF($U50=0,0,MIN(($S50-$V50)/($U50*12)*(((YEAR(Assets!$J$2)*12)+MONTH(Assets!$J$2)-1)-((YEAR($L50)*12)+MONTH($L50)-1)),$S50-$V50)),SUMIFS(TransTDCost,TransAsset,$C50,TransDate,"&lt;="&amp;$L50)+IF($U50=0,0,MIN(($T50-$V50)/($U50*12)*(((YEAR(Assets!$J$2)*12)+MONTH(Assets!$J$2)-1)-((YEAR($L50)*12)+MONTH($L50)-1)),$T50-$V50)),$T50-$V50)),0)</f>
        <v>3400</v>
      </c>
    </row>
    <row r="51" spans="1:47" ht="16" customHeight="1" x14ac:dyDescent="0.25">
      <c r="A51" s="33">
        <v>43891</v>
      </c>
      <c r="B51" s="4" t="s">
        <v>360</v>
      </c>
      <c r="C51" s="8" t="s">
        <v>308</v>
      </c>
      <c r="D51" s="3" t="s">
        <v>361</v>
      </c>
      <c r="E51" s="3" t="s">
        <v>168</v>
      </c>
      <c r="F51" s="28">
        <v>6000</v>
      </c>
      <c r="G51" s="28">
        <v>4</v>
      </c>
      <c r="H51" s="28">
        <v>0</v>
      </c>
      <c r="I51" s="28">
        <v>0</v>
      </c>
      <c r="J51" s="59" t="str" cm="1">
        <f t="array" aca="1" ref="J51" ca="1">IF(ISNA(VLOOKUP($C51,AssetCode,1,0))=TRUE,"E3",IF(OR(ISBLANK($B51)=TRUE,SUMPRODUCT((TransAsset=$C51)*(TransIDDate&lt;$L51)*(TransType="DIS")*(1))&gt;0),"E4",IF(SUMPRODUCT((TransAsset=$C51)*(TransType="ACQ")*(1))&gt;1,"E5",IF(OR($F51&lt;0,AND(TransType="DIS",$F51&lt;&gt;0)=TRUE),"E6",IF(OR(AND($G51&lt;0,TransType&lt;&gt;"DIS")=TRUE,AND(TransType="DIS",$G51&lt;&gt;0)=TRUE),"E7",IF(OR($H51&lt;0,AND(TransType="DIS",$H51&lt;&gt;0)=TRUE,$H51&gt;$F51),"E8",IF($I51&lt;0,"E9","-")))))))</f>
        <v>-</v>
      </c>
      <c r="K51" s="60" t="str">
        <f>IF(ISNA(VLOOKUP($C51,AssetAll,COLUMN(Assets!$E$4),0))=TRUE,"add!",VLOOKUP($C51,AssetAll,COLUMN(Assets!$E$4),0))</f>
        <v>OFE01</v>
      </c>
      <c r="L51" s="61">
        <f t="shared" ca="1" si="21"/>
        <v>43891.000590277778</v>
      </c>
      <c r="M51" s="61">
        <f t="array" aca="1" ref="M51" ca="1">IF(ISBLANK($C51)=TRUE,0,LARGE(IF(TransAsset=$C51,IF(TransIDDate&lt;$L51,TransIDDate,0),0),1))</f>
        <v>43250.000439814816</v>
      </c>
      <c r="N51" s="61">
        <f t="array" aca="1" ref="N51" ca="1">IF(ISBLANK($C51)=TRUE,0,SMALL(IF(TransAsset=$C51,IF(TransIDDate&gt;$L51,TransIDDate,(Assets!$I$2+1)),(Assets!$I$2+1)),1))</f>
        <v>44256</v>
      </c>
      <c r="O51" s="61">
        <f t="shared" ca="1" si="22"/>
        <v>45351</v>
      </c>
      <c r="P51" s="61">
        <f ca="1">IF(OR($N51&lt;Assets!$H$2,$O51&lt;Assets!$H$2,$L51&gt;(Assets!$I$2+1)),0,IF($B51="DIS",IF($L51&lt;Assets!$H$2,0,IF($L51&lt;(Assets!$I$2+1),DATE(YEAR($L51),MONTH($L51),0),Assets!$H$2)),IF($L51&lt;Assets!$H$2,Assets!$H$2,DATE(YEAR($L51),MONTH($L51),1))))</f>
        <v>43891</v>
      </c>
      <c r="Q51" s="61">
        <f ca="1">IF($P51=0,0,IF($B51="DIS",IF($L51&gt;(Assets!$I$2+1),MIN(Assets!$I$2,$O51),MIN($L51,$O51)),IF($N51&lt;(Assets!$I$2+1),MIN(IF(DATE(YEAR($N51),MONTH($N51),0)&lt;$P51,$P51,DATE(YEAR($N51),MONTH($N51),0)),$O51),MIN(Assets!$I$2,$O51))))</f>
        <v>44255</v>
      </c>
      <c r="R51" s="60">
        <f t="shared" ca="1" si="23"/>
        <v>12</v>
      </c>
      <c r="S51" s="60">
        <f t="shared" si="24"/>
        <v>6000</v>
      </c>
      <c r="T51" s="60" cm="1">
        <f t="array" ref="T51">IF(ISBLANK($B51)=FALSE,SUMIFS(TransAmount,TransAsset,$C51,TransType,"ACQ"),0)</f>
        <v>5150</v>
      </c>
      <c r="U51" s="60">
        <f t="shared" si="25"/>
        <v>4</v>
      </c>
      <c r="V51" s="60">
        <f t="shared" si="26"/>
        <v>0</v>
      </c>
      <c r="W51" s="28">
        <f t="shared" ca="1" si="27"/>
        <v>5150</v>
      </c>
      <c r="X51" s="28">
        <f t="shared" ca="1" si="28"/>
        <v>0</v>
      </c>
      <c r="Y51" s="28">
        <f t="shared" ca="1" si="29"/>
        <v>4</v>
      </c>
      <c r="Z51" s="28">
        <f t="shared" ca="1" si="30"/>
        <v>2360.416666666667</v>
      </c>
      <c r="AA51" s="28">
        <f t="shared" ca="1" si="31"/>
        <v>2789.583333333333</v>
      </c>
      <c r="AB51" s="28" cm="1">
        <f t="array" aca="1" ref="AB51" ca="1">IF(SUMIFS(TransTDCost,TransAsset,$C51,TransDate,"&lt;="&amp;$L51)&gt;($T51-$X51),($T51-$X51),SUMIFS(TransTDCost,TransAsset,$C51,TransDate,"&lt;="&amp;$L51))</f>
        <v>2360.416666666667</v>
      </c>
      <c r="AC51" s="28">
        <f t="shared" ca="1" si="32"/>
        <v>0</v>
      </c>
      <c r="AD51" s="28">
        <f t="array" aca="1" ref="AD51" ca="1">IF($L51=LARGE(IF(TransAsset=$C51,IF(TransIDDate&lt;Assets!$H$2,TransIDDate,0),0),1),IF($B51="DIS",$AC51,SUMIFS(TransCAccDep,TransAsset,$C51,TransDate,"&lt;="&amp;$L51)+IF($U51=0,0,MIN(($S51-$V51)/($U51*12)*(((YEAR(Assets!$H$2)*12)+MONTH(Assets!$H$2)-1)-((YEAR($L51)*12)+MONTH($L51)-1)),$S51-$V51))),0)-$AO51</f>
        <v>0</v>
      </c>
      <c r="AE51" s="28">
        <f t="shared" ca="1" si="33"/>
        <v>0</v>
      </c>
      <c r="AF51" s="28">
        <f t="shared" ca="1" si="34"/>
        <v>3210.416666666667</v>
      </c>
      <c r="AG51" s="28">
        <f t="shared" ca="1" si="35"/>
        <v>3210.416666666667</v>
      </c>
      <c r="AH51" s="28">
        <f t="shared" ca="1" si="36"/>
        <v>0</v>
      </c>
      <c r="AI51" s="28" cm="1">
        <f t="array" aca="1" ref="AI51" ca="1">IF($B51="REV",IF($S51-$AA51+$AE51&gt;0,IF(SUMIFS(TransImpair,TransAsset,$C51,TransDate,"&lt;"&amp;$M51)&gt;0,IF(SUMIFS(TransImpair,TransAsset,$C51,TransDate,"&lt;"&amp;$M51)&gt;$S51-$AA51+$AE51,-($S51-$AA51+$AE51),-SUMIFS(TransImpair,TransAsset,$C51,TransDate,"&lt;"&amp;$M51)),0),-($S51-$AA51+$AE51)),0)</f>
        <v>0</v>
      </c>
      <c r="AJ51" s="28">
        <f t="shared" si="37"/>
        <v>0</v>
      </c>
      <c r="AK51" s="28">
        <f t="shared" ca="1" si="38"/>
        <v>1500</v>
      </c>
      <c r="AL51" s="28">
        <f t="shared" ca="1" si="39"/>
        <v>1287.5</v>
      </c>
      <c r="AM51" s="28" cm="1">
        <f t="array" aca="1" ref="AM51" ca="1">IF($AN51&gt;($T51-$V51),($T51-$V51)-SUMIFS(TransPCAccDep,TransAsset,$C51,TransDate,"&lt;="&amp;$L51),$AL51)</f>
        <v>1287.5</v>
      </c>
      <c r="AN51" s="28" cm="1">
        <f t="array" aca="1" ref="AN51" ca="1">IF($AL51=0,0,SUMIFS(TransCCYDep2,TransAsset,$C51,TransDate,"&lt;="&amp;$L51)+SUMIFS(TransPCAccDep,TransAsset,$C51,TransDate,"&lt;="&amp;$L51))</f>
        <v>3647.916666666667</v>
      </c>
      <c r="AO51" s="28">
        <f t="array" aca="1" ref="AO51" ca="1">IF($L51=LARGE(IF(TransAsset=$C51,IF(TransIDDate&lt;Assets!$H$2,TransIDDate,0),0),1),IF($B51="DIS",0,MIN(SUMIFS(TransTDCost,TransAsset,$C51,TransDate,"&lt;="&amp;$L51)+IF($U51=0,0,MIN(($S51-$V51)/($U51*12)*(((YEAR(Assets!$H$2)*12)+MONTH(Assets!$H$2)-1)-((YEAR($L51)*12)+MONTH($L51)-1)),$S51-$V51)),SUMIFS(TransTDCost,TransAsset,$C51,TransDate,"&lt;="&amp;$L51)+IF($U51=0,0,MIN(($T51-$V51)/($U51*12)*(((YEAR(Assets!$H$2)*12)+MONTH(Assets!$H$2)-1)-((YEAR($L51)*12)+MONTH($L51)-1)),$T51-$V51)),$T51-$V51)),0)</f>
        <v>0</v>
      </c>
      <c r="AP51" s="28">
        <f t="shared" ca="1" si="40"/>
        <v>2360.416666666667</v>
      </c>
      <c r="AQ51" s="60">
        <f ca="1">IF(SUMPRODUCT((TransAsset=$C51)*(TransType="DIS")*(TransIDDate&lt;(Assets!$I$2+1))*(1))&gt;0,0,IF(AND($AR51=0,DATE(YEAR($L51),MONTH($L51),1)&lt;&gt;DATE(YEAR(Assets!$J$2),MONTH(Assets!$J$2),1)),0,IF(DATE(YEAR($Q51),MONTH($Q51),1)&lt;&gt;DATE(YEAR(Assets!$I$2),MONTH(Assets!$I$2),1),0,IF($AR51=$S51-$V51,0,IF($U51=0,0,MIN(($S51-$V51)/($U51*12),($S51-$V51)-$AR51))))))</f>
        <v>125</v>
      </c>
      <c r="AR51" s="60">
        <f t="array" aca="1" ref="AR51" ca="1">IF($L51=LARGE(IF(TransAsset=$C51,IF(TransIDDate&lt;Assets!$J$2,TransIDDate,0),0),1),IF($B51="DIS",0,MIN(IF($U51=0,0,(($S51-$V51)/($U51*12)*(((YEAR(Assets!$J$2)*12)+MONTH(Assets!$J$2)-1)-((YEAR($L51)*12)+MONTH($L51)-1)))),($S51-$V51))),0)</f>
        <v>1375</v>
      </c>
      <c r="AS51" s="60">
        <f t="shared" si="41"/>
        <v>107.29166666666667</v>
      </c>
      <c r="AT51" s="28" cm="1">
        <f t="array" aca="1" ref="AT51" ca="1">IF(SUMPRODUCT((TransAsset=$C51)*(TransType="DIS")*(TransIDDate&lt;(Assets!$I$2+1))*(1))&gt;0,0,IF(AND($AU51=0,DATE(YEAR($L51),MONTH($L51),1)&lt;&gt;DATE(YEAR(Assets!$J$2),MONTH(Assets!$J$2),1)),0,IF(DATE(YEAR($Q51),MONTH($Q51),1)&lt;&gt;DATE(YEAR(Assets!$I$2),MONTH(Assets!$I$2),1),0,IF(SUMIFS(TransPMAccDep,TransAsset,$C51)&gt;=($T51-$V51),($T51-$V51)-SUMIFS(TransPMAccDep,TransAsset,$C51),IF($U51=0,0,IF($S51&lt;$T51,MIN(($S51-$V51)/($U51*12),($T51-$V51)-$AU51),MIN(($T51-$V51)/($U51*12),($T51-$V51)-$AU51)))))))</f>
        <v>107.29166666666667</v>
      </c>
      <c r="AU51" s="28">
        <f t="array" aca="1" ref="AU51" ca="1">IF($L51=LARGE(IF(TransAsset=$C51,IF(TransIDDate&lt;Assets!$J$2,TransIDDate,0),0),1),IF($B51="DIS",0,MIN(SUMIFS(TransTDCost,TransAsset,$C51,TransDate,"&lt;="&amp;$L51)+IF($U51=0,0,MIN(($S51-$V51)/($U51*12)*(((YEAR(Assets!$J$2)*12)+MONTH(Assets!$J$2)-1)-((YEAR($L51)*12)+MONTH($L51)-1)),$S51-$V51)),SUMIFS(TransTDCost,TransAsset,$C51,TransDate,"&lt;="&amp;$L51)+IF($U51=0,0,MIN(($T51-$V51)/($U51*12)*(((YEAR(Assets!$J$2)*12)+MONTH(Assets!$J$2)-1)-((YEAR($L51)*12)+MONTH($L51)-1)),$T51-$V51)),$T51-$V51)),0)</f>
        <v>3540.6250000000005</v>
      </c>
    </row>
    <row r="52" spans="1:47" ht="16" customHeight="1" x14ac:dyDescent="0.25">
      <c r="A52" s="33">
        <v>43891</v>
      </c>
      <c r="B52" s="4" t="s">
        <v>360</v>
      </c>
      <c r="C52" s="8" t="s">
        <v>277</v>
      </c>
      <c r="D52" s="3" t="s">
        <v>361</v>
      </c>
      <c r="E52" s="3" t="s">
        <v>168</v>
      </c>
      <c r="F52" s="28">
        <v>40000</v>
      </c>
      <c r="G52" s="28">
        <v>5</v>
      </c>
      <c r="H52" s="28">
        <v>0</v>
      </c>
      <c r="I52" s="28">
        <v>0</v>
      </c>
      <c r="J52" s="59" t="str" cm="1">
        <f t="array" aca="1" ref="J52" ca="1">IF(ISNA(VLOOKUP($C52,AssetCode,1,0))=TRUE,"E3",IF(OR(ISBLANK($B52)=TRUE,SUMPRODUCT((TransAsset=$C52)*(TransIDDate&lt;$L52)*(TransType="DIS")*(1))&gt;0),"E4",IF(SUMPRODUCT((TransAsset=$C52)*(TransType="ACQ")*(1))&gt;1,"E5",IF(OR($F52&lt;0,AND(TransType="DIS",$F52&lt;&gt;0)=TRUE),"E6",IF(OR(AND($G52&lt;0,TransType&lt;&gt;"DIS")=TRUE,AND(TransType="DIS",$G52&lt;&gt;0)=TRUE),"E7",IF(OR($H52&lt;0,AND(TransType="DIS",$H52&lt;&gt;0)=TRUE,$H52&gt;$F52),"E8",IF($I52&lt;0,"E9","-")))))))</f>
        <v>-</v>
      </c>
      <c r="K52" s="60" t="str">
        <f>IF(ISNA(VLOOKUP($C52,AssetAll,COLUMN(Assets!$E$4),0))=TRUE,"add!",VLOOKUP($C52,AssetAll,COLUMN(Assets!$E$4),0))</f>
        <v>PPM01</v>
      </c>
      <c r="L52" s="61">
        <f t="shared" ca="1" si="21"/>
        <v>43891.000601851854</v>
      </c>
      <c r="M52" s="61">
        <f t="array" aca="1" ref="M52" ca="1">IF(ISBLANK($C52)=TRUE,0,LARGE(IF(TransAsset=$C52,IF(TransIDDate&lt;$L52,TransIDDate,0),0),1))</f>
        <v>42205.000162037039</v>
      </c>
      <c r="N52" s="61">
        <f t="array" aca="1" ref="N52" ca="1">IF(ISBLANK($C52)=TRUE,0,SMALL(IF(TransAsset=$C52,IF(TransIDDate&gt;$L52,TransIDDate,(Assets!$I$2+1)),(Assets!$I$2+1)),1))</f>
        <v>44256</v>
      </c>
      <c r="O52" s="61">
        <f t="shared" ca="1" si="22"/>
        <v>45716</v>
      </c>
      <c r="P52" s="61">
        <f ca="1">IF(OR($N52&lt;Assets!$H$2,$O52&lt;Assets!$H$2,$L52&gt;(Assets!$I$2+1)),0,IF($B52="DIS",IF($L52&lt;Assets!$H$2,0,IF($L52&lt;(Assets!$I$2+1),DATE(YEAR($L52),MONTH($L52),0),Assets!$H$2)),IF($L52&lt;Assets!$H$2,Assets!$H$2,DATE(YEAR($L52),MONTH($L52),1))))</f>
        <v>43891</v>
      </c>
      <c r="Q52" s="61">
        <f ca="1">IF($P52=0,0,IF($B52="DIS",IF($L52&gt;(Assets!$I$2+1),MIN(Assets!$I$2,$O52),MIN($L52,$O52)),IF($N52&lt;(Assets!$I$2+1),MIN(IF(DATE(YEAR($N52),MONTH($N52),0)&lt;$P52,$P52,DATE(YEAR($N52),MONTH($N52),0)),$O52),MIN(Assets!$I$2,$O52))))</f>
        <v>44255</v>
      </c>
      <c r="R52" s="60">
        <f t="shared" ca="1" si="23"/>
        <v>12</v>
      </c>
      <c r="S52" s="60">
        <f t="shared" si="24"/>
        <v>40000</v>
      </c>
      <c r="T52" s="60" cm="1">
        <f t="array" ref="T52">IF(ISBLANK($B52)=FALSE,SUMIFS(TransAmount,TransAsset,$C52,TransType,"ACQ"),0)</f>
        <v>120000</v>
      </c>
      <c r="U52" s="60">
        <f t="shared" si="25"/>
        <v>5</v>
      </c>
      <c r="V52" s="60">
        <f t="shared" si="26"/>
        <v>0</v>
      </c>
      <c r="W52" s="28">
        <f t="shared" ca="1" si="27"/>
        <v>120000</v>
      </c>
      <c r="X52" s="28">
        <f t="shared" ca="1" si="28"/>
        <v>0</v>
      </c>
      <c r="Y52" s="28">
        <f t="shared" ca="1" si="29"/>
        <v>5</v>
      </c>
      <c r="Z52" s="28">
        <f t="shared" ca="1" si="30"/>
        <v>112000</v>
      </c>
      <c r="AA52" s="28">
        <f t="shared" ca="1" si="31"/>
        <v>8000</v>
      </c>
      <c r="AB52" s="28" cm="1">
        <f t="array" aca="1" ref="AB52" ca="1">IF(SUMIFS(TransTDCost,TransAsset,$C52,TransDate,"&lt;="&amp;$L52)&gt;($T52-$X52),($T52-$X52),SUMIFS(TransTDCost,TransAsset,$C52,TransDate,"&lt;="&amp;$L52))</f>
        <v>112000</v>
      </c>
      <c r="AC52" s="28">
        <f t="shared" ca="1" si="32"/>
        <v>0</v>
      </c>
      <c r="AD52" s="28">
        <f t="array" aca="1" ref="AD52" ca="1">IF($L52=LARGE(IF(TransAsset=$C52,IF(TransIDDate&lt;Assets!$H$2,TransIDDate,0),0),1),IF($B52="DIS",$AC52,SUMIFS(TransCAccDep,TransAsset,$C52,TransDate,"&lt;="&amp;$L52)+IF($U52=0,0,MIN(($S52-$V52)/($U52*12)*(((YEAR(Assets!$H$2)*12)+MONTH(Assets!$H$2)-1)-((YEAR($L52)*12)+MONTH($L52)-1)),$S52-$V52))),0)-$AO52</f>
        <v>0</v>
      </c>
      <c r="AE52" s="28">
        <f t="shared" ca="1" si="33"/>
        <v>0</v>
      </c>
      <c r="AF52" s="28">
        <f t="shared" ca="1" si="34"/>
        <v>32000</v>
      </c>
      <c r="AG52" s="28">
        <f t="shared" ca="1" si="35"/>
        <v>32000</v>
      </c>
      <c r="AH52" s="28">
        <f t="shared" ca="1" si="36"/>
        <v>0</v>
      </c>
      <c r="AI52" s="28" cm="1">
        <f t="array" aca="1" ref="AI52" ca="1">IF($B52="REV",IF($S52-$AA52+$AE52&gt;0,IF(SUMIFS(TransImpair,TransAsset,$C52,TransDate,"&lt;"&amp;$M52)&gt;0,IF(SUMIFS(TransImpair,TransAsset,$C52,TransDate,"&lt;"&amp;$M52)&gt;$S52-$AA52+$AE52,-($S52-$AA52+$AE52),-SUMIFS(TransImpair,TransAsset,$C52,TransDate,"&lt;"&amp;$M52)),0),-($S52-$AA52+$AE52)),0)</f>
        <v>0</v>
      </c>
      <c r="AJ52" s="28">
        <f t="shared" si="37"/>
        <v>0</v>
      </c>
      <c r="AK52" s="28">
        <f t="shared" ca="1" si="38"/>
        <v>8000</v>
      </c>
      <c r="AL52" s="28">
        <f t="shared" ca="1" si="39"/>
        <v>8000</v>
      </c>
      <c r="AM52" s="28" cm="1">
        <f t="array" aca="1" ref="AM52" ca="1">IF($AN52&gt;($T52-$V52),($T52-$V52)-SUMIFS(TransPCAccDep,TransAsset,$C52,TransDate,"&lt;="&amp;$L52),$AL52)</f>
        <v>8000</v>
      </c>
      <c r="AN52" s="28" cm="1">
        <f t="array" aca="1" ref="AN52" ca="1">IF($AL52=0,0,SUMIFS(TransCCYDep2,TransAsset,$C52,TransDate,"&lt;="&amp;$L52)+SUMIFS(TransPCAccDep,TransAsset,$C52,TransDate,"&lt;="&amp;$L52))</f>
        <v>120000</v>
      </c>
      <c r="AO52" s="28">
        <f t="array" aca="1" ref="AO52" ca="1">IF($L52=LARGE(IF(TransAsset=$C52,IF(TransIDDate&lt;Assets!$H$2,TransIDDate,0),0),1),IF($B52="DIS",0,MIN(SUMIFS(TransTDCost,TransAsset,$C52,TransDate,"&lt;="&amp;$L52)+IF($U52=0,0,MIN(($S52-$V52)/($U52*12)*(((YEAR(Assets!$H$2)*12)+MONTH(Assets!$H$2)-1)-((YEAR($L52)*12)+MONTH($L52)-1)),$S52-$V52)),SUMIFS(TransTDCost,TransAsset,$C52,TransDate,"&lt;="&amp;$L52)+IF($U52=0,0,MIN(($T52-$V52)/($U52*12)*(((YEAR(Assets!$H$2)*12)+MONTH(Assets!$H$2)-1)-((YEAR($L52)*12)+MONTH($L52)-1)),$T52-$V52)),$T52-$V52)),0)</f>
        <v>0</v>
      </c>
      <c r="AP52" s="28">
        <f t="shared" ca="1" si="40"/>
        <v>112000</v>
      </c>
      <c r="AQ52" s="60">
        <f ca="1">IF(SUMPRODUCT((TransAsset=$C52)*(TransType="DIS")*(TransIDDate&lt;(Assets!$I$2+1))*(1))&gt;0,0,IF(AND($AR52=0,DATE(YEAR($L52),MONTH($L52),1)&lt;&gt;DATE(YEAR(Assets!$J$2),MONTH(Assets!$J$2),1)),0,IF(DATE(YEAR($Q52),MONTH($Q52),1)&lt;&gt;DATE(YEAR(Assets!$I$2),MONTH(Assets!$I$2),1),0,IF($AR52=$S52-$V52,0,IF($U52=0,0,MIN(($S52-$V52)/($U52*12),($S52-$V52)-$AR52))))))</f>
        <v>666.66666666666663</v>
      </c>
      <c r="AR52" s="60">
        <f t="array" aca="1" ref="AR52" ca="1">IF($L52=LARGE(IF(TransAsset=$C52,IF(TransIDDate&lt;Assets!$J$2,TransIDDate,0),0),1),IF($B52="DIS",0,MIN(IF($U52=0,0,(($S52-$V52)/($U52*12)*(((YEAR(Assets!$J$2)*12)+MONTH(Assets!$J$2)-1)-((YEAR($L52)*12)+MONTH($L52)-1)))),($S52-$V52))),0)</f>
        <v>7333.333333333333</v>
      </c>
      <c r="AS52" s="60">
        <f t="shared" si="41"/>
        <v>666.66666666666663</v>
      </c>
      <c r="AT52" s="28" cm="1">
        <f t="array" aca="1" ref="AT52" ca="1">IF(SUMPRODUCT((TransAsset=$C52)*(TransType="DIS")*(TransIDDate&lt;(Assets!$I$2+1))*(1))&gt;0,0,IF(AND($AU52=0,DATE(YEAR($L52),MONTH($L52),1)&lt;&gt;DATE(YEAR(Assets!$J$2),MONTH(Assets!$J$2),1)),0,IF(DATE(YEAR($Q52),MONTH($Q52),1)&lt;&gt;DATE(YEAR(Assets!$I$2),MONTH(Assets!$I$2),1),0,IF(SUMIFS(TransPMAccDep,TransAsset,$C52)&gt;=($T52-$V52),($T52-$V52)-SUMIFS(TransPMAccDep,TransAsset,$C52),IF($U52=0,0,IF($S52&lt;$T52,MIN(($S52-$V52)/($U52*12),($T52-$V52)-$AU52),MIN(($T52-$V52)/($U52*12),($T52-$V52)-$AU52)))))))</f>
        <v>666.66666666666663</v>
      </c>
      <c r="AU52" s="28">
        <f t="array" aca="1" ref="AU52" ca="1">IF($L52=LARGE(IF(TransAsset=$C52,IF(TransIDDate&lt;Assets!$J$2,TransIDDate,0),0),1),IF($B52="DIS",0,MIN(SUMIFS(TransTDCost,TransAsset,$C52,TransDate,"&lt;="&amp;$L52)+IF($U52=0,0,MIN(($S52-$V52)/($U52*12)*(((YEAR(Assets!$J$2)*12)+MONTH(Assets!$J$2)-1)-((YEAR($L52)*12)+MONTH($L52)-1)),$S52-$V52)),SUMIFS(TransTDCost,TransAsset,$C52,TransDate,"&lt;="&amp;$L52)+IF($U52=0,0,MIN(($T52-$V52)/($U52*12)*(((YEAR(Assets!$J$2)*12)+MONTH(Assets!$J$2)-1)-((YEAR($L52)*12)+MONTH($L52)-1)),$T52-$V52)),$T52-$V52)),0)</f>
        <v>119333.33333333333</v>
      </c>
    </row>
    <row r="53" spans="1:47" ht="16" customHeight="1" x14ac:dyDescent="0.25">
      <c r="A53" s="33">
        <v>43891</v>
      </c>
      <c r="B53" s="4" t="s">
        <v>360</v>
      </c>
      <c r="C53" s="8" t="s">
        <v>278</v>
      </c>
      <c r="D53" s="3" t="s">
        <v>361</v>
      </c>
      <c r="E53" s="3" t="s">
        <v>168</v>
      </c>
      <c r="F53" s="28">
        <v>60000</v>
      </c>
      <c r="G53" s="28">
        <v>5</v>
      </c>
      <c r="H53" s="28">
        <v>0</v>
      </c>
      <c r="I53" s="28">
        <v>0</v>
      </c>
      <c r="J53" s="59" t="str" cm="1">
        <f t="array" aca="1" ref="J53" ca="1">IF(ISNA(VLOOKUP($C53,AssetCode,1,0))=TRUE,"E3",IF(OR(ISBLANK($B53)=TRUE,SUMPRODUCT((TransAsset=$C53)*(TransIDDate&lt;$L53)*(TransType="DIS")*(1))&gt;0),"E4",IF(SUMPRODUCT((TransAsset=$C53)*(TransType="ACQ")*(1))&gt;1,"E5",IF(OR($F53&lt;0,AND(TransType="DIS",$F53&lt;&gt;0)=TRUE),"E6",IF(OR(AND($G53&lt;0,TransType&lt;&gt;"DIS")=TRUE,AND(TransType="DIS",$G53&lt;&gt;0)=TRUE),"E7",IF(OR($H53&lt;0,AND(TransType="DIS",$H53&lt;&gt;0)=TRUE,$H53&gt;$F53),"E8",IF($I53&lt;0,"E9","-")))))))</f>
        <v>-</v>
      </c>
      <c r="K53" s="60" t="str">
        <f>IF(ISNA(VLOOKUP($C53,AssetAll,COLUMN(Assets!$E$4),0))=TRUE,"add!",VLOOKUP($C53,AssetAll,COLUMN(Assets!$E$4),0))</f>
        <v>PPM01</v>
      </c>
      <c r="L53" s="61">
        <f t="shared" ca="1" si="21"/>
        <v>43891.000613425924</v>
      </c>
      <c r="M53" s="61">
        <f t="array" aca="1" ref="M53" ca="1">IF(ISBLANK($C53)=TRUE,0,LARGE(IF(TransAsset=$C53,IF(TransIDDate&lt;$L53,TransIDDate,0),0),1))</f>
        <v>42205.000173611108</v>
      </c>
      <c r="N53" s="61">
        <f t="array" aca="1" ref="N53" ca="1">IF(ISBLANK($C53)=TRUE,0,SMALL(IF(TransAsset=$C53,IF(TransIDDate&gt;$L53,TransIDDate,(Assets!$I$2+1)),(Assets!$I$2+1)),1))</f>
        <v>44256</v>
      </c>
      <c r="O53" s="61">
        <f t="shared" ca="1" si="22"/>
        <v>45716</v>
      </c>
      <c r="P53" s="61">
        <f ca="1">IF(OR($N53&lt;Assets!$H$2,$O53&lt;Assets!$H$2,$L53&gt;(Assets!$I$2+1)),0,IF($B53="DIS",IF($L53&lt;Assets!$H$2,0,IF($L53&lt;(Assets!$I$2+1),DATE(YEAR($L53),MONTH($L53),0),Assets!$H$2)),IF($L53&lt;Assets!$H$2,Assets!$H$2,DATE(YEAR($L53),MONTH($L53),1))))</f>
        <v>43891</v>
      </c>
      <c r="Q53" s="61">
        <f ca="1">IF($P53=0,0,IF($B53="DIS",IF($L53&gt;(Assets!$I$2+1),MIN(Assets!$I$2,$O53),MIN($L53,$O53)),IF($N53&lt;(Assets!$I$2+1),MIN(IF(DATE(YEAR($N53),MONTH($N53),0)&lt;$P53,$P53,DATE(YEAR($N53),MONTH($N53),0)),$O53),MIN(Assets!$I$2,$O53))))</f>
        <v>44255</v>
      </c>
      <c r="R53" s="60">
        <f t="shared" ca="1" si="23"/>
        <v>12</v>
      </c>
      <c r="S53" s="60">
        <f t="shared" si="24"/>
        <v>60000</v>
      </c>
      <c r="T53" s="60" cm="1">
        <f t="array" ref="T53">IF(ISBLANK($B53)=FALSE,SUMIFS(TransAmount,TransAsset,$C53,TransType,"ACQ"),0)</f>
        <v>200000</v>
      </c>
      <c r="U53" s="60">
        <f t="shared" si="25"/>
        <v>5</v>
      </c>
      <c r="V53" s="60">
        <f t="shared" si="26"/>
        <v>0</v>
      </c>
      <c r="W53" s="28">
        <f t="shared" ca="1" si="27"/>
        <v>200000</v>
      </c>
      <c r="X53" s="28">
        <f t="shared" ca="1" si="28"/>
        <v>0</v>
      </c>
      <c r="Y53" s="28">
        <f t="shared" ca="1" si="29"/>
        <v>5</v>
      </c>
      <c r="Z53" s="28">
        <f t="shared" ca="1" si="30"/>
        <v>186666.66666666669</v>
      </c>
      <c r="AA53" s="28">
        <f t="shared" ca="1" si="31"/>
        <v>13333.333333333314</v>
      </c>
      <c r="AB53" s="28" cm="1">
        <f t="array" aca="1" ref="AB53" ca="1">IF(SUMIFS(TransTDCost,TransAsset,$C53,TransDate,"&lt;="&amp;$L53)&gt;($T53-$X53),($T53-$X53),SUMIFS(TransTDCost,TransAsset,$C53,TransDate,"&lt;="&amp;$L53))</f>
        <v>186666.66666666669</v>
      </c>
      <c r="AC53" s="28">
        <f t="shared" ca="1" si="32"/>
        <v>0</v>
      </c>
      <c r="AD53" s="28">
        <f t="array" aca="1" ref="AD53" ca="1">IF($L53=LARGE(IF(TransAsset=$C53,IF(TransIDDate&lt;Assets!$H$2,TransIDDate,0),0),1),IF($B53="DIS",$AC53,SUMIFS(TransCAccDep,TransAsset,$C53,TransDate,"&lt;="&amp;$L53)+IF($U53=0,0,MIN(($S53-$V53)/($U53*12)*(((YEAR(Assets!$H$2)*12)+MONTH(Assets!$H$2)-1)-((YEAR($L53)*12)+MONTH($L53)-1)),$S53-$V53))),0)-$AO53</f>
        <v>0</v>
      </c>
      <c r="AE53" s="28">
        <f t="shared" ca="1" si="33"/>
        <v>0</v>
      </c>
      <c r="AF53" s="28">
        <f t="shared" ca="1" si="34"/>
        <v>46666.666666666686</v>
      </c>
      <c r="AG53" s="28">
        <f t="shared" ca="1" si="35"/>
        <v>46666.666666666686</v>
      </c>
      <c r="AH53" s="28">
        <f t="shared" ca="1" si="36"/>
        <v>0</v>
      </c>
      <c r="AI53" s="28" cm="1">
        <f t="array" aca="1" ref="AI53" ca="1">IF($B53="REV",IF($S53-$AA53+$AE53&gt;0,IF(SUMIFS(TransImpair,TransAsset,$C53,TransDate,"&lt;"&amp;$M53)&gt;0,IF(SUMIFS(TransImpair,TransAsset,$C53,TransDate,"&lt;"&amp;$M53)&gt;$S53-$AA53+$AE53,-($S53-$AA53+$AE53),-SUMIFS(TransImpair,TransAsset,$C53,TransDate,"&lt;"&amp;$M53)),0),-($S53-$AA53+$AE53)),0)</f>
        <v>0</v>
      </c>
      <c r="AJ53" s="28">
        <f t="shared" si="37"/>
        <v>0</v>
      </c>
      <c r="AK53" s="28">
        <f t="shared" ca="1" si="38"/>
        <v>12000</v>
      </c>
      <c r="AL53" s="28">
        <f t="shared" ca="1" si="39"/>
        <v>12000</v>
      </c>
      <c r="AM53" s="28" cm="1">
        <f t="array" aca="1" ref="AM53" ca="1">IF($AN53&gt;($T53-$V53),($T53-$V53)-SUMIFS(TransPCAccDep,TransAsset,$C53,TransDate,"&lt;="&amp;$L53),$AL53)</f>
        <v>12000</v>
      </c>
      <c r="AN53" s="28" cm="1">
        <f t="array" aca="1" ref="AN53" ca="1">IF($AL53=0,0,SUMIFS(TransCCYDep2,TransAsset,$C53,TransDate,"&lt;="&amp;$L53)+SUMIFS(TransPCAccDep,TransAsset,$C53,TransDate,"&lt;="&amp;$L53))</f>
        <v>198666.66666666669</v>
      </c>
      <c r="AO53" s="28">
        <f t="array" aca="1" ref="AO53" ca="1">IF($L53=LARGE(IF(TransAsset=$C53,IF(TransIDDate&lt;Assets!$H$2,TransIDDate,0),0),1),IF($B53="DIS",0,MIN(SUMIFS(TransTDCost,TransAsset,$C53,TransDate,"&lt;="&amp;$L53)+IF($U53=0,0,MIN(($S53-$V53)/($U53*12)*(((YEAR(Assets!$H$2)*12)+MONTH(Assets!$H$2)-1)-((YEAR($L53)*12)+MONTH($L53)-1)),$S53-$V53)),SUMIFS(TransTDCost,TransAsset,$C53,TransDate,"&lt;="&amp;$L53)+IF($U53=0,0,MIN(($T53-$V53)/($U53*12)*(((YEAR(Assets!$H$2)*12)+MONTH(Assets!$H$2)-1)-((YEAR($L53)*12)+MONTH($L53)-1)),$T53-$V53)),$T53-$V53)),0)</f>
        <v>0</v>
      </c>
      <c r="AP53" s="28">
        <f t="shared" ca="1" si="40"/>
        <v>186666.66666666669</v>
      </c>
      <c r="AQ53" s="60">
        <f ca="1">IF(SUMPRODUCT((TransAsset=$C53)*(TransType="DIS")*(TransIDDate&lt;(Assets!$I$2+1))*(1))&gt;0,0,IF(AND($AR53=0,DATE(YEAR($L53),MONTH($L53),1)&lt;&gt;DATE(YEAR(Assets!$J$2),MONTH(Assets!$J$2),1)),0,IF(DATE(YEAR($Q53),MONTH($Q53),1)&lt;&gt;DATE(YEAR(Assets!$I$2),MONTH(Assets!$I$2),1),0,IF($AR53=$S53-$V53,0,IF($U53=0,0,MIN(($S53-$V53)/($U53*12),($S53-$V53)-$AR53))))))</f>
        <v>1000</v>
      </c>
      <c r="AR53" s="60">
        <f t="array" aca="1" ref="AR53" ca="1">IF($L53=LARGE(IF(TransAsset=$C53,IF(TransIDDate&lt;Assets!$J$2,TransIDDate,0),0),1),IF($B53="DIS",0,MIN(IF($U53=0,0,(($S53-$V53)/($U53*12)*(((YEAR(Assets!$J$2)*12)+MONTH(Assets!$J$2)-1)-((YEAR($L53)*12)+MONTH($L53)-1)))),($S53-$V53))),0)</f>
        <v>11000</v>
      </c>
      <c r="AS53" s="60">
        <f t="shared" si="41"/>
        <v>1000</v>
      </c>
      <c r="AT53" s="28" cm="1">
        <f t="array" aca="1" ref="AT53" ca="1">IF(SUMPRODUCT((TransAsset=$C53)*(TransType="DIS")*(TransIDDate&lt;(Assets!$I$2+1))*(1))&gt;0,0,IF(AND($AU53=0,DATE(YEAR($L53),MONTH($L53),1)&lt;&gt;DATE(YEAR(Assets!$J$2),MONTH(Assets!$J$2),1)),0,IF(DATE(YEAR($Q53),MONTH($Q53),1)&lt;&gt;DATE(YEAR(Assets!$I$2),MONTH(Assets!$I$2),1),0,IF(SUMIFS(TransPMAccDep,TransAsset,$C53)&gt;=($T53-$V53),($T53-$V53)-SUMIFS(TransPMAccDep,TransAsset,$C53),IF($U53=0,0,IF($S53&lt;$T53,MIN(($S53-$V53)/($U53*12),($T53-$V53)-$AU53),MIN(($T53-$V53)/($U53*12),($T53-$V53)-$AU53)))))))</f>
        <v>1000</v>
      </c>
      <c r="AU53" s="28">
        <f t="array" aca="1" ref="AU53" ca="1">IF($L53=LARGE(IF(TransAsset=$C53,IF(TransIDDate&lt;Assets!$J$2,TransIDDate,0),0),1),IF($B53="DIS",0,MIN(SUMIFS(TransTDCost,TransAsset,$C53,TransDate,"&lt;="&amp;$L53)+IF($U53=0,0,MIN(($S53-$V53)/($U53*12)*(((YEAR(Assets!$J$2)*12)+MONTH(Assets!$J$2)-1)-((YEAR($L53)*12)+MONTH($L53)-1)),$S53-$V53)),SUMIFS(TransTDCost,TransAsset,$C53,TransDate,"&lt;="&amp;$L53)+IF($U53=0,0,MIN(($T53-$V53)/($U53*12)*(((YEAR(Assets!$J$2)*12)+MONTH(Assets!$J$2)-1)-((YEAR($L53)*12)+MONTH($L53)-1)),$T53-$V53)),$T53-$V53)),0)</f>
        <v>197666.66666666669</v>
      </c>
    </row>
    <row r="54" spans="1:47" ht="16" customHeight="1" x14ac:dyDescent="0.25">
      <c r="A54" s="33">
        <v>43891</v>
      </c>
      <c r="B54" s="4" t="s">
        <v>360</v>
      </c>
      <c r="C54" s="8" t="s">
        <v>279</v>
      </c>
      <c r="D54" s="3" t="s">
        <v>361</v>
      </c>
      <c r="E54" s="3" t="s">
        <v>168</v>
      </c>
      <c r="F54" s="28">
        <v>75000</v>
      </c>
      <c r="G54" s="28">
        <v>5</v>
      </c>
      <c r="H54" s="28">
        <v>0</v>
      </c>
      <c r="I54" s="28">
        <v>0</v>
      </c>
      <c r="J54" s="59" t="str" cm="1">
        <f t="array" aca="1" ref="J54" ca="1">IF(ISNA(VLOOKUP($C54,AssetCode,1,0))=TRUE,"E3",IF(OR(ISBLANK($B54)=TRUE,SUMPRODUCT((TransAsset=$C54)*(TransIDDate&lt;$L54)*(TransType="DIS")*(1))&gt;0),"E4",IF(SUMPRODUCT((TransAsset=$C54)*(TransType="ACQ")*(1))&gt;1,"E5",IF(OR($F54&lt;0,AND(TransType="DIS",$F54&lt;&gt;0)=TRUE),"E6",IF(OR(AND($G54&lt;0,TransType&lt;&gt;"DIS")=TRUE,AND(TransType="DIS",$G54&lt;&gt;0)=TRUE),"E7",IF(OR($H54&lt;0,AND(TransType="DIS",$H54&lt;&gt;0)=TRUE,$H54&gt;$F54),"E8",IF($I54&lt;0,"E9","-")))))))</f>
        <v>-</v>
      </c>
      <c r="K54" s="60" t="str">
        <f>IF(ISNA(VLOOKUP($C54,AssetAll,COLUMN(Assets!$E$4),0))=TRUE,"add!",VLOOKUP($C54,AssetAll,COLUMN(Assets!$E$4),0))</f>
        <v>PPM01</v>
      </c>
      <c r="L54" s="61">
        <f t="shared" ca="1" si="21"/>
        <v>43891.000625000001</v>
      </c>
      <c r="M54" s="61">
        <f t="array" aca="1" ref="M54" ca="1">IF(ISBLANK($C54)=TRUE,0,LARGE(IF(TransAsset=$C54,IF(TransIDDate&lt;$L54,TransIDDate,0),0),1))</f>
        <v>42205.000185185185</v>
      </c>
      <c r="N54" s="61">
        <f t="array" aca="1" ref="N54" ca="1">IF(ISBLANK($C54)=TRUE,0,SMALL(IF(TransAsset=$C54,IF(TransIDDate&gt;$L54,TransIDDate,(Assets!$I$2+1)),(Assets!$I$2+1)),1))</f>
        <v>44256</v>
      </c>
      <c r="O54" s="61">
        <f t="shared" ca="1" si="22"/>
        <v>45716</v>
      </c>
      <c r="P54" s="61">
        <f ca="1">IF(OR($N54&lt;Assets!$H$2,$O54&lt;Assets!$H$2,$L54&gt;(Assets!$I$2+1)),0,IF($B54="DIS",IF($L54&lt;Assets!$H$2,0,IF($L54&lt;(Assets!$I$2+1),DATE(YEAR($L54),MONTH($L54),0),Assets!$H$2)),IF($L54&lt;Assets!$H$2,Assets!$H$2,DATE(YEAR($L54),MONTH($L54),1))))</f>
        <v>43891</v>
      </c>
      <c r="Q54" s="61">
        <f ca="1">IF($P54=0,0,IF($B54="DIS",IF($L54&gt;(Assets!$I$2+1),MIN(Assets!$I$2,$O54),MIN($L54,$O54)),IF($N54&lt;(Assets!$I$2+1),MIN(IF(DATE(YEAR($N54),MONTH($N54),0)&lt;$P54,$P54,DATE(YEAR($N54),MONTH($N54),0)),$O54),MIN(Assets!$I$2,$O54))))</f>
        <v>44255</v>
      </c>
      <c r="R54" s="60">
        <f t="shared" ca="1" si="23"/>
        <v>12</v>
      </c>
      <c r="S54" s="60">
        <f t="shared" si="24"/>
        <v>75000</v>
      </c>
      <c r="T54" s="60" cm="1">
        <f t="array" ref="T54">IF(ISBLANK($B54)=FALSE,SUMIFS(TransAmount,TransAsset,$C54,TransType,"ACQ"),0)</f>
        <v>250000</v>
      </c>
      <c r="U54" s="60">
        <f t="shared" si="25"/>
        <v>5</v>
      </c>
      <c r="V54" s="60">
        <f t="shared" si="26"/>
        <v>0</v>
      </c>
      <c r="W54" s="28">
        <f t="shared" ca="1" si="27"/>
        <v>250000</v>
      </c>
      <c r="X54" s="28">
        <f t="shared" ca="1" si="28"/>
        <v>0</v>
      </c>
      <c r="Y54" s="28">
        <f t="shared" ca="1" si="29"/>
        <v>5</v>
      </c>
      <c r="Z54" s="28">
        <f t="shared" ca="1" si="30"/>
        <v>233333.33333333334</v>
      </c>
      <c r="AA54" s="28">
        <f t="shared" ca="1" si="31"/>
        <v>16666.666666666657</v>
      </c>
      <c r="AB54" s="28" cm="1">
        <f t="array" aca="1" ref="AB54" ca="1">IF(SUMIFS(TransTDCost,TransAsset,$C54,TransDate,"&lt;="&amp;$L54)&gt;($T54-$X54),($T54-$X54),SUMIFS(TransTDCost,TransAsset,$C54,TransDate,"&lt;="&amp;$L54))</f>
        <v>233333.33333333334</v>
      </c>
      <c r="AC54" s="28">
        <f t="shared" ca="1" si="32"/>
        <v>0</v>
      </c>
      <c r="AD54" s="28">
        <f t="array" aca="1" ref="AD54" ca="1">IF($L54=LARGE(IF(TransAsset=$C54,IF(TransIDDate&lt;Assets!$H$2,TransIDDate,0),0),1),IF($B54="DIS",$AC54,SUMIFS(TransCAccDep,TransAsset,$C54,TransDate,"&lt;="&amp;$L54)+IF($U54=0,0,MIN(($S54-$V54)/($U54*12)*(((YEAR(Assets!$H$2)*12)+MONTH(Assets!$H$2)-1)-((YEAR($L54)*12)+MONTH($L54)-1)),$S54-$V54))),0)-$AO54</f>
        <v>0</v>
      </c>
      <c r="AE54" s="28">
        <f t="shared" ca="1" si="33"/>
        <v>0</v>
      </c>
      <c r="AF54" s="28">
        <f t="shared" ca="1" si="34"/>
        <v>58333.333333333343</v>
      </c>
      <c r="AG54" s="28">
        <f t="shared" ca="1" si="35"/>
        <v>58333.333333333343</v>
      </c>
      <c r="AH54" s="28">
        <f t="shared" ca="1" si="36"/>
        <v>0</v>
      </c>
      <c r="AI54" s="28" cm="1">
        <f t="array" aca="1" ref="AI54" ca="1">IF($B54="REV",IF($S54-$AA54+$AE54&gt;0,IF(SUMIFS(TransImpair,TransAsset,$C54,TransDate,"&lt;"&amp;$M54)&gt;0,IF(SUMIFS(TransImpair,TransAsset,$C54,TransDate,"&lt;"&amp;$M54)&gt;$S54-$AA54+$AE54,-($S54-$AA54+$AE54),-SUMIFS(TransImpair,TransAsset,$C54,TransDate,"&lt;"&amp;$M54)),0),-($S54-$AA54+$AE54)),0)</f>
        <v>0</v>
      </c>
      <c r="AJ54" s="28">
        <f t="shared" si="37"/>
        <v>0</v>
      </c>
      <c r="AK54" s="28">
        <f t="shared" ca="1" si="38"/>
        <v>15000</v>
      </c>
      <c r="AL54" s="28">
        <f t="shared" ca="1" si="39"/>
        <v>15000</v>
      </c>
      <c r="AM54" s="28" cm="1">
        <f t="array" aca="1" ref="AM54" ca="1">IF($AN54&gt;($T54-$V54),($T54-$V54)-SUMIFS(TransPCAccDep,TransAsset,$C54,TransDate,"&lt;="&amp;$L54),$AL54)</f>
        <v>15000</v>
      </c>
      <c r="AN54" s="28" cm="1">
        <f t="array" aca="1" ref="AN54" ca="1">IF($AL54=0,0,SUMIFS(TransCCYDep2,TransAsset,$C54,TransDate,"&lt;="&amp;$L54)+SUMIFS(TransPCAccDep,TransAsset,$C54,TransDate,"&lt;="&amp;$L54))</f>
        <v>248333.33333333334</v>
      </c>
      <c r="AO54" s="28">
        <f t="array" aca="1" ref="AO54" ca="1">IF($L54=LARGE(IF(TransAsset=$C54,IF(TransIDDate&lt;Assets!$H$2,TransIDDate,0),0),1),IF($B54="DIS",0,MIN(SUMIFS(TransTDCost,TransAsset,$C54,TransDate,"&lt;="&amp;$L54)+IF($U54=0,0,MIN(($S54-$V54)/($U54*12)*(((YEAR(Assets!$H$2)*12)+MONTH(Assets!$H$2)-1)-((YEAR($L54)*12)+MONTH($L54)-1)),$S54-$V54)),SUMIFS(TransTDCost,TransAsset,$C54,TransDate,"&lt;="&amp;$L54)+IF($U54=0,0,MIN(($T54-$V54)/($U54*12)*(((YEAR(Assets!$H$2)*12)+MONTH(Assets!$H$2)-1)-((YEAR($L54)*12)+MONTH($L54)-1)),$T54-$V54)),$T54-$V54)),0)</f>
        <v>0</v>
      </c>
      <c r="AP54" s="28">
        <f t="shared" ca="1" si="40"/>
        <v>233333.33333333334</v>
      </c>
      <c r="AQ54" s="60">
        <f ca="1">IF(SUMPRODUCT((TransAsset=$C54)*(TransType="DIS")*(TransIDDate&lt;(Assets!$I$2+1))*(1))&gt;0,0,IF(AND($AR54=0,DATE(YEAR($L54),MONTH($L54),1)&lt;&gt;DATE(YEAR(Assets!$J$2),MONTH(Assets!$J$2),1)),0,IF(DATE(YEAR($Q54),MONTH($Q54),1)&lt;&gt;DATE(YEAR(Assets!$I$2),MONTH(Assets!$I$2),1),0,IF($AR54=$S54-$V54,0,IF($U54=0,0,MIN(($S54-$V54)/($U54*12),($S54-$V54)-$AR54))))))</f>
        <v>1250</v>
      </c>
      <c r="AR54" s="60">
        <f t="array" aca="1" ref="AR54" ca="1">IF($L54=LARGE(IF(TransAsset=$C54,IF(TransIDDate&lt;Assets!$J$2,TransIDDate,0),0),1),IF($B54="DIS",0,MIN(IF($U54=0,0,(($S54-$V54)/($U54*12)*(((YEAR(Assets!$J$2)*12)+MONTH(Assets!$J$2)-1)-((YEAR($L54)*12)+MONTH($L54)-1)))),($S54-$V54))),0)</f>
        <v>13750</v>
      </c>
      <c r="AS54" s="60">
        <f t="shared" si="41"/>
        <v>1250</v>
      </c>
      <c r="AT54" s="28" cm="1">
        <f t="array" aca="1" ref="AT54" ca="1">IF(SUMPRODUCT((TransAsset=$C54)*(TransType="DIS")*(TransIDDate&lt;(Assets!$I$2+1))*(1))&gt;0,0,IF(AND($AU54=0,DATE(YEAR($L54),MONTH($L54),1)&lt;&gt;DATE(YEAR(Assets!$J$2),MONTH(Assets!$J$2),1)),0,IF(DATE(YEAR($Q54),MONTH($Q54),1)&lt;&gt;DATE(YEAR(Assets!$I$2),MONTH(Assets!$I$2),1),0,IF(SUMIFS(TransPMAccDep,TransAsset,$C54)&gt;=($T54-$V54),($T54-$V54)-SUMIFS(TransPMAccDep,TransAsset,$C54),IF($U54=0,0,IF($S54&lt;$T54,MIN(($S54-$V54)/($U54*12),($T54-$V54)-$AU54),MIN(($T54-$V54)/($U54*12),($T54-$V54)-$AU54)))))))</f>
        <v>1250</v>
      </c>
      <c r="AU54" s="28">
        <f t="array" aca="1" ref="AU54" ca="1">IF($L54=LARGE(IF(TransAsset=$C54,IF(TransIDDate&lt;Assets!$J$2,TransIDDate,0),0),1),IF($B54="DIS",0,MIN(SUMIFS(TransTDCost,TransAsset,$C54,TransDate,"&lt;="&amp;$L54)+IF($U54=0,0,MIN(($S54-$V54)/($U54*12)*(((YEAR(Assets!$J$2)*12)+MONTH(Assets!$J$2)-1)-((YEAR($L54)*12)+MONTH($L54)-1)),$S54-$V54)),SUMIFS(TransTDCost,TransAsset,$C54,TransDate,"&lt;="&amp;$L54)+IF($U54=0,0,MIN(($T54-$V54)/($U54*12)*(((YEAR(Assets!$J$2)*12)+MONTH(Assets!$J$2)-1)-((YEAR($L54)*12)+MONTH($L54)-1)),$T54-$V54)),$T54-$V54)),0)</f>
        <v>247083.33333333334</v>
      </c>
    </row>
    <row r="55" spans="1:47" ht="16" customHeight="1" x14ac:dyDescent="0.25">
      <c r="A55" s="33">
        <v>43891</v>
      </c>
      <c r="B55" s="4" t="s">
        <v>360</v>
      </c>
      <c r="C55" s="8" t="s">
        <v>280</v>
      </c>
      <c r="D55" s="3" t="s">
        <v>361</v>
      </c>
      <c r="E55" s="3" t="s">
        <v>168</v>
      </c>
      <c r="F55" s="28">
        <v>240000</v>
      </c>
      <c r="G55" s="28">
        <v>5</v>
      </c>
      <c r="H55" s="28">
        <v>0</v>
      </c>
      <c r="I55" s="28">
        <v>0</v>
      </c>
      <c r="J55" s="59" t="str" cm="1">
        <f t="array" aca="1" ref="J55" ca="1">IF(ISNA(VLOOKUP($C55,AssetCode,1,0))=TRUE,"E3",IF(OR(ISBLANK($B55)=TRUE,SUMPRODUCT((TransAsset=$C55)*(TransIDDate&lt;$L55)*(TransType="DIS")*(1))&gt;0),"E4",IF(SUMPRODUCT((TransAsset=$C55)*(TransType="ACQ")*(1))&gt;1,"E5",IF(OR($F55&lt;0,AND(TransType="DIS",$F55&lt;&gt;0)=TRUE),"E6",IF(OR(AND($G55&lt;0,TransType&lt;&gt;"DIS")=TRUE,AND(TransType="DIS",$G55&lt;&gt;0)=TRUE),"E7",IF(OR($H55&lt;0,AND(TransType="DIS",$H55&lt;&gt;0)=TRUE,$H55&gt;$F55),"E8",IF($I55&lt;0,"E9","-")))))))</f>
        <v>-</v>
      </c>
      <c r="K55" s="60" t="str">
        <f>IF(ISNA(VLOOKUP($C55,AssetAll,COLUMN(Assets!$E$4),0))=TRUE,"add!",VLOOKUP($C55,AssetAll,COLUMN(Assets!$E$4),0))</f>
        <v>PPM01</v>
      </c>
      <c r="L55" s="61">
        <f t="shared" ca="1" si="21"/>
        <v>43891.000636574077</v>
      </c>
      <c r="M55" s="61">
        <f t="array" aca="1" ref="M55" ca="1">IF(ISBLANK($C55)=TRUE,0,LARGE(IF(TransAsset=$C55,IF(TransIDDate&lt;$L55,TransIDDate,0),0),1))</f>
        <v>42205.000196759262</v>
      </c>
      <c r="N55" s="61">
        <f t="array" aca="1" ref="N55" ca="1">IF(ISBLANK($C55)=TRUE,0,SMALL(IF(TransAsset=$C55,IF(TransIDDate&gt;$L55,TransIDDate,(Assets!$I$2+1)),(Assets!$I$2+1)),1))</f>
        <v>44256</v>
      </c>
      <c r="O55" s="61">
        <f t="shared" ca="1" si="22"/>
        <v>45716</v>
      </c>
      <c r="P55" s="61">
        <f ca="1">IF(OR($N55&lt;Assets!$H$2,$O55&lt;Assets!$H$2,$L55&gt;(Assets!$I$2+1)),0,IF($B55="DIS",IF($L55&lt;Assets!$H$2,0,IF($L55&lt;(Assets!$I$2+1),DATE(YEAR($L55),MONTH($L55),0),Assets!$H$2)),IF($L55&lt;Assets!$H$2,Assets!$H$2,DATE(YEAR($L55),MONTH($L55),1))))</f>
        <v>43891</v>
      </c>
      <c r="Q55" s="61">
        <f ca="1">IF($P55=0,0,IF($B55="DIS",IF($L55&gt;(Assets!$I$2+1),MIN(Assets!$I$2,$O55),MIN($L55,$O55)),IF($N55&lt;(Assets!$I$2+1),MIN(IF(DATE(YEAR($N55),MONTH($N55),0)&lt;$P55,$P55,DATE(YEAR($N55),MONTH($N55),0)),$O55),MIN(Assets!$I$2,$O55))))</f>
        <v>44255</v>
      </c>
      <c r="R55" s="60">
        <f t="shared" ca="1" si="23"/>
        <v>12</v>
      </c>
      <c r="S55" s="60">
        <f t="shared" si="24"/>
        <v>240000</v>
      </c>
      <c r="T55" s="60" cm="1">
        <f t="array" ref="T55">IF(ISBLANK($B55)=FALSE,SUMIFS(TransAmount,TransAsset,$C55,TransType,"ACQ"),0)</f>
        <v>915000</v>
      </c>
      <c r="U55" s="60">
        <f t="shared" si="25"/>
        <v>5</v>
      </c>
      <c r="V55" s="60">
        <f t="shared" si="26"/>
        <v>0</v>
      </c>
      <c r="W55" s="28">
        <f t="shared" ca="1" si="27"/>
        <v>915000</v>
      </c>
      <c r="X55" s="28">
        <f t="shared" ca="1" si="28"/>
        <v>0</v>
      </c>
      <c r="Y55" s="28">
        <f t="shared" ca="1" si="29"/>
        <v>5</v>
      </c>
      <c r="Z55" s="28">
        <f t="shared" ca="1" si="30"/>
        <v>854000</v>
      </c>
      <c r="AA55" s="28">
        <f t="shared" ca="1" si="31"/>
        <v>61000</v>
      </c>
      <c r="AB55" s="28" cm="1">
        <f t="array" aca="1" ref="AB55" ca="1">IF(SUMIFS(TransTDCost,TransAsset,$C55,TransDate,"&lt;="&amp;$L55)&gt;($T55-$X55),($T55-$X55),SUMIFS(TransTDCost,TransAsset,$C55,TransDate,"&lt;="&amp;$L55))</f>
        <v>854000</v>
      </c>
      <c r="AC55" s="28">
        <f t="shared" ca="1" si="32"/>
        <v>0</v>
      </c>
      <c r="AD55" s="28">
        <f t="array" aca="1" ref="AD55" ca="1">IF($L55=LARGE(IF(TransAsset=$C55,IF(TransIDDate&lt;Assets!$H$2,TransIDDate,0),0),1),IF($B55="DIS",$AC55,SUMIFS(TransCAccDep,TransAsset,$C55,TransDate,"&lt;="&amp;$L55)+IF($U55=0,0,MIN(($S55-$V55)/($U55*12)*(((YEAR(Assets!$H$2)*12)+MONTH(Assets!$H$2)-1)-((YEAR($L55)*12)+MONTH($L55)-1)),$S55-$V55))),0)-$AO55</f>
        <v>0</v>
      </c>
      <c r="AE55" s="28">
        <f t="shared" ca="1" si="33"/>
        <v>0</v>
      </c>
      <c r="AF55" s="28">
        <f t="shared" ca="1" si="34"/>
        <v>179000</v>
      </c>
      <c r="AG55" s="28">
        <f t="shared" ca="1" si="35"/>
        <v>179000</v>
      </c>
      <c r="AH55" s="28">
        <f t="shared" ca="1" si="36"/>
        <v>0</v>
      </c>
      <c r="AI55" s="28" cm="1">
        <f t="array" aca="1" ref="AI55" ca="1">IF($B55="REV",IF($S55-$AA55+$AE55&gt;0,IF(SUMIFS(TransImpair,TransAsset,$C55,TransDate,"&lt;"&amp;$M55)&gt;0,IF(SUMIFS(TransImpair,TransAsset,$C55,TransDate,"&lt;"&amp;$M55)&gt;$S55-$AA55+$AE55,-($S55-$AA55+$AE55),-SUMIFS(TransImpair,TransAsset,$C55,TransDate,"&lt;"&amp;$M55)),0),-($S55-$AA55+$AE55)),0)</f>
        <v>0</v>
      </c>
      <c r="AJ55" s="28">
        <f t="shared" si="37"/>
        <v>0</v>
      </c>
      <c r="AK55" s="28">
        <f t="shared" ca="1" si="38"/>
        <v>48000</v>
      </c>
      <c r="AL55" s="28">
        <f t="shared" ca="1" si="39"/>
        <v>48000</v>
      </c>
      <c r="AM55" s="28" cm="1">
        <f t="array" aca="1" ref="AM55" ca="1">IF($AN55&gt;($T55-$V55),($T55-$V55)-SUMIFS(TransPCAccDep,TransAsset,$C55,TransDate,"&lt;="&amp;$L55),$AL55)</f>
        <v>48000</v>
      </c>
      <c r="AN55" s="28" cm="1">
        <f t="array" aca="1" ref="AN55" ca="1">IF($AL55=0,0,SUMIFS(TransCCYDep2,TransAsset,$C55,TransDate,"&lt;="&amp;$L55)+SUMIFS(TransPCAccDep,TransAsset,$C55,TransDate,"&lt;="&amp;$L55))</f>
        <v>902000</v>
      </c>
      <c r="AO55" s="28">
        <f t="array" aca="1" ref="AO55" ca="1">IF($L55=LARGE(IF(TransAsset=$C55,IF(TransIDDate&lt;Assets!$H$2,TransIDDate,0),0),1),IF($B55="DIS",0,MIN(SUMIFS(TransTDCost,TransAsset,$C55,TransDate,"&lt;="&amp;$L55)+IF($U55=0,0,MIN(($S55-$V55)/($U55*12)*(((YEAR(Assets!$H$2)*12)+MONTH(Assets!$H$2)-1)-((YEAR($L55)*12)+MONTH($L55)-1)),$S55-$V55)),SUMIFS(TransTDCost,TransAsset,$C55,TransDate,"&lt;="&amp;$L55)+IF($U55=0,0,MIN(($T55-$V55)/($U55*12)*(((YEAR(Assets!$H$2)*12)+MONTH(Assets!$H$2)-1)-((YEAR($L55)*12)+MONTH($L55)-1)),$T55-$V55)),$T55-$V55)),0)</f>
        <v>0</v>
      </c>
      <c r="AP55" s="28">
        <f t="shared" ca="1" si="40"/>
        <v>854000</v>
      </c>
      <c r="AQ55" s="60">
        <f ca="1">IF(SUMPRODUCT((TransAsset=$C55)*(TransType="DIS")*(TransIDDate&lt;(Assets!$I$2+1))*(1))&gt;0,0,IF(AND($AR55=0,DATE(YEAR($L55),MONTH($L55),1)&lt;&gt;DATE(YEAR(Assets!$J$2),MONTH(Assets!$J$2),1)),0,IF(DATE(YEAR($Q55),MONTH($Q55),1)&lt;&gt;DATE(YEAR(Assets!$I$2),MONTH(Assets!$I$2),1),0,IF($AR55=$S55-$V55,0,IF($U55=0,0,MIN(($S55-$V55)/($U55*12),($S55-$V55)-$AR55))))))</f>
        <v>4000</v>
      </c>
      <c r="AR55" s="60">
        <f t="array" aca="1" ref="AR55" ca="1">IF($L55=LARGE(IF(TransAsset=$C55,IF(TransIDDate&lt;Assets!$J$2,TransIDDate,0),0),1),IF($B55="DIS",0,MIN(IF($U55=0,0,(($S55-$V55)/($U55*12)*(((YEAR(Assets!$J$2)*12)+MONTH(Assets!$J$2)-1)-((YEAR($L55)*12)+MONTH($L55)-1)))),($S55-$V55))),0)</f>
        <v>44000</v>
      </c>
      <c r="AS55" s="60">
        <f t="shared" si="41"/>
        <v>4000</v>
      </c>
      <c r="AT55" s="28" cm="1">
        <f t="array" aca="1" ref="AT55" ca="1">IF(SUMPRODUCT((TransAsset=$C55)*(TransType="DIS")*(TransIDDate&lt;(Assets!$I$2+1))*(1))&gt;0,0,IF(AND($AU55=0,DATE(YEAR($L55),MONTH($L55),1)&lt;&gt;DATE(YEAR(Assets!$J$2),MONTH(Assets!$J$2),1)),0,IF(DATE(YEAR($Q55),MONTH($Q55),1)&lt;&gt;DATE(YEAR(Assets!$I$2),MONTH(Assets!$I$2),1),0,IF(SUMIFS(TransPMAccDep,TransAsset,$C55)&gt;=($T55-$V55),($T55-$V55)-SUMIFS(TransPMAccDep,TransAsset,$C55),IF($U55=0,0,IF($S55&lt;$T55,MIN(($S55-$V55)/($U55*12),($T55-$V55)-$AU55),MIN(($T55-$V55)/($U55*12),($T55-$V55)-$AU55)))))))</f>
        <v>4000</v>
      </c>
      <c r="AU55" s="28">
        <f t="array" aca="1" ref="AU55" ca="1">IF($L55=LARGE(IF(TransAsset=$C55,IF(TransIDDate&lt;Assets!$J$2,TransIDDate,0),0),1),IF($B55="DIS",0,MIN(SUMIFS(TransTDCost,TransAsset,$C55,TransDate,"&lt;="&amp;$L55)+IF($U55=0,0,MIN(($S55-$V55)/($U55*12)*(((YEAR(Assets!$J$2)*12)+MONTH(Assets!$J$2)-1)-((YEAR($L55)*12)+MONTH($L55)-1)),$S55-$V55)),SUMIFS(TransTDCost,TransAsset,$C55,TransDate,"&lt;="&amp;$L55)+IF($U55=0,0,MIN(($T55-$V55)/($U55*12)*(((YEAR(Assets!$J$2)*12)+MONTH(Assets!$J$2)-1)-((YEAR($L55)*12)+MONTH($L55)-1)),$T55-$V55)),$T55-$V55)),0)</f>
        <v>898000</v>
      </c>
    </row>
    <row r="56" spans="1:47" ht="16" customHeight="1" x14ac:dyDescent="0.25">
      <c r="A56" s="33">
        <v>43891</v>
      </c>
      <c r="B56" s="4" t="s">
        <v>360</v>
      </c>
      <c r="C56" s="8" t="s">
        <v>281</v>
      </c>
      <c r="D56" s="3" t="s">
        <v>361</v>
      </c>
      <c r="E56" s="3" t="s">
        <v>168</v>
      </c>
      <c r="F56" s="28">
        <v>142000</v>
      </c>
      <c r="G56" s="28">
        <v>5</v>
      </c>
      <c r="H56" s="28">
        <v>0</v>
      </c>
      <c r="I56" s="28">
        <v>0</v>
      </c>
      <c r="J56" s="59" t="str" cm="1">
        <f t="array" aca="1" ref="J56" ca="1">IF(ISNA(VLOOKUP($C56,AssetCode,1,0))=TRUE,"E3",IF(OR(ISBLANK($B56)=TRUE,SUMPRODUCT((TransAsset=$C56)*(TransIDDate&lt;$L56)*(TransType="DIS")*(1))&gt;0),"E4",IF(SUMPRODUCT((TransAsset=$C56)*(TransType="ACQ")*(1))&gt;1,"E5",IF(OR($F56&lt;0,AND(TransType="DIS",$F56&lt;&gt;0)=TRUE),"E6",IF(OR(AND($G56&lt;0,TransType&lt;&gt;"DIS")=TRUE,AND(TransType="DIS",$G56&lt;&gt;0)=TRUE),"E7",IF(OR($H56&lt;0,AND(TransType="DIS",$H56&lt;&gt;0)=TRUE,$H56&gt;$F56),"E8",IF($I56&lt;0,"E9","-")))))))</f>
        <v>-</v>
      </c>
      <c r="K56" s="60" t="str">
        <f>IF(ISNA(VLOOKUP($C56,AssetAll,COLUMN(Assets!$E$4),0))=TRUE,"add!",VLOOKUP($C56,AssetAll,COLUMN(Assets!$E$4),0))</f>
        <v>PPM01</v>
      </c>
      <c r="L56" s="61">
        <f t="shared" ca="1" si="21"/>
        <v>43891.000648148147</v>
      </c>
      <c r="M56" s="61">
        <f t="array" aca="1" ref="M56" ca="1">IF(ISBLANK($C56)=TRUE,0,LARGE(IF(TransAsset=$C56,IF(TransIDDate&lt;$L56,TransIDDate,0),0),1))</f>
        <v>42205.000208333331</v>
      </c>
      <c r="N56" s="61">
        <f t="array" aca="1" ref="N56" ca="1">IF(ISBLANK($C56)=TRUE,0,SMALL(IF(TransAsset=$C56,IF(TransIDDate&gt;$L56,TransIDDate,(Assets!$I$2+1)),(Assets!$I$2+1)),1))</f>
        <v>44256</v>
      </c>
      <c r="O56" s="61">
        <f t="shared" ca="1" si="22"/>
        <v>45716</v>
      </c>
      <c r="P56" s="61">
        <f ca="1">IF(OR($N56&lt;Assets!$H$2,$O56&lt;Assets!$H$2,$L56&gt;(Assets!$I$2+1)),0,IF($B56="DIS",IF($L56&lt;Assets!$H$2,0,IF($L56&lt;(Assets!$I$2+1),DATE(YEAR($L56),MONTH($L56),0),Assets!$H$2)),IF($L56&lt;Assets!$H$2,Assets!$H$2,DATE(YEAR($L56),MONTH($L56),1))))</f>
        <v>43891</v>
      </c>
      <c r="Q56" s="61">
        <f ca="1">IF($P56=0,0,IF($B56="DIS",IF($L56&gt;(Assets!$I$2+1),MIN(Assets!$I$2,$O56),MIN($L56,$O56)),IF($N56&lt;(Assets!$I$2+1),MIN(IF(DATE(YEAR($N56),MONTH($N56),0)&lt;$P56,$P56,DATE(YEAR($N56),MONTH($N56),0)),$O56),MIN(Assets!$I$2,$O56))))</f>
        <v>44255</v>
      </c>
      <c r="R56" s="60">
        <f t="shared" ca="1" si="23"/>
        <v>12</v>
      </c>
      <c r="S56" s="60">
        <f t="shared" si="24"/>
        <v>142000</v>
      </c>
      <c r="T56" s="60" cm="1">
        <f t="array" ref="T56">IF(ISBLANK($B56)=FALSE,SUMIFS(TransAmount,TransAsset,$C56,TransType,"ACQ"),0)</f>
        <v>500000</v>
      </c>
      <c r="U56" s="60">
        <f t="shared" si="25"/>
        <v>5</v>
      </c>
      <c r="V56" s="60">
        <f t="shared" si="26"/>
        <v>0</v>
      </c>
      <c r="W56" s="28">
        <f t="shared" ca="1" si="27"/>
        <v>500000</v>
      </c>
      <c r="X56" s="28">
        <f t="shared" ca="1" si="28"/>
        <v>0</v>
      </c>
      <c r="Y56" s="28">
        <f t="shared" ca="1" si="29"/>
        <v>5</v>
      </c>
      <c r="Z56" s="28">
        <f t="shared" ca="1" si="30"/>
        <v>466666.66666666669</v>
      </c>
      <c r="AA56" s="28">
        <f t="shared" ca="1" si="31"/>
        <v>33333.333333333314</v>
      </c>
      <c r="AB56" s="28" cm="1">
        <f t="array" aca="1" ref="AB56" ca="1">IF(SUMIFS(TransTDCost,TransAsset,$C56,TransDate,"&lt;="&amp;$L56)&gt;($T56-$X56),($T56-$X56),SUMIFS(TransTDCost,TransAsset,$C56,TransDate,"&lt;="&amp;$L56))</f>
        <v>466666.66666666669</v>
      </c>
      <c r="AC56" s="28">
        <f t="shared" ca="1" si="32"/>
        <v>0</v>
      </c>
      <c r="AD56" s="28">
        <f t="array" aca="1" ref="AD56" ca="1">IF($L56=LARGE(IF(TransAsset=$C56,IF(TransIDDate&lt;Assets!$H$2,TransIDDate,0),0),1),IF($B56="DIS",$AC56,SUMIFS(TransCAccDep,TransAsset,$C56,TransDate,"&lt;="&amp;$L56)+IF($U56=0,0,MIN(($S56-$V56)/($U56*12)*(((YEAR(Assets!$H$2)*12)+MONTH(Assets!$H$2)-1)-((YEAR($L56)*12)+MONTH($L56)-1)),$S56-$V56))),0)-$AO56</f>
        <v>0</v>
      </c>
      <c r="AE56" s="28">
        <f t="shared" ca="1" si="33"/>
        <v>0</v>
      </c>
      <c r="AF56" s="28">
        <f t="shared" ca="1" si="34"/>
        <v>108666.66666666669</v>
      </c>
      <c r="AG56" s="28">
        <f t="shared" ca="1" si="35"/>
        <v>108666.66666666669</v>
      </c>
      <c r="AH56" s="28">
        <f t="shared" ca="1" si="36"/>
        <v>0</v>
      </c>
      <c r="AI56" s="28" cm="1">
        <f t="array" aca="1" ref="AI56" ca="1">IF($B56="REV",IF($S56-$AA56+$AE56&gt;0,IF(SUMIFS(TransImpair,TransAsset,$C56,TransDate,"&lt;"&amp;$M56)&gt;0,IF(SUMIFS(TransImpair,TransAsset,$C56,TransDate,"&lt;"&amp;$M56)&gt;$S56-$AA56+$AE56,-($S56-$AA56+$AE56),-SUMIFS(TransImpair,TransAsset,$C56,TransDate,"&lt;"&amp;$M56)),0),-($S56-$AA56+$AE56)),0)</f>
        <v>0</v>
      </c>
      <c r="AJ56" s="28">
        <f t="shared" si="37"/>
        <v>0</v>
      </c>
      <c r="AK56" s="28">
        <f t="shared" ca="1" si="38"/>
        <v>28400</v>
      </c>
      <c r="AL56" s="28">
        <f t="shared" ca="1" si="39"/>
        <v>28400</v>
      </c>
      <c r="AM56" s="28" cm="1">
        <f t="array" aca="1" ref="AM56" ca="1">IF($AN56&gt;($T56-$V56),($T56-$V56)-SUMIFS(TransPCAccDep,TransAsset,$C56,TransDate,"&lt;="&amp;$L56),$AL56)</f>
        <v>28400</v>
      </c>
      <c r="AN56" s="28" cm="1">
        <f t="array" aca="1" ref="AN56" ca="1">IF($AL56=0,0,SUMIFS(TransCCYDep2,TransAsset,$C56,TransDate,"&lt;="&amp;$L56)+SUMIFS(TransPCAccDep,TransAsset,$C56,TransDate,"&lt;="&amp;$L56))</f>
        <v>495066.66666666669</v>
      </c>
      <c r="AO56" s="28">
        <f t="array" aca="1" ref="AO56" ca="1">IF($L56=LARGE(IF(TransAsset=$C56,IF(TransIDDate&lt;Assets!$H$2,TransIDDate,0),0),1),IF($B56="DIS",0,MIN(SUMIFS(TransTDCost,TransAsset,$C56,TransDate,"&lt;="&amp;$L56)+IF($U56=0,0,MIN(($S56-$V56)/($U56*12)*(((YEAR(Assets!$H$2)*12)+MONTH(Assets!$H$2)-1)-((YEAR($L56)*12)+MONTH($L56)-1)),$S56-$V56)),SUMIFS(TransTDCost,TransAsset,$C56,TransDate,"&lt;="&amp;$L56)+IF($U56=0,0,MIN(($T56-$V56)/($U56*12)*(((YEAR(Assets!$H$2)*12)+MONTH(Assets!$H$2)-1)-((YEAR($L56)*12)+MONTH($L56)-1)),$T56-$V56)),$T56-$V56)),0)</f>
        <v>0</v>
      </c>
      <c r="AP56" s="28">
        <f t="shared" ca="1" si="40"/>
        <v>466666.66666666669</v>
      </c>
      <c r="AQ56" s="60">
        <f ca="1">IF(SUMPRODUCT((TransAsset=$C56)*(TransType="DIS")*(TransIDDate&lt;(Assets!$I$2+1))*(1))&gt;0,0,IF(AND($AR56=0,DATE(YEAR($L56),MONTH($L56),1)&lt;&gt;DATE(YEAR(Assets!$J$2),MONTH(Assets!$J$2),1)),0,IF(DATE(YEAR($Q56),MONTH($Q56),1)&lt;&gt;DATE(YEAR(Assets!$I$2),MONTH(Assets!$I$2),1),0,IF($AR56=$S56-$V56,0,IF($U56=0,0,MIN(($S56-$V56)/($U56*12),($S56-$V56)-$AR56))))))</f>
        <v>2366.6666666666665</v>
      </c>
      <c r="AR56" s="60">
        <f t="array" aca="1" ref="AR56" ca="1">IF($L56=LARGE(IF(TransAsset=$C56,IF(TransIDDate&lt;Assets!$J$2,TransIDDate,0),0),1),IF($B56="DIS",0,MIN(IF($U56=0,0,(($S56-$V56)/($U56*12)*(((YEAR(Assets!$J$2)*12)+MONTH(Assets!$J$2)-1)-((YEAR($L56)*12)+MONTH($L56)-1)))),($S56-$V56))),0)</f>
        <v>26033.333333333332</v>
      </c>
      <c r="AS56" s="60">
        <f t="shared" si="41"/>
        <v>2366.6666666666665</v>
      </c>
      <c r="AT56" s="28" cm="1">
        <f t="array" aca="1" ref="AT56" ca="1">IF(SUMPRODUCT((TransAsset=$C56)*(TransType="DIS")*(TransIDDate&lt;(Assets!$I$2+1))*(1))&gt;0,0,IF(AND($AU56=0,DATE(YEAR($L56),MONTH($L56),1)&lt;&gt;DATE(YEAR(Assets!$J$2),MONTH(Assets!$J$2),1)),0,IF(DATE(YEAR($Q56),MONTH($Q56),1)&lt;&gt;DATE(YEAR(Assets!$I$2),MONTH(Assets!$I$2),1),0,IF(SUMIFS(TransPMAccDep,TransAsset,$C56)&gt;=($T56-$V56),($T56-$V56)-SUMIFS(TransPMAccDep,TransAsset,$C56),IF($U56=0,0,IF($S56&lt;$T56,MIN(($S56-$V56)/($U56*12),($T56-$V56)-$AU56),MIN(($T56-$V56)/($U56*12),($T56-$V56)-$AU56)))))))</f>
        <v>2366.6666666666665</v>
      </c>
      <c r="AU56" s="28">
        <f t="array" aca="1" ref="AU56" ca="1">IF($L56=LARGE(IF(TransAsset=$C56,IF(TransIDDate&lt;Assets!$J$2,TransIDDate,0),0),1),IF($B56="DIS",0,MIN(SUMIFS(TransTDCost,TransAsset,$C56,TransDate,"&lt;="&amp;$L56)+IF($U56=0,0,MIN(($S56-$V56)/($U56*12)*(((YEAR(Assets!$J$2)*12)+MONTH(Assets!$J$2)-1)-((YEAR($L56)*12)+MONTH($L56)-1)),$S56-$V56)),SUMIFS(TransTDCost,TransAsset,$C56,TransDate,"&lt;="&amp;$L56)+IF($U56=0,0,MIN(($T56-$V56)/($U56*12)*(((YEAR(Assets!$J$2)*12)+MONTH(Assets!$J$2)-1)-((YEAR($L56)*12)+MONTH($L56)-1)),$T56-$V56)),$T56-$V56)),0)</f>
        <v>492700</v>
      </c>
    </row>
    <row r="57" spans="1:47" ht="16" customHeight="1" x14ac:dyDescent="0.25">
      <c r="A57" s="33">
        <v>43891</v>
      </c>
      <c r="B57" s="4" t="s">
        <v>360</v>
      </c>
      <c r="C57" s="8" t="s">
        <v>282</v>
      </c>
      <c r="D57" s="3" t="s">
        <v>361</v>
      </c>
      <c r="E57" s="3" t="s">
        <v>168</v>
      </c>
      <c r="F57" s="28">
        <v>130000</v>
      </c>
      <c r="G57" s="28">
        <v>5</v>
      </c>
      <c r="H57" s="28">
        <v>0</v>
      </c>
      <c r="I57" s="28">
        <v>0</v>
      </c>
      <c r="J57" s="59" t="str" cm="1">
        <f t="array" aca="1" ref="J57" ca="1">IF(ISNA(VLOOKUP($C57,AssetCode,1,0))=TRUE,"E3",IF(OR(ISBLANK($B57)=TRUE,SUMPRODUCT((TransAsset=$C57)*(TransIDDate&lt;$L57)*(TransType="DIS")*(1))&gt;0),"E4",IF(SUMPRODUCT((TransAsset=$C57)*(TransType="ACQ")*(1))&gt;1,"E5",IF(OR($F57&lt;0,AND(TransType="DIS",$F57&lt;&gt;0)=TRUE),"E6",IF(OR(AND($G57&lt;0,TransType&lt;&gt;"DIS")=TRUE,AND(TransType="DIS",$G57&lt;&gt;0)=TRUE),"E7",IF(OR($H57&lt;0,AND(TransType="DIS",$H57&lt;&gt;0)=TRUE,$H57&gt;$F57),"E8",IF($I57&lt;0,"E9","-")))))))</f>
        <v>-</v>
      </c>
      <c r="K57" s="60" t="str">
        <f>IF(ISNA(VLOOKUP($C57,AssetAll,COLUMN(Assets!$E$4),0))=TRUE,"add!",VLOOKUP($C57,AssetAll,COLUMN(Assets!$E$4),0))</f>
        <v>PPM01</v>
      </c>
      <c r="L57" s="61">
        <f t="shared" ca="1" si="21"/>
        <v>43891.000659722224</v>
      </c>
      <c r="M57" s="61">
        <f t="array" aca="1" ref="M57" ca="1">IF(ISBLANK($C57)=TRUE,0,LARGE(IF(TransAsset=$C57,IF(TransIDDate&lt;$L57,TransIDDate,0),0),1))</f>
        <v>42205.000219907408</v>
      </c>
      <c r="N57" s="61">
        <f t="array" aca="1" ref="N57" ca="1">IF(ISBLANK($C57)=TRUE,0,SMALL(IF(TransAsset=$C57,IF(TransIDDate&gt;$L57,TransIDDate,(Assets!$I$2+1)),(Assets!$I$2+1)),1))</f>
        <v>44256</v>
      </c>
      <c r="O57" s="61">
        <f t="shared" ca="1" si="22"/>
        <v>45716</v>
      </c>
      <c r="P57" s="61">
        <f ca="1">IF(OR($N57&lt;Assets!$H$2,$O57&lt;Assets!$H$2,$L57&gt;(Assets!$I$2+1)),0,IF($B57="DIS",IF($L57&lt;Assets!$H$2,0,IF($L57&lt;(Assets!$I$2+1),DATE(YEAR($L57),MONTH($L57),0),Assets!$H$2)),IF($L57&lt;Assets!$H$2,Assets!$H$2,DATE(YEAR($L57),MONTH($L57),1))))</f>
        <v>43891</v>
      </c>
      <c r="Q57" s="61">
        <f ca="1">IF($P57=0,0,IF($B57="DIS",IF($L57&gt;(Assets!$I$2+1),MIN(Assets!$I$2,$O57),MIN($L57,$O57)),IF($N57&lt;(Assets!$I$2+1),MIN(IF(DATE(YEAR($N57),MONTH($N57),0)&lt;$P57,$P57,DATE(YEAR($N57),MONTH($N57),0)),$O57),MIN(Assets!$I$2,$O57))))</f>
        <v>44255</v>
      </c>
      <c r="R57" s="60">
        <f t="shared" ca="1" si="23"/>
        <v>12</v>
      </c>
      <c r="S57" s="60">
        <f t="shared" si="24"/>
        <v>130000</v>
      </c>
      <c r="T57" s="60" cm="1">
        <f t="array" ref="T57">IF(ISBLANK($B57)=FALSE,SUMIFS(TransAmount,TransAsset,$C57,TransType,"ACQ"),0)</f>
        <v>400000</v>
      </c>
      <c r="U57" s="60">
        <f t="shared" si="25"/>
        <v>5</v>
      </c>
      <c r="V57" s="60">
        <f t="shared" si="26"/>
        <v>0</v>
      </c>
      <c r="W57" s="28">
        <f t="shared" ca="1" si="27"/>
        <v>400000</v>
      </c>
      <c r="X57" s="28">
        <f t="shared" ca="1" si="28"/>
        <v>0</v>
      </c>
      <c r="Y57" s="28">
        <f t="shared" ca="1" si="29"/>
        <v>5</v>
      </c>
      <c r="Z57" s="28">
        <f t="shared" ca="1" si="30"/>
        <v>373333.33333333337</v>
      </c>
      <c r="AA57" s="28">
        <f t="shared" ca="1" si="31"/>
        <v>26666.666666666628</v>
      </c>
      <c r="AB57" s="28" cm="1">
        <f t="array" aca="1" ref="AB57" ca="1">IF(SUMIFS(TransTDCost,TransAsset,$C57,TransDate,"&lt;="&amp;$L57)&gt;($T57-$X57),($T57-$X57),SUMIFS(TransTDCost,TransAsset,$C57,TransDate,"&lt;="&amp;$L57))</f>
        <v>373333.33333333337</v>
      </c>
      <c r="AC57" s="28">
        <f t="shared" ca="1" si="32"/>
        <v>0</v>
      </c>
      <c r="AD57" s="28">
        <f t="array" aca="1" ref="AD57" ca="1">IF($L57=LARGE(IF(TransAsset=$C57,IF(TransIDDate&lt;Assets!$H$2,TransIDDate,0),0),1),IF($B57="DIS",$AC57,SUMIFS(TransCAccDep,TransAsset,$C57,TransDate,"&lt;="&amp;$L57)+IF($U57=0,0,MIN(($S57-$V57)/($U57*12)*(((YEAR(Assets!$H$2)*12)+MONTH(Assets!$H$2)-1)-((YEAR($L57)*12)+MONTH($L57)-1)),$S57-$V57))),0)-$AO57</f>
        <v>0</v>
      </c>
      <c r="AE57" s="28">
        <f t="shared" ca="1" si="33"/>
        <v>0</v>
      </c>
      <c r="AF57" s="28">
        <f t="shared" ca="1" si="34"/>
        <v>103333.33333333337</v>
      </c>
      <c r="AG57" s="28">
        <f t="shared" ca="1" si="35"/>
        <v>103333.33333333337</v>
      </c>
      <c r="AH57" s="28">
        <f t="shared" ca="1" si="36"/>
        <v>0</v>
      </c>
      <c r="AI57" s="28" cm="1">
        <f t="array" aca="1" ref="AI57" ca="1">IF($B57="REV",IF($S57-$AA57+$AE57&gt;0,IF(SUMIFS(TransImpair,TransAsset,$C57,TransDate,"&lt;"&amp;$M57)&gt;0,IF(SUMIFS(TransImpair,TransAsset,$C57,TransDate,"&lt;"&amp;$M57)&gt;$S57-$AA57+$AE57,-($S57-$AA57+$AE57),-SUMIFS(TransImpair,TransAsset,$C57,TransDate,"&lt;"&amp;$M57)),0),-($S57-$AA57+$AE57)),0)</f>
        <v>0</v>
      </c>
      <c r="AJ57" s="28">
        <f t="shared" si="37"/>
        <v>0</v>
      </c>
      <c r="AK57" s="28">
        <f t="shared" ca="1" si="38"/>
        <v>26000</v>
      </c>
      <c r="AL57" s="28">
        <f t="shared" ca="1" si="39"/>
        <v>26000</v>
      </c>
      <c r="AM57" s="28" cm="1">
        <f t="array" aca="1" ref="AM57" ca="1">IF($AN57&gt;($T57-$V57),($T57-$V57)-SUMIFS(TransPCAccDep,TransAsset,$C57,TransDate,"&lt;="&amp;$L57),$AL57)</f>
        <v>26000</v>
      </c>
      <c r="AN57" s="28" cm="1">
        <f t="array" aca="1" ref="AN57" ca="1">IF($AL57=0,0,SUMIFS(TransCCYDep2,TransAsset,$C57,TransDate,"&lt;="&amp;$L57)+SUMIFS(TransPCAccDep,TransAsset,$C57,TransDate,"&lt;="&amp;$L57))</f>
        <v>399333.33333333337</v>
      </c>
      <c r="AO57" s="28">
        <f t="array" aca="1" ref="AO57" ca="1">IF($L57=LARGE(IF(TransAsset=$C57,IF(TransIDDate&lt;Assets!$H$2,TransIDDate,0),0),1),IF($B57="DIS",0,MIN(SUMIFS(TransTDCost,TransAsset,$C57,TransDate,"&lt;="&amp;$L57)+IF($U57=0,0,MIN(($S57-$V57)/($U57*12)*(((YEAR(Assets!$H$2)*12)+MONTH(Assets!$H$2)-1)-((YEAR($L57)*12)+MONTH($L57)-1)),$S57-$V57)),SUMIFS(TransTDCost,TransAsset,$C57,TransDate,"&lt;="&amp;$L57)+IF($U57=0,0,MIN(($T57-$V57)/($U57*12)*(((YEAR(Assets!$H$2)*12)+MONTH(Assets!$H$2)-1)-((YEAR($L57)*12)+MONTH($L57)-1)),$T57-$V57)),$T57-$V57)),0)</f>
        <v>0</v>
      </c>
      <c r="AP57" s="28">
        <f t="shared" ca="1" si="40"/>
        <v>373333.33333333337</v>
      </c>
      <c r="AQ57" s="60">
        <f ca="1">IF(SUMPRODUCT((TransAsset=$C57)*(TransType="DIS")*(TransIDDate&lt;(Assets!$I$2+1))*(1))&gt;0,0,IF(AND($AR57=0,DATE(YEAR($L57),MONTH($L57),1)&lt;&gt;DATE(YEAR(Assets!$J$2),MONTH(Assets!$J$2),1)),0,IF(DATE(YEAR($Q57),MONTH($Q57),1)&lt;&gt;DATE(YEAR(Assets!$I$2),MONTH(Assets!$I$2),1),0,IF($AR57=$S57-$V57,0,IF($U57=0,0,MIN(($S57-$V57)/($U57*12),($S57-$V57)-$AR57))))))</f>
        <v>2166.6666666666665</v>
      </c>
      <c r="AR57" s="60">
        <f t="array" aca="1" ref="AR57" ca="1">IF($L57=LARGE(IF(TransAsset=$C57,IF(TransIDDate&lt;Assets!$J$2,TransIDDate,0),0),1),IF($B57="DIS",0,MIN(IF($U57=0,0,(($S57-$V57)/($U57*12)*(((YEAR(Assets!$J$2)*12)+MONTH(Assets!$J$2)-1)-((YEAR($L57)*12)+MONTH($L57)-1)))),($S57-$V57))),0)</f>
        <v>23833.333333333332</v>
      </c>
      <c r="AS57" s="60">
        <f t="shared" si="41"/>
        <v>2166.6666666666665</v>
      </c>
      <c r="AT57" s="28" cm="1">
        <f t="array" aca="1" ref="AT57" ca="1">IF(SUMPRODUCT((TransAsset=$C57)*(TransType="DIS")*(TransIDDate&lt;(Assets!$I$2+1))*(1))&gt;0,0,IF(AND($AU57=0,DATE(YEAR($L57),MONTH($L57),1)&lt;&gt;DATE(YEAR(Assets!$J$2),MONTH(Assets!$J$2),1)),0,IF(DATE(YEAR($Q57),MONTH($Q57),1)&lt;&gt;DATE(YEAR(Assets!$I$2),MONTH(Assets!$I$2),1),0,IF(SUMIFS(TransPMAccDep,TransAsset,$C57)&gt;=($T57-$V57),($T57-$V57)-SUMIFS(TransPMAccDep,TransAsset,$C57),IF($U57=0,0,IF($S57&lt;$T57,MIN(($S57-$V57)/($U57*12),($T57-$V57)-$AU57),MIN(($T57-$V57)/($U57*12),($T57-$V57)-$AU57)))))))</f>
        <v>2166.6666666666665</v>
      </c>
      <c r="AU57" s="28">
        <f t="array" aca="1" ref="AU57" ca="1">IF($L57=LARGE(IF(TransAsset=$C57,IF(TransIDDate&lt;Assets!$J$2,TransIDDate,0),0),1),IF($B57="DIS",0,MIN(SUMIFS(TransTDCost,TransAsset,$C57,TransDate,"&lt;="&amp;$L57)+IF($U57=0,0,MIN(($S57-$V57)/($U57*12)*(((YEAR(Assets!$J$2)*12)+MONTH(Assets!$J$2)-1)-((YEAR($L57)*12)+MONTH($L57)-1)),$S57-$V57)),SUMIFS(TransTDCost,TransAsset,$C57,TransDate,"&lt;="&amp;$L57)+IF($U57=0,0,MIN(($T57-$V57)/($U57*12)*(((YEAR(Assets!$J$2)*12)+MONTH(Assets!$J$2)-1)-((YEAR($L57)*12)+MONTH($L57)-1)),$T57-$V57)),$T57-$V57)),0)</f>
        <v>397166.66666666669</v>
      </c>
    </row>
    <row r="58" spans="1:47" ht="16" customHeight="1" x14ac:dyDescent="0.25">
      <c r="A58" s="33">
        <v>43891</v>
      </c>
      <c r="B58" s="4" t="s">
        <v>360</v>
      </c>
      <c r="C58" s="8" t="s">
        <v>283</v>
      </c>
      <c r="D58" s="3" t="s">
        <v>361</v>
      </c>
      <c r="E58" s="3" t="s">
        <v>168</v>
      </c>
      <c r="F58" s="28">
        <v>75000</v>
      </c>
      <c r="G58" s="28">
        <v>5</v>
      </c>
      <c r="H58" s="28">
        <v>0</v>
      </c>
      <c r="I58" s="28">
        <v>0</v>
      </c>
      <c r="J58" s="59" t="str" cm="1">
        <f t="array" aca="1" ref="J58" ca="1">IF(ISNA(VLOOKUP($C58,AssetCode,1,0))=TRUE,"E3",IF(OR(ISBLANK($B58)=TRUE,SUMPRODUCT((TransAsset=$C58)*(TransIDDate&lt;$L58)*(TransType="DIS")*(1))&gt;0),"E4",IF(SUMPRODUCT((TransAsset=$C58)*(TransType="ACQ")*(1))&gt;1,"E5",IF(OR($F58&lt;0,AND(TransType="DIS",$F58&lt;&gt;0)=TRUE),"E6",IF(OR(AND($G58&lt;0,TransType&lt;&gt;"DIS")=TRUE,AND(TransType="DIS",$G58&lt;&gt;0)=TRUE),"E7",IF(OR($H58&lt;0,AND(TransType="DIS",$H58&lt;&gt;0)=TRUE,$H58&gt;$F58),"E8",IF($I58&lt;0,"E9","-")))))))</f>
        <v>-</v>
      </c>
      <c r="K58" s="60" t="str">
        <f>IF(ISNA(VLOOKUP($C58,AssetAll,COLUMN(Assets!$E$4),0))=TRUE,"add!",VLOOKUP($C58,AssetAll,COLUMN(Assets!$E$4),0))</f>
        <v>PPM01</v>
      </c>
      <c r="L58" s="61">
        <f t="shared" ca="1" si="21"/>
        <v>43891.000671296293</v>
      </c>
      <c r="M58" s="61">
        <f t="array" aca="1" ref="M58" ca="1">IF(ISBLANK($C58)=TRUE,0,LARGE(IF(TransAsset=$C58,IF(TransIDDate&lt;$L58,TransIDDate,0),0),1))</f>
        <v>42205.000231481485</v>
      </c>
      <c r="N58" s="61">
        <f t="array" aca="1" ref="N58" ca="1">IF(ISBLANK($C58)=TRUE,0,SMALL(IF(TransAsset=$C58,IF(TransIDDate&gt;$L58,TransIDDate,(Assets!$I$2+1)),(Assets!$I$2+1)),1))</f>
        <v>44256</v>
      </c>
      <c r="O58" s="61">
        <f t="shared" ca="1" si="22"/>
        <v>45716</v>
      </c>
      <c r="P58" s="61">
        <f ca="1">IF(OR($N58&lt;Assets!$H$2,$O58&lt;Assets!$H$2,$L58&gt;(Assets!$I$2+1)),0,IF($B58="DIS",IF($L58&lt;Assets!$H$2,0,IF($L58&lt;(Assets!$I$2+1),DATE(YEAR($L58),MONTH($L58),0),Assets!$H$2)),IF($L58&lt;Assets!$H$2,Assets!$H$2,DATE(YEAR($L58),MONTH($L58),1))))</f>
        <v>43891</v>
      </c>
      <c r="Q58" s="61">
        <f ca="1">IF($P58=0,0,IF($B58="DIS",IF($L58&gt;(Assets!$I$2+1),MIN(Assets!$I$2,$O58),MIN($L58,$O58)),IF($N58&lt;(Assets!$I$2+1),MIN(IF(DATE(YEAR($N58),MONTH($N58),0)&lt;$P58,$P58,DATE(YEAR($N58),MONTH($N58),0)),$O58),MIN(Assets!$I$2,$O58))))</f>
        <v>44255</v>
      </c>
      <c r="R58" s="60">
        <f t="shared" ca="1" si="23"/>
        <v>12</v>
      </c>
      <c r="S58" s="60">
        <f t="shared" si="24"/>
        <v>75000</v>
      </c>
      <c r="T58" s="60" cm="1">
        <f t="array" ref="T58">IF(ISBLANK($B58)=FALSE,SUMIFS(TransAmount,TransAsset,$C58,TransType,"ACQ"),0)</f>
        <v>260000</v>
      </c>
      <c r="U58" s="60">
        <f t="shared" si="25"/>
        <v>5</v>
      </c>
      <c r="V58" s="60">
        <f t="shared" si="26"/>
        <v>0</v>
      </c>
      <c r="W58" s="28">
        <f t="shared" ca="1" si="27"/>
        <v>260000</v>
      </c>
      <c r="X58" s="28">
        <f t="shared" ca="1" si="28"/>
        <v>0</v>
      </c>
      <c r="Y58" s="28">
        <f t="shared" ca="1" si="29"/>
        <v>5</v>
      </c>
      <c r="Z58" s="28">
        <f t="shared" ca="1" si="30"/>
        <v>242666.66666666666</v>
      </c>
      <c r="AA58" s="28">
        <f t="shared" ca="1" si="31"/>
        <v>17333.333333333343</v>
      </c>
      <c r="AB58" s="28" cm="1">
        <f t="array" aca="1" ref="AB58" ca="1">IF(SUMIFS(TransTDCost,TransAsset,$C58,TransDate,"&lt;="&amp;$L58)&gt;($T58-$X58),($T58-$X58),SUMIFS(TransTDCost,TransAsset,$C58,TransDate,"&lt;="&amp;$L58))</f>
        <v>242666.66666666666</v>
      </c>
      <c r="AC58" s="28">
        <f t="shared" ca="1" si="32"/>
        <v>0</v>
      </c>
      <c r="AD58" s="28">
        <f t="array" aca="1" ref="AD58" ca="1">IF($L58=LARGE(IF(TransAsset=$C58,IF(TransIDDate&lt;Assets!$H$2,TransIDDate,0),0),1),IF($B58="DIS",$AC58,SUMIFS(TransCAccDep,TransAsset,$C58,TransDate,"&lt;="&amp;$L58)+IF($U58=0,0,MIN(($S58-$V58)/($U58*12)*(((YEAR(Assets!$H$2)*12)+MONTH(Assets!$H$2)-1)-((YEAR($L58)*12)+MONTH($L58)-1)),$S58-$V58))),0)-$AO58</f>
        <v>0</v>
      </c>
      <c r="AE58" s="28">
        <f t="shared" ca="1" si="33"/>
        <v>0</v>
      </c>
      <c r="AF58" s="28">
        <f t="shared" ca="1" si="34"/>
        <v>57666.666666666657</v>
      </c>
      <c r="AG58" s="28">
        <f t="shared" ca="1" si="35"/>
        <v>57666.666666666657</v>
      </c>
      <c r="AH58" s="28">
        <f t="shared" ca="1" si="36"/>
        <v>0</v>
      </c>
      <c r="AI58" s="28" cm="1">
        <f t="array" aca="1" ref="AI58" ca="1">IF($B58="REV",IF($S58-$AA58+$AE58&gt;0,IF(SUMIFS(TransImpair,TransAsset,$C58,TransDate,"&lt;"&amp;$M58)&gt;0,IF(SUMIFS(TransImpair,TransAsset,$C58,TransDate,"&lt;"&amp;$M58)&gt;$S58-$AA58+$AE58,-($S58-$AA58+$AE58),-SUMIFS(TransImpair,TransAsset,$C58,TransDate,"&lt;"&amp;$M58)),0),-($S58-$AA58+$AE58)),0)</f>
        <v>0</v>
      </c>
      <c r="AJ58" s="28">
        <f t="shared" si="37"/>
        <v>0</v>
      </c>
      <c r="AK58" s="28">
        <f t="shared" ca="1" si="38"/>
        <v>15000</v>
      </c>
      <c r="AL58" s="28">
        <f t="shared" ca="1" si="39"/>
        <v>15000</v>
      </c>
      <c r="AM58" s="28" cm="1">
        <f t="array" aca="1" ref="AM58" ca="1">IF($AN58&gt;($T58-$V58),($T58-$V58)-SUMIFS(TransPCAccDep,TransAsset,$C58,TransDate,"&lt;="&amp;$L58),$AL58)</f>
        <v>15000</v>
      </c>
      <c r="AN58" s="28" cm="1">
        <f t="array" aca="1" ref="AN58" ca="1">IF($AL58=0,0,SUMIFS(TransCCYDep2,TransAsset,$C58,TransDate,"&lt;="&amp;$L58)+SUMIFS(TransPCAccDep,TransAsset,$C58,TransDate,"&lt;="&amp;$L58))</f>
        <v>257666.66666666666</v>
      </c>
      <c r="AO58" s="28">
        <f t="array" aca="1" ref="AO58" ca="1">IF($L58=LARGE(IF(TransAsset=$C58,IF(TransIDDate&lt;Assets!$H$2,TransIDDate,0),0),1),IF($B58="DIS",0,MIN(SUMIFS(TransTDCost,TransAsset,$C58,TransDate,"&lt;="&amp;$L58)+IF($U58=0,0,MIN(($S58-$V58)/($U58*12)*(((YEAR(Assets!$H$2)*12)+MONTH(Assets!$H$2)-1)-((YEAR($L58)*12)+MONTH($L58)-1)),$S58-$V58)),SUMIFS(TransTDCost,TransAsset,$C58,TransDate,"&lt;="&amp;$L58)+IF($U58=0,0,MIN(($T58-$V58)/($U58*12)*(((YEAR(Assets!$H$2)*12)+MONTH(Assets!$H$2)-1)-((YEAR($L58)*12)+MONTH($L58)-1)),$T58-$V58)),$T58-$V58)),0)</f>
        <v>0</v>
      </c>
      <c r="AP58" s="28">
        <f t="shared" ca="1" si="40"/>
        <v>242666.66666666666</v>
      </c>
      <c r="AQ58" s="60">
        <f ca="1">IF(SUMPRODUCT((TransAsset=$C58)*(TransType="DIS")*(TransIDDate&lt;(Assets!$I$2+1))*(1))&gt;0,0,IF(AND($AR58=0,DATE(YEAR($L58),MONTH($L58),1)&lt;&gt;DATE(YEAR(Assets!$J$2),MONTH(Assets!$J$2),1)),0,IF(DATE(YEAR($Q58),MONTH($Q58),1)&lt;&gt;DATE(YEAR(Assets!$I$2),MONTH(Assets!$I$2),1),0,IF($AR58=$S58-$V58,0,IF($U58=0,0,MIN(($S58-$V58)/($U58*12),($S58-$V58)-$AR58))))))</f>
        <v>1250</v>
      </c>
      <c r="AR58" s="60">
        <f t="array" aca="1" ref="AR58" ca="1">IF($L58=LARGE(IF(TransAsset=$C58,IF(TransIDDate&lt;Assets!$J$2,TransIDDate,0),0),1),IF($B58="DIS",0,MIN(IF($U58=0,0,(($S58-$V58)/($U58*12)*(((YEAR(Assets!$J$2)*12)+MONTH(Assets!$J$2)-1)-((YEAR($L58)*12)+MONTH($L58)-1)))),($S58-$V58))),0)</f>
        <v>13750</v>
      </c>
      <c r="AS58" s="60">
        <f t="shared" si="41"/>
        <v>1250</v>
      </c>
      <c r="AT58" s="28" cm="1">
        <f t="array" aca="1" ref="AT58" ca="1">IF(SUMPRODUCT((TransAsset=$C58)*(TransType="DIS")*(TransIDDate&lt;(Assets!$I$2+1))*(1))&gt;0,0,IF(AND($AU58=0,DATE(YEAR($L58),MONTH($L58),1)&lt;&gt;DATE(YEAR(Assets!$J$2),MONTH(Assets!$J$2),1)),0,IF(DATE(YEAR($Q58),MONTH($Q58),1)&lt;&gt;DATE(YEAR(Assets!$I$2),MONTH(Assets!$I$2),1),0,IF(SUMIFS(TransPMAccDep,TransAsset,$C58)&gt;=($T58-$V58),($T58-$V58)-SUMIFS(TransPMAccDep,TransAsset,$C58),IF($U58=0,0,IF($S58&lt;$T58,MIN(($S58-$V58)/($U58*12),($T58-$V58)-$AU58),MIN(($T58-$V58)/($U58*12),($T58-$V58)-$AU58)))))))</f>
        <v>1250</v>
      </c>
      <c r="AU58" s="28">
        <f t="array" aca="1" ref="AU58" ca="1">IF($L58=LARGE(IF(TransAsset=$C58,IF(TransIDDate&lt;Assets!$J$2,TransIDDate,0),0),1),IF($B58="DIS",0,MIN(SUMIFS(TransTDCost,TransAsset,$C58,TransDate,"&lt;="&amp;$L58)+IF($U58=0,0,MIN(($S58-$V58)/($U58*12)*(((YEAR(Assets!$J$2)*12)+MONTH(Assets!$J$2)-1)-((YEAR($L58)*12)+MONTH($L58)-1)),$S58-$V58)),SUMIFS(TransTDCost,TransAsset,$C58,TransDate,"&lt;="&amp;$L58)+IF($U58=0,0,MIN(($T58-$V58)/($U58*12)*(((YEAR(Assets!$J$2)*12)+MONTH(Assets!$J$2)-1)-((YEAR($L58)*12)+MONTH($L58)-1)),$T58-$V58)),$T58-$V58)),0)</f>
        <v>256416.66666666666</v>
      </c>
    </row>
    <row r="59" spans="1:47" ht="16" customHeight="1" x14ac:dyDescent="0.25">
      <c r="A59" s="33">
        <v>43891</v>
      </c>
      <c r="B59" s="4" t="s">
        <v>360</v>
      </c>
      <c r="C59" s="8" t="s">
        <v>284</v>
      </c>
      <c r="D59" s="3" t="s">
        <v>361</v>
      </c>
      <c r="E59" s="3" t="s">
        <v>168</v>
      </c>
      <c r="F59" s="28">
        <v>90000</v>
      </c>
      <c r="G59" s="28">
        <v>5</v>
      </c>
      <c r="H59" s="28">
        <v>0</v>
      </c>
      <c r="I59" s="28">
        <v>0</v>
      </c>
      <c r="J59" s="59" t="str" cm="1">
        <f t="array" aca="1" ref="J59" ca="1">IF(ISNA(VLOOKUP($C59,AssetCode,1,0))=TRUE,"E3",IF(OR(ISBLANK($B59)=TRUE,SUMPRODUCT((TransAsset=$C59)*(TransIDDate&lt;$L59)*(TransType="DIS")*(1))&gt;0),"E4",IF(SUMPRODUCT((TransAsset=$C59)*(TransType="ACQ")*(1))&gt;1,"E5",IF(OR($F59&lt;0,AND(TransType="DIS",$F59&lt;&gt;0)=TRUE),"E6",IF(OR(AND($G59&lt;0,TransType&lt;&gt;"DIS")=TRUE,AND(TransType="DIS",$G59&lt;&gt;0)=TRUE),"E7",IF(OR($H59&lt;0,AND(TransType="DIS",$H59&lt;&gt;0)=TRUE,$H59&gt;$F59),"E8",IF($I59&lt;0,"E9","-")))))))</f>
        <v>-</v>
      </c>
      <c r="K59" s="60" t="str">
        <f>IF(ISNA(VLOOKUP($C59,AssetAll,COLUMN(Assets!$E$4),0))=TRUE,"add!",VLOOKUP($C59,AssetAll,COLUMN(Assets!$E$4),0))</f>
        <v>PPM01</v>
      </c>
      <c r="L59" s="61">
        <f t="shared" ca="1" si="21"/>
        <v>43891.00068287037</v>
      </c>
      <c r="M59" s="61">
        <f t="array" aca="1" ref="M59" ca="1">IF(ISBLANK($C59)=TRUE,0,LARGE(IF(TransAsset=$C59,IF(TransIDDate&lt;$L59,TransIDDate,0),0),1))</f>
        <v>42205.000243055554</v>
      </c>
      <c r="N59" s="61">
        <f t="array" aca="1" ref="N59" ca="1">IF(ISBLANK($C59)=TRUE,0,SMALL(IF(TransAsset=$C59,IF(TransIDDate&gt;$L59,TransIDDate,(Assets!$I$2+1)),(Assets!$I$2+1)),1))</f>
        <v>44256</v>
      </c>
      <c r="O59" s="61">
        <f t="shared" ca="1" si="22"/>
        <v>45716</v>
      </c>
      <c r="P59" s="61">
        <f ca="1">IF(OR($N59&lt;Assets!$H$2,$O59&lt;Assets!$H$2,$L59&gt;(Assets!$I$2+1)),0,IF($B59="DIS",IF($L59&lt;Assets!$H$2,0,IF($L59&lt;(Assets!$I$2+1),DATE(YEAR($L59),MONTH($L59),0),Assets!$H$2)),IF($L59&lt;Assets!$H$2,Assets!$H$2,DATE(YEAR($L59),MONTH($L59),1))))</f>
        <v>43891</v>
      </c>
      <c r="Q59" s="61">
        <f ca="1">IF($P59=0,0,IF($B59="DIS",IF($L59&gt;(Assets!$I$2+1),MIN(Assets!$I$2,$O59),MIN($L59,$O59)),IF($N59&lt;(Assets!$I$2+1),MIN(IF(DATE(YEAR($N59),MONTH($N59),0)&lt;$P59,$P59,DATE(YEAR($N59),MONTH($N59),0)),$O59),MIN(Assets!$I$2,$O59))))</f>
        <v>44255</v>
      </c>
      <c r="R59" s="60">
        <f t="shared" ca="1" si="23"/>
        <v>12</v>
      </c>
      <c r="S59" s="60">
        <f t="shared" si="24"/>
        <v>90000</v>
      </c>
      <c r="T59" s="60" cm="1">
        <f t="array" ref="T59">IF(ISBLANK($B59)=FALSE,SUMIFS(TransAmount,TransAsset,$C59,TransType,"ACQ"),0)</f>
        <v>295000</v>
      </c>
      <c r="U59" s="60">
        <f t="shared" si="25"/>
        <v>5</v>
      </c>
      <c r="V59" s="60">
        <f t="shared" si="26"/>
        <v>0</v>
      </c>
      <c r="W59" s="28">
        <f t="shared" ca="1" si="27"/>
        <v>295000</v>
      </c>
      <c r="X59" s="28">
        <f t="shared" ca="1" si="28"/>
        <v>0</v>
      </c>
      <c r="Y59" s="28">
        <f t="shared" ca="1" si="29"/>
        <v>5</v>
      </c>
      <c r="Z59" s="28">
        <f t="shared" ca="1" si="30"/>
        <v>275333.33333333337</v>
      </c>
      <c r="AA59" s="28">
        <f t="shared" ca="1" si="31"/>
        <v>19666.666666666628</v>
      </c>
      <c r="AB59" s="28" cm="1">
        <f t="array" aca="1" ref="AB59" ca="1">IF(SUMIFS(TransTDCost,TransAsset,$C59,TransDate,"&lt;="&amp;$L59)&gt;($T59-$X59),($T59-$X59),SUMIFS(TransTDCost,TransAsset,$C59,TransDate,"&lt;="&amp;$L59))</f>
        <v>275333.33333333337</v>
      </c>
      <c r="AC59" s="28">
        <f t="shared" ca="1" si="32"/>
        <v>0</v>
      </c>
      <c r="AD59" s="28">
        <f t="array" aca="1" ref="AD59" ca="1">IF($L59=LARGE(IF(TransAsset=$C59,IF(TransIDDate&lt;Assets!$H$2,TransIDDate,0),0),1),IF($B59="DIS",$AC59,SUMIFS(TransCAccDep,TransAsset,$C59,TransDate,"&lt;="&amp;$L59)+IF($U59=0,0,MIN(($S59-$V59)/($U59*12)*(((YEAR(Assets!$H$2)*12)+MONTH(Assets!$H$2)-1)-((YEAR($L59)*12)+MONTH($L59)-1)),$S59-$V59))),0)-$AO59</f>
        <v>0</v>
      </c>
      <c r="AE59" s="28">
        <f t="shared" ca="1" si="33"/>
        <v>0</v>
      </c>
      <c r="AF59" s="28">
        <f t="shared" ca="1" si="34"/>
        <v>70333.333333333372</v>
      </c>
      <c r="AG59" s="28">
        <f t="shared" ca="1" si="35"/>
        <v>70333.333333333372</v>
      </c>
      <c r="AH59" s="28">
        <f t="shared" ca="1" si="36"/>
        <v>0</v>
      </c>
      <c r="AI59" s="28" cm="1">
        <f t="array" aca="1" ref="AI59" ca="1">IF($B59="REV",IF($S59-$AA59+$AE59&gt;0,IF(SUMIFS(TransImpair,TransAsset,$C59,TransDate,"&lt;"&amp;$M59)&gt;0,IF(SUMIFS(TransImpair,TransAsset,$C59,TransDate,"&lt;"&amp;$M59)&gt;$S59-$AA59+$AE59,-($S59-$AA59+$AE59),-SUMIFS(TransImpair,TransAsset,$C59,TransDate,"&lt;"&amp;$M59)),0),-($S59-$AA59+$AE59)),0)</f>
        <v>0</v>
      </c>
      <c r="AJ59" s="28">
        <f t="shared" si="37"/>
        <v>0</v>
      </c>
      <c r="AK59" s="28">
        <f t="shared" ca="1" si="38"/>
        <v>18000</v>
      </c>
      <c r="AL59" s="28">
        <f t="shared" ca="1" si="39"/>
        <v>18000</v>
      </c>
      <c r="AM59" s="28" cm="1">
        <f t="array" aca="1" ref="AM59" ca="1">IF($AN59&gt;($T59-$V59),($T59-$V59)-SUMIFS(TransPCAccDep,TransAsset,$C59,TransDate,"&lt;="&amp;$L59),$AL59)</f>
        <v>18000</v>
      </c>
      <c r="AN59" s="28" cm="1">
        <f t="array" aca="1" ref="AN59" ca="1">IF($AL59=0,0,SUMIFS(TransCCYDep2,TransAsset,$C59,TransDate,"&lt;="&amp;$L59)+SUMIFS(TransPCAccDep,TransAsset,$C59,TransDate,"&lt;="&amp;$L59))</f>
        <v>293333.33333333337</v>
      </c>
      <c r="AO59" s="28">
        <f t="array" aca="1" ref="AO59" ca="1">IF($L59=LARGE(IF(TransAsset=$C59,IF(TransIDDate&lt;Assets!$H$2,TransIDDate,0),0),1),IF($B59="DIS",0,MIN(SUMIFS(TransTDCost,TransAsset,$C59,TransDate,"&lt;="&amp;$L59)+IF($U59=0,0,MIN(($S59-$V59)/($U59*12)*(((YEAR(Assets!$H$2)*12)+MONTH(Assets!$H$2)-1)-((YEAR($L59)*12)+MONTH($L59)-1)),$S59-$V59)),SUMIFS(TransTDCost,TransAsset,$C59,TransDate,"&lt;="&amp;$L59)+IF($U59=0,0,MIN(($T59-$V59)/($U59*12)*(((YEAR(Assets!$H$2)*12)+MONTH(Assets!$H$2)-1)-((YEAR($L59)*12)+MONTH($L59)-1)),$T59-$V59)),$T59-$V59)),0)</f>
        <v>0</v>
      </c>
      <c r="AP59" s="28">
        <f t="shared" ca="1" si="40"/>
        <v>275333.33333333337</v>
      </c>
      <c r="AQ59" s="60">
        <f ca="1">IF(SUMPRODUCT((TransAsset=$C59)*(TransType="DIS")*(TransIDDate&lt;(Assets!$I$2+1))*(1))&gt;0,0,IF(AND($AR59=0,DATE(YEAR($L59),MONTH($L59),1)&lt;&gt;DATE(YEAR(Assets!$J$2),MONTH(Assets!$J$2),1)),0,IF(DATE(YEAR($Q59),MONTH($Q59),1)&lt;&gt;DATE(YEAR(Assets!$I$2),MONTH(Assets!$I$2),1),0,IF($AR59=$S59-$V59,0,IF($U59=0,0,MIN(($S59-$V59)/($U59*12),($S59-$V59)-$AR59))))))</f>
        <v>1500</v>
      </c>
      <c r="AR59" s="60">
        <f t="array" aca="1" ref="AR59" ca="1">IF($L59=LARGE(IF(TransAsset=$C59,IF(TransIDDate&lt;Assets!$J$2,TransIDDate,0),0),1),IF($B59="DIS",0,MIN(IF($U59=0,0,(($S59-$V59)/($U59*12)*(((YEAR(Assets!$J$2)*12)+MONTH(Assets!$J$2)-1)-((YEAR($L59)*12)+MONTH($L59)-1)))),($S59-$V59))),0)</f>
        <v>16500</v>
      </c>
      <c r="AS59" s="60">
        <f t="shared" si="41"/>
        <v>1500</v>
      </c>
      <c r="AT59" s="28" cm="1">
        <f t="array" aca="1" ref="AT59" ca="1">IF(SUMPRODUCT((TransAsset=$C59)*(TransType="DIS")*(TransIDDate&lt;(Assets!$I$2+1))*(1))&gt;0,0,IF(AND($AU59=0,DATE(YEAR($L59),MONTH($L59),1)&lt;&gt;DATE(YEAR(Assets!$J$2),MONTH(Assets!$J$2),1)),0,IF(DATE(YEAR($Q59),MONTH($Q59),1)&lt;&gt;DATE(YEAR(Assets!$I$2),MONTH(Assets!$I$2),1),0,IF(SUMIFS(TransPMAccDep,TransAsset,$C59)&gt;=($T59-$V59),($T59-$V59)-SUMIFS(TransPMAccDep,TransAsset,$C59),IF($U59=0,0,IF($S59&lt;$T59,MIN(($S59-$V59)/($U59*12),($T59-$V59)-$AU59),MIN(($T59-$V59)/($U59*12),($T59-$V59)-$AU59)))))))</f>
        <v>1500</v>
      </c>
      <c r="AU59" s="28">
        <f t="array" aca="1" ref="AU59" ca="1">IF($L59=LARGE(IF(TransAsset=$C59,IF(TransIDDate&lt;Assets!$J$2,TransIDDate,0),0),1),IF($B59="DIS",0,MIN(SUMIFS(TransTDCost,TransAsset,$C59,TransDate,"&lt;="&amp;$L59)+IF($U59=0,0,MIN(($S59-$V59)/($U59*12)*(((YEAR(Assets!$J$2)*12)+MONTH(Assets!$J$2)-1)-((YEAR($L59)*12)+MONTH($L59)-1)),$S59-$V59)),SUMIFS(TransTDCost,TransAsset,$C59,TransDate,"&lt;="&amp;$L59)+IF($U59=0,0,MIN(($T59-$V59)/($U59*12)*(((YEAR(Assets!$J$2)*12)+MONTH(Assets!$J$2)-1)-((YEAR($L59)*12)+MONTH($L59)-1)),$T59-$V59)),$T59-$V59)),0)</f>
        <v>291833.33333333337</v>
      </c>
    </row>
    <row r="60" spans="1:47" ht="16" customHeight="1" x14ac:dyDescent="0.25">
      <c r="A60" s="33">
        <v>43891</v>
      </c>
      <c r="B60" s="4" t="s">
        <v>360</v>
      </c>
      <c r="C60" s="8" t="s">
        <v>285</v>
      </c>
      <c r="D60" s="3" t="s">
        <v>361</v>
      </c>
      <c r="E60" s="3" t="s">
        <v>168</v>
      </c>
      <c r="F60" s="28">
        <v>230000</v>
      </c>
      <c r="G60" s="28">
        <v>5</v>
      </c>
      <c r="H60" s="28">
        <v>0</v>
      </c>
      <c r="I60" s="28">
        <v>0</v>
      </c>
      <c r="J60" s="59" t="str" cm="1">
        <f t="array" aca="1" ref="J60" ca="1">IF(ISNA(VLOOKUP($C60,AssetCode,1,0))=TRUE,"E3",IF(OR(ISBLANK($B60)=TRUE,SUMPRODUCT((TransAsset=$C60)*(TransIDDate&lt;$L60)*(TransType="DIS")*(1))&gt;0),"E4",IF(SUMPRODUCT((TransAsset=$C60)*(TransType="ACQ")*(1))&gt;1,"E5",IF(OR($F60&lt;0,AND(TransType="DIS",$F60&lt;&gt;0)=TRUE),"E6",IF(OR(AND($G60&lt;0,TransType&lt;&gt;"DIS")=TRUE,AND(TransType="DIS",$G60&lt;&gt;0)=TRUE),"E7",IF(OR($H60&lt;0,AND(TransType="DIS",$H60&lt;&gt;0)=TRUE,$H60&gt;$F60),"E8",IF($I60&lt;0,"E9","-")))))))</f>
        <v>-</v>
      </c>
      <c r="K60" s="60" t="str">
        <f>IF(ISNA(VLOOKUP($C60,AssetAll,COLUMN(Assets!$E$4),0))=TRUE,"add!",VLOOKUP($C60,AssetAll,COLUMN(Assets!$E$4),0))</f>
        <v>PPM01</v>
      </c>
      <c r="L60" s="61">
        <f t="shared" ca="1" si="21"/>
        <v>43891.000694444447</v>
      </c>
      <c r="M60" s="61">
        <f t="array" aca="1" ref="M60" ca="1">IF(ISBLANK($C60)=TRUE,0,LARGE(IF(TransAsset=$C60,IF(TransIDDate&lt;$L60,TransIDDate,0),0),1))</f>
        <v>42205.000254629631</v>
      </c>
      <c r="N60" s="61">
        <f t="array" aca="1" ref="N60" ca="1">IF(ISBLANK($C60)=TRUE,0,SMALL(IF(TransAsset=$C60,IF(TransIDDate&gt;$L60,TransIDDate,(Assets!$I$2+1)),(Assets!$I$2+1)),1))</f>
        <v>44256</v>
      </c>
      <c r="O60" s="61">
        <f t="shared" ca="1" si="22"/>
        <v>45716</v>
      </c>
      <c r="P60" s="61">
        <f ca="1">IF(OR($N60&lt;Assets!$H$2,$O60&lt;Assets!$H$2,$L60&gt;(Assets!$I$2+1)),0,IF($B60="DIS",IF($L60&lt;Assets!$H$2,0,IF($L60&lt;(Assets!$I$2+1),DATE(YEAR($L60),MONTH($L60),0),Assets!$H$2)),IF($L60&lt;Assets!$H$2,Assets!$H$2,DATE(YEAR($L60),MONTH($L60),1))))</f>
        <v>43891</v>
      </c>
      <c r="Q60" s="61">
        <f ca="1">IF($P60=0,0,IF($B60="DIS",IF($L60&gt;(Assets!$I$2+1),MIN(Assets!$I$2,$O60),MIN($L60,$O60)),IF($N60&lt;(Assets!$I$2+1),MIN(IF(DATE(YEAR($N60),MONTH($N60),0)&lt;$P60,$P60,DATE(YEAR($N60),MONTH($N60),0)),$O60),MIN(Assets!$I$2,$O60))))</f>
        <v>44255</v>
      </c>
      <c r="R60" s="60">
        <f t="shared" ca="1" si="23"/>
        <v>12</v>
      </c>
      <c r="S60" s="60">
        <f t="shared" si="24"/>
        <v>230000</v>
      </c>
      <c r="T60" s="60" cm="1">
        <f t="array" ref="T60">IF(ISBLANK($B60)=FALSE,SUMIFS(TransAmount,TransAsset,$C60,TransType,"ACQ"),0)</f>
        <v>750000</v>
      </c>
      <c r="U60" s="60">
        <f t="shared" si="25"/>
        <v>5</v>
      </c>
      <c r="V60" s="60">
        <f t="shared" si="26"/>
        <v>0</v>
      </c>
      <c r="W60" s="28">
        <f t="shared" ca="1" si="27"/>
        <v>750000</v>
      </c>
      <c r="X60" s="28">
        <f t="shared" ca="1" si="28"/>
        <v>0</v>
      </c>
      <c r="Y60" s="28">
        <f t="shared" ca="1" si="29"/>
        <v>5</v>
      </c>
      <c r="Z60" s="28">
        <f t="shared" ca="1" si="30"/>
        <v>700000</v>
      </c>
      <c r="AA60" s="28">
        <f t="shared" ca="1" si="31"/>
        <v>50000</v>
      </c>
      <c r="AB60" s="28" cm="1">
        <f t="array" aca="1" ref="AB60" ca="1">IF(SUMIFS(TransTDCost,TransAsset,$C60,TransDate,"&lt;="&amp;$L60)&gt;($T60-$X60),($T60-$X60),SUMIFS(TransTDCost,TransAsset,$C60,TransDate,"&lt;="&amp;$L60))</f>
        <v>700000</v>
      </c>
      <c r="AC60" s="28">
        <f t="shared" ca="1" si="32"/>
        <v>0</v>
      </c>
      <c r="AD60" s="28">
        <f t="array" aca="1" ref="AD60" ca="1">IF($L60=LARGE(IF(TransAsset=$C60,IF(TransIDDate&lt;Assets!$H$2,TransIDDate,0),0),1),IF($B60="DIS",$AC60,SUMIFS(TransCAccDep,TransAsset,$C60,TransDate,"&lt;="&amp;$L60)+IF($U60=0,0,MIN(($S60-$V60)/($U60*12)*(((YEAR(Assets!$H$2)*12)+MONTH(Assets!$H$2)-1)-((YEAR($L60)*12)+MONTH($L60)-1)),$S60-$V60))),0)-$AO60</f>
        <v>0</v>
      </c>
      <c r="AE60" s="28">
        <f t="shared" ca="1" si="33"/>
        <v>0</v>
      </c>
      <c r="AF60" s="28">
        <f t="shared" ca="1" si="34"/>
        <v>180000</v>
      </c>
      <c r="AG60" s="28">
        <f t="shared" ca="1" si="35"/>
        <v>180000</v>
      </c>
      <c r="AH60" s="28">
        <f t="shared" ca="1" si="36"/>
        <v>0</v>
      </c>
      <c r="AI60" s="28" cm="1">
        <f t="array" aca="1" ref="AI60" ca="1">IF($B60="REV",IF($S60-$AA60+$AE60&gt;0,IF(SUMIFS(TransImpair,TransAsset,$C60,TransDate,"&lt;"&amp;$M60)&gt;0,IF(SUMIFS(TransImpair,TransAsset,$C60,TransDate,"&lt;"&amp;$M60)&gt;$S60-$AA60+$AE60,-($S60-$AA60+$AE60),-SUMIFS(TransImpair,TransAsset,$C60,TransDate,"&lt;"&amp;$M60)),0),-($S60-$AA60+$AE60)),0)</f>
        <v>0</v>
      </c>
      <c r="AJ60" s="28">
        <f t="shared" si="37"/>
        <v>0</v>
      </c>
      <c r="AK60" s="28">
        <f t="shared" ca="1" si="38"/>
        <v>46000</v>
      </c>
      <c r="AL60" s="28">
        <f t="shared" ca="1" si="39"/>
        <v>46000</v>
      </c>
      <c r="AM60" s="28" cm="1">
        <f t="array" aca="1" ref="AM60" ca="1">IF($AN60&gt;($T60-$V60),($T60-$V60)-SUMIFS(TransPCAccDep,TransAsset,$C60,TransDate,"&lt;="&amp;$L60),$AL60)</f>
        <v>46000</v>
      </c>
      <c r="AN60" s="28" cm="1">
        <f t="array" aca="1" ref="AN60" ca="1">IF($AL60=0,0,SUMIFS(TransCCYDep2,TransAsset,$C60,TransDate,"&lt;="&amp;$L60)+SUMIFS(TransPCAccDep,TransAsset,$C60,TransDate,"&lt;="&amp;$L60))</f>
        <v>746000</v>
      </c>
      <c r="AO60" s="28">
        <f t="array" aca="1" ref="AO60" ca="1">IF($L60=LARGE(IF(TransAsset=$C60,IF(TransIDDate&lt;Assets!$H$2,TransIDDate,0),0),1),IF($B60="DIS",0,MIN(SUMIFS(TransTDCost,TransAsset,$C60,TransDate,"&lt;="&amp;$L60)+IF($U60=0,0,MIN(($S60-$V60)/($U60*12)*(((YEAR(Assets!$H$2)*12)+MONTH(Assets!$H$2)-1)-((YEAR($L60)*12)+MONTH($L60)-1)),$S60-$V60)),SUMIFS(TransTDCost,TransAsset,$C60,TransDate,"&lt;="&amp;$L60)+IF($U60=0,0,MIN(($T60-$V60)/($U60*12)*(((YEAR(Assets!$H$2)*12)+MONTH(Assets!$H$2)-1)-((YEAR($L60)*12)+MONTH($L60)-1)),$T60-$V60)),$T60-$V60)),0)</f>
        <v>0</v>
      </c>
      <c r="AP60" s="28">
        <f t="shared" ca="1" si="40"/>
        <v>700000</v>
      </c>
      <c r="AQ60" s="60">
        <f ca="1">IF(SUMPRODUCT((TransAsset=$C60)*(TransType="DIS")*(TransIDDate&lt;(Assets!$I$2+1))*(1))&gt;0,0,IF(AND($AR60=0,DATE(YEAR($L60),MONTH($L60),1)&lt;&gt;DATE(YEAR(Assets!$J$2),MONTH(Assets!$J$2),1)),0,IF(DATE(YEAR($Q60),MONTH($Q60),1)&lt;&gt;DATE(YEAR(Assets!$I$2),MONTH(Assets!$I$2),1),0,IF($AR60=$S60-$V60,0,IF($U60=0,0,MIN(($S60-$V60)/($U60*12),($S60-$V60)-$AR60))))))</f>
        <v>3833.3333333333335</v>
      </c>
      <c r="AR60" s="60">
        <f t="array" aca="1" ref="AR60" ca="1">IF($L60=LARGE(IF(TransAsset=$C60,IF(TransIDDate&lt;Assets!$J$2,TransIDDate,0),0),1),IF($B60="DIS",0,MIN(IF($U60=0,0,(($S60-$V60)/($U60*12)*(((YEAR(Assets!$J$2)*12)+MONTH(Assets!$J$2)-1)-((YEAR($L60)*12)+MONTH($L60)-1)))),($S60-$V60))),0)</f>
        <v>42166.666666666672</v>
      </c>
      <c r="AS60" s="60">
        <f t="shared" si="41"/>
        <v>3833.3333333333335</v>
      </c>
      <c r="AT60" s="28" cm="1">
        <f t="array" aca="1" ref="AT60" ca="1">IF(SUMPRODUCT((TransAsset=$C60)*(TransType="DIS")*(TransIDDate&lt;(Assets!$I$2+1))*(1))&gt;0,0,IF(AND($AU60=0,DATE(YEAR($L60),MONTH($L60),1)&lt;&gt;DATE(YEAR(Assets!$J$2),MONTH(Assets!$J$2),1)),0,IF(DATE(YEAR($Q60),MONTH($Q60),1)&lt;&gt;DATE(YEAR(Assets!$I$2),MONTH(Assets!$I$2),1),0,IF(SUMIFS(TransPMAccDep,TransAsset,$C60)&gt;=($T60-$V60),($T60-$V60)-SUMIFS(TransPMAccDep,TransAsset,$C60),IF($U60=0,0,IF($S60&lt;$T60,MIN(($S60-$V60)/($U60*12),($T60-$V60)-$AU60),MIN(($T60-$V60)/($U60*12),($T60-$V60)-$AU60)))))))</f>
        <v>3833.3333333333335</v>
      </c>
      <c r="AU60" s="28">
        <f t="array" aca="1" ref="AU60" ca="1">IF($L60=LARGE(IF(TransAsset=$C60,IF(TransIDDate&lt;Assets!$J$2,TransIDDate,0),0),1),IF($B60="DIS",0,MIN(SUMIFS(TransTDCost,TransAsset,$C60,TransDate,"&lt;="&amp;$L60)+IF($U60=0,0,MIN(($S60-$V60)/($U60*12)*(((YEAR(Assets!$J$2)*12)+MONTH(Assets!$J$2)-1)-((YEAR($L60)*12)+MONTH($L60)-1)),$S60-$V60)),SUMIFS(TransTDCost,TransAsset,$C60,TransDate,"&lt;="&amp;$L60)+IF($U60=0,0,MIN(($T60-$V60)/($U60*12)*(((YEAR(Assets!$J$2)*12)+MONTH(Assets!$J$2)-1)-((YEAR($L60)*12)+MONTH($L60)-1)),$T60-$V60)),$T60-$V60)),0)</f>
        <v>742166.66666666663</v>
      </c>
    </row>
    <row r="61" spans="1:47" ht="16" customHeight="1" x14ac:dyDescent="0.25">
      <c r="A61" s="33">
        <v>43891</v>
      </c>
      <c r="B61" s="4" t="s">
        <v>360</v>
      </c>
      <c r="C61" s="8" t="s">
        <v>286</v>
      </c>
      <c r="D61" s="3" t="s">
        <v>361</v>
      </c>
      <c r="E61" s="3" t="s">
        <v>168</v>
      </c>
      <c r="F61" s="28">
        <v>120000</v>
      </c>
      <c r="G61" s="28">
        <v>5</v>
      </c>
      <c r="H61" s="28">
        <v>0</v>
      </c>
      <c r="I61" s="28">
        <v>0</v>
      </c>
      <c r="J61" s="59" t="str" cm="1">
        <f t="array" aca="1" ref="J61" ca="1">IF(ISNA(VLOOKUP($C61,AssetCode,1,0))=TRUE,"E3",IF(OR(ISBLANK($B61)=TRUE,SUMPRODUCT((TransAsset=$C61)*(TransIDDate&lt;$L61)*(TransType="DIS")*(1))&gt;0),"E4",IF(SUMPRODUCT((TransAsset=$C61)*(TransType="ACQ")*(1))&gt;1,"E5",IF(OR($F61&lt;0,AND(TransType="DIS",$F61&lt;&gt;0)=TRUE),"E6",IF(OR(AND($G61&lt;0,TransType&lt;&gt;"DIS")=TRUE,AND(TransType="DIS",$G61&lt;&gt;0)=TRUE),"E7",IF(OR($H61&lt;0,AND(TransType="DIS",$H61&lt;&gt;0)=TRUE,$H61&gt;$F61),"E8",IF($I61&lt;0,"E9","-")))))))</f>
        <v>-</v>
      </c>
      <c r="K61" s="60" t="str">
        <f>IF(ISNA(VLOOKUP($C61,AssetAll,COLUMN(Assets!$E$4),0))=TRUE,"add!",VLOOKUP($C61,AssetAll,COLUMN(Assets!$E$4),0))</f>
        <v>PPM01</v>
      </c>
      <c r="L61" s="61">
        <f t="shared" ca="1" si="21"/>
        <v>43891.000706018516</v>
      </c>
      <c r="M61" s="61">
        <f t="array" aca="1" ref="M61" ca="1">IF(ISBLANK($C61)=TRUE,0,LARGE(IF(TransAsset=$C61,IF(TransIDDate&lt;$L61,TransIDDate,0),0),1))</f>
        <v>42205.0002662037</v>
      </c>
      <c r="N61" s="61">
        <f t="array" aca="1" ref="N61" ca="1">IF(ISBLANK($C61)=TRUE,0,SMALL(IF(TransAsset=$C61,IF(TransIDDate&gt;$L61,TransIDDate,(Assets!$I$2+1)),(Assets!$I$2+1)),1))</f>
        <v>44256</v>
      </c>
      <c r="O61" s="61">
        <f t="shared" ca="1" si="22"/>
        <v>45716</v>
      </c>
      <c r="P61" s="61">
        <f ca="1">IF(OR($N61&lt;Assets!$H$2,$O61&lt;Assets!$H$2,$L61&gt;(Assets!$I$2+1)),0,IF($B61="DIS",IF($L61&lt;Assets!$H$2,0,IF($L61&lt;(Assets!$I$2+1),DATE(YEAR($L61),MONTH($L61),0),Assets!$H$2)),IF($L61&lt;Assets!$H$2,Assets!$H$2,DATE(YEAR($L61),MONTH($L61),1))))</f>
        <v>43891</v>
      </c>
      <c r="Q61" s="61">
        <f ca="1">IF($P61=0,0,IF($B61="DIS",IF($L61&gt;(Assets!$I$2+1),MIN(Assets!$I$2,$O61),MIN($L61,$O61)),IF($N61&lt;(Assets!$I$2+1),MIN(IF(DATE(YEAR($N61),MONTH($N61),0)&lt;$P61,$P61,DATE(YEAR($N61),MONTH($N61),0)),$O61),MIN(Assets!$I$2,$O61))))</f>
        <v>44255</v>
      </c>
      <c r="R61" s="60">
        <f t="shared" ca="1" si="23"/>
        <v>12</v>
      </c>
      <c r="S61" s="60">
        <f t="shared" si="24"/>
        <v>120000</v>
      </c>
      <c r="T61" s="60" cm="1">
        <f t="array" ref="T61">IF(ISBLANK($B61)=FALSE,SUMIFS(TransAmount,TransAsset,$C61,TransType,"ACQ"),0)</f>
        <v>422200</v>
      </c>
      <c r="U61" s="60">
        <f t="shared" si="25"/>
        <v>5</v>
      </c>
      <c r="V61" s="60">
        <f t="shared" si="26"/>
        <v>0</v>
      </c>
      <c r="W61" s="28">
        <f t="shared" ca="1" si="27"/>
        <v>422200</v>
      </c>
      <c r="X61" s="28">
        <f t="shared" ca="1" si="28"/>
        <v>0</v>
      </c>
      <c r="Y61" s="28">
        <f t="shared" ca="1" si="29"/>
        <v>5</v>
      </c>
      <c r="Z61" s="28">
        <f t="shared" ca="1" si="30"/>
        <v>394053.33333333337</v>
      </c>
      <c r="AA61" s="28">
        <f t="shared" ca="1" si="31"/>
        <v>28146.666666666628</v>
      </c>
      <c r="AB61" s="28" cm="1">
        <f t="array" aca="1" ref="AB61" ca="1">IF(SUMIFS(TransTDCost,TransAsset,$C61,TransDate,"&lt;="&amp;$L61)&gt;($T61-$X61),($T61-$X61),SUMIFS(TransTDCost,TransAsset,$C61,TransDate,"&lt;="&amp;$L61))</f>
        <v>394053.33333333337</v>
      </c>
      <c r="AC61" s="28">
        <f t="shared" ca="1" si="32"/>
        <v>0</v>
      </c>
      <c r="AD61" s="28">
        <f t="array" aca="1" ref="AD61" ca="1">IF($L61=LARGE(IF(TransAsset=$C61,IF(TransIDDate&lt;Assets!$H$2,TransIDDate,0),0),1),IF($B61="DIS",$AC61,SUMIFS(TransCAccDep,TransAsset,$C61,TransDate,"&lt;="&amp;$L61)+IF($U61=0,0,MIN(($S61-$V61)/($U61*12)*(((YEAR(Assets!$H$2)*12)+MONTH(Assets!$H$2)-1)-((YEAR($L61)*12)+MONTH($L61)-1)),$S61-$V61))),0)-$AO61</f>
        <v>0</v>
      </c>
      <c r="AE61" s="28">
        <f t="shared" ca="1" si="33"/>
        <v>0</v>
      </c>
      <c r="AF61" s="28">
        <f t="shared" ca="1" si="34"/>
        <v>91853.333333333372</v>
      </c>
      <c r="AG61" s="28">
        <f t="shared" ca="1" si="35"/>
        <v>91853.333333333372</v>
      </c>
      <c r="AH61" s="28">
        <f t="shared" ca="1" si="36"/>
        <v>0</v>
      </c>
      <c r="AI61" s="28" cm="1">
        <f t="array" aca="1" ref="AI61" ca="1">IF($B61="REV",IF($S61-$AA61+$AE61&gt;0,IF(SUMIFS(TransImpair,TransAsset,$C61,TransDate,"&lt;"&amp;$M61)&gt;0,IF(SUMIFS(TransImpair,TransAsset,$C61,TransDate,"&lt;"&amp;$M61)&gt;$S61-$AA61+$AE61,-($S61-$AA61+$AE61),-SUMIFS(TransImpair,TransAsset,$C61,TransDate,"&lt;"&amp;$M61)),0),-($S61-$AA61+$AE61)),0)</f>
        <v>0</v>
      </c>
      <c r="AJ61" s="28">
        <f t="shared" si="37"/>
        <v>0</v>
      </c>
      <c r="AK61" s="28">
        <f t="shared" ca="1" si="38"/>
        <v>24000</v>
      </c>
      <c r="AL61" s="28">
        <f t="shared" ca="1" si="39"/>
        <v>24000</v>
      </c>
      <c r="AM61" s="28" cm="1">
        <f t="array" aca="1" ref="AM61" ca="1">IF($AN61&gt;($T61-$V61),($T61-$V61)-SUMIFS(TransPCAccDep,TransAsset,$C61,TransDate,"&lt;="&amp;$L61),$AL61)</f>
        <v>24000</v>
      </c>
      <c r="AN61" s="28" cm="1">
        <f t="array" aca="1" ref="AN61" ca="1">IF($AL61=0,0,SUMIFS(TransCCYDep2,TransAsset,$C61,TransDate,"&lt;="&amp;$L61)+SUMIFS(TransPCAccDep,TransAsset,$C61,TransDate,"&lt;="&amp;$L61))</f>
        <v>418053.33333333337</v>
      </c>
      <c r="AO61" s="28">
        <f t="array" aca="1" ref="AO61" ca="1">IF($L61=LARGE(IF(TransAsset=$C61,IF(TransIDDate&lt;Assets!$H$2,TransIDDate,0),0),1),IF($B61="DIS",0,MIN(SUMIFS(TransTDCost,TransAsset,$C61,TransDate,"&lt;="&amp;$L61)+IF($U61=0,0,MIN(($S61-$V61)/($U61*12)*(((YEAR(Assets!$H$2)*12)+MONTH(Assets!$H$2)-1)-((YEAR($L61)*12)+MONTH($L61)-1)),$S61-$V61)),SUMIFS(TransTDCost,TransAsset,$C61,TransDate,"&lt;="&amp;$L61)+IF($U61=0,0,MIN(($T61-$V61)/($U61*12)*(((YEAR(Assets!$H$2)*12)+MONTH(Assets!$H$2)-1)-((YEAR($L61)*12)+MONTH($L61)-1)),$T61-$V61)),$T61-$V61)),0)</f>
        <v>0</v>
      </c>
      <c r="AP61" s="28">
        <f t="shared" ca="1" si="40"/>
        <v>394053.33333333337</v>
      </c>
      <c r="AQ61" s="60">
        <f ca="1">IF(SUMPRODUCT((TransAsset=$C61)*(TransType="DIS")*(TransIDDate&lt;(Assets!$I$2+1))*(1))&gt;0,0,IF(AND($AR61=0,DATE(YEAR($L61),MONTH($L61),1)&lt;&gt;DATE(YEAR(Assets!$J$2),MONTH(Assets!$J$2),1)),0,IF(DATE(YEAR($Q61),MONTH($Q61),1)&lt;&gt;DATE(YEAR(Assets!$I$2),MONTH(Assets!$I$2),1),0,IF($AR61=$S61-$V61,0,IF($U61=0,0,MIN(($S61-$V61)/($U61*12),($S61-$V61)-$AR61))))))</f>
        <v>2000</v>
      </c>
      <c r="AR61" s="60">
        <f t="array" aca="1" ref="AR61" ca="1">IF($L61=LARGE(IF(TransAsset=$C61,IF(TransIDDate&lt;Assets!$J$2,TransIDDate,0),0),1),IF($B61="DIS",0,MIN(IF($U61=0,0,(($S61-$V61)/($U61*12)*(((YEAR(Assets!$J$2)*12)+MONTH(Assets!$J$2)-1)-((YEAR($L61)*12)+MONTH($L61)-1)))),($S61-$V61))),0)</f>
        <v>22000</v>
      </c>
      <c r="AS61" s="60">
        <f t="shared" si="41"/>
        <v>2000</v>
      </c>
      <c r="AT61" s="28" cm="1">
        <f t="array" aca="1" ref="AT61" ca="1">IF(SUMPRODUCT((TransAsset=$C61)*(TransType="DIS")*(TransIDDate&lt;(Assets!$I$2+1))*(1))&gt;0,0,IF(AND($AU61=0,DATE(YEAR($L61),MONTH($L61),1)&lt;&gt;DATE(YEAR(Assets!$J$2),MONTH(Assets!$J$2),1)),0,IF(DATE(YEAR($Q61),MONTH($Q61),1)&lt;&gt;DATE(YEAR(Assets!$I$2),MONTH(Assets!$I$2),1),0,IF(SUMIFS(TransPMAccDep,TransAsset,$C61)&gt;=($T61-$V61),($T61-$V61)-SUMIFS(TransPMAccDep,TransAsset,$C61),IF($U61=0,0,IF($S61&lt;$T61,MIN(($S61-$V61)/($U61*12),($T61-$V61)-$AU61),MIN(($T61-$V61)/($U61*12),($T61-$V61)-$AU61)))))))</f>
        <v>2000</v>
      </c>
      <c r="AU61" s="28">
        <f t="array" aca="1" ref="AU61" ca="1">IF($L61=LARGE(IF(TransAsset=$C61,IF(TransIDDate&lt;Assets!$J$2,TransIDDate,0),0),1),IF($B61="DIS",0,MIN(SUMIFS(TransTDCost,TransAsset,$C61,TransDate,"&lt;="&amp;$L61)+IF($U61=0,0,MIN(($S61-$V61)/($U61*12)*(((YEAR(Assets!$J$2)*12)+MONTH(Assets!$J$2)-1)-((YEAR($L61)*12)+MONTH($L61)-1)),$S61-$V61)),SUMIFS(TransTDCost,TransAsset,$C61,TransDate,"&lt;="&amp;$L61)+IF($U61=0,0,MIN(($T61-$V61)/($U61*12)*(((YEAR(Assets!$J$2)*12)+MONTH(Assets!$J$2)-1)-((YEAR($L61)*12)+MONTH($L61)-1)),$T61-$V61)),$T61-$V61)),0)</f>
        <v>416053.33333333337</v>
      </c>
    </row>
    <row r="62" spans="1:47" ht="16" customHeight="1" x14ac:dyDescent="0.25">
      <c r="A62" s="33">
        <v>43891</v>
      </c>
      <c r="B62" s="4" t="s">
        <v>360</v>
      </c>
      <c r="C62" s="8" t="s">
        <v>287</v>
      </c>
      <c r="D62" s="3" t="s">
        <v>361</v>
      </c>
      <c r="E62" s="3" t="s">
        <v>168</v>
      </c>
      <c r="F62" s="28">
        <v>190000</v>
      </c>
      <c r="G62" s="28">
        <v>5</v>
      </c>
      <c r="H62" s="28">
        <v>0</v>
      </c>
      <c r="I62" s="28">
        <v>0</v>
      </c>
      <c r="J62" s="59" t="str" cm="1">
        <f t="array" aca="1" ref="J62" ca="1">IF(ISNA(VLOOKUP($C62,AssetCode,1,0))=TRUE,"E3",IF(OR(ISBLANK($B62)=TRUE,SUMPRODUCT((TransAsset=$C62)*(TransIDDate&lt;$L62)*(TransType="DIS")*(1))&gt;0),"E4",IF(SUMPRODUCT((TransAsset=$C62)*(TransType="ACQ")*(1))&gt;1,"E5",IF(OR($F62&lt;0,AND(TransType="DIS",$F62&lt;&gt;0)=TRUE),"E6",IF(OR(AND($G62&lt;0,TransType&lt;&gt;"DIS")=TRUE,AND(TransType="DIS",$G62&lt;&gt;0)=TRUE),"E7",IF(OR($H62&lt;0,AND(TransType="DIS",$H62&lt;&gt;0)=TRUE,$H62&gt;$F62),"E8",IF($I62&lt;0,"E9","-")))))))</f>
        <v>-</v>
      </c>
      <c r="K62" s="60" t="str">
        <f>IF(ISNA(VLOOKUP($C62,AssetAll,COLUMN(Assets!$E$4),0))=TRUE,"add!",VLOOKUP($C62,AssetAll,COLUMN(Assets!$E$4),0))</f>
        <v>PPM01</v>
      </c>
      <c r="L62" s="61">
        <f t="shared" ca="1" si="21"/>
        <v>43891.000717592593</v>
      </c>
      <c r="M62" s="61">
        <f t="array" aca="1" ref="M62" ca="1">IF(ISBLANK($C62)=TRUE,0,LARGE(IF(TransAsset=$C62,IF(TransIDDate&lt;$L62,TransIDDate,0),0),1))</f>
        <v>42205.000277777777</v>
      </c>
      <c r="N62" s="61">
        <f t="array" aca="1" ref="N62" ca="1">IF(ISBLANK($C62)=TRUE,0,SMALL(IF(TransAsset=$C62,IF(TransIDDate&gt;$L62,TransIDDate,(Assets!$I$2+1)),(Assets!$I$2+1)),1))</f>
        <v>44239.000949074078</v>
      </c>
      <c r="O62" s="61">
        <f t="shared" ca="1" si="22"/>
        <v>45716</v>
      </c>
      <c r="P62" s="61">
        <f ca="1">IF(OR($N62&lt;Assets!$H$2,$O62&lt;Assets!$H$2,$L62&gt;(Assets!$I$2+1)),0,IF($B62="DIS",IF($L62&lt;Assets!$H$2,0,IF($L62&lt;(Assets!$I$2+1),DATE(YEAR($L62),MONTH($L62),0),Assets!$H$2)),IF($L62&lt;Assets!$H$2,Assets!$H$2,DATE(YEAR($L62),MONTH($L62),1))))</f>
        <v>43891</v>
      </c>
      <c r="Q62" s="61">
        <f ca="1">IF($P62=0,0,IF($B62="DIS",IF($L62&gt;(Assets!$I$2+1),MIN(Assets!$I$2,$O62),MIN($L62,$O62)),IF($N62&lt;(Assets!$I$2+1),MIN(IF(DATE(YEAR($N62),MONTH($N62),0)&lt;$P62,$P62,DATE(YEAR($N62),MONTH($N62),0)),$O62),MIN(Assets!$I$2,$O62))))</f>
        <v>44227</v>
      </c>
      <c r="R62" s="60">
        <f t="shared" ca="1" si="23"/>
        <v>11</v>
      </c>
      <c r="S62" s="60">
        <f t="shared" si="24"/>
        <v>190000</v>
      </c>
      <c r="T62" s="60" cm="1">
        <f t="array" ref="T62">IF(ISBLANK($B62)=FALSE,SUMIFS(TransAmount,TransAsset,$C62,TransType,"ACQ"),0)</f>
        <v>660450</v>
      </c>
      <c r="U62" s="60">
        <f t="shared" si="25"/>
        <v>5</v>
      </c>
      <c r="V62" s="60">
        <f t="shared" si="26"/>
        <v>0</v>
      </c>
      <c r="W62" s="28">
        <f t="shared" ca="1" si="27"/>
        <v>660450</v>
      </c>
      <c r="X62" s="28">
        <f t="shared" ca="1" si="28"/>
        <v>0</v>
      </c>
      <c r="Y62" s="28">
        <f t="shared" ca="1" si="29"/>
        <v>5</v>
      </c>
      <c r="Z62" s="28">
        <f t="shared" ca="1" si="30"/>
        <v>616420</v>
      </c>
      <c r="AA62" s="28">
        <f t="shared" ca="1" si="31"/>
        <v>44030</v>
      </c>
      <c r="AB62" s="28" cm="1">
        <f t="array" aca="1" ref="AB62" ca="1">IF(SUMIFS(TransTDCost,TransAsset,$C62,TransDate,"&lt;="&amp;$L62)&gt;($T62-$X62),($T62-$X62),SUMIFS(TransTDCost,TransAsset,$C62,TransDate,"&lt;="&amp;$L62))</f>
        <v>616420</v>
      </c>
      <c r="AC62" s="28">
        <f t="shared" ca="1" si="32"/>
        <v>0</v>
      </c>
      <c r="AD62" s="28">
        <f t="array" aca="1" ref="AD62" ca="1">IF($L62=LARGE(IF(TransAsset=$C62,IF(TransIDDate&lt;Assets!$H$2,TransIDDate,0),0),1),IF($B62="DIS",$AC62,SUMIFS(TransCAccDep,TransAsset,$C62,TransDate,"&lt;="&amp;$L62)+IF($U62=0,0,MIN(($S62-$V62)/($U62*12)*(((YEAR(Assets!$H$2)*12)+MONTH(Assets!$H$2)-1)-((YEAR($L62)*12)+MONTH($L62)-1)),$S62-$V62))),0)-$AO62</f>
        <v>0</v>
      </c>
      <c r="AE62" s="28">
        <f t="shared" ca="1" si="33"/>
        <v>0</v>
      </c>
      <c r="AF62" s="28">
        <f t="shared" ca="1" si="34"/>
        <v>145970</v>
      </c>
      <c r="AG62" s="28">
        <f t="shared" ca="1" si="35"/>
        <v>145970</v>
      </c>
      <c r="AH62" s="28">
        <f t="shared" ca="1" si="36"/>
        <v>0</v>
      </c>
      <c r="AI62" s="28" cm="1">
        <f t="array" aca="1" ref="AI62" ca="1">IF($B62="REV",IF($S62-$AA62+$AE62&gt;0,IF(SUMIFS(TransImpair,TransAsset,$C62,TransDate,"&lt;"&amp;$M62)&gt;0,IF(SUMIFS(TransImpair,TransAsset,$C62,TransDate,"&lt;"&amp;$M62)&gt;$S62-$AA62+$AE62,-($S62-$AA62+$AE62),-SUMIFS(TransImpair,TransAsset,$C62,TransDate,"&lt;"&amp;$M62)),0),-($S62-$AA62+$AE62)),0)</f>
        <v>0</v>
      </c>
      <c r="AJ62" s="28">
        <f t="shared" si="37"/>
        <v>0</v>
      </c>
      <c r="AK62" s="28">
        <f t="shared" ca="1" si="38"/>
        <v>34833.333333333328</v>
      </c>
      <c r="AL62" s="28">
        <f t="shared" ca="1" si="39"/>
        <v>34833.333333333328</v>
      </c>
      <c r="AM62" s="28" cm="1">
        <f t="array" aca="1" ref="AM62" ca="1">IF($AN62&gt;($T62-$V62),($T62-$V62)-SUMIFS(TransPCAccDep,TransAsset,$C62,TransDate,"&lt;="&amp;$L62),$AL62)</f>
        <v>34833.333333333328</v>
      </c>
      <c r="AN62" s="28" cm="1">
        <f t="array" aca="1" ref="AN62" ca="1">IF($AL62=0,0,SUMIFS(TransCCYDep2,TransAsset,$C62,TransDate,"&lt;="&amp;$L62)+SUMIFS(TransPCAccDep,TransAsset,$C62,TransDate,"&lt;="&amp;$L62))</f>
        <v>651253.33333333337</v>
      </c>
      <c r="AO62" s="28">
        <f t="array" aca="1" ref="AO62" ca="1">IF($L62=LARGE(IF(TransAsset=$C62,IF(TransIDDate&lt;Assets!$H$2,TransIDDate,0),0),1),IF($B62="DIS",0,MIN(SUMIFS(TransTDCost,TransAsset,$C62,TransDate,"&lt;="&amp;$L62)+IF($U62=0,0,MIN(($S62-$V62)/($U62*12)*(((YEAR(Assets!$H$2)*12)+MONTH(Assets!$H$2)-1)-((YEAR($L62)*12)+MONTH($L62)-1)),$S62-$V62)),SUMIFS(TransTDCost,TransAsset,$C62,TransDate,"&lt;="&amp;$L62)+IF($U62=0,0,MIN(($T62-$V62)/($U62*12)*(((YEAR(Assets!$H$2)*12)+MONTH(Assets!$H$2)-1)-((YEAR($L62)*12)+MONTH($L62)-1)),$T62-$V62)),$T62-$V62)),0)</f>
        <v>0</v>
      </c>
      <c r="AP62" s="28">
        <f t="shared" ca="1" si="40"/>
        <v>616420</v>
      </c>
      <c r="AQ62" s="60">
        <f ca="1">IF(SUMPRODUCT((TransAsset=$C62)*(TransType="DIS")*(TransIDDate&lt;(Assets!$I$2+1))*(1))&gt;0,0,IF(AND($AR62=0,DATE(YEAR($L62),MONTH($L62),1)&lt;&gt;DATE(YEAR(Assets!$J$2),MONTH(Assets!$J$2),1)),0,IF(DATE(YEAR($Q62),MONTH($Q62),1)&lt;&gt;DATE(YEAR(Assets!$I$2),MONTH(Assets!$I$2),1),0,IF($AR62=$S62-$V62,0,IF($U62=0,0,MIN(($S62-$V62)/($U62*12),($S62-$V62)-$AR62))))))</f>
        <v>0</v>
      </c>
      <c r="AR62" s="60">
        <f t="array" aca="1" ref="AR62" ca="1">IF($L62=LARGE(IF(TransAsset=$C62,IF(TransIDDate&lt;Assets!$J$2,TransIDDate,0),0),1),IF($B62="DIS",0,MIN(IF($U62=0,0,(($S62-$V62)/($U62*12)*(((YEAR(Assets!$J$2)*12)+MONTH(Assets!$J$2)-1)-((YEAR($L62)*12)+MONTH($L62)-1)))),($S62-$V62))),0)</f>
        <v>34833.333333333328</v>
      </c>
      <c r="AS62" s="60">
        <f t="shared" si="41"/>
        <v>3166.6666666666665</v>
      </c>
      <c r="AT62" s="28" cm="1">
        <f t="array" aca="1" ref="AT62" ca="1">IF(SUMPRODUCT((TransAsset=$C62)*(TransType="DIS")*(TransIDDate&lt;(Assets!$I$2+1))*(1))&gt;0,0,IF(AND($AU62=0,DATE(YEAR($L62),MONTH($L62),1)&lt;&gt;DATE(YEAR(Assets!$J$2),MONTH(Assets!$J$2),1)),0,IF(DATE(YEAR($Q62),MONTH($Q62),1)&lt;&gt;DATE(YEAR(Assets!$I$2),MONTH(Assets!$I$2),1),0,IF(SUMIFS(TransPMAccDep,TransAsset,$C62)&gt;=($T62-$V62),($T62-$V62)-SUMIFS(TransPMAccDep,TransAsset,$C62),IF($U62=0,0,IF($S62&lt;$T62,MIN(($S62-$V62)/($U62*12),($T62-$V62)-$AU62),MIN(($T62-$V62)/($U62*12),($T62-$V62)-$AU62)))))))</f>
        <v>0</v>
      </c>
      <c r="AU62" s="28">
        <f t="array" aca="1" ref="AU62" ca="1">IF($L62=LARGE(IF(TransAsset=$C62,IF(TransIDDate&lt;Assets!$J$2,TransIDDate,0),0),1),IF($B62="DIS",0,MIN(SUMIFS(TransTDCost,TransAsset,$C62,TransDate,"&lt;="&amp;$L62)+IF($U62=0,0,MIN(($S62-$V62)/($U62*12)*(((YEAR(Assets!$J$2)*12)+MONTH(Assets!$J$2)-1)-((YEAR($L62)*12)+MONTH($L62)-1)),$S62-$V62)),SUMIFS(TransTDCost,TransAsset,$C62,TransDate,"&lt;="&amp;$L62)+IF($U62=0,0,MIN(($T62-$V62)/($U62*12)*(((YEAR(Assets!$J$2)*12)+MONTH(Assets!$J$2)-1)-((YEAR($L62)*12)+MONTH($L62)-1)),$T62-$V62)),$T62-$V62)),0)</f>
        <v>651253.33333333337</v>
      </c>
    </row>
    <row r="63" spans="1:47" ht="16" customHeight="1" x14ac:dyDescent="0.25">
      <c r="A63" s="33">
        <v>43891</v>
      </c>
      <c r="B63" s="4" t="s">
        <v>360</v>
      </c>
      <c r="C63" s="8" t="s">
        <v>288</v>
      </c>
      <c r="D63" s="3" t="s">
        <v>361</v>
      </c>
      <c r="E63" s="3" t="s">
        <v>168</v>
      </c>
      <c r="F63" s="28">
        <v>100470</v>
      </c>
      <c r="G63" s="28">
        <v>5</v>
      </c>
      <c r="H63" s="28">
        <v>0</v>
      </c>
      <c r="I63" s="28">
        <v>0</v>
      </c>
      <c r="J63" s="59" t="str" cm="1">
        <f t="array" aca="1" ref="J63" ca="1">IF(ISNA(VLOOKUP($C63,AssetCode,1,0))=TRUE,"E3",IF(OR(ISBLANK($B63)=TRUE,SUMPRODUCT((TransAsset=$C63)*(TransIDDate&lt;$L63)*(TransType="DIS")*(1))&gt;0),"E4",IF(SUMPRODUCT((TransAsset=$C63)*(TransType="ACQ")*(1))&gt;1,"E5",IF(OR($F63&lt;0,AND(TransType="DIS",$F63&lt;&gt;0)=TRUE),"E6",IF(OR(AND($G63&lt;0,TransType&lt;&gt;"DIS")=TRUE,AND(TransType="DIS",$G63&lt;&gt;0)=TRUE),"E7",IF(OR($H63&lt;0,AND(TransType="DIS",$H63&lt;&gt;0)=TRUE,$H63&gt;$F63),"E8",IF($I63&lt;0,"E9","-")))))))</f>
        <v>-</v>
      </c>
      <c r="K63" s="60" t="str">
        <f>IF(ISNA(VLOOKUP($C63,AssetAll,COLUMN(Assets!$E$4),0))=TRUE,"add!",VLOOKUP($C63,AssetAll,COLUMN(Assets!$E$4),0))</f>
        <v>PPM01</v>
      </c>
      <c r="L63" s="61">
        <f t="shared" ca="1" si="21"/>
        <v>43891.00072916667</v>
      </c>
      <c r="M63" s="61">
        <f t="array" aca="1" ref="M63" ca="1">IF(ISBLANK($C63)=TRUE,0,LARGE(IF(TransAsset=$C63,IF(TransIDDate&lt;$L63,TransIDDate,0),0),1))</f>
        <v>42205.000289351854</v>
      </c>
      <c r="N63" s="61">
        <f t="array" aca="1" ref="N63" ca="1">IF(ISBLANK($C63)=TRUE,0,SMALL(IF(TransAsset=$C63,IF(TransIDDate&gt;$L63,TransIDDate,(Assets!$I$2+1)),(Assets!$I$2+1)),1))</f>
        <v>44256</v>
      </c>
      <c r="O63" s="61">
        <f t="shared" ca="1" si="22"/>
        <v>45716</v>
      </c>
      <c r="P63" s="61">
        <f ca="1">IF(OR($N63&lt;Assets!$H$2,$O63&lt;Assets!$H$2,$L63&gt;(Assets!$I$2+1)),0,IF($B63="DIS",IF($L63&lt;Assets!$H$2,0,IF($L63&lt;(Assets!$I$2+1),DATE(YEAR($L63),MONTH($L63),0),Assets!$H$2)),IF($L63&lt;Assets!$H$2,Assets!$H$2,DATE(YEAR($L63),MONTH($L63),1))))</f>
        <v>43891</v>
      </c>
      <c r="Q63" s="61">
        <f ca="1">IF($P63=0,0,IF($B63="DIS",IF($L63&gt;(Assets!$I$2+1),MIN(Assets!$I$2,$O63),MIN($L63,$O63)),IF($N63&lt;(Assets!$I$2+1),MIN(IF(DATE(YEAR($N63),MONTH($N63),0)&lt;$P63,$P63,DATE(YEAR($N63),MONTH($N63),0)),$O63),MIN(Assets!$I$2,$O63))))</f>
        <v>44255</v>
      </c>
      <c r="R63" s="60">
        <f t="shared" ca="1" si="23"/>
        <v>12</v>
      </c>
      <c r="S63" s="60">
        <f t="shared" si="24"/>
        <v>100470</v>
      </c>
      <c r="T63" s="60" cm="1">
        <f t="array" ref="T63">IF(ISBLANK($B63)=FALSE,SUMIFS(TransAmount,TransAsset,$C63,TransType,"ACQ"),0)</f>
        <v>354600</v>
      </c>
      <c r="U63" s="60">
        <f t="shared" si="25"/>
        <v>5</v>
      </c>
      <c r="V63" s="60">
        <f t="shared" si="26"/>
        <v>0</v>
      </c>
      <c r="W63" s="28">
        <f t="shared" ca="1" si="27"/>
        <v>354600</v>
      </c>
      <c r="X63" s="28">
        <f t="shared" ca="1" si="28"/>
        <v>0</v>
      </c>
      <c r="Y63" s="28">
        <f t="shared" ca="1" si="29"/>
        <v>5</v>
      </c>
      <c r="Z63" s="28">
        <f t="shared" ca="1" si="30"/>
        <v>330960</v>
      </c>
      <c r="AA63" s="28">
        <f t="shared" ca="1" si="31"/>
        <v>23640</v>
      </c>
      <c r="AB63" s="28" cm="1">
        <f t="array" aca="1" ref="AB63" ca="1">IF(SUMIFS(TransTDCost,TransAsset,$C63,TransDate,"&lt;="&amp;$L63)&gt;($T63-$X63),($T63-$X63),SUMIFS(TransTDCost,TransAsset,$C63,TransDate,"&lt;="&amp;$L63))</f>
        <v>330960</v>
      </c>
      <c r="AC63" s="28">
        <f t="shared" ca="1" si="32"/>
        <v>0</v>
      </c>
      <c r="AD63" s="28">
        <f t="array" aca="1" ref="AD63" ca="1">IF($L63=LARGE(IF(TransAsset=$C63,IF(TransIDDate&lt;Assets!$H$2,TransIDDate,0),0),1),IF($B63="DIS",$AC63,SUMIFS(TransCAccDep,TransAsset,$C63,TransDate,"&lt;="&amp;$L63)+IF($U63=0,0,MIN(($S63-$V63)/($U63*12)*(((YEAR(Assets!$H$2)*12)+MONTH(Assets!$H$2)-1)-((YEAR($L63)*12)+MONTH($L63)-1)),$S63-$V63))),0)-$AO63</f>
        <v>0</v>
      </c>
      <c r="AE63" s="28">
        <f t="shared" ca="1" si="33"/>
        <v>0</v>
      </c>
      <c r="AF63" s="28">
        <f t="shared" ca="1" si="34"/>
        <v>76830</v>
      </c>
      <c r="AG63" s="28">
        <f t="shared" ca="1" si="35"/>
        <v>76830</v>
      </c>
      <c r="AH63" s="28">
        <f t="shared" ca="1" si="36"/>
        <v>0</v>
      </c>
      <c r="AI63" s="28" cm="1">
        <f t="array" aca="1" ref="AI63" ca="1">IF($B63="REV",IF($S63-$AA63+$AE63&gt;0,IF(SUMIFS(TransImpair,TransAsset,$C63,TransDate,"&lt;"&amp;$M63)&gt;0,IF(SUMIFS(TransImpair,TransAsset,$C63,TransDate,"&lt;"&amp;$M63)&gt;$S63-$AA63+$AE63,-($S63-$AA63+$AE63),-SUMIFS(TransImpair,TransAsset,$C63,TransDate,"&lt;"&amp;$M63)),0),-($S63-$AA63+$AE63)),0)</f>
        <v>0</v>
      </c>
      <c r="AJ63" s="28">
        <f t="shared" si="37"/>
        <v>0</v>
      </c>
      <c r="AK63" s="28">
        <f t="shared" ca="1" si="38"/>
        <v>20094</v>
      </c>
      <c r="AL63" s="28">
        <f t="shared" ca="1" si="39"/>
        <v>20094</v>
      </c>
      <c r="AM63" s="28" cm="1">
        <f t="array" aca="1" ref="AM63" ca="1">IF($AN63&gt;($T63-$V63),($T63-$V63)-SUMIFS(TransPCAccDep,TransAsset,$C63,TransDate,"&lt;="&amp;$L63),$AL63)</f>
        <v>20094</v>
      </c>
      <c r="AN63" s="28" cm="1">
        <f t="array" aca="1" ref="AN63" ca="1">IF($AL63=0,0,SUMIFS(TransCCYDep2,TransAsset,$C63,TransDate,"&lt;="&amp;$L63)+SUMIFS(TransPCAccDep,TransAsset,$C63,TransDate,"&lt;="&amp;$L63))</f>
        <v>351054</v>
      </c>
      <c r="AO63" s="28">
        <f t="array" aca="1" ref="AO63" ca="1">IF($L63=LARGE(IF(TransAsset=$C63,IF(TransIDDate&lt;Assets!$H$2,TransIDDate,0),0),1),IF($B63="DIS",0,MIN(SUMIFS(TransTDCost,TransAsset,$C63,TransDate,"&lt;="&amp;$L63)+IF($U63=0,0,MIN(($S63-$V63)/($U63*12)*(((YEAR(Assets!$H$2)*12)+MONTH(Assets!$H$2)-1)-((YEAR($L63)*12)+MONTH($L63)-1)),$S63-$V63)),SUMIFS(TransTDCost,TransAsset,$C63,TransDate,"&lt;="&amp;$L63)+IF($U63=0,0,MIN(($T63-$V63)/($U63*12)*(((YEAR(Assets!$H$2)*12)+MONTH(Assets!$H$2)-1)-((YEAR($L63)*12)+MONTH($L63)-1)),$T63-$V63)),$T63-$V63)),0)</f>
        <v>0</v>
      </c>
      <c r="AP63" s="28">
        <f t="shared" ca="1" si="40"/>
        <v>330960</v>
      </c>
      <c r="AQ63" s="60">
        <f ca="1">IF(SUMPRODUCT((TransAsset=$C63)*(TransType="DIS")*(TransIDDate&lt;(Assets!$I$2+1))*(1))&gt;0,0,IF(AND($AR63=0,DATE(YEAR($L63),MONTH($L63),1)&lt;&gt;DATE(YEAR(Assets!$J$2),MONTH(Assets!$J$2),1)),0,IF(DATE(YEAR($Q63),MONTH($Q63),1)&lt;&gt;DATE(YEAR(Assets!$I$2),MONTH(Assets!$I$2),1),0,IF($AR63=$S63-$V63,0,IF($U63=0,0,MIN(($S63-$V63)/($U63*12),($S63-$V63)-$AR63))))))</f>
        <v>1674.5</v>
      </c>
      <c r="AR63" s="60">
        <f t="array" aca="1" ref="AR63" ca="1">IF($L63=LARGE(IF(TransAsset=$C63,IF(TransIDDate&lt;Assets!$J$2,TransIDDate,0),0),1),IF($B63="DIS",0,MIN(IF($U63=0,0,(($S63-$V63)/($U63*12)*(((YEAR(Assets!$J$2)*12)+MONTH(Assets!$J$2)-1)-((YEAR($L63)*12)+MONTH($L63)-1)))),($S63-$V63))),0)</f>
        <v>18419.5</v>
      </c>
      <c r="AS63" s="60">
        <f t="shared" si="41"/>
        <v>1674.5</v>
      </c>
      <c r="AT63" s="28" cm="1">
        <f t="array" aca="1" ref="AT63" ca="1">IF(SUMPRODUCT((TransAsset=$C63)*(TransType="DIS")*(TransIDDate&lt;(Assets!$I$2+1))*(1))&gt;0,0,IF(AND($AU63=0,DATE(YEAR($L63),MONTH($L63),1)&lt;&gt;DATE(YEAR(Assets!$J$2),MONTH(Assets!$J$2),1)),0,IF(DATE(YEAR($Q63),MONTH($Q63),1)&lt;&gt;DATE(YEAR(Assets!$I$2),MONTH(Assets!$I$2),1),0,IF(SUMIFS(TransPMAccDep,TransAsset,$C63)&gt;=($T63-$V63),($T63-$V63)-SUMIFS(TransPMAccDep,TransAsset,$C63),IF($U63=0,0,IF($S63&lt;$T63,MIN(($S63-$V63)/($U63*12),($T63-$V63)-$AU63),MIN(($T63-$V63)/($U63*12),($T63-$V63)-$AU63)))))))</f>
        <v>1674.5</v>
      </c>
      <c r="AU63" s="28">
        <f t="array" aca="1" ref="AU63" ca="1">IF($L63=LARGE(IF(TransAsset=$C63,IF(TransIDDate&lt;Assets!$J$2,TransIDDate,0),0),1),IF($B63="DIS",0,MIN(SUMIFS(TransTDCost,TransAsset,$C63,TransDate,"&lt;="&amp;$L63)+IF($U63=0,0,MIN(($S63-$V63)/($U63*12)*(((YEAR(Assets!$J$2)*12)+MONTH(Assets!$J$2)-1)-((YEAR($L63)*12)+MONTH($L63)-1)),$S63-$V63)),SUMIFS(TransTDCost,TransAsset,$C63,TransDate,"&lt;="&amp;$L63)+IF($U63=0,0,MIN(($T63-$V63)/($U63*12)*(((YEAR(Assets!$J$2)*12)+MONTH(Assets!$J$2)-1)-((YEAR($L63)*12)+MONTH($L63)-1)),$T63-$V63)),$T63-$V63)),0)</f>
        <v>349379.5</v>
      </c>
    </row>
    <row r="64" spans="1:47" ht="16" customHeight="1" x14ac:dyDescent="0.25">
      <c r="A64" s="33">
        <v>43891</v>
      </c>
      <c r="B64" s="4" t="s">
        <v>360</v>
      </c>
      <c r="C64" s="8" t="s">
        <v>328</v>
      </c>
      <c r="D64" s="3" t="s">
        <v>361</v>
      </c>
      <c r="E64" s="3" t="s">
        <v>168</v>
      </c>
      <c r="F64" s="28">
        <v>10000</v>
      </c>
      <c r="G64" s="28">
        <v>5</v>
      </c>
      <c r="H64" s="28">
        <v>0</v>
      </c>
      <c r="I64" s="28">
        <v>0</v>
      </c>
      <c r="J64" s="59" t="str" cm="1">
        <f t="array" aca="1" ref="J64" ca="1">IF(ISNA(VLOOKUP($C64,AssetCode,1,0))=TRUE,"E3",IF(OR(ISBLANK($B64)=TRUE,SUMPRODUCT((TransAsset=$C64)*(TransIDDate&lt;$L64)*(TransType="DIS")*(1))&gt;0),"E4",IF(SUMPRODUCT((TransAsset=$C64)*(TransType="ACQ")*(1))&gt;1,"E5",IF(OR($F64&lt;0,AND(TransType="DIS",$F64&lt;&gt;0)=TRUE),"E6",IF(OR(AND($G64&lt;0,TransType&lt;&gt;"DIS")=TRUE,AND(TransType="DIS",$G64&lt;&gt;0)=TRUE),"E7",IF(OR($H64&lt;0,AND(TransType="DIS",$H64&lt;&gt;0)=TRUE,$H64&gt;$F64),"E8",IF($I64&lt;0,"E9","-")))))))</f>
        <v>-</v>
      </c>
      <c r="K64" s="60" t="str">
        <f>IF(ISNA(VLOOKUP($C64,AssetAll,COLUMN(Assets!$E$4),0))=TRUE,"add!",VLOOKUP($C64,AssetAll,COLUMN(Assets!$E$4),0))</f>
        <v>PPM01</v>
      </c>
      <c r="L64" s="61">
        <f t="shared" ca="1" si="21"/>
        <v>43891.000740740739</v>
      </c>
      <c r="M64" s="61">
        <f t="array" aca="1" ref="M64" ca="1">IF(ISBLANK($C64)=TRUE,0,LARGE(IF(TransAsset=$C64,IF(TransIDDate&lt;$L64,TransIDDate,0),0),1))</f>
        <v>42623.000381944446</v>
      </c>
      <c r="N64" s="61">
        <f t="array" aca="1" ref="N64" ca="1">IF(ISBLANK($C64)=TRUE,0,SMALL(IF(TransAsset=$C64,IF(TransIDDate&gt;$L64,TransIDDate,(Assets!$I$2+1)),(Assets!$I$2+1)),1))</f>
        <v>44256</v>
      </c>
      <c r="O64" s="61">
        <f t="shared" ca="1" si="22"/>
        <v>45716</v>
      </c>
      <c r="P64" s="61">
        <f ca="1">IF(OR($N64&lt;Assets!$H$2,$O64&lt;Assets!$H$2,$L64&gt;(Assets!$I$2+1)),0,IF($B64="DIS",IF($L64&lt;Assets!$H$2,0,IF($L64&lt;(Assets!$I$2+1),DATE(YEAR($L64),MONTH($L64),0),Assets!$H$2)),IF($L64&lt;Assets!$H$2,Assets!$H$2,DATE(YEAR($L64),MONTH($L64),1))))</f>
        <v>43891</v>
      </c>
      <c r="Q64" s="61">
        <f ca="1">IF($P64=0,0,IF($B64="DIS",IF($L64&gt;(Assets!$I$2+1),MIN(Assets!$I$2,$O64),MIN($L64,$O64)),IF($N64&lt;(Assets!$I$2+1),MIN(IF(DATE(YEAR($N64),MONTH($N64),0)&lt;$P64,$P64,DATE(YEAR($N64),MONTH($N64),0)),$O64),MIN(Assets!$I$2,$O64))))</f>
        <v>44255</v>
      </c>
      <c r="R64" s="60">
        <f t="shared" ca="1" si="23"/>
        <v>12</v>
      </c>
      <c r="S64" s="60">
        <f t="shared" si="24"/>
        <v>10000</v>
      </c>
      <c r="T64" s="60" cm="1">
        <f t="array" ref="T64">IF(ISBLANK($B64)=FALSE,SUMIFS(TransAmount,TransAsset,$C64,TransType,"ACQ"),0)</f>
        <v>12500</v>
      </c>
      <c r="U64" s="60">
        <f t="shared" si="25"/>
        <v>5</v>
      </c>
      <c r="V64" s="60">
        <f t="shared" si="26"/>
        <v>0</v>
      </c>
      <c r="W64" s="28">
        <f t="shared" ca="1" si="27"/>
        <v>12500</v>
      </c>
      <c r="X64" s="28">
        <f t="shared" ca="1" si="28"/>
        <v>0</v>
      </c>
      <c r="Y64" s="28">
        <f t="shared" ca="1" si="29"/>
        <v>5</v>
      </c>
      <c r="Z64" s="28">
        <f t="shared" ca="1" si="30"/>
        <v>8750</v>
      </c>
      <c r="AA64" s="28">
        <f t="shared" ca="1" si="31"/>
        <v>3750</v>
      </c>
      <c r="AB64" s="28" cm="1">
        <f t="array" aca="1" ref="AB64" ca="1">IF(SUMIFS(TransTDCost,TransAsset,$C64,TransDate,"&lt;="&amp;$L64)&gt;($T64-$X64),($T64-$X64),SUMIFS(TransTDCost,TransAsset,$C64,TransDate,"&lt;="&amp;$L64))</f>
        <v>8750</v>
      </c>
      <c r="AC64" s="28">
        <f t="shared" ca="1" si="32"/>
        <v>0</v>
      </c>
      <c r="AD64" s="28">
        <f t="array" aca="1" ref="AD64" ca="1">IF($L64=LARGE(IF(TransAsset=$C64,IF(TransIDDate&lt;Assets!$H$2,TransIDDate,0),0),1),IF($B64="DIS",$AC64,SUMIFS(TransCAccDep,TransAsset,$C64,TransDate,"&lt;="&amp;$L64)+IF($U64=0,0,MIN(($S64-$V64)/($U64*12)*(((YEAR(Assets!$H$2)*12)+MONTH(Assets!$H$2)-1)-((YEAR($L64)*12)+MONTH($L64)-1)),$S64-$V64))),0)-$AO64</f>
        <v>0</v>
      </c>
      <c r="AE64" s="28">
        <f t="shared" ca="1" si="33"/>
        <v>0</v>
      </c>
      <c r="AF64" s="28">
        <f t="shared" ca="1" si="34"/>
        <v>6250</v>
      </c>
      <c r="AG64" s="28">
        <f t="shared" ca="1" si="35"/>
        <v>6250</v>
      </c>
      <c r="AH64" s="28">
        <f t="shared" ca="1" si="36"/>
        <v>0</v>
      </c>
      <c r="AI64" s="28" cm="1">
        <f t="array" aca="1" ref="AI64" ca="1">IF($B64="REV",IF($S64-$AA64+$AE64&gt;0,IF(SUMIFS(TransImpair,TransAsset,$C64,TransDate,"&lt;"&amp;$M64)&gt;0,IF(SUMIFS(TransImpair,TransAsset,$C64,TransDate,"&lt;"&amp;$M64)&gt;$S64-$AA64+$AE64,-($S64-$AA64+$AE64),-SUMIFS(TransImpair,TransAsset,$C64,TransDate,"&lt;"&amp;$M64)),0),-($S64-$AA64+$AE64)),0)</f>
        <v>0</v>
      </c>
      <c r="AJ64" s="28">
        <f t="shared" si="37"/>
        <v>0</v>
      </c>
      <c r="AK64" s="28">
        <f t="shared" ca="1" si="38"/>
        <v>2000</v>
      </c>
      <c r="AL64" s="28">
        <f t="shared" ca="1" si="39"/>
        <v>2000</v>
      </c>
      <c r="AM64" s="28" cm="1">
        <f t="array" aca="1" ref="AM64" ca="1">IF($AN64&gt;($T64-$V64),($T64-$V64)-SUMIFS(TransPCAccDep,TransAsset,$C64,TransDate,"&lt;="&amp;$L64),$AL64)</f>
        <v>2000</v>
      </c>
      <c r="AN64" s="28" cm="1">
        <f t="array" aca="1" ref="AN64" ca="1">IF($AL64=0,0,SUMIFS(TransCCYDep2,TransAsset,$C64,TransDate,"&lt;="&amp;$L64)+SUMIFS(TransPCAccDep,TransAsset,$C64,TransDate,"&lt;="&amp;$L64))</f>
        <v>10750</v>
      </c>
      <c r="AO64" s="28">
        <f t="array" aca="1" ref="AO64" ca="1">IF($L64=LARGE(IF(TransAsset=$C64,IF(TransIDDate&lt;Assets!$H$2,TransIDDate,0),0),1),IF($B64="DIS",0,MIN(SUMIFS(TransTDCost,TransAsset,$C64,TransDate,"&lt;="&amp;$L64)+IF($U64=0,0,MIN(($S64-$V64)/($U64*12)*(((YEAR(Assets!$H$2)*12)+MONTH(Assets!$H$2)-1)-((YEAR($L64)*12)+MONTH($L64)-1)),$S64-$V64)),SUMIFS(TransTDCost,TransAsset,$C64,TransDate,"&lt;="&amp;$L64)+IF($U64=0,0,MIN(($T64-$V64)/($U64*12)*(((YEAR(Assets!$H$2)*12)+MONTH(Assets!$H$2)-1)-((YEAR($L64)*12)+MONTH($L64)-1)),$T64-$V64)),$T64-$V64)),0)</f>
        <v>0</v>
      </c>
      <c r="AP64" s="28">
        <f t="shared" ca="1" si="40"/>
        <v>8750</v>
      </c>
      <c r="AQ64" s="60">
        <f ca="1">IF(SUMPRODUCT((TransAsset=$C64)*(TransType="DIS")*(TransIDDate&lt;(Assets!$I$2+1))*(1))&gt;0,0,IF(AND($AR64=0,DATE(YEAR($L64),MONTH($L64),1)&lt;&gt;DATE(YEAR(Assets!$J$2),MONTH(Assets!$J$2),1)),0,IF(DATE(YEAR($Q64),MONTH($Q64),1)&lt;&gt;DATE(YEAR(Assets!$I$2),MONTH(Assets!$I$2),1),0,IF($AR64=$S64-$V64,0,IF($U64=0,0,MIN(($S64-$V64)/($U64*12),($S64-$V64)-$AR64))))))</f>
        <v>166.66666666666666</v>
      </c>
      <c r="AR64" s="60">
        <f t="array" aca="1" ref="AR64" ca="1">IF($L64=LARGE(IF(TransAsset=$C64,IF(TransIDDate&lt;Assets!$J$2,TransIDDate,0),0),1),IF($B64="DIS",0,MIN(IF($U64=0,0,(($S64-$V64)/($U64*12)*(((YEAR(Assets!$J$2)*12)+MONTH(Assets!$J$2)-1)-((YEAR($L64)*12)+MONTH($L64)-1)))),($S64-$V64))),0)</f>
        <v>1833.3333333333333</v>
      </c>
      <c r="AS64" s="60">
        <f t="shared" si="41"/>
        <v>166.66666666666666</v>
      </c>
      <c r="AT64" s="28" cm="1">
        <f t="array" aca="1" ref="AT64" ca="1">IF(SUMPRODUCT((TransAsset=$C64)*(TransType="DIS")*(TransIDDate&lt;(Assets!$I$2+1))*(1))&gt;0,0,IF(AND($AU64=0,DATE(YEAR($L64),MONTH($L64),1)&lt;&gt;DATE(YEAR(Assets!$J$2),MONTH(Assets!$J$2),1)),0,IF(DATE(YEAR($Q64),MONTH($Q64),1)&lt;&gt;DATE(YEAR(Assets!$I$2),MONTH(Assets!$I$2),1),0,IF(SUMIFS(TransPMAccDep,TransAsset,$C64)&gt;=($T64-$V64),($T64-$V64)-SUMIFS(TransPMAccDep,TransAsset,$C64),IF($U64=0,0,IF($S64&lt;$T64,MIN(($S64-$V64)/($U64*12),($T64-$V64)-$AU64),MIN(($T64-$V64)/($U64*12),($T64-$V64)-$AU64)))))))</f>
        <v>166.66666666666666</v>
      </c>
      <c r="AU64" s="28">
        <f t="array" aca="1" ref="AU64" ca="1">IF($L64=LARGE(IF(TransAsset=$C64,IF(TransIDDate&lt;Assets!$J$2,TransIDDate,0),0),1),IF($B64="DIS",0,MIN(SUMIFS(TransTDCost,TransAsset,$C64,TransDate,"&lt;="&amp;$L64)+IF($U64=0,0,MIN(($S64-$V64)/($U64*12)*(((YEAR(Assets!$J$2)*12)+MONTH(Assets!$J$2)-1)-((YEAR($L64)*12)+MONTH($L64)-1)),$S64-$V64)),SUMIFS(TransTDCost,TransAsset,$C64,TransDate,"&lt;="&amp;$L64)+IF($U64=0,0,MIN(($T64-$V64)/($U64*12)*(((YEAR(Assets!$J$2)*12)+MONTH(Assets!$J$2)-1)-((YEAR($L64)*12)+MONTH($L64)-1)),$T64-$V64)),$T64-$V64)),0)</f>
        <v>10583.333333333334</v>
      </c>
    </row>
    <row r="65" spans="1:47" ht="16" customHeight="1" x14ac:dyDescent="0.25">
      <c r="A65" s="33">
        <v>43891</v>
      </c>
      <c r="B65" s="4" t="s">
        <v>360</v>
      </c>
      <c r="C65" s="8" t="s">
        <v>329</v>
      </c>
      <c r="D65" s="3" t="s">
        <v>361</v>
      </c>
      <c r="E65" s="3" t="s">
        <v>168</v>
      </c>
      <c r="F65" s="28">
        <v>50000</v>
      </c>
      <c r="G65" s="28">
        <v>5</v>
      </c>
      <c r="H65" s="28">
        <v>0</v>
      </c>
      <c r="I65" s="28">
        <v>0</v>
      </c>
      <c r="J65" s="59" t="str" cm="1">
        <f t="array" aca="1" ref="J65" ca="1">IF(ISNA(VLOOKUP($C65,AssetCode,1,0))=TRUE,"E3",IF(OR(ISBLANK($B65)=TRUE,SUMPRODUCT((TransAsset=$C65)*(TransIDDate&lt;$L65)*(TransType="DIS")*(1))&gt;0),"E4",IF(SUMPRODUCT((TransAsset=$C65)*(TransType="ACQ")*(1))&gt;1,"E5",IF(OR($F65&lt;0,AND(TransType="DIS",$F65&lt;&gt;0)=TRUE),"E6",IF(OR(AND($G65&lt;0,TransType&lt;&gt;"DIS")=TRUE,AND(TransType="DIS",$G65&lt;&gt;0)=TRUE),"E7",IF(OR($H65&lt;0,AND(TransType="DIS",$H65&lt;&gt;0)=TRUE,$H65&gt;$F65),"E8",IF($I65&lt;0,"E9","-")))))))</f>
        <v>-</v>
      </c>
      <c r="K65" s="60" t="str">
        <f>IF(ISNA(VLOOKUP($C65,AssetAll,COLUMN(Assets!$E$4),0))=TRUE,"add!",VLOOKUP($C65,AssetAll,COLUMN(Assets!$E$4),0))</f>
        <v>PPM01</v>
      </c>
      <c r="L65" s="61">
        <f t="shared" ca="1" si="21"/>
        <v>43891.000752314816</v>
      </c>
      <c r="M65" s="61">
        <f t="array" aca="1" ref="M65" ca="1">IF(ISBLANK($C65)=TRUE,0,LARGE(IF(TransAsset=$C65,IF(TransIDDate&lt;$L65,TransIDDate,0),0),1))</f>
        <v>42811.000405092593</v>
      </c>
      <c r="N65" s="61">
        <f t="array" aca="1" ref="N65" ca="1">IF(ISBLANK($C65)=TRUE,0,SMALL(IF(TransAsset=$C65,IF(TransIDDate&gt;$L65,TransIDDate,(Assets!$I$2+1)),(Assets!$I$2+1)),1))</f>
        <v>44256</v>
      </c>
      <c r="O65" s="61">
        <f t="shared" ca="1" si="22"/>
        <v>45716</v>
      </c>
      <c r="P65" s="61">
        <f ca="1">IF(OR($N65&lt;Assets!$H$2,$O65&lt;Assets!$H$2,$L65&gt;(Assets!$I$2+1)),0,IF($B65="DIS",IF($L65&lt;Assets!$H$2,0,IF($L65&lt;(Assets!$I$2+1),DATE(YEAR($L65),MONTH($L65),0),Assets!$H$2)),IF($L65&lt;Assets!$H$2,Assets!$H$2,DATE(YEAR($L65),MONTH($L65),1))))</f>
        <v>43891</v>
      </c>
      <c r="Q65" s="61">
        <f ca="1">IF($P65=0,0,IF($B65="DIS",IF($L65&gt;(Assets!$I$2+1),MIN(Assets!$I$2,$O65),MIN($L65,$O65)),IF($N65&lt;(Assets!$I$2+1),MIN(IF(DATE(YEAR($N65),MONTH($N65),0)&lt;$P65,$P65,DATE(YEAR($N65),MONTH($N65),0)),$O65),MIN(Assets!$I$2,$O65))))</f>
        <v>44255</v>
      </c>
      <c r="R65" s="60">
        <f t="shared" ca="1" si="23"/>
        <v>12</v>
      </c>
      <c r="S65" s="60">
        <f t="shared" si="24"/>
        <v>50000</v>
      </c>
      <c r="T65" s="60" cm="1">
        <f t="array" ref="T65">IF(ISBLANK($B65)=FALSE,SUMIFS(TransAmount,TransAsset,$C65,TransType,"ACQ"),0)</f>
        <v>70000</v>
      </c>
      <c r="U65" s="60">
        <f t="shared" si="25"/>
        <v>5</v>
      </c>
      <c r="V65" s="60">
        <f t="shared" si="26"/>
        <v>0</v>
      </c>
      <c r="W65" s="28">
        <f t="shared" ca="1" si="27"/>
        <v>70000</v>
      </c>
      <c r="X65" s="28">
        <f t="shared" ca="1" si="28"/>
        <v>0</v>
      </c>
      <c r="Y65" s="28">
        <f t="shared" ca="1" si="29"/>
        <v>5</v>
      </c>
      <c r="Z65" s="28">
        <f t="shared" ca="1" si="30"/>
        <v>42000</v>
      </c>
      <c r="AA65" s="28">
        <f t="shared" ca="1" si="31"/>
        <v>28000</v>
      </c>
      <c r="AB65" s="28" cm="1">
        <f t="array" aca="1" ref="AB65" ca="1">IF(SUMIFS(TransTDCost,TransAsset,$C65,TransDate,"&lt;="&amp;$L65)&gt;($T65-$X65),($T65-$X65),SUMIFS(TransTDCost,TransAsset,$C65,TransDate,"&lt;="&amp;$L65))</f>
        <v>42000</v>
      </c>
      <c r="AC65" s="28">
        <f t="shared" ca="1" si="32"/>
        <v>0</v>
      </c>
      <c r="AD65" s="28">
        <f t="array" aca="1" ref="AD65" ca="1">IF($L65=LARGE(IF(TransAsset=$C65,IF(TransIDDate&lt;Assets!$H$2,TransIDDate,0),0),1),IF($B65="DIS",$AC65,SUMIFS(TransCAccDep,TransAsset,$C65,TransDate,"&lt;="&amp;$L65)+IF($U65=0,0,MIN(($S65-$V65)/($U65*12)*(((YEAR(Assets!$H$2)*12)+MONTH(Assets!$H$2)-1)-((YEAR($L65)*12)+MONTH($L65)-1)),$S65-$V65))),0)-$AO65</f>
        <v>0</v>
      </c>
      <c r="AE65" s="28">
        <f t="shared" ca="1" si="33"/>
        <v>0</v>
      </c>
      <c r="AF65" s="28">
        <f t="shared" ca="1" si="34"/>
        <v>22000</v>
      </c>
      <c r="AG65" s="28">
        <f t="shared" ca="1" si="35"/>
        <v>22000</v>
      </c>
      <c r="AH65" s="28">
        <f t="shared" ca="1" si="36"/>
        <v>0</v>
      </c>
      <c r="AI65" s="28" cm="1">
        <f t="array" aca="1" ref="AI65" ca="1">IF($B65="REV",IF($S65-$AA65+$AE65&gt;0,IF(SUMIFS(TransImpair,TransAsset,$C65,TransDate,"&lt;"&amp;$M65)&gt;0,IF(SUMIFS(TransImpair,TransAsset,$C65,TransDate,"&lt;"&amp;$M65)&gt;$S65-$AA65+$AE65,-($S65-$AA65+$AE65),-SUMIFS(TransImpair,TransAsset,$C65,TransDate,"&lt;"&amp;$M65)),0),-($S65-$AA65+$AE65)),0)</f>
        <v>0</v>
      </c>
      <c r="AJ65" s="28">
        <f t="shared" si="37"/>
        <v>0</v>
      </c>
      <c r="AK65" s="28">
        <f t="shared" ca="1" si="38"/>
        <v>10000</v>
      </c>
      <c r="AL65" s="28">
        <f t="shared" ca="1" si="39"/>
        <v>10000</v>
      </c>
      <c r="AM65" s="28" cm="1">
        <f t="array" aca="1" ref="AM65" ca="1">IF($AN65&gt;($T65-$V65),($T65-$V65)-SUMIFS(TransPCAccDep,TransAsset,$C65,TransDate,"&lt;="&amp;$L65),$AL65)</f>
        <v>10000</v>
      </c>
      <c r="AN65" s="28" cm="1">
        <f t="array" aca="1" ref="AN65" ca="1">IF($AL65=0,0,SUMIFS(TransCCYDep2,TransAsset,$C65,TransDate,"&lt;="&amp;$L65)+SUMIFS(TransPCAccDep,TransAsset,$C65,TransDate,"&lt;="&amp;$L65))</f>
        <v>52000</v>
      </c>
      <c r="AO65" s="28">
        <f t="array" aca="1" ref="AO65" ca="1">IF($L65=LARGE(IF(TransAsset=$C65,IF(TransIDDate&lt;Assets!$H$2,TransIDDate,0),0),1),IF($B65="DIS",0,MIN(SUMIFS(TransTDCost,TransAsset,$C65,TransDate,"&lt;="&amp;$L65)+IF($U65=0,0,MIN(($S65-$V65)/($U65*12)*(((YEAR(Assets!$H$2)*12)+MONTH(Assets!$H$2)-1)-((YEAR($L65)*12)+MONTH($L65)-1)),$S65-$V65)),SUMIFS(TransTDCost,TransAsset,$C65,TransDate,"&lt;="&amp;$L65)+IF($U65=0,0,MIN(($T65-$V65)/($U65*12)*(((YEAR(Assets!$H$2)*12)+MONTH(Assets!$H$2)-1)-((YEAR($L65)*12)+MONTH($L65)-1)),$T65-$V65)),$T65-$V65)),0)</f>
        <v>0</v>
      </c>
      <c r="AP65" s="28">
        <f t="shared" ca="1" si="40"/>
        <v>42000</v>
      </c>
      <c r="AQ65" s="60">
        <f ca="1">IF(SUMPRODUCT((TransAsset=$C65)*(TransType="DIS")*(TransIDDate&lt;(Assets!$I$2+1))*(1))&gt;0,0,IF(AND($AR65=0,DATE(YEAR($L65),MONTH($L65),1)&lt;&gt;DATE(YEAR(Assets!$J$2),MONTH(Assets!$J$2),1)),0,IF(DATE(YEAR($Q65),MONTH($Q65),1)&lt;&gt;DATE(YEAR(Assets!$I$2),MONTH(Assets!$I$2),1),0,IF($AR65=$S65-$V65,0,IF($U65=0,0,MIN(($S65-$V65)/($U65*12),($S65-$V65)-$AR65))))))</f>
        <v>833.33333333333337</v>
      </c>
      <c r="AR65" s="60">
        <f t="array" aca="1" ref="AR65" ca="1">IF($L65=LARGE(IF(TransAsset=$C65,IF(TransIDDate&lt;Assets!$J$2,TransIDDate,0),0),1),IF($B65="DIS",0,MIN(IF($U65=0,0,(($S65-$V65)/($U65*12)*(((YEAR(Assets!$J$2)*12)+MONTH(Assets!$J$2)-1)-((YEAR($L65)*12)+MONTH($L65)-1)))),($S65-$V65))),0)</f>
        <v>9166.6666666666679</v>
      </c>
      <c r="AS65" s="60">
        <f t="shared" si="41"/>
        <v>833.33333333333337</v>
      </c>
      <c r="AT65" s="28" cm="1">
        <f t="array" aca="1" ref="AT65" ca="1">IF(SUMPRODUCT((TransAsset=$C65)*(TransType="DIS")*(TransIDDate&lt;(Assets!$I$2+1))*(1))&gt;0,0,IF(AND($AU65=0,DATE(YEAR($L65),MONTH($L65),1)&lt;&gt;DATE(YEAR(Assets!$J$2),MONTH(Assets!$J$2),1)),0,IF(DATE(YEAR($Q65),MONTH($Q65),1)&lt;&gt;DATE(YEAR(Assets!$I$2),MONTH(Assets!$I$2),1),0,IF(SUMIFS(TransPMAccDep,TransAsset,$C65)&gt;=($T65-$V65),($T65-$V65)-SUMIFS(TransPMAccDep,TransAsset,$C65),IF($U65=0,0,IF($S65&lt;$T65,MIN(($S65-$V65)/($U65*12),($T65-$V65)-$AU65),MIN(($T65-$V65)/($U65*12),($T65-$V65)-$AU65)))))))</f>
        <v>833.33333333333337</v>
      </c>
      <c r="AU65" s="28">
        <f t="array" aca="1" ref="AU65" ca="1">IF($L65=LARGE(IF(TransAsset=$C65,IF(TransIDDate&lt;Assets!$J$2,TransIDDate,0),0),1),IF($B65="DIS",0,MIN(SUMIFS(TransTDCost,TransAsset,$C65,TransDate,"&lt;="&amp;$L65)+IF($U65=0,0,MIN(($S65-$V65)/($U65*12)*(((YEAR(Assets!$J$2)*12)+MONTH(Assets!$J$2)-1)-((YEAR($L65)*12)+MONTH($L65)-1)),$S65-$V65)),SUMIFS(TransTDCost,TransAsset,$C65,TransDate,"&lt;="&amp;$L65)+IF($U65=0,0,MIN(($T65-$V65)/($U65*12)*(((YEAR(Assets!$J$2)*12)+MONTH(Assets!$J$2)-1)-((YEAR($L65)*12)+MONTH($L65)-1)),$T65-$V65)),$T65-$V65)),0)</f>
        <v>51166.666666666672</v>
      </c>
    </row>
    <row r="66" spans="1:47" ht="16" customHeight="1" x14ac:dyDescent="0.25">
      <c r="A66" s="33">
        <v>43891</v>
      </c>
      <c r="B66" s="4" t="s">
        <v>360</v>
      </c>
      <c r="C66" s="8" t="s">
        <v>330</v>
      </c>
      <c r="D66" s="3" t="s">
        <v>361</v>
      </c>
      <c r="E66" s="3" t="s">
        <v>168</v>
      </c>
      <c r="F66" s="28">
        <v>20000</v>
      </c>
      <c r="G66" s="28">
        <v>5</v>
      </c>
      <c r="H66" s="28">
        <v>0</v>
      </c>
      <c r="I66" s="28">
        <v>0</v>
      </c>
      <c r="J66" s="59" t="str" cm="1">
        <f t="array" aca="1" ref="J66" ca="1">IF(ISNA(VLOOKUP($C66,AssetCode,1,0))=TRUE,"E3",IF(OR(ISBLANK($B66)=TRUE,SUMPRODUCT((TransAsset=$C66)*(TransIDDate&lt;$L66)*(TransType="DIS")*(1))&gt;0),"E4",IF(SUMPRODUCT((TransAsset=$C66)*(TransType="ACQ")*(1))&gt;1,"E5",IF(OR($F66&lt;0,AND(TransType="DIS",$F66&lt;&gt;0)=TRUE),"E6",IF(OR(AND($G66&lt;0,TransType&lt;&gt;"DIS")=TRUE,AND(TransType="DIS",$G66&lt;&gt;0)=TRUE),"E7",IF(OR($H66&lt;0,AND(TransType="DIS",$H66&lt;&gt;0)=TRUE,$H66&gt;$F66),"E8",IF($I66&lt;0,"E9","-")))))))</f>
        <v>-</v>
      </c>
      <c r="K66" s="60" t="str">
        <f>IF(ISNA(VLOOKUP($C66,AssetAll,COLUMN(Assets!$E$4),0))=TRUE,"add!",VLOOKUP($C66,AssetAll,COLUMN(Assets!$E$4),0))</f>
        <v>PPM01</v>
      </c>
      <c r="L66" s="61">
        <f t="shared" ca="1" si="21"/>
        <v>43891.000763888886</v>
      </c>
      <c r="M66" s="61">
        <f t="array" aca="1" ref="M66" ca="1">IF(ISBLANK($C66)=TRUE,0,LARGE(IF(TransAsset=$C66,IF(TransIDDate&lt;$L66,TransIDDate,0),0),1))</f>
        <v>43263.000451388885</v>
      </c>
      <c r="N66" s="61">
        <f t="array" aca="1" ref="N66" ca="1">IF(ISBLANK($C66)=TRUE,0,SMALL(IF(TransAsset=$C66,IF(TransIDDate&gt;$L66,TransIDDate,(Assets!$I$2+1)),(Assets!$I$2+1)),1))</f>
        <v>44256</v>
      </c>
      <c r="O66" s="61">
        <f t="shared" ca="1" si="22"/>
        <v>45716</v>
      </c>
      <c r="P66" s="61">
        <f ca="1">IF(OR($N66&lt;Assets!$H$2,$O66&lt;Assets!$H$2,$L66&gt;(Assets!$I$2+1)),0,IF($B66="DIS",IF($L66&lt;Assets!$H$2,0,IF($L66&lt;(Assets!$I$2+1),DATE(YEAR($L66),MONTH($L66),0),Assets!$H$2)),IF($L66&lt;Assets!$H$2,Assets!$H$2,DATE(YEAR($L66),MONTH($L66),1))))</f>
        <v>43891</v>
      </c>
      <c r="Q66" s="61">
        <f ca="1">IF($P66=0,0,IF($B66="DIS",IF($L66&gt;(Assets!$I$2+1),MIN(Assets!$I$2,$O66),MIN($L66,$O66)),IF($N66&lt;(Assets!$I$2+1),MIN(IF(DATE(YEAR($N66),MONTH($N66),0)&lt;$P66,$P66,DATE(YEAR($N66),MONTH($N66),0)),$O66),MIN(Assets!$I$2,$O66))))</f>
        <v>44255</v>
      </c>
      <c r="R66" s="60">
        <f t="shared" ca="1" si="23"/>
        <v>12</v>
      </c>
      <c r="S66" s="60">
        <f t="shared" si="24"/>
        <v>20000</v>
      </c>
      <c r="T66" s="60" cm="1">
        <f t="array" ref="T66">IF(ISBLANK($B66)=FALSE,SUMIFS(TransAmount,TransAsset,$C66,TransType,"ACQ"),0)</f>
        <v>15000</v>
      </c>
      <c r="U66" s="60">
        <f t="shared" si="25"/>
        <v>5</v>
      </c>
      <c r="V66" s="60">
        <f t="shared" si="26"/>
        <v>0</v>
      </c>
      <c r="W66" s="28">
        <f t="shared" ca="1" si="27"/>
        <v>15000</v>
      </c>
      <c r="X66" s="28">
        <f t="shared" ca="1" si="28"/>
        <v>0</v>
      </c>
      <c r="Y66" s="28">
        <f t="shared" ca="1" si="29"/>
        <v>5</v>
      </c>
      <c r="Z66" s="28">
        <f t="shared" ca="1" si="30"/>
        <v>5250</v>
      </c>
      <c r="AA66" s="28">
        <f t="shared" ca="1" si="31"/>
        <v>9750</v>
      </c>
      <c r="AB66" s="28" cm="1">
        <f t="array" aca="1" ref="AB66" ca="1">IF(SUMIFS(TransTDCost,TransAsset,$C66,TransDate,"&lt;="&amp;$L66)&gt;($T66-$X66),($T66-$X66),SUMIFS(TransTDCost,TransAsset,$C66,TransDate,"&lt;="&amp;$L66))</f>
        <v>5250</v>
      </c>
      <c r="AC66" s="28">
        <f t="shared" ca="1" si="32"/>
        <v>0</v>
      </c>
      <c r="AD66" s="28">
        <f t="array" aca="1" ref="AD66" ca="1">IF($L66=LARGE(IF(TransAsset=$C66,IF(TransIDDate&lt;Assets!$H$2,TransIDDate,0),0),1),IF($B66="DIS",$AC66,SUMIFS(TransCAccDep,TransAsset,$C66,TransDate,"&lt;="&amp;$L66)+IF($U66=0,0,MIN(($S66-$V66)/($U66*12)*(((YEAR(Assets!$H$2)*12)+MONTH(Assets!$H$2)-1)-((YEAR($L66)*12)+MONTH($L66)-1)),$S66-$V66))),0)-$AO66</f>
        <v>0</v>
      </c>
      <c r="AE66" s="28">
        <f t="shared" ca="1" si="33"/>
        <v>0</v>
      </c>
      <c r="AF66" s="28">
        <f t="shared" ca="1" si="34"/>
        <v>10250</v>
      </c>
      <c r="AG66" s="28">
        <f t="shared" ca="1" si="35"/>
        <v>10250</v>
      </c>
      <c r="AH66" s="28">
        <f t="shared" ca="1" si="36"/>
        <v>0</v>
      </c>
      <c r="AI66" s="28" cm="1">
        <f t="array" aca="1" ref="AI66" ca="1">IF($B66="REV",IF($S66-$AA66+$AE66&gt;0,IF(SUMIFS(TransImpair,TransAsset,$C66,TransDate,"&lt;"&amp;$M66)&gt;0,IF(SUMIFS(TransImpair,TransAsset,$C66,TransDate,"&lt;"&amp;$M66)&gt;$S66-$AA66+$AE66,-($S66-$AA66+$AE66),-SUMIFS(TransImpair,TransAsset,$C66,TransDate,"&lt;"&amp;$M66)),0),-($S66-$AA66+$AE66)),0)</f>
        <v>0</v>
      </c>
      <c r="AJ66" s="28">
        <f t="shared" si="37"/>
        <v>0</v>
      </c>
      <c r="AK66" s="28">
        <f t="shared" ca="1" si="38"/>
        <v>4000</v>
      </c>
      <c r="AL66" s="28">
        <f t="shared" ca="1" si="39"/>
        <v>3000</v>
      </c>
      <c r="AM66" s="28" cm="1">
        <f t="array" aca="1" ref="AM66" ca="1">IF($AN66&gt;($T66-$V66),($T66-$V66)-SUMIFS(TransPCAccDep,TransAsset,$C66,TransDate,"&lt;="&amp;$L66),$AL66)</f>
        <v>3000</v>
      </c>
      <c r="AN66" s="28" cm="1">
        <f t="array" aca="1" ref="AN66" ca="1">IF($AL66=0,0,SUMIFS(TransCCYDep2,TransAsset,$C66,TransDate,"&lt;="&amp;$L66)+SUMIFS(TransPCAccDep,TransAsset,$C66,TransDate,"&lt;="&amp;$L66))</f>
        <v>8250</v>
      </c>
      <c r="AO66" s="28">
        <f t="array" aca="1" ref="AO66" ca="1">IF($L66=LARGE(IF(TransAsset=$C66,IF(TransIDDate&lt;Assets!$H$2,TransIDDate,0),0),1),IF($B66="DIS",0,MIN(SUMIFS(TransTDCost,TransAsset,$C66,TransDate,"&lt;="&amp;$L66)+IF($U66=0,0,MIN(($S66-$V66)/($U66*12)*(((YEAR(Assets!$H$2)*12)+MONTH(Assets!$H$2)-1)-((YEAR($L66)*12)+MONTH($L66)-1)),$S66-$V66)),SUMIFS(TransTDCost,TransAsset,$C66,TransDate,"&lt;="&amp;$L66)+IF($U66=0,0,MIN(($T66-$V66)/($U66*12)*(((YEAR(Assets!$H$2)*12)+MONTH(Assets!$H$2)-1)-((YEAR($L66)*12)+MONTH($L66)-1)),$T66-$V66)),$T66-$V66)),0)</f>
        <v>0</v>
      </c>
      <c r="AP66" s="28">
        <f t="shared" ca="1" si="40"/>
        <v>5250</v>
      </c>
      <c r="AQ66" s="60">
        <f ca="1">IF(SUMPRODUCT((TransAsset=$C66)*(TransType="DIS")*(TransIDDate&lt;(Assets!$I$2+1))*(1))&gt;0,0,IF(AND($AR66=0,DATE(YEAR($L66),MONTH($L66),1)&lt;&gt;DATE(YEAR(Assets!$J$2),MONTH(Assets!$J$2),1)),0,IF(DATE(YEAR($Q66),MONTH($Q66),1)&lt;&gt;DATE(YEAR(Assets!$I$2),MONTH(Assets!$I$2),1),0,IF($AR66=$S66-$V66,0,IF($U66=0,0,MIN(($S66-$V66)/($U66*12),($S66-$V66)-$AR66))))))</f>
        <v>333.33333333333331</v>
      </c>
      <c r="AR66" s="60">
        <f t="array" aca="1" ref="AR66" ca="1">IF($L66=LARGE(IF(TransAsset=$C66,IF(TransIDDate&lt;Assets!$J$2,TransIDDate,0),0),1),IF($B66="DIS",0,MIN(IF($U66=0,0,(($S66-$V66)/($U66*12)*(((YEAR(Assets!$J$2)*12)+MONTH(Assets!$J$2)-1)-((YEAR($L66)*12)+MONTH($L66)-1)))),($S66-$V66))),0)</f>
        <v>3666.6666666666665</v>
      </c>
      <c r="AS66" s="60">
        <f t="shared" si="41"/>
        <v>250</v>
      </c>
      <c r="AT66" s="28" cm="1">
        <f t="array" aca="1" ref="AT66" ca="1">IF(SUMPRODUCT((TransAsset=$C66)*(TransType="DIS")*(TransIDDate&lt;(Assets!$I$2+1))*(1))&gt;0,0,IF(AND($AU66=0,DATE(YEAR($L66),MONTH($L66),1)&lt;&gt;DATE(YEAR(Assets!$J$2),MONTH(Assets!$J$2),1)),0,IF(DATE(YEAR($Q66),MONTH($Q66),1)&lt;&gt;DATE(YEAR(Assets!$I$2),MONTH(Assets!$I$2),1),0,IF(SUMIFS(TransPMAccDep,TransAsset,$C66)&gt;=($T66-$V66),($T66-$V66)-SUMIFS(TransPMAccDep,TransAsset,$C66),IF($U66=0,0,IF($S66&lt;$T66,MIN(($S66-$V66)/($U66*12),($T66-$V66)-$AU66),MIN(($T66-$V66)/($U66*12),($T66-$V66)-$AU66)))))))</f>
        <v>250</v>
      </c>
      <c r="AU66" s="28">
        <f t="array" aca="1" ref="AU66" ca="1">IF($L66=LARGE(IF(TransAsset=$C66,IF(TransIDDate&lt;Assets!$J$2,TransIDDate,0),0),1),IF($B66="DIS",0,MIN(SUMIFS(TransTDCost,TransAsset,$C66,TransDate,"&lt;="&amp;$L66)+IF($U66=0,0,MIN(($S66-$V66)/($U66*12)*(((YEAR(Assets!$J$2)*12)+MONTH(Assets!$J$2)-1)-((YEAR($L66)*12)+MONTH($L66)-1)),$S66-$V66)),SUMIFS(TransTDCost,TransAsset,$C66,TransDate,"&lt;="&amp;$L66)+IF($U66=0,0,MIN(($T66-$V66)/($U66*12)*(((YEAR(Assets!$J$2)*12)+MONTH(Assets!$J$2)-1)-((YEAR($L66)*12)+MONTH($L66)-1)),$T66-$V66)),$T66-$V66)),0)</f>
        <v>8000</v>
      </c>
    </row>
    <row r="67" spans="1:47" ht="16" customHeight="1" x14ac:dyDescent="0.25">
      <c r="A67" s="33">
        <v>43891</v>
      </c>
      <c r="B67" s="4" t="s">
        <v>360</v>
      </c>
      <c r="C67" s="8" t="s">
        <v>294</v>
      </c>
      <c r="D67" s="3" t="s">
        <v>361</v>
      </c>
      <c r="E67" s="3" t="s">
        <v>168</v>
      </c>
      <c r="F67" s="28">
        <v>5000</v>
      </c>
      <c r="G67" s="28">
        <v>5</v>
      </c>
      <c r="H67" s="28">
        <v>0</v>
      </c>
      <c r="I67" s="28">
        <v>0</v>
      </c>
      <c r="J67" s="59" t="str" cm="1">
        <f t="array" aca="1" ref="J67" ca="1">IF(ISNA(VLOOKUP($C67,AssetCode,1,0))=TRUE,"E3",IF(OR(ISBLANK($B67)=TRUE,SUMPRODUCT((TransAsset=$C67)*(TransIDDate&lt;$L67)*(TransType="DIS")*(1))&gt;0),"E4",IF(SUMPRODUCT((TransAsset=$C67)*(TransType="ACQ")*(1))&gt;1,"E5",IF(OR($F67&lt;0,AND(TransType="DIS",$F67&lt;&gt;0)=TRUE),"E6",IF(OR(AND($G67&lt;0,TransType&lt;&gt;"DIS")=TRUE,AND(TransType="DIS",$G67&lt;&gt;0)=TRUE),"E7",IF(OR($H67&lt;0,AND(TransType="DIS",$H67&lt;&gt;0)=TRUE,$H67&gt;$F67),"E8",IF($I67&lt;0,"E9","-")))))))</f>
        <v>-</v>
      </c>
      <c r="K67" s="60" t="str">
        <f>IF(ISNA(VLOOKUP($C67,AssetAll,COLUMN(Assets!$E$4),0))=TRUE,"add!",VLOOKUP($C67,AssetAll,COLUMN(Assets!$E$4),0))</f>
        <v>EQP01</v>
      </c>
      <c r="L67" s="61">
        <f t="shared" ca="1" si="21"/>
        <v>43891.000775462962</v>
      </c>
      <c r="M67" s="61">
        <f t="array" aca="1" ref="M67" ca="1">IF(ISBLANK($C67)=TRUE,0,LARGE(IF(TransAsset=$C67,IF(TransIDDate&lt;$L67,TransIDDate,0),0),1))</f>
        <v>42205.000300925924</v>
      </c>
      <c r="N67" s="61">
        <f t="array" aca="1" ref="N67" ca="1">IF(ISBLANK($C67)=TRUE,0,SMALL(IF(TransAsset=$C67,IF(TransIDDate&gt;$L67,TransIDDate,(Assets!$I$2+1)),(Assets!$I$2+1)),1))</f>
        <v>44256</v>
      </c>
      <c r="O67" s="61">
        <f t="shared" ca="1" si="22"/>
        <v>45716</v>
      </c>
      <c r="P67" s="61">
        <f ca="1">IF(OR($N67&lt;Assets!$H$2,$O67&lt;Assets!$H$2,$L67&gt;(Assets!$I$2+1)),0,IF($B67="DIS",IF($L67&lt;Assets!$H$2,0,IF($L67&lt;(Assets!$I$2+1),DATE(YEAR($L67),MONTH($L67),0),Assets!$H$2)),IF($L67&lt;Assets!$H$2,Assets!$H$2,DATE(YEAR($L67),MONTH($L67),1))))</f>
        <v>43891</v>
      </c>
      <c r="Q67" s="61">
        <f ca="1">IF($P67=0,0,IF($B67="DIS",IF($L67&gt;(Assets!$I$2+1),MIN(Assets!$I$2,$O67),MIN($L67,$O67)),IF($N67&lt;(Assets!$I$2+1),MIN(IF(DATE(YEAR($N67),MONTH($N67),0)&lt;$P67,$P67,DATE(YEAR($N67),MONTH($N67),0)),$O67),MIN(Assets!$I$2,$O67))))</f>
        <v>44255</v>
      </c>
      <c r="R67" s="60">
        <f t="shared" ca="1" si="23"/>
        <v>12</v>
      </c>
      <c r="S67" s="60">
        <f t="shared" si="24"/>
        <v>5000</v>
      </c>
      <c r="T67" s="60" cm="1">
        <f t="array" ref="T67">IF(ISBLANK($B67)=FALSE,SUMIFS(TransAmount,TransAsset,$C67,TransType,"ACQ"),0)</f>
        <v>15000</v>
      </c>
      <c r="U67" s="60">
        <f t="shared" si="25"/>
        <v>5</v>
      </c>
      <c r="V67" s="60">
        <f t="shared" si="26"/>
        <v>0</v>
      </c>
      <c r="W67" s="28">
        <f t="shared" ca="1" si="27"/>
        <v>15000</v>
      </c>
      <c r="X67" s="28">
        <f t="shared" ca="1" si="28"/>
        <v>0</v>
      </c>
      <c r="Y67" s="28">
        <f t="shared" ca="1" si="29"/>
        <v>5</v>
      </c>
      <c r="Z67" s="28">
        <f t="shared" ca="1" si="30"/>
        <v>14000</v>
      </c>
      <c r="AA67" s="28">
        <f t="shared" ca="1" si="31"/>
        <v>1000</v>
      </c>
      <c r="AB67" s="28" cm="1">
        <f t="array" aca="1" ref="AB67" ca="1">IF(SUMIFS(TransTDCost,TransAsset,$C67,TransDate,"&lt;="&amp;$L67)&gt;($T67-$X67),($T67-$X67),SUMIFS(TransTDCost,TransAsset,$C67,TransDate,"&lt;="&amp;$L67))</f>
        <v>14000</v>
      </c>
      <c r="AC67" s="28">
        <f t="shared" ca="1" si="32"/>
        <v>0</v>
      </c>
      <c r="AD67" s="28">
        <f t="array" aca="1" ref="AD67" ca="1">IF($L67=LARGE(IF(TransAsset=$C67,IF(TransIDDate&lt;Assets!$H$2,TransIDDate,0),0),1),IF($B67="DIS",$AC67,SUMIFS(TransCAccDep,TransAsset,$C67,TransDate,"&lt;="&amp;$L67)+IF($U67=0,0,MIN(($S67-$V67)/($U67*12)*(((YEAR(Assets!$H$2)*12)+MONTH(Assets!$H$2)-1)-((YEAR($L67)*12)+MONTH($L67)-1)),$S67-$V67))),0)-$AO67</f>
        <v>0</v>
      </c>
      <c r="AE67" s="28">
        <f t="shared" ca="1" si="33"/>
        <v>0</v>
      </c>
      <c r="AF67" s="28">
        <f t="shared" ca="1" si="34"/>
        <v>4000</v>
      </c>
      <c r="AG67" s="28">
        <f t="shared" ca="1" si="35"/>
        <v>4000</v>
      </c>
      <c r="AH67" s="28">
        <f t="shared" ca="1" si="36"/>
        <v>0</v>
      </c>
      <c r="AI67" s="28" cm="1">
        <f t="array" aca="1" ref="AI67" ca="1">IF($B67="REV",IF($S67-$AA67+$AE67&gt;0,IF(SUMIFS(TransImpair,TransAsset,$C67,TransDate,"&lt;"&amp;$M67)&gt;0,IF(SUMIFS(TransImpair,TransAsset,$C67,TransDate,"&lt;"&amp;$M67)&gt;$S67-$AA67+$AE67,-($S67-$AA67+$AE67),-SUMIFS(TransImpair,TransAsset,$C67,TransDate,"&lt;"&amp;$M67)),0),-($S67-$AA67+$AE67)),0)</f>
        <v>0</v>
      </c>
      <c r="AJ67" s="28">
        <f t="shared" si="37"/>
        <v>0</v>
      </c>
      <c r="AK67" s="28">
        <f t="shared" ca="1" si="38"/>
        <v>1000</v>
      </c>
      <c r="AL67" s="28">
        <f t="shared" ca="1" si="39"/>
        <v>1000</v>
      </c>
      <c r="AM67" s="28" cm="1">
        <f t="array" aca="1" ref="AM67" ca="1">IF($AN67&gt;($T67-$V67),($T67-$V67)-SUMIFS(TransPCAccDep,TransAsset,$C67,TransDate,"&lt;="&amp;$L67),$AL67)</f>
        <v>1000</v>
      </c>
      <c r="AN67" s="28" cm="1">
        <f t="array" aca="1" ref="AN67" ca="1">IF($AL67=0,0,SUMIFS(TransCCYDep2,TransAsset,$C67,TransDate,"&lt;="&amp;$L67)+SUMIFS(TransPCAccDep,TransAsset,$C67,TransDate,"&lt;="&amp;$L67))</f>
        <v>15000</v>
      </c>
      <c r="AO67" s="28">
        <f t="array" aca="1" ref="AO67" ca="1">IF($L67=LARGE(IF(TransAsset=$C67,IF(TransIDDate&lt;Assets!$H$2,TransIDDate,0),0),1),IF($B67="DIS",0,MIN(SUMIFS(TransTDCost,TransAsset,$C67,TransDate,"&lt;="&amp;$L67)+IF($U67=0,0,MIN(($S67-$V67)/($U67*12)*(((YEAR(Assets!$H$2)*12)+MONTH(Assets!$H$2)-1)-((YEAR($L67)*12)+MONTH($L67)-1)),$S67-$V67)),SUMIFS(TransTDCost,TransAsset,$C67,TransDate,"&lt;="&amp;$L67)+IF($U67=0,0,MIN(($T67-$V67)/($U67*12)*(((YEAR(Assets!$H$2)*12)+MONTH(Assets!$H$2)-1)-((YEAR($L67)*12)+MONTH($L67)-1)),$T67-$V67)),$T67-$V67)),0)</f>
        <v>0</v>
      </c>
      <c r="AP67" s="28">
        <f t="shared" ca="1" si="40"/>
        <v>14000</v>
      </c>
      <c r="AQ67" s="60">
        <f ca="1">IF(SUMPRODUCT((TransAsset=$C67)*(TransType="DIS")*(TransIDDate&lt;(Assets!$I$2+1))*(1))&gt;0,0,IF(AND($AR67=0,DATE(YEAR($L67),MONTH($L67),1)&lt;&gt;DATE(YEAR(Assets!$J$2),MONTH(Assets!$J$2),1)),0,IF(DATE(YEAR($Q67),MONTH($Q67),1)&lt;&gt;DATE(YEAR(Assets!$I$2),MONTH(Assets!$I$2),1),0,IF($AR67=$S67-$V67,0,IF($U67=0,0,MIN(($S67-$V67)/($U67*12),($S67-$V67)-$AR67))))))</f>
        <v>83.333333333333329</v>
      </c>
      <c r="AR67" s="60">
        <f t="array" aca="1" ref="AR67" ca="1">IF($L67=LARGE(IF(TransAsset=$C67,IF(TransIDDate&lt;Assets!$J$2,TransIDDate,0),0),1),IF($B67="DIS",0,MIN(IF($U67=0,0,(($S67-$V67)/($U67*12)*(((YEAR(Assets!$J$2)*12)+MONTH(Assets!$J$2)-1)-((YEAR($L67)*12)+MONTH($L67)-1)))),($S67-$V67))),0)</f>
        <v>916.66666666666663</v>
      </c>
      <c r="AS67" s="60">
        <f t="shared" si="41"/>
        <v>83.333333333333329</v>
      </c>
      <c r="AT67" s="28" cm="1">
        <f t="array" aca="1" ref="AT67" ca="1">IF(SUMPRODUCT((TransAsset=$C67)*(TransType="DIS")*(TransIDDate&lt;(Assets!$I$2+1))*(1))&gt;0,0,IF(AND($AU67=0,DATE(YEAR($L67),MONTH($L67),1)&lt;&gt;DATE(YEAR(Assets!$J$2),MONTH(Assets!$J$2),1)),0,IF(DATE(YEAR($Q67),MONTH($Q67),1)&lt;&gt;DATE(YEAR(Assets!$I$2),MONTH(Assets!$I$2),1),0,IF(SUMIFS(TransPMAccDep,TransAsset,$C67)&gt;=($T67-$V67),($T67-$V67)-SUMIFS(TransPMAccDep,TransAsset,$C67),IF($U67=0,0,IF($S67&lt;$T67,MIN(($S67-$V67)/($U67*12),($T67-$V67)-$AU67),MIN(($T67-$V67)/($U67*12),($T67-$V67)-$AU67)))))))</f>
        <v>83.333333333333329</v>
      </c>
      <c r="AU67" s="28">
        <f t="array" aca="1" ref="AU67" ca="1">IF($L67=LARGE(IF(TransAsset=$C67,IF(TransIDDate&lt;Assets!$J$2,TransIDDate,0),0),1),IF($B67="DIS",0,MIN(SUMIFS(TransTDCost,TransAsset,$C67,TransDate,"&lt;="&amp;$L67)+IF($U67=0,0,MIN(($S67-$V67)/($U67*12)*(((YEAR(Assets!$J$2)*12)+MONTH(Assets!$J$2)-1)-((YEAR($L67)*12)+MONTH($L67)-1)),$S67-$V67)),SUMIFS(TransTDCost,TransAsset,$C67,TransDate,"&lt;="&amp;$L67)+IF($U67=0,0,MIN(($T67-$V67)/($U67*12)*(((YEAR(Assets!$J$2)*12)+MONTH(Assets!$J$2)-1)-((YEAR($L67)*12)+MONTH($L67)-1)),$T67-$V67)),$T67-$V67)),0)</f>
        <v>14916.666666666666</v>
      </c>
    </row>
    <row r="68" spans="1:47" ht="16" customHeight="1" x14ac:dyDescent="0.25">
      <c r="A68" s="33">
        <v>43891</v>
      </c>
      <c r="B68" s="4" t="s">
        <v>360</v>
      </c>
      <c r="C68" s="8" t="s">
        <v>295</v>
      </c>
      <c r="D68" s="3" t="s">
        <v>361</v>
      </c>
      <c r="E68" s="3" t="s">
        <v>168</v>
      </c>
      <c r="F68" s="28">
        <v>3000</v>
      </c>
      <c r="G68" s="28">
        <v>5</v>
      </c>
      <c r="H68" s="28">
        <v>0</v>
      </c>
      <c r="I68" s="28">
        <v>0</v>
      </c>
      <c r="J68" s="59" t="str" cm="1">
        <f t="array" aca="1" ref="J68" ca="1">IF(ISNA(VLOOKUP($C68,AssetCode,1,0))=TRUE,"E3",IF(OR(ISBLANK($B68)=TRUE,SUMPRODUCT((TransAsset=$C68)*(TransIDDate&lt;$L68)*(TransType="DIS")*(1))&gt;0),"E4",IF(SUMPRODUCT((TransAsset=$C68)*(TransType="ACQ")*(1))&gt;1,"E5",IF(OR($F68&lt;0,AND(TransType="DIS",$F68&lt;&gt;0)=TRUE),"E6",IF(OR(AND($G68&lt;0,TransType&lt;&gt;"DIS")=TRUE,AND(TransType="DIS",$G68&lt;&gt;0)=TRUE),"E7",IF(OR($H68&lt;0,AND(TransType="DIS",$H68&lt;&gt;0)=TRUE,$H68&gt;$F68),"E8",IF($I68&lt;0,"E9","-")))))))</f>
        <v>-</v>
      </c>
      <c r="K68" s="60" t="str">
        <f>IF(ISNA(VLOOKUP($C68,AssetAll,COLUMN(Assets!$E$4),0))=TRUE,"add!",VLOOKUP($C68,AssetAll,COLUMN(Assets!$E$4),0))</f>
        <v>EQP01</v>
      </c>
      <c r="L68" s="61">
        <f t="shared" ca="1" si="21"/>
        <v>43891.000787037039</v>
      </c>
      <c r="M68" s="61">
        <f t="array" aca="1" ref="M68" ca="1">IF(ISBLANK($C68)=TRUE,0,LARGE(IF(TransAsset=$C68,IF(TransIDDate&lt;$L68,TransIDDate,0),0),1))</f>
        <v>42205.0003125</v>
      </c>
      <c r="N68" s="61">
        <f t="array" aca="1" ref="N68" ca="1">IF(ISBLANK($C68)=TRUE,0,SMALL(IF(TransAsset=$C68,IF(TransIDDate&gt;$L68,TransIDDate,(Assets!$I$2+1)),(Assets!$I$2+1)),1))</f>
        <v>44256</v>
      </c>
      <c r="O68" s="61">
        <f t="shared" ca="1" si="22"/>
        <v>45716</v>
      </c>
      <c r="P68" s="61">
        <f ca="1">IF(OR($N68&lt;Assets!$H$2,$O68&lt;Assets!$H$2,$L68&gt;(Assets!$I$2+1)),0,IF($B68="DIS",IF($L68&lt;Assets!$H$2,0,IF($L68&lt;(Assets!$I$2+1),DATE(YEAR($L68),MONTH($L68),0),Assets!$H$2)),IF($L68&lt;Assets!$H$2,Assets!$H$2,DATE(YEAR($L68),MONTH($L68),1))))</f>
        <v>43891</v>
      </c>
      <c r="Q68" s="61">
        <f ca="1">IF($P68=0,0,IF($B68="DIS",IF($L68&gt;(Assets!$I$2+1),MIN(Assets!$I$2,$O68),MIN($L68,$O68)),IF($N68&lt;(Assets!$I$2+1),MIN(IF(DATE(YEAR($N68),MONTH($N68),0)&lt;$P68,$P68,DATE(YEAR($N68),MONTH($N68),0)),$O68),MIN(Assets!$I$2,$O68))))</f>
        <v>44255</v>
      </c>
      <c r="R68" s="60">
        <f t="shared" ca="1" si="23"/>
        <v>12</v>
      </c>
      <c r="S68" s="60">
        <f t="shared" si="24"/>
        <v>3000</v>
      </c>
      <c r="T68" s="60" cm="1">
        <f t="array" ref="T68">IF(ISBLANK($B68)=FALSE,SUMIFS(TransAmount,TransAsset,$C68,TransType,"ACQ"),0)</f>
        <v>1500</v>
      </c>
      <c r="U68" s="60">
        <f t="shared" si="25"/>
        <v>5</v>
      </c>
      <c r="V68" s="60">
        <f t="shared" si="26"/>
        <v>0</v>
      </c>
      <c r="W68" s="28">
        <f t="shared" ca="1" si="27"/>
        <v>1500</v>
      </c>
      <c r="X68" s="28">
        <f t="shared" ca="1" si="28"/>
        <v>0</v>
      </c>
      <c r="Y68" s="28">
        <f t="shared" ca="1" si="29"/>
        <v>5</v>
      </c>
      <c r="Z68" s="28">
        <f t="shared" ca="1" si="30"/>
        <v>1400</v>
      </c>
      <c r="AA68" s="28">
        <f t="shared" ca="1" si="31"/>
        <v>100</v>
      </c>
      <c r="AB68" s="28" cm="1">
        <f t="array" aca="1" ref="AB68" ca="1">IF(SUMIFS(TransTDCost,TransAsset,$C68,TransDate,"&lt;="&amp;$L68)&gt;($T68-$X68),($T68-$X68),SUMIFS(TransTDCost,TransAsset,$C68,TransDate,"&lt;="&amp;$L68))</f>
        <v>1400</v>
      </c>
      <c r="AC68" s="28">
        <f t="shared" ca="1" si="32"/>
        <v>0</v>
      </c>
      <c r="AD68" s="28">
        <f t="array" aca="1" ref="AD68" ca="1">IF($L68=LARGE(IF(TransAsset=$C68,IF(TransIDDate&lt;Assets!$H$2,TransIDDate,0),0),1),IF($B68="DIS",$AC68,SUMIFS(TransCAccDep,TransAsset,$C68,TransDate,"&lt;="&amp;$L68)+IF($U68=0,0,MIN(($S68-$V68)/($U68*12)*(((YEAR(Assets!$H$2)*12)+MONTH(Assets!$H$2)-1)-((YEAR($L68)*12)+MONTH($L68)-1)),$S68-$V68))),0)-$AO68</f>
        <v>0</v>
      </c>
      <c r="AE68" s="28">
        <f t="shared" ca="1" si="33"/>
        <v>0</v>
      </c>
      <c r="AF68" s="28">
        <f t="shared" ca="1" si="34"/>
        <v>2900</v>
      </c>
      <c r="AG68" s="28">
        <f t="shared" ca="1" si="35"/>
        <v>2900</v>
      </c>
      <c r="AH68" s="28">
        <f t="shared" ca="1" si="36"/>
        <v>0</v>
      </c>
      <c r="AI68" s="28" cm="1">
        <f t="array" aca="1" ref="AI68" ca="1">IF($B68="REV",IF($S68-$AA68+$AE68&gt;0,IF(SUMIFS(TransImpair,TransAsset,$C68,TransDate,"&lt;"&amp;$M68)&gt;0,IF(SUMIFS(TransImpair,TransAsset,$C68,TransDate,"&lt;"&amp;$M68)&gt;$S68-$AA68+$AE68,-($S68-$AA68+$AE68),-SUMIFS(TransImpair,TransAsset,$C68,TransDate,"&lt;"&amp;$M68)),0),-($S68-$AA68+$AE68)),0)</f>
        <v>0</v>
      </c>
      <c r="AJ68" s="28">
        <f t="shared" si="37"/>
        <v>0</v>
      </c>
      <c r="AK68" s="28">
        <f t="shared" ca="1" si="38"/>
        <v>600</v>
      </c>
      <c r="AL68" s="28">
        <f t="shared" ca="1" si="39"/>
        <v>300</v>
      </c>
      <c r="AM68" s="28" cm="1">
        <f t="array" aca="1" ref="AM68" ca="1">IF($AN68&gt;($T68-$V68),($T68-$V68)-SUMIFS(TransPCAccDep,TransAsset,$C68,TransDate,"&lt;="&amp;$L68),$AL68)</f>
        <v>100</v>
      </c>
      <c r="AN68" s="28" cm="1">
        <f t="array" aca="1" ref="AN68" ca="1">IF($AL68=0,0,SUMIFS(TransCCYDep2,TransAsset,$C68,TransDate,"&lt;="&amp;$L68)+SUMIFS(TransPCAccDep,TransAsset,$C68,TransDate,"&lt;="&amp;$L68))</f>
        <v>1700</v>
      </c>
      <c r="AO68" s="28">
        <f t="array" aca="1" ref="AO68" ca="1">IF($L68=LARGE(IF(TransAsset=$C68,IF(TransIDDate&lt;Assets!$H$2,TransIDDate,0),0),1),IF($B68="DIS",0,MIN(SUMIFS(TransTDCost,TransAsset,$C68,TransDate,"&lt;="&amp;$L68)+IF($U68=0,0,MIN(($S68-$V68)/($U68*12)*(((YEAR(Assets!$H$2)*12)+MONTH(Assets!$H$2)-1)-((YEAR($L68)*12)+MONTH($L68)-1)),$S68-$V68)),SUMIFS(TransTDCost,TransAsset,$C68,TransDate,"&lt;="&amp;$L68)+IF($U68=0,0,MIN(($T68-$V68)/($U68*12)*(((YEAR(Assets!$H$2)*12)+MONTH(Assets!$H$2)-1)-((YEAR($L68)*12)+MONTH($L68)-1)),$T68-$V68)),$T68-$V68)),0)</f>
        <v>0</v>
      </c>
      <c r="AP68" s="28">
        <f t="shared" ca="1" si="40"/>
        <v>1400</v>
      </c>
      <c r="AQ68" s="60">
        <f ca="1">IF(SUMPRODUCT((TransAsset=$C68)*(TransType="DIS")*(TransIDDate&lt;(Assets!$I$2+1))*(1))&gt;0,0,IF(AND($AR68=0,DATE(YEAR($L68),MONTH($L68),1)&lt;&gt;DATE(YEAR(Assets!$J$2),MONTH(Assets!$J$2),1)),0,IF(DATE(YEAR($Q68),MONTH($Q68),1)&lt;&gt;DATE(YEAR(Assets!$I$2),MONTH(Assets!$I$2),1),0,IF($AR68=$S68-$V68,0,IF($U68=0,0,MIN(($S68-$V68)/($U68*12),($S68-$V68)-$AR68))))))</f>
        <v>50</v>
      </c>
      <c r="AR68" s="60">
        <f t="array" aca="1" ref="AR68" ca="1">IF($L68=LARGE(IF(TransAsset=$C68,IF(TransIDDate&lt;Assets!$J$2,TransIDDate,0),0),1),IF($B68="DIS",0,MIN(IF($U68=0,0,(($S68-$V68)/($U68*12)*(((YEAR(Assets!$J$2)*12)+MONTH(Assets!$J$2)-1)-((YEAR($L68)*12)+MONTH($L68)-1)))),($S68-$V68))),0)</f>
        <v>550</v>
      </c>
      <c r="AS68" s="60">
        <f t="shared" si="41"/>
        <v>25</v>
      </c>
      <c r="AT68" s="28" cm="1">
        <f t="array" aca="1" ref="AT68" ca="1">IF(SUMPRODUCT((TransAsset=$C68)*(TransType="DIS")*(TransIDDate&lt;(Assets!$I$2+1))*(1))&gt;0,0,IF(AND($AU68=0,DATE(YEAR($L68),MONTH($L68),1)&lt;&gt;DATE(YEAR(Assets!$J$2),MONTH(Assets!$J$2),1)),0,IF(DATE(YEAR($Q68),MONTH($Q68),1)&lt;&gt;DATE(YEAR(Assets!$I$2),MONTH(Assets!$I$2),1),0,IF(SUMIFS(TransPMAccDep,TransAsset,$C68)&gt;=($T68-$V68),($T68-$V68)-SUMIFS(TransPMAccDep,TransAsset,$C68),IF($U68=0,0,IF($S68&lt;$T68,MIN(($S68-$V68)/($U68*12),($T68-$V68)-$AU68),MIN(($T68-$V68)/($U68*12),($T68-$V68)-$AU68)))))))</f>
        <v>0</v>
      </c>
      <c r="AU68" s="28">
        <f t="array" aca="1" ref="AU68" ca="1">IF($L68=LARGE(IF(TransAsset=$C68,IF(TransIDDate&lt;Assets!$J$2,TransIDDate,0),0),1),IF($B68="DIS",0,MIN(SUMIFS(TransTDCost,TransAsset,$C68,TransDate,"&lt;="&amp;$L68)+IF($U68=0,0,MIN(($S68-$V68)/($U68*12)*(((YEAR(Assets!$J$2)*12)+MONTH(Assets!$J$2)-1)-((YEAR($L68)*12)+MONTH($L68)-1)),$S68-$V68)),SUMIFS(TransTDCost,TransAsset,$C68,TransDate,"&lt;="&amp;$L68)+IF($U68=0,0,MIN(($T68-$V68)/($U68*12)*(((YEAR(Assets!$J$2)*12)+MONTH(Assets!$J$2)-1)-((YEAR($L68)*12)+MONTH($L68)-1)),$T68-$V68)),$T68-$V68)),0)</f>
        <v>1500</v>
      </c>
    </row>
    <row r="69" spans="1:47" ht="16" customHeight="1" x14ac:dyDescent="0.25">
      <c r="A69" s="33">
        <v>43891</v>
      </c>
      <c r="B69" s="4" t="s">
        <v>360</v>
      </c>
      <c r="C69" s="8" t="s">
        <v>296</v>
      </c>
      <c r="D69" s="3" t="s">
        <v>361</v>
      </c>
      <c r="E69" s="3" t="s">
        <v>168</v>
      </c>
      <c r="F69" s="28">
        <v>14500</v>
      </c>
      <c r="G69" s="28">
        <v>5</v>
      </c>
      <c r="H69" s="28">
        <v>0</v>
      </c>
      <c r="I69" s="28">
        <v>0</v>
      </c>
      <c r="J69" s="59" t="str" cm="1">
        <f t="array" aca="1" ref="J69" ca="1">IF(ISNA(VLOOKUP($C69,AssetCode,1,0))=TRUE,"E3",IF(OR(ISBLANK($B69)=TRUE,SUMPRODUCT((TransAsset=$C69)*(TransIDDate&lt;$L69)*(TransType="DIS")*(1))&gt;0),"E4",IF(SUMPRODUCT((TransAsset=$C69)*(TransType="ACQ")*(1))&gt;1,"E5",IF(OR($F69&lt;0,AND(TransType="DIS",$F69&lt;&gt;0)=TRUE),"E6",IF(OR(AND($G69&lt;0,TransType&lt;&gt;"DIS")=TRUE,AND(TransType="DIS",$G69&lt;&gt;0)=TRUE),"E7",IF(OR($H69&lt;0,AND(TransType="DIS",$H69&lt;&gt;0)=TRUE,$H69&gt;$F69),"E8",IF($I69&lt;0,"E9","-")))))))</f>
        <v>-</v>
      </c>
      <c r="K69" s="60" t="str">
        <f>IF(ISNA(VLOOKUP($C69,AssetAll,COLUMN(Assets!$E$4),0))=TRUE,"add!",VLOOKUP($C69,AssetAll,COLUMN(Assets!$E$4),0))</f>
        <v>EQP01</v>
      </c>
      <c r="L69" s="61">
        <f t="shared" ref="L69:L82" ca="1" si="42">IF(OR(ISBLANK($A69)=TRUE,ISNUMBER($A69)=FALSE),TODAY()+(ROW($A69)/86400),$A69+(ROW($A69)/86400))</f>
        <v>43891.000798611109</v>
      </c>
      <c r="M69" s="61">
        <f t="array" aca="1" ref="M69" ca="1">IF(ISBLANK($C69)=TRUE,0,LARGE(IF(TransAsset=$C69,IF(TransIDDate&lt;$L69,TransIDDate,0),0),1))</f>
        <v>42205.000324074077</v>
      </c>
      <c r="N69" s="61">
        <f t="array" aca="1" ref="N69" ca="1">IF(ISBLANK($C69)=TRUE,0,SMALL(IF(TransAsset=$C69,IF(TransIDDate&gt;$L69,TransIDDate,(Assets!$I$2+1)),(Assets!$I$2+1)),1))</f>
        <v>44256</v>
      </c>
      <c r="O69" s="61">
        <f t="shared" ref="O69:O82" ca="1" si="43">DATE(YEAR($L69),MONTH($L69)+(U69*12),0)</f>
        <v>45716</v>
      </c>
      <c r="P69" s="61">
        <f ca="1">IF(OR($N69&lt;Assets!$H$2,$O69&lt;Assets!$H$2,$L69&gt;(Assets!$I$2+1)),0,IF($B69="DIS",IF($L69&lt;Assets!$H$2,0,IF($L69&lt;(Assets!$I$2+1),DATE(YEAR($L69),MONTH($L69),0),Assets!$H$2)),IF($L69&lt;Assets!$H$2,Assets!$H$2,DATE(YEAR($L69),MONTH($L69),1))))</f>
        <v>43891</v>
      </c>
      <c r="Q69" s="61">
        <f ca="1">IF($P69=0,0,IF($B69="DIS",IF($L69&gt;(Assets!$I$2+1),MIN(Assets!$I$2,$O69),MIN($L69,$O69)),IF($N69&lt;(Assets!$I$2+1),MIN(IF(DATE(YEAR($N69),MONTH($N69),0)&lt;$P69,$P69,DATE(YEAR($N69),MONTH($N69),0)),$O69),MIN(Assets!$I$2,$O69))))</f>
        <v>44255</v>
      </c>
      <c r="R69" s="60">
        <f t="shared" ref="R69:R82" ca="1" si="44">IF($P69=0,0,IF($Q69=$P69,0,((YEAR($Q69)*12)+MONTH($Q69))-((YEAR($P69)*12)+MONTH($P69)-1)))</f>
        <v>12</v>
      </c>
      <c r="S69" s="60">
        <f t="shared" ref="S69:S82" si="45">IF(ISBLANK($B69)=FALSE,IF(ISNUMBER($F69)=TRUE,$F69,0),0)</f>
        <v>14500</v>
      </c>
      <c r="T69" s="60" cm="1">
        <f t="array" ref="T69">IF(ISBLANK($B69)=FALSE,SUMIFS(TransAmount,TransAsset,$C69,TransType,"ACQ"),0)</f>
        <v>42200</v>
      </c>
      <c r="U69" s="60">
        <f t="shared" ref="U69:U82" si="46">IF(ISBLANK($B69)=FALSE,IF(ISNUMBER($G69)=TRUE,$G69,0),0)</f>
        <v>5</v>
      </c>
      <c r="V69" s="60">
        <f t="shared" ref="V69:V82" si="47">IF(ISBLANK($B69)=FALSE,IF(ISNUMBER($H69)=TRUE,$H69,0),0)</f>
        <v>0</v>
      </c>
      <c r="W69" s="28">
        <f t="shared" ref="W69:W82" ca="1" si="48">IF($M69=0,0,OFFSET($L$4,MATCH($M69,TransIDDate,0),COLUMN($S$4)-COLUMN($L$4),1,1))</f>
        <v>42200</v>
      </c>
      <c r="X69" s="28">
        <f t="shared" ref="X69:X82" ca="1" si="49">IF($M69=0,0,OFFSET($L$4,MATCH($M69,TransIDDate,0),COLUMN($V$4)-COLUMN($L$4),1,1))</f>
        <v>0</v>
      </c>
      <c r="Y69" s="28">
        <f t="shared" ref="Y69:Y82" ca="1" si="50">IF($M69=0,0,OFFSET($L$4,MATCH($M69,TransIDDate,0),COLUMN($U$4)-COLUMN($L$4),1,1))</f>
        <v>5</v>
      </c>
      <c r="Z69" s="28">
        <f t="shared" ref="Z69:Z82" ca="1" si="51">IF($M69=0,0,IF($Y69=0,0,IF(($W69-$X69)/($Y69*12)*(((YEAR($A69)*12)+MONTH($A69))-((YEAR($M69)*12)+MONTH($M69)))&gt;($W69-$X69),$W69-$X69,($W69-$X69)/($Y69*12)*(((YEAR($A69)*12)+MONTH($A69))-((YEAR($M69)*12)+MONTH($M69))))))</f>
        <v>39386.666666666672</v>
      </c>
      <c r="AA69" s="28">
        <f t="shared" ref="AA69:AA82" ca="1" si="52">W69-Z69</f>
        <v>2813.3333333333285</v>
      </c>
      <c r="AB69" s="28" cm="1">
        <f t="array" aca="1" ref="AB69" ca="1">IF(SUMIFS(TransTDCost,TransAsset,$C69,TransDate,"&lt;="&amp;$L69)&gt;($T69-$X69),($T69-$X69),SUMIFS(TransTDCost,TransAsset,$C69,TransDate,"&lt;="&amp;$L69))</f>
        <v>39386.666666666672</v>
      </c>
      <c r="AC69" s="28">
        <f t="shared" ref="AC69:AC82" ca="1" si="53">SUMIFS(TransCAccDep,TransAsset,$C69,TransDate,"&lt;="&amp;$L69)-AB69</f>
        <v>0</v>
      </c>
      <c r="AD69" s="28">
        <f t="array" aca="1" ref="AD69" ca="1">IF($L69=LARGE(IF(TransAsset=$C69,IF(TransIDDate&lt;Assets!$H$2,TransIDDate,0),0),1),IF($B69="DIS",$AC69,SUMIFS(TransCAccDep,TransAsset,$C69,TransDate,"&lt;="&amp;$L69)+IF($U69=0,0,MIN(($S69-$V69)/($U69*12)*(((YEAR(Assets!$H$2)*12)+MONTH(Assets!$H$2)-1)-((YEAR($L69)*12)+MONTH($L69)-1)),$S69-$V69))),0)-$AO69</f>
        <v>0</v>
      </c>
      <c r="AE69" s="28">
        <f t="shared" ref="AE69:AE82" ca="1" si="54">SUMIFS(TransRSurplus,TransAsset,$C69,TransDate,"&lt;"&amp;$M69)-AC69</f>
        <v>0</v>
      </c>
      <c r="AF69" s="28">
        <f t="shared" ref="AF69:AF82" ca="1" si="55">IF($B69="REV",IF($S69&gt;=$AA69,IF($AH69&gt;0,IF($S69-$AA69-$AH69&lt;0,0,$S69-$AA69-$AH69),$S69-$AA69),IF($S69-$AA69+$AE69&lt;0,-$AE69,$F69-$AA69)),-$AE69)</f>
        <v>11686.666666666672</v>
      </c>
      <c r="AG69" s="28">
        <f t="shared" ref="AG69:AG82" ca="1" si="56">SUM(AE69:AF69)</f>
        <v>11686.666666666672</v>
      </c>
      <c r="AH69" s="28">
        <f t="shared" ref="AH69:AH82" ca="1" si="57">SUMIFS(TransImpair,TransAsset,$C69,TransDate,"&lt;"&amp;$M69)</f>
        <v>0</v>
      </c>
      <c r="AI69" s="28" cm="1">
        <f t="array" aca="1" ref="AI69" ca="1">IF($B69="REV",IF($S69-$AA69+$AE69&gt;0,IF(SUMIFS(TransImpair,TransAsset,$C69,TransDate,"&lt;"&amp;$M69)&gt;0,IF(SUMIFS(TransImpair,TransAsset,$C69,TransDate,"&lt;"&amp;$M69)&gt;$S69-$AA69+$AE69,-($S69-$AA69+$AE69),-SUMIFS(TransImpair,TransAsset,$C69,TransDate,"&lt;"&amp;$M69)),0),-($S69-$AA69+$AE69)),0)</f>
        <v>0</v>
      </c>
      <c r="AJ69" s="28">
        <f t="shared" ref="AJ69:AJ82" si="58">IF($B69="DIS",IF(ISNUMBER($I69)=FALSE,-($W69-$Z69)+$AE69,$I69-($W69-$Z69)+$AE69),0)</f>
        <v>0</v>
      </c>
      <c r="AK69" s="28">
        <f t="shared" ref="AK69:AK82" ca="1" si="59">IF($B69="DIS",IF($Y69=0,0,($W69-$X69)/($Y69*12)*$R69),IF($U69=0,0,($S69-$V69)/($U69*12)*$R69))</f>
        <v>2900</v>
      </c>
      <c r="AL69" s="28">
        <f t="shared" ref="AL69:AL82" ca="1" si="60">IF($B69="DIS",IF($W69&lt;$T69,IF($Y69=0,0,($W69-$X69)/($Y69*12)*$R69),IF($Y69=0,0,($T69-$X69)/($Y69*12)*$R69)),IF($S69&lt;$T69,IF($U69=0,0,($S69-$V69)/($U69*12)*$R69),IF($U69=0,0,($T69-$V69)/($U69*12)*$R69)))</f>
        <v>2900</v>
      </c>
      <c r="AM69" s="28" cm="1">
        <f t="array" aca="1" ref="AM69" ca="1">IF($AN69&gt;($T69-$V69),($T69-$V69)-SUMIFS(TransPCAccDep,TransAsset,$C69,TransDate,"&lt;="&amp;$L69),$AL69)</f>
        <v>2813.3333333333285</v>
      </c>
      <c r="AN69" s="28" cm="1">
        <f t="array" aca="1" ref="AN69" ca="1">IF($AL69=0,0,SUMIFS(TransCCYDep2,TransAsset,$C69,TransDate,"&lt;="&amp;$L69)+SUMIFS(TransPCAccDep,TransAsset,$C69,TransDate,"&lt;="&amp;$L69))</f>
        <v>42286.666666666672</v>
      </c>
      <c r="AO69" s="28">
        <f t="array" aca="1" ref="AO69" ca="1">IF($L69=LARGE(IF(TransAsset=$C69,IF(TransIDDate&lt;Assets!$H$2,TransIDDate,0),0),1),IF($B69="DIS",0,MIN(SUMIFS(TransTDCost,TransAsset,$C69,TransDate,"&lt;="&amp;$L69)+IF($U69=0,0,MIN(($S69-$V69)/($U69*12)*(((YEAR(Assets!$H$2)*12)+MONTH(Assets!$H$2)-1)-((YEAR($L69)*12)+MONTH($L69)-1)),$S69-$V69)),SUMIFS(TransTDCost,TransAsset,$C69,TransDate,"&lt;="&amp;$L69)+IF($U69=0,0,MIN(($T69-$V69)/($U69*12)*(((YEAR(Assets!$H$2)*12)+MONTH(Assets!$H$2)-1)-((YEAR($L69)*12)+MONTH($L69)-1)),$T69-$V69)),$T69-$V69)),0)</f>
        <v>0</v>
      </c>
      <c r="AP69" s="28">
        <f t="shared" ref="AP69:AP82" ca="1" si="61">IF($M69=0,0,IF($W69&lt;$T69,IF($Y69=0,0,IF(($W69-$X69)/($Y69*12)*(((YEAR($A69)*12)+MONTH($A69))-((YEAR($M69)*12)+MONTH($M69)))&gt;($W69-$X69),$W69-$X69,($W69-$X69)/($Y69*12)*(((YEAR($A69)*12)+MONTH($A69))-((YEAR($M69)*12)+MONTH($M69))))),IF($Y69=0,0,IF(($T69-$X69)/($Y69*12)*(((YEAR($A69)*12)+MONTH($A69))-((YEAR($M69)*12)+MONTH($M69)))&gt;($T69-$X69),$T69-$X69,($T69-$X69)/($Y69*12)*(((YEAR($A69)*12)+MONTH($A69))-((YEAR($M69)*12)+MONTH($M69)))))))</f>
        <v>39386.666666666672</v>
      </c>
      <c r="AQ69" s="60">
        <f ca="1">IF(SUMPRODUCT((TransAsset=$C69)*(TransType="DIS")*(TransIDDate&lt;(Assets!$I$2+1))*(1))&gt;0,0,IF(AND($AR69=0,DATE(YEAR($L69),MONTH($L69),1)&lt;&gt;DATE(YEAR(Assets!$J$2),MONTH(Assets!$J$2),1)),0,IF(DATE(YEAR($Q69),MONTH($Q69),1)&lt;&gt;DATE(YEAR(Assets!$I$2),MONTH(Assets!$I$2),1),0,IF($AR69=$S69-$V69,0,IF($U69=0,0,MIN(($S69-$V69)/($U69*12),($S69-$V69)-$AR69))))))</f>
        <v>241.66666666666666</v>
      </c>
      <c r="AR69" s="60">
        <f t="array" aca="1" ref="AR69" ca="1">IF($L69=LARGE(IF(TransAsset=$C69,IF(TransIDDate&lt;Assets!$J$2,TransIDDate,0),0),1),IF($B69="DIS",0,MIN(IF($U69=0,0,(($S69-$V69)/($U69*12)*(((YEAR(Assets!$J$2)*12)+MONTH(Assets!$J$2)-1)-((YEAR($L69)*12)+MONTH($L69)-1)))),($S69-$V69))),0)</f>
        <v>2658.333333333333</v>
      </c>
      <c r="AS69" s="60">
        <f t="shared" ref="AS69:AS82" si="62">IF($B69="DIS",IF($W69&lt;$T69,IF($Y69=0,0,($W69-$X69)/($Y69*12)),IF($Y69=0,0,($T69-$X69)/($Y69*12))),IF($S69&lt;$T69,IF($U69=0,0,($S69-$V69)/($U69*12)),IF($U69=0,0,($T69-$V69)/($U69*12))))</f>
        <v>241.66666666666666</v>
      </c>
      <c r="AT69" s="28" cm="1">
        <f t="array" aca="1" ref="AT69" ca="1">IF(SUMPRODUCT((TransAsset=$C69)*(TransType="DIS")*(TransIDDate&lt;(Assets!$I$2+1))*(1))&gt;0,0,IF(AND($AU69=0,DATE(YEAR($L69),MONTH($L69),1)&lt;&gt;DATE(YEAR(Assets!$J$2),MONTH(Assets!$J$2),1)),0,IF(DATE(YEAR($Q69),MONTH($Q69),1)&lt;&gt;DATE(YEAR(Assets!$I$2),MONTH(Assets!$I$2),1),0,IF(SUMIFS(TransPMAccDep,TransAsset,$C69)&gt;=($T69-$V69),($T69-$V69)-SUMIFS(TransPMAccDep,TransAsset,$C69),IF($U69=0,0,IF($S69&lt;$T69,MIN(($S69-$V69)/($U69*12),($T69-$V69)-$AU69),MIN(($T69-$V69)/($U69*12),($T69-$V69)-$AU69)))))))</f>
        <v>154.99999999999272</v>
      </c>
      <c r="AU69" s="28">
        <f t="array" aca="1" ref="AU69" ca="1">IF($L69=LARGE(IF(TransAsset=$C69,IF(TransIDDate&lt;Assets!$J$2,TransIDDate,0),0),1),IF($B69="DIS",0,MIN(SUMIFS(TransTDCost,TransAsset,$C69,TransDate,"&lt;="&amp;$L69)+IF($U69=0,0,MIN(($S69-$V69)/($U69*12)*(((YEAR(Assets!$J$2)*12)+MONTH(Assets!$J$2)-1)-((YEAR($L69)*12)+MONTH($L69)-1)),$S69-$V69)),SUMIFS(TransTDCost,TransAsset,$C69,TransDate,"&lt;="&amp;$L69)+IF($U69=0,0,MIN(($T69-$V69)/($U69*12)*(((YEAR(Assets!$J$2)*12)+MONTH(Assets!$J$2)-1)-((YEAR($L69)*12)+MONTH($L69)-1)),$T69-$V69)),$T69-$V69)),0)</f>
        <v>42045.000000000007</v>
      </c>
    </row>
    <row r="70" spans="1:47" ht="16" customHeight="1" x14ac:dyDescent="0.25">
      <c r="A70" s="33">
        <v>43891</v>
      </c>
      <c r="B70" s="4" t="s">
        <v>360</v>
      </c>
      <c r="C70" s="8" t="s">
        <v>297</v>
      </c>
      <c r="D70" s="3" t="s">
        <v>361</v>
      </c>
      <c r="E70" s="3" t="s">
        <v>168</v>
      </c>
      <c r="F70" s="28">
        <v>10455</v>
      </c>
      <c r="G70" s="28">
        <v>5</v>
      </c>
      <c r="H70" s="28">
        <v>0</v>
      </c>
      <c r="I70" s="28">
        <v>0</v>
      </c>
      <c r="J70" s="59" t="str" cm="1">
        <f t="array" aca="1" ref="J70" ca="1">IF(ISNA(VLOOKUP($C70,AssetCode,1,0))=TRUE,"E3",IF(OR(ISBLANK($B70)=TRUE,SUMPRODUCT((TransAsset=$C70)*(TransIDDate&lt;$L70)*(TransType="DIS")*(1))&gt;0),"E4",IF(SUMPRODUCT((TransAsset=$C70)*(TransType="ACQ")*(1))&gt;1,"E5",IF(OR($F70&lt;0,AND(TransType="DIS",$F70&lt;&gt;0)=TRUE),"E6",IF(OR(AND($G70&lt;0,TransType&lt;&gt;"DIS")=TRUE,AND(TransType="DIS",$G70&lt;&gt;0)=TRUE),"E7",IF(OR($H70&lt;0,AND(TransType="DIS",$H70&lt;&gt;0)=TRUE,$H70&gt;$F70),"E8",IF($I70&lt;0,"E9","-")))))))</f>
        <v>-</v>
      </c>
      <c r="K70" s="60" t="str">
        <f>IF(ISNA(VLOOKUP($C70,AssetAll,COLUMN(Assets!$E$4),0))=TRUE,"add!",VLOOKUP($C70,AssetAll,COLUMN(Assets!$E$4),0))</f>
        <v>EQP01</v>
      </c>
      <c r="L70" s="61">
        <f t="shared" ca="1" si="42"/>
        <v>43891.000810185185</v>
      </c>
      <c r="M70" s="61">
        <f t="array" aca="1" ref="M70" ca="1">IF(ISBLANK($C70)=TRUE,0,LARGE(IF(TransAsset=$C70,IF(TransIDDate&lt;$L70,TransIDDate,0),0),1))</f>
        <v>42205.000335648147</v>
      </c>
      <c r="N70" s="61">
        <f t="array" aca="1" ref="N70" ca="1">IF(ISBLANK($C70)=TRUE,0,SMALL(IF(TransAsset=$C70,IF(TransIDDate&gt;$L70,TransIDDate,(Assets!$I$2+1)),(Assets!$I$2+1)),1))</f>
        <v>44256</v>
      </c>
      <c r="O70" s="61">
        <f t="shared" ca="1" si="43"/>
        <v>45716</v>
      </c>
      <c r="P70" s="61">
        <f ca="1">IF(OR($N70&lt;Assets!$H$2,$O70&lt;Assets!$H$2,$L70&gt;(Assets!$I$2+1)),0,IF($B70="DIS",IF($L70&lt;Assets!$H$2,0,IF($L70&lt;(Assets!$I$2+1),DATE(YEAR($L70),MONTH($L70),0),Assets!$H$2)),IF($L70&lt;Assets!$H$2,Assets!$H$2,DATE(YEAR($L70),MONTH($L70),1))))</f>
        <v>43891</v>
      </c>
      <c r="Q70" s="61">
        <f ca="1">IF($P70=0,0,IF($B70="DIS",IF($L70&gt;(Assets!$I$2+1),MIN(Assets!$I$2,$O70),MIN($L70,$O70)),IF($N70&lt;(Assets!$I$2+1),MIN(IF(DATE(YEAR($N70),MONTH($N70),0)&lt;$P70,$P70,DATE(YEAR($N70),MONTH($N70),0)),$O70),MIN(Assets!$I$2,$O70))))</f>
        <v>44255</v>
      </c>
      <c r="R70" s="60">
        <f t="shared" ca="1" si="44"/>
        <v>12</v>
      </c>
      <c r="S70" s="60">
        <f t="shared" si="45"/>
        <v>10455</v>
      </c>
      <c r="T70" s="60" cm="1">
        <f t="array" ref="T70">IF(ISBLANK($B70)=FALSE,SUMIFS(TransAmount,TransAsset,$C70,TransType,"ACQ"),0)</f>
        <v>36900</v>
      </c>
      <c r="U70" s="60">
        <f t="shared" si="46"/>
        <v>5</v>
      </c>
      <c r="V70" s="60">
        <f t="shared" si="47"/>
        <v>0</v>
      </c>
      <c r="W70" s="28">
        <f t="shared" ca="1" si="48"/>
        <v>36900</v>
      </c>
      <c r="X70" s="28">
        <f t="shared" ca="1" si="49"/>
        <v>0</v>
      </c>
      <c r="Y70" s="28">
        <f t="shared" ca="1" si="50"/>
        <v>5</v>
      </c>
      <c r="Z70" s="28">
        <f t="shared" ca="1" si="51"/>
        <v>34440</v>
      </c>
      <c r="AA70" s="28">
        <f t="shared" ca="1" si="52"/>
        <v>2460</v>
      </c>
      <c r="AB70" s="28" cm="1">
        <f t="array" aca="1" ref="AB70" ca="1">IF(SUMIFS(TransTDCost,TransAsset,$C70,TransDate,"&lt;="&amp;$L70)&gt;($T70-$X70),($T70-$X70),SUMIFS(TransTDCost,TransAsset,$C70,TransDate,"&lt;="&amp;$L70))</f>
        <v>34440</v>
      </c>
      <c r="AC70" s="28">
        <f t="shared" ca="1" si="53"/>
        <v>0</v>
      </c>
      <c r="AD70" s="28">
        <f t="array" aca="1" ref="AD70" ca="1">IF($L70=LARGE(IF(TransAsset=$C70,IF(TransIDDate&lt;Assets!$H$2,TransIDDate,0),0),1),IF($B70="DIS",$AC70,SUMIFS(TransCAccDep,TransAsset,$C70,TransDate,"&lt;="&amp;$L70)+IF($U70=0,0,MIN(($S70-$V70)/($U70*12)*(((YEAR(Assets!$H$2)*12)+MONTH(Assets!$H$2)-1)-((YEAR($L70)*12)+MONTH($L70)-1)),$S70-$V70))),0)-$AO70</f>
        <v>0</v>
      </c>
      <c r="AE70" s="28">
        <f t="shared" ca="1" si="54"/>
        <v>0</v>
      </c>
      <c r="AF70" s="28">
        <f t="shared" ca="1" si="55"/>
        <v>7995</v>
      </c>
      <c r="AG70" s="28">
        <f t="shared" ca="1" si="56"/>
        <v>7995</v>
      </c>
      <c r="AH70" s="28">
        <f t="shared" ca="1" si="57"/>
        <v>0</v>
      </c>
      <c r="AI70" s="28" cm="1">
        <f t="array" aca="1" ref="AI70" ca="1">IF($B70="REV",IF($S70-$AA70+$AE70&gt;0,IF(SUMIFS(TransImpair,TransAsset,$C70,TransDate,"&lt;"&amp;$M70)&gt;0,IF(SUMIFS(TransImpair,TransAsset,$C70,TransDate,"&lt;"&amp;$M70)&gt;$S70-$AA70+$AE70,-($S70-$AA70+$AE70),-SUMIFS(TransImpair,TransAsset,$C70,TransDate,"&lt;"&amp;$M70)),0),-($S70-$AA70+$AE70)),0)</f>
        <v>0</v>
      </c>
      <c r="AJ70" s="28">
        <f t="shared" si="58"/>
        <v>0</v>
      </c>
      <c r="AK70" s="28">
        <f t="shared" ca="1" si="59"/>
        <v>2091</v>
      </c>
      <c r="AL70" s="28">
        <f t="shared" ca="1" si="60"/>
        <v>2091</v>
      </c>
      <c r="AM70" s="28" cm="1">
        <f t="array" aca="1" ref="AM70" ca="1">IF($AN70&gt;($T70-$V70),($T70-$V70)-SUMIFS(TransPCAccDep,TransAsset,$C70,TransDate,"&lt;="&amp;$L70),$AL70)</f>
        <v>2091</v>
      </c>
      <c r="AN70" s="28" cm="1">
        <f t="array" aca="1" ref="AN70" ca="1">IF($AL70=0,0,SUMIFS(TransCCYDep2,TransAsset,$C70,TransDate,"&lt;="&amp;$L70)+SUMIFS(TransPCAccDep,TransAsset,$C70,TransDate,"&lt;="&amp;$L70))</f>
        <v>36531</v>
      </c>
      <c r="AO70" s="28">
        <f t="array" aca="1" ref="AO70" ca="1">IF($L70=LARGE(IF(TransAsset=$C70,IF(TransIDDate&lt;Assets!$H$2,TransIDDate,0),0),1),IF($B70="DIS",0,MIN(SUMIFS(TransTDCost,TransAsset,$C70,TransDate,"&lt;="&amp;$L70)+IF($U70=0,0,MIN(($S70-$V70)/($U70*12)*(((YEAR(Assets!$H$2)*12)+MONTH(Assets!$H$2)-1)-((YEAR($L70)*12)+MONTH($L70)-1)),$S70-$V70)),SUMIFS(TransTDCost,TransAsset,$C70,TransDate,"&lt;="&amp;$L70)+IF($U70=0,0,MIN(($T70-$V70)/($U70*12)*(((YEAR(Assets!$H$2)*12)+MONTH(Assets!$H$2)-1)-((YEAR($L70)*12)+MONTH($L70)-1)),$T70-$V70)),$T70-$V70)),0)</f>
        <v>0</v>
      </c>
      <c r="AP70" s="28">
        <f t="shared" ca="1" si="61"/>
        <v>34440</v>
      </c>
      <c r="AQ70" s="60">
        <f ca="1">IF(SUMPRODUCT((TransAsset=$C70)*(TransType="DIS")*(TransIDDate&lt;(Assets!$I$2+1))*(1))&gt;0,0,IF(AND($AR70=0,DATE(YEAR($L70),MONTH($L70),1)&lt;&gt;DATE(YEAR(Assets!$J$2),MONTH(Assets!$J$2),1)),0,IF(DATE(YEAR($Q70),MONTH($Q70),1)&lt;&gt;DATE(YEAR(Assets!$I$2),MONTH(Assets!$I$2),1),0,IF($AR70=$S70-$V70,0,IF($U70=0,0,MIN(($S70-$V70)/($U70*12),($S70-$V70)-$AR70))))))</f>
        <v>174.25</v>
      </c>
      <c r="AR70" s="60">
        <f t="array" aca="1" ref="AR70" ca="1">IF($L70=LARGE(IF(TransAsset=$C70,IF(TransIDDate&lt;Assets!$J$2,TransIDDate,0),0),1),IF($B70="DIS",0,MIN(IF($U70=0,0,(($S70-$V70)/($U70*12)*(((YEAR(Assets!$J$2)*12)+MONTH(Assets!$J$2)-1)-((YEAR($L70)*12)+MONTH($L70)-1)))),($S70-$V70))),0)</f>
        <v>1916.75</v>
      </c>
      <c r="AS70" s="60">
        <f t="shared" si="62"/>
        <v>174.25</v>
      </c>
      <c r="AT70" s="28" cm="1">
        <f t="array" aca="1" ref="AT70" ca="1">IF(SUMPRODUCT((TransAsset=$C70)*(TransType="DIS")*(TransIDDate&lt;(Assets!$I$2+1))*(1))&gt;0,0,IF(AND($AU70=0,DATE(YEAR($L70),MONTH($L70),1)&lt;&gt;DATE(YEAR(Assets!$J$2),MONTH(Assets!$J$2),1)),0,IF(DATE(YEAR($Q70),MONTH($Q70),1)&lt;&gt;DATE(YEAR(Assets!$I$2),MONTH(Assets!$I$2),1),0,IF(SUMIFS(TransPMAccDep,TransAsset,$C70)&gt;=($T70-$V70),($T70-$V70)-SUMIFS(TransPMAccDep,TransAsset,$C70),IF($U70=0,0,IF($S70&lt;$T70,MIN(($S70-$V70)/($U70*12),($T70-$V70)-$AU70),MIN(($T70-$V70)/($U70*12),($T70-$V70)-$AU70)))))))</f>
        <v>174.25</v>
      </c>
      <c r="AU70" s="28">
        <f t="array" aca="1" ref="AU70" ca="1">IF($L70=LARGE(IF(TransAsset=$C70,IF(TransIDDate&lt;Assets!$J$2,TransIDDate,0),0),1),IF($B70="DIS",0,MIN(SUMIFS(TransTDCost,TransAsset,$C70,TransDate,"&lt;="&amp;$L70)+IF($U70=0,0,MIN(($S70-$V70)/($U70*12)*(((YEAR(Assets!$J$2)*12)+MONTH(Assets!$J$2)-1)-((YEAR($L70)*12)+MONTH($L70)-1)),$S70-$V70)),SUMIFS(TransTDCost,TransAsset,$C70,TransDate,"&lt;="&amp;$L70)+IF($U70=0,0,MIN(($T70-$V70)/($U70*12)*(((YEAR(Assets!$J$2)*12)+MONTH(Assets!$J$2)-1)-((YEAR($L70)*12)+MONTH($L70)-1)),$T70-$V70)),$T70-$V70)),0)</f>
        <v>36356.75</v>
      </c>
    </row>
    <row r="71" spans="1:47" ht="16" customHeight="1" x14ac:dyDescent="0.25">
      <c r="A71" s="33">
        <v>43891</v>
      </c>
      <c r="B71" s="4" t="s">
        <v>360</v>
      </c>
      <c r="C71" s="8" t="s">
        <v>298</v>
      </c>
      <c r="D71" s="3" t="s">
        <v>361</v>
      </c>
      <c r="E71" s="3" t="s">
        <v>168</v>
      </c>
      <c r="F71" s="28">
        <v>15000</v>
      </c>
      <c r="G71" s="28">
        <v>5</v>
      </c>
      <c r="H71" s="28">
        <v>0</v>
      </c>
      <c r="I71" s="28">
        <v>0</v>
      </c>
      <c r="J71" s="59" t="str" cm="1">
        <f t="array" aca="1" ref="J71" ca="1">IF(ISNA(VLOOKUP($C71,AssetCode,1,0))=TRUE,"E3",IF(OR(ISBLANK($B71)=TRUE,SUMPRODUCT((TransAsset=$C71)*(TransIDDate&lt;$L71)*(TransType="DIS")*(1))&gt;0),"E4",IF(SUMPRODUCT((TransAsset=$C71)*(TransType="ACQ")*(1))&gt;1,"E5",IF(OR($F71&lt;0,AND(TransType="DIS",$F71&lt;&gt;0)=TRUE),"E6",IF(OR(AND($G71&lt;0,TransType&lt;&gt;"DIS")=TRUE,AND(TransType="DIS",$G71&lt;&gt;0)=TRUE),"E7",IF(OR($H71&lt;0,AND(TransType="DIS",$H71&lt;&gt;0)=TRUE,$H71&gt;$F71),"E8",IF($I71&lt;0,"E9","-")))))))</f>
        <v>-</v>
      </c>
      <c r="K71" s="60" t="str">
        <f>IF(ISNA(VLOOKUP($C71,AssetAll,COLUMN(Assets!$E$4),0))=TRUE,"add!",VLOOKUP($C71,AssetAll,COLUMN(Assets!$E$4),0))</f>
        <v>EQP01</v>
      </c>
      <c r="L71" s="61">
        <f t="shared" ca="1" si="42"/>
        <v>43891.000821759262</v>
      </c>
      <c r="M71" s="61">
        <f t="array" aca="1" ref="M71" ca="1">IF(ISBLANK($C71)=TRUE,0,LARGE(IF(TransAsset=$C71,IF(TransIDDate&lt;$L71,TransIDDate,0),0),1))</f>
        <v>42205.000347222223</v>
      </c>
      <c r="N71" s="61">
        <f t="array" aca="1" ref="N71" ca="1">IF(ISBLANK($C71)=TRUE,0,SMALL(IF(TransAsset=$C71,IF(TransIDDate&gt;$L71,TransIDDate,(Assets!$I$2+1)),(Assets!$I$2+1)),1))</f>
        <v>44256</v>
      </c>
      <c r="O71" s="61">
        <f t="shared" ca="1" si="43"/>
        <v>45716</v>
      </c>
      <c r="P71" s="61">
        <f ca="1">IF(OR($N71&lt;Assets!$H$2,$O71&lt;Assets!$H$2,$L71&gt;(Assets!$I$2+1)),0,IF($B71="DIS",IF($L71&lt;Assets!$H$2,0,IF($L71&lt;(Assets!$I$2+1),DATE(YEAR($L71),MONTH($L71),0),Assets!$H$2)),IF($L71&lt;Assets!$H$2,Assets!$H$2,DATE(YEAR($L71),MONTH($L71),1))))</f>
        <v>43891</v>
      </c>
      <c r="Q71" s="61">
        <f ca="1">IF($P71=0,0,IF($B71="DIS",IF($L71&gt;(Assets!$I$2+1),MIN(Assets!$I$2,$O71),MIN($L71,$O71)),IF($N71&lt;(Assets!$I$2+1),MIN(IF(DATE(YEAR($N71),MONTH($N71),0)&lt;$P71,$P71,DATE(YEAR($N71),MONTH($N71),0)),$O71),MIN(Assets!$I$2,$O71))))</f>
        <v>44255</v>
      </c>
      <c r="R71" s="60">
        <f t="shared" ca="1" si="44"/>
        <v>12</v>
      </c>
      <c r="S71" s="60">
        <f t="shared" si="45"/>
        <v>15000</v>
      </c>
      <c r="T71" s="60" cm="1">
        <f t="array" ref="T71">IF(ISBLANK($B71)=FALSE,SUMIFS(TransAmount,TransAsset,$C71,TransType,"ACQ"),0)</f>
        <v>49950</v>
      </c>
      <c r="U71" s="60">
        <f t="shared" si="46"/>
        <v>5</v>
      </c>
      <c r="V71" s="60">
        <f t="shared" si="47"/>
        <v>0</v>
      </c>
      <c r="W71" s="28">
        <f t="shared" ca="1" si="48"/>
        <v>49950</v>
      </c>
      <c r="X71" s="28">
        <f t="shared" ca="1" si="49"/>
        <v>0</v>
      </c>
      <c r="Y71" s="28">
        <f t="shared" ca="1" si="50"/>
        <v>5</v>
      </c>
      <c r="Z71" s="28">
        <f t="shared" ca="1" si="51"/>
        <v>46620</v>
      </c>
      <c r="AA71" s="28">
        <f t="shared" ca="1" si="52"/>
        <v>3330</v>
      </c>
      <c r="AB71" s="28" cm="1">
        <f t="array" aca="1" ref="AB71" ca="1">IF(SUMIFS(TransTDCost,TransAsset,$C71,TransDate,"&lt;="&amp;$L71)&gt;($T71-$X71),($T71-$X71),SUMIFS(TransTDCost,TransAsset,$C71,TransDate,"&lt;="&amp;$L71))</f>
        <v>46620</v>
      </c>
      <c r="AC71" s="28">
        <f t="shared" ca="1" si="53"/>
        <v>0</v>
      </c>
      <c r="AD71" s="28">
        <f t="array" aca="1" ref="AD71" ca="1">IF($L71=LARGE(IF(TransAsset=$C71,IF(TransIDDate&lt;Assets!$H$2,TransIDDate,0),0),1),IF($B71="DIS",$AC71,SUMIFS(TransCAccDep,TransAsset,$C71,TransDate,"&lt;="&amp;$L71)+IF($U71=0,0,MIN(($S71-$V71)/($U71*12)*(((YEAR(Assets!$H$2)*12)+MONTH(Assets!$H$2)-1)-((YEAR($L71)*12)+MONTH($L71)-1)),$S71-$V71))),0)-$AO71</f>
        <v>0</v>
      </c>
      <c r="AE71" s="28">
        <f t="shared" ca="1" si="54"/>
        <v>0</v>
      </c>
      <c r="AF71" s="28">
        <f t="shared" ca="1" si="55"/>
        <v>11670</v>
      </c>
      <c r="AG71" s="28">
        <f t="shared" ca="1" si="56"/>
        <v>11670</v>
      </c>
      <c r="AH71" s="28">
        <f t="shared" ca="1" si="57"/>
        <v>0</v>
      </c>
      <c r="AI71" s="28" cm="1">
        <f t="array" aca="1" ref="AI71" ca="1">IF($B71="REV",IF($S71-$AA71+$AE71&gt;0,IF(SUMIFS(TransImpair,TransAsset,$C71,TransDate,"&lt;"&amp;$M71)&gt;0,IF(SUMIFS(TransImpair,TransAsset,$C71,TransDate,"&lt;"&amp;$M71)&gt;$S71-$AA71+$AE71,-($S71-$AA71+$AE71),-SUMIFS(TransImpair,TransAsset,$C71,TransDate,"&lt;"&amp;$M71)),0),-($S71-$AA71+$AE71)),0)</f>
        <v>0</v>
      </c>
      <c r="AJ71" s="28">
        <f t="shared" si="58"/>
        <v>0</v>
      </c>
      <c r="AK71" s="28">
        <f t="shared" ca="1" si="59"/>
        <v>3000</v>
      </c>
      <c r="AL71" s="28">
        <f t="shared" ca="1" si="60"/>
        <v>3000</v>
      </c>
      <c r="AM71" s="28" cm="1">
        <f t="array" aca="1" ref="AM71" ca="1">IF($AN71&gt;($T71-$V71),($T71-$V71)-SUMIFS(TransPCAccDep,TransAsset,$C71,TransDate,"&lt;="&amp;$L71),$AL71)</f>
        <v>3000</v>
      </c>
      <c r="AN71" s="28" cm="1">
        <f t="array" aca="1" ref="AN71" ca="1">IF($AL71=0,0,SUMIFS(TransCCYDep2,TransAsset,$C71,TransDate,"&lt;="&amp;$L71)+SUMIFS(TransPCAccDep,TransAsset,$C71,TransDate,"&lt;="&amp;$L71))</f>
        <v>49620</v>
      </c>
      <c r="AO71" s="28">
        <f t="array" aca="1" ref="AO71" ca="1">IF($L71=LARGE(IF(TransAsset=$C71,IF(TransIDDate&lt;Assets!$H$2,TransIDDate,0),0),1),IF($B71="DIS",0,MIN(SUMIFS(TransTDCost,TransAsset,$C71,TransDate,"&lt;="&amp;$L71)+IF($U71=0,0,MIN(($S71-$V71)/($U71*12)*(((YEAR(Assets!$H$2)*12)+MONTH(Assets!$H$2)-1)-((YEAR($L71)*12)+MONTH($L71)-1)),$S71-$V71)),SUMIFS(TransTDCost,TransAsset,$C71,TransDate,"&lt;="&amp;$L71)+IF($U71=0,0,MIN(($T71-$V71)/($U71*12)*(((YEAR(Assets!$H$2)*12)+MONTH(Assets!$H$2)-1)-((YEAR($L71)*12)+MONTH($L71)-1)),$T71-$V71)),$T71-$V71)),0)</f>
        <v>0</v>
      </c>
      <c r="AP71" s="28">
        <f t="shared" ca="1" si="61"/>
        <v>46620</v>
      </c>
      <c r="AQ71" s="60">
        <f ca="1">IF(SUMPRODUCT((TransAsset=$C71)*(TransType="DIS")*(TransIDDate&lt;(Assets!$I$2+1))*(1))&gt;0,0,IF(AND($AR71=0,DATE(YEAR($L71),MONTH($L71),1)&lt;&gt;DATE(YEAR(Assets!$J$2),MONTH(Assets!$J$2),1)),0,IF(DATE(YEAR($Q71),MONTH($Q71),1)&lt;&gt;DATE(YEAR(Assets!$I$2),MONTH(Assets!$I$2),1),0,IF($AR71=$S71-$V71,0,IF($U71=0,0,MIN(($S71-$V71)/($U71*12),($S71-$V71)-$AR71))))))</f>
        <v>250</v>
      </c>
      <c r="AR71" s="60">
        <f t="array" aca="1" ref="AR71" ca="1">IF($L71=LARGE(IF(TransAsset=$C71,IF(TransIDDate&lt;Assets!$J$2,TransIDDate,0),0),1),IF($B71="DIS",0,MIN(IF($U71=0,0,(($S71-$V71)/($U71*12)*(((YEAR(Assets!$J$2)*12)+MONTH(Assets!$J$2)-1)-((YEAR($L71)*12)+MONTH($L71)-1)))),($S71-$V71))),0)</f>
        <v>2750</v>
      </c>
      <c r="AS71" s="60">
        <f t="shared" si="62"/>
        <v>250</v>
      </c>
      <c r="AT71" s="28" cm="1">
        <f t="array" aca="1" ref="AT71" ca="1">IF(SUMPRODUCT((TransAsset=$C71)*(TransType="DIS")*(TransIDDate&lt;(Assets!$I$2+1))*(1))&gt;0,0,IF(AND($AU71=0,DATE(YEAR($L71),MONTH($L71),1)&lt;&gt;DATE(YEAR(Assets!$J$2),MONTH(Assets!$J$2),1)),0,IF(DATE(YEAR($Q71),MONTH($Q71),1)&lt;&gt;DATE(YEAR(Assets!$I$2),MONTH(Assets!$I$2),1),0,IF(SUMIFS(TransPMAccDep,TransAsset,$C71)&gt;=($T71-$V71),($T71-$V71)-SUMIFS(TransPMAccDep,TransAsset,$C71),IF($U71=0,0,IF($S71&lt;$T71,MIN(($S71-$V71)/($U71*12),($T71-$V71)-$AU71),MIN(($T71-$V71)/($U71*12),($T71-$V71)-$AU71)))))))</f>
        <v>250</v>
      </c>
      <c r="AU71" s="28">
        <f t="array" aca="1" ref="AU71" ca="1">IF($L71=LARGE(IF(TransAsset=$C71,IF(TransIDDate&lt;Assets!$J$2,TransIDDate,0),0),1),IF($B71="DIS",0,MIN(SUMIFS(TransTDCost,TransAsset,$C71,TransDate,"&lt;="&amp;$L71)+IF($U71=0,0,MIN(($S71-$V71)/($U71*12)*(((YEAR(Assets!$J$2)*12)+MONTH(Assets!$J$2)-1)-((YEAR($L71)*12)+MONTH($L71)-1)),$S71-$V71)),SUMIFS(TransTDCost,TransAsset,$C71,TransDate,"&lt;="&amp;$L71)+IF($U71=0,0,MIN(($T71-$V71)/($U71*12)*(((YEAR(Assets!$J$2)*12)+MONTH(Assets!$J$2)-1)-((YEAR($L71)*12)+MONTH($L71)-1)),$T71-$V71)),$T71-$V71)),0)</f>
        <v>49370</v>
      </c>
    </row>
    <row r="72" spans="1:47" ht="16" customHeight="1" x14ac:dyDescent="0.25">
      <c r="A72" s="33">
        <v>43891</v>
      </c>
      <c r="B72" s="4" t="s">
        <v>360</v>
      </c>
      <c r="C72" s="8" t="s">
        <v>299</v>
      </c>
      <c r="D72" s="3" t="s">
        <v>361</v>
      </c>
      <c r="E72" s="3" t="s">
        <v>168</v>
      </c>
      <c r="F72" s="28">
        <v>32500</v>
      </c>
      <c r="G72" s="28">
        <v>5</v>
      </c>
      <c r="H72" s="28">
        <v>0</v>
      </c>
      <c r="I72" s="28">
        <v>0</v>
      </c>
      <c r="J72" s="59" t="str" cm="1">
        <f t="array" aca="1" ref="J72" ca="1">IF(ISNA(VLOOKUP($C72,AssetCode,1,0))=TRUE,"E3",IF(OR(ISBLANK($B72)=TRUE,SUMPRODUCT((TransAsset=$C72)*(TransIDDate&lt;$L72)*(TransType="DIS")*(1))&gt;0),"E4",IF(SUMPRODUCT((TransAsset=$C72)*(TransType="ACQ")*(1))&gt;1,"E5",IF(OR($F72&lt;0,AND(TransType="DIS",$F72&lt;&gt;0)=TRUE),"E6",IF(OR(AND($G72&lt;0,TransType&lt;&gt;"DIS")=TRUE,AND(TransType="DIS",$G72&lt;&gt;0)=TRUE),"E7",IF(OR($H72&lt;0,AND(TransType="DIS",$H72&lt;&gt;0)=TRUE,$H72&gt;$F72),"E8",IF($I72&lt;0,"E9","-")))))))</f>
        <v>-</v>
      </c>
      <c r="K72" s="60" t="str">
        <f>IF(ISNA(VLOOKUP($C72,AssetAll,COLUMN(Assets!$E$4),0))=TRUE,"add!",VLOOKUP($C72,AssetAll,COLUMN(Assets!$E$4),0))</f>
        <v>EQP01</v>
      </c>
      <c r="L72" s="61">
        <f t="shared" ca="1" si="42"/>
        <v>43891.000833333332</v>
      </c>
      <c r="M72" s="61">
        <f t="array" aca="1" ref="M72" ca="1">IF(ISBLANK($C72)=TRUE,0,LARGE(IF(TransAsset=$C72,IF(TransIDDate&lt;$L72,TransIDDate,0),0),1))</f>
        <v>42205.000358796293</v>
      </c>
      <c r="N72" s="61">
        <f t="array" aca="1" ref="N72" ca="1">IF(ISBLANK($C72)=TRUE,0,SMALL(IF(TransAsset=$C72,IF(TransIDDate&gt;$L72,TransIDDate,(Assets!$I$2+1)),(Assets!$I$2+1)),1))</f>
        <v>44256</v>
      </c>
      <c r="O72" s="61">
        <f t="shared" ca="1" si="43"/>
        <v>45716</v>
      </c>
      <c r="P72" s="61">
        <f ca="1">IF(OR($N72&lt;Assets!$H$2,$O72&lt;Assets!$H$2,$L72&gt;(Assets!$I$2+1)),0,IF($B72="DIS",IF($L72&lt;Assets!$H$2,0,IF($L72&lt;(Assets!$I$2+1),DATE(YEAR($L72),MONTH($L72),0),Assets!$H$2)),IF($L72&lt;Assets!$H$2,Assets!$H$2,DATE(YEAR($L72),MONTH($L72),1))))</f>
        <v>43891</v>
      </c>
      <c r="Q72" s="61">
        <f ca="1">IF($P72=0,0,IF($B72="DIS",IF($L72&gt;(Assets!$I$2+1),MIN(Assets!$I$2,$O72),MIN($L72,$O72)),IF($N72&lt;(Assets!$I$2+1),MIN(IF(DATE(YEAR($N72),MONTH($N72),0)&lt;$P72,$P72,DATE(YEAR($N72),MONTH($N72),0)),$O72),MIN(Assets!$I$2,$O72))))</f>
        <v>44255</v>
      </c>
      <c r="R72" s="60">
        <f t="shared" ca="1" si="44"/>
        <v>12</v>
      </c>
      <c r="S72" s="60">
        <f t="shared" si="45"/>
        <v>32500</v>
      </c>
      <c r="T72" s="60" cm="1">
        <f t="array" ref="T72">IF(ISBLANK($B72)=FALSE,SUMIFS(TransAmount,TransAsset,$C72,TransType,"ACQ"),0)</f>
        <v>113130</v>
      </c>
      <c r="U72" s="60">
        <f t="shared" si="46"/>
        <v>5</v>
      </c>
      <c r="V72" s="60">
        <f t="shared" si="47"/>
        <v>0</v>
      </c>
      <c r="W72" s="28">
        <f t="shared" ca="1" si="48"/>
        <v>113130</v>
      </c>
      <c r="X72" s="28">
        <f t="shared" ca="1" si="49"/>
        <v>0</v>
      </c>
      <c r="Y72" s="28">
        <f t="shared" ca="1" si="50"/>
        <v>5</v>
      </c>
      <c r="Z72" s="28">
        <f t="shared" ca="1" si="51"/>
        <v>105588</v>
      </c>
      <c r="AA72" s="28">
        <f t="shared" ca="1" si="52"/>
        <v>7542</v>
      </c>
      <c r="AB72" s="28" cm="1">
        <f t="array" aca="1" ref="AB72" ca="1">IF(SUMIFS(TransTDCost,TransAsset,$C72,TransDate,"&lt;="&amp;$L72)&gt;($T72-$X72),($T72-$X72),SUMIFS(TransTDCost,TransAsset,$C72,TransDate,"&lt;="&amp;$L72))</f>
        <v>105588</v>
      </c>
      <c r="AC72" s="28">
        <f t="shared" ca="1" si="53"/>
        <v>0</v>
      </c>
      <c r="AD72" s="28">
        <f t="array" aca="1" ref="AD72" ca="1">IF($L72=LARGE(IF(TransAsset=$C72,IF(TransIDDate&lt;Assets!$H$2,TransIDDate,0),0),1),IF($B72="DIS",$AC72,SUMIFS(TransCAccDep,TransAsset,$C72,TransDate,"&lt;="&amp;$L72)+IF($U72=0,0,MIN(($S72-$V72)/($U72*12)*(((YEAR(Assets!$H$2)*12)+MONTH(Assets!$H$2)-1)-((YEAR($L72)*12)+MONTH($L72)-1)),$S72-$V72))),0)-$AO72</f>
        <v>0</v>
      </c>
      <c r="AE72" s="28">
        <f t="shared" ca="1" si="54"/>
        <v>0</v>
      </c>
      <c r="AF72" s="28">
        <f t="shared" ca="1" si="55"/>
        <v>24958</v>
      </c>
      <c r="AG72" s="28">
        <f t="shared" ca="1" si="56"/>
        <v>24958</v>
      </c>
      <c r="AH72" s="28">
        <f t="shared" ca="1" si="57"/>
        <v>0</v>
      </c>
      <c r="AI72" s="28" cm="1">
        <f t="array" aca="1" ref="AI72" ca="1">IF($B72="REV",IF($S72-$AA72+$AE72&gt;0,IF(SUMIFS(TransImpair,TransAsset,$C72,TransDate,"&lt;"&amp;$M72)&gt;0,IF(SUMIFS(TransImpair,TransAsset,$C72,TransDate,"&lt;"&amp;$M72)&gt;$S72-$AA72+$AE72,-($S72-$AA72+$AE72),-SUMIFS(TransImpair,TransAsset,$C72,TransDate,"&lt;"&amp;$M72)),0),-($S72-$AA72+$AE72)),0)</f>
        <v>0</v>
      </c>
      <c r="AJ72" s="28">
        <f t="shared" si="58"/>
        <v>0</v>
      </c>
      <c r="AK72" s="28">
        <f t="shared" ca="1" si="59"/>
        <v>6500</v>
      </c>
      <c r="AL72" s="28">
        <f t="shared" ca="1" si="60"/>
        <v>6500</v>
      </c>
      <c r="AM72" s="28" cm="1">
        <f t="array" aca="1" ref="AM72" ca="1">IF($AN72&gt;($T72-$V72),($T72-$V72)-SUMIFS(TransPCAccDep,TransAsset,$C72,TransDate,"&lt;="&amp;$L72),$AL72)</f>
        <v>6500</v>
      </c>
      <c r="AN72" s="28" cm="1">
        <f t="array" aca="1" ref="AN72" ca="1">IF($AL72=0,0,SUMIFS(TransCCYDep2,TransAsset,$C72,TransDate,"&lt;="&amp;$L72)+SUMIFS(TransPCAccDep,TransAsset,$C72,TransDate,"&lt;="&amp;$L72))</f>
        <v>112088</v>
      </c>
      <c r="AO72" s="28">
        <f t="array" aca="1" ref="AO72" ca="1">IF($L72=LARGE(IF(TransAsset=$C72,IF(TransIDDate&lt;Assets!$H$2,TransIDDate,0),0),1),IF($B72="DIS",0,MIN(SUMIFS(TransTDCost,TransAsset,$C72,TransDate,"&lt;="&amp;$L72)+IF($U72=0,0,MIN(($S72-$V72)/($U72*12)*(((YEAR(Assets!$H$2)*12)+MONTH(Assets!$H$2)-1)-((YEAR($L72)*12)+MONTH($L72)-1)),$S72-$V72)),SUMIFS(TransTDCost,TransAsset,$C72,TransDate,"&lt;="&amp;$L72)+IF($U72=0,0,MIN(($T72-$V72)/($U72*12)*(((YEAR(Assets!$H$2)*12)+MONTH(Assets!$H$2)-1)-((YEAR($L72)*12)+MONTH($L72)-1)),$T72-$V72)),$T72-$V72)),0)</f>
        <v>0</v>
      </c>
      <c r="AP72" s="28">
        <f t="shared" ca="1" si="61"/>
        <v>105588</v>
      </c>
      <c r="AQ72" s="60">
        <f ca="1">IF(SUMPRODUCT((TransAsset=$C72)*(TransType="DIS")*(TransIDDate&lt;(Assets!$I$2+1))*(1))&gt;0,0,IF(AND($AR72=0,DATE(YEAR($L72),MONTH($L72),1)&lt;&gt;DATE(YEAR(Assets!$J$2),MONTH(Assets!$J$2),1)),0,IF(DATE(YEAR($Q72),MONTH($Q72),1)&lt;&gt;DATE(YEAR(Assets!$I$2),MONTH(Assets!$I$2),1),0,IF($AR72=$S72-$V72,0,IF($U72=0,0,MIN(($S72-$V72)/($U72*12),($S72-$V72)-$AR72))))))</f>
        <v>541.66666666666663</v>
      </c>
      <c r="AR72" s="60">
        <f t="array" aca="1" ref="AR72" ca="1">IF($L72=LARGE(IF(TransAsset=$C72,IF(TransIDDate&lt;Assets!$J$2,TransIDDate,0),0),1),IF($B72="DIS",0,MIN(IF($U72=0,0,(($S72-$V72)/($U72*12)*(((YEAR(Assets!$J$2)*12)+MONTH(Assets!$J$2)-1)-((YEAR($L72)*12)+MONTH($L72)-1)))),($S72-$V72))),0)</f>
        <v>5958.333333333333</v>
      </c>
      <c r="AS72" s="60">
        <f t="shared" si="62"/>
        <v>541.66666666666663</v>
      </c>
      <c r="AT72" s="28" cm="1">
        <f t="array" aca="1" ref="AT72" ca="1">IF(SUMPRODUCT((TransAsset=$C72)*(TransType="DIS")*(TransIDDate&lt;(Assets!$I$2+1))*(1))&gt;0,0,IF(AND($AU72=0,DATE(YEAR($L72),MONTH($L72),1)&lt;&gt;DATE(YEAR(Assets!$J$2),MONTH(Assets!$J$2),1)),0,IF(DATE(YEAR($Q72),MONTH($Q72),1)&lt;&gt;DATE(YEAR(Assets!$I$2),MONTH(Assets!$I$2),1),0,IF(SUMIFS(TransPMAccDep,TransAsset,$C72)&gt;=($T72-$V72),($T72-$V72)-SUMIFS(TransPMAccDep,TransAsset,$C72),IF($U72=0,0,IF($S72&lt;$T72,MIN(($S72-$V72)/($U72*12),($T72-$V72)-$AU72),MIN(($T72-$V72)/($U72*12),($T72-$V72)-$AU72)))))))</f>
        <v>541.66666666666663</v>
      </c>
      <c r="AU72" s="28">
        <f t="array" aca="1" ref="AU72" ca="1">IF($L72=LARGE(IF(TransAsset=$C72,IF(TransIDDate&lt;Assets!$J$2,TransIDDate,0),0),1),IF($B72="DIS",0,MIN(SUMIFS(TransTDCost,TransAsset,$C72,TransDate,"&lt;="&amp;$L72)+IF($U72=0,0,MIN(($S72-$V72)/($U72*12)*(((YEAR(Assets!$J$2)*12)+MONTH(Assets!$J$2)-1)-((YEAR($L72)*12)+MONTH($L72)-1)),$S72-$V72)),SUMIFS(TransTDCost,TransAsset,$C72,TransDate,"&lt;="&amp;$L72)+IF($U72=0,0,MIN(($T72-$V72)/($U72*12)*(((YEAR(Assets!$J$2)*12)+MONTH(Assets!$J$2)-1)-((YEAR($L72)*12)+MONTH($L72)-1)),$T72-$V72)),$T72-$V72)),0)</f>
        <v>111546.33333333333</v>
      </c>
    </row>
    <row r="73" spans="1:47" ht="16" customHeight="1" x14ac:dyDescent="0.25">
      <c r="A73" s="33">
        <v>43891</v>
      </c>
      <c r="B73" s="4" t="s">
        <v>360</v>
      </c>
      <c r="C73" s="8" t="s">
        <v>340</v>
      </c>
      <c r="D73" s="3" t="s">
        <v>361</v>
      </c>
      <c r="E73" s="3" t="s">
        <v>168</v>
      </c>
      <c r="F73" s="28">
        <v>7000</v>
      </c>
      <c r="G73" s="28">
        <v>5</v>
      </c>
      <c r="H73" s="28">
        <v>0</v>
      </c>
      <c r="I73" s="28">
        <v>0</v>
      </c>
      <c r="J73" s="59" t="str" cm="1">
        <f t="array" aca="1" ref="J73" ca="1">IF(ISNA(VLOOKUP($C73,AssetCode,1,0))=TRUE,"E3",IF(OR(ISBLANK($B73)=TRUE,SUMPRODUCT((TransAsset=$C73)*(TransIDDate&lt;$L73)*(TransType="DIS")*(1))&gt;0),"E4",IF(SUMPRODUCT((TransAsset=$C73)*(TransType="ACQ")*(1))&gt;1,"E5",IF(OR($F73&lt;0,AND(TransType="DIS",$F73&lt;&gt;0)=TRUE),"E6",IF(OR(AND($G73&lt;0,TransType&lt;&gt;"DIS")=TRUE,AND(TransType="DIS",$G73&lt;&gt;0)=TRUE),"E7",IF(OR($H73&lt;0,AND(TransType="DIS",$H73&lt;&gt;0)=TRUE,$H73&gt;$F73),"E8",IF($I73&lt;0,"E9","-")))))))</f>
        <v>-</v>
      </c>
      <c r="K73" s="60" t="str">
        <f>IF(ISNA(VLOOKUP($C73,AssetAll,COLUMN(Assets!$E$4),0))=TRUE,"add!",VLOOKUP($C73,AssetAll,COLUMN(Assets!$E$4),0))</f>
        <v>EQP01</v>
      </c>
      <c r="L73" s="61">
        <f t="shared" ca="1" si="42"/>
        <v>43891.000844907408</v>
      </c>
      <c r="M73" s="61">
        <f t="array" aca="1" ref="M73" ca="1">IF(ISBLANK($C73)=TRUE,0,LARGE(IF(TransAsset=$C73,IF(TransIDDate&lt;$L73,TransIDDate,0),0),1))</f>
        <v>42655.000393518516</v>
      </c>
      <c r="N73" s="61">
        <f t="array" aca="1" ref="N73" ca="1">IF(ISBLANK($C73)=TRUE,0,SMALL(IF(TransAsset=$C73,IF(TransIDDate&gt;$L73,TransIDDate,(Assets!$I$2+1)),(Assets!$I$2+1)),1))</f>
        <v>44256</v>
      </c>
      <c r="O73" s="61">
        <f t="shared" ca="1" si="43"/>
        <v>45716</v>
      </c>
      <c r="P73" s="61">
        <f ca="1">IF(OR($N73&lt;Assets!$H$2,$O73&lt;Assets!$H$2,$L73&gt;(Assets!$I$2+1)),0,IF($B73="DIS",IF($L73&lt;Assets!$H$2,0,IF($L73&lt;(Assets!$I$2+1),DATE(YEAR($L73),MONTH($L73),0),Assets!$H$2)),IF($L73&lt;Assets!$H$2,Assets!$H$2,DATE(YEAR($L73),MONTH($L73),1))))</f>
        <v>43891</v>
      </c>
      <c r="Q73" s="61">
        <f ca="1">IF($P73=0,0,IF($B73="DIS",IF($L73&gt;(Assets!$I$2+1),MIN(Assets!$I$2,$O73),MIN($L73,$O73)),IF($N73&lt;(Assets!$I$2+1),MIN(IF(DATE(YEAR($N73),MONTH($N73),0)&lt;$P73,$P73,DATE(YEAR($N73),MONTH($N73),0)),$O73),MIN(Assets!$I$2,$O73))))</f>
        <v>44255</v>
      </c>
      <c r="R73" s="60">
        <f t="shared" ca="1" si="44"/>
        <v>12</v>
      </c>
      <c r="S73" s="60">
        <f t="shared" si="45"/>
        <v>7000</v>
      </c>
      <c r="T73" s="60" cm="1">
        <f t="array" ref="T73">IF(ISBLANK($B73)=FALSE,SUMIFS(TransAmount,TransAsset,$C73,TransType,"ACQ"),0)</f>
        <v>6890</v>
      </c>
      <c r="U73" s="60">
        <f t="shared" si="46"/>
        <v>5</v>
      </c>
      <c r="V73" s="60">
        <f t="shared" si="47"/>
        <v>0</v>
      </c>
      <c r="W73" s="28">
        <f t="shared" ca="1" si="48"/>
        <v>6890</v>
      </c>
      <c r="X73" s="28">
        <f t="shared" ca="1" si="49"/>
        <v>0</v>
      </c>
      <c r="Y73" s="28">
        <f t="shared" ca="1" si="50"/>
        <v>5</v>
      </c>
      <c r="Z73" s="28">
        <f t="shared" ca="1" si="51"/>
        <v>4708.1666666666661</v>
      </c>
      <c r="AA73" s="28">
        <f t="shared" ca="1" si="52"/>
        <v>2181.8333333333339</v>
      </c>
      <c r="AB73" s="28" cm="1">
        <f t="array" aca="1" ref="AB73" ca="1">IF(SUMIFS(TransTDCost,TransAsset,$C73,TransDate,"&lt;="&amp;$L73)&gt;($T73-$X73),($T73-$X73),SUMIFS(TransTDCost,TransAsset,$C73,TransDate,"&lt;="&amp;$L73))</f>
        <v>4708.1666666666661</v>
      </c>
      <c r="AC73" s="28">
        <f t="shared" ca="1" si="53"/>
        <v>0</v>
      </c>
      <c r="AD73" s="28">
        <f t="array" aca="1" ref="AD73" ca="1">IF($L73=LARGE(IF(TransAsset=$C73,IF(TransIDDate&lt;Assets!$H$2,TransIDDate,0),0),1),IF($B73="DIS",$AC73,SUMIFS(TransCAccDep,TransAsset,$C73,TransDate,"&lt;="&amp;$L73)+IF($U73=0,0,MIN(($S73-$V73)/($U73*12)*(((YEAR(Assets!$H$2)*12)+MONTH(Assets!$H$2)-1)-((YEAR($L73)*12)+MONTH($L73)-1)),$S73-$V73))),0)-$AO73</f>
        <v>0</v>
      </c>
      <c r="AE73" s="28">
        <f t="shared" ca="1" si="54"/>
        <v>0</v>
      </c>
      <c r="AF73" s="28">
        <f t="shared" ca="1" si="55"/>
        <v>4818.1666666666661</v>
      </c>
      <c r="AG73" s="28">
        <f t="shared" ca="1" si="56"/>
        <v>4818.1666666666661</v>
      </c>
      <c r="AH73" s="28">
        <f t="shared" ca="1" si="57"/>
        <v>0</v>
      </c>
      <c r="AI73" s="28" cm="1">
        <f t="array" aca="1" ref="AI73" ca="1">IF($B73="REV",IF($S73-$AA73+$AE73&gt;0,IF(SUMIFS(TransImpair,TransAsset,$C73,TransDate,"&lt;"&amp;$M73)&gt;0,IF(SUMIFS(TransImpair,TransAsset,$C73,TransDate,"&lt;"&amp;$M73)&gt;$S73-$AA73+$AE73,-($S73-$AA73+$AE73),-SUMIFS(TransImpair,TransAsset,$C73,TransDate,"&lt;"&amp;$M73)),0),-($S73-$AA73+$AE73)),0)</f>
        <v>0</v>
      </c>
      <c r="AJ73" s="28">
        <f t="shared" si="58"/>
        <v>0</v>
      </c>
      <c r="AK73" s="28">
        <f t="shared" ca="1" si="59"/>
        <v>1400</v>
      </c>
      <c r="AL73" s="28">
        <f t="shared" ca="1" si="60"/>
        <v>1378</v>
      </c>
      <c r="AM73" s="28" cm="1">
        <f t="array" aca="1" ref="AM73" ca="1">IF($AN73&gt;($T73-$V73),($T73-$V73)-SUMIFS(TransPCAccDep,TransAsset,$C73,TransDate,"&lt;="&amp;$L73),$AL73)</f>
        <v>1378</v>
      </c>
      <c r="AN73" s="28" cm="1">
        <f t="array" aca="1" ref="AN73" ca="1">IF($AL73=0,0,SUMIFS(TransCCYDep2,TransAsset,$C73,TransDate,"&lt;="&amp;$L73)+SUMIFS(TransPCAccDep,TransAsset,$C73,TransDate,"&lt;="&amp;$L73))</f>
        <v>6086.1666666666661</v>
      </c>
      <c r="AO73" s="28">
        <f t="array" aca="1" ref="AO73" ca="1">IF($L73=LARGE(IF(TransAsset=$C73,IF(TransIDDate&lt;Assets!$H$2,TransIDDate,0),0),1),IF($B73="DIS",0,MIN(SUMIFS(TransTDCost,TransAsset,$C73,TransDate,"&lt;="&amp;$L73)+IF($U73=0,0,MIN(($S73-$V73)/($U73*12)*(((YEAR(Assets!$H$2)*12)+MONTH(Assets!$H$2)-1)-((YEAR($L73)*12)+MONTH($L73)-1)),$S73-$V73)),SUMIFS(TransTDCost,TransAsset,$C73,TransDate,"&lt;="&amp;$L73)+IF($U73=0,0,MIN(($T73-$V73)/($U73*12)*(((YEAR(Assets!$H$2)*12)+MONTH(Assets!$H$2)-1)-((YEAR($L73)*12)+MONTH($L73)-1)),$T73-$V73)),$T73-$V73)),0)</f>
        <v>0</v>
      </c>
      <c r="AP73" s="28">
        <f t="shared" ca="1" si="61"/>
        <v>4708.1666666666661</v>
      </c>
      <c r="AQ73" s="60">
        <f ca="1">IF(SUMPRODUCT((TransAsset=$C73)*(TransType="DIS")*(TransIDDate&lt;(Assets!$I$2+1))*(1))&gt;0,0,IF(AND($AR73=0,DATE(YEAR($L73),MONTH($L73),1)&lt;&gt;DATE(YEAR(Assets!$J$2),MONTH(Assets!$J$2),1)),0,IF(DATE(YEAR($Q73),MONTH($Q73),1)&lt;&gt;DATE(YEAR(Assets!$I$2),MONTH(Assets!$I$2),1),0,IF($AR73=$S73-$V73,0,IF($U73=0,0,MIN(($S73-$V73)/($U73*12),($S73-$V73)-$AR73))))))</f>
        <v>116.66666666666667</v>
      </c>
      <c r="AR73" s="60">
        <f t="array" aca="1" ref="AR73" ca="1">IF($L73=LARGE(IF(TransAsset=$C73,IF(TransIDDate&lt;Assets!$J$2,TransIDDate,0),0),1),IF($B73="DIS",0,MIN(IF($U73=0,0,(($S73-$V73)/($U73*12)*(((YEAR(Assets!$J$2)*12)+MONTH(Assets!$J$2)-1)-((YEAR($L73)*12)+MONTH($L73)-1)))),($S73-$V73))),0)</f>
        <v>1283.3333333333335</v>
      </c>
      <c r="AS73" s="60">
        <f t="shared" si="62"/>
        <v>114.83333333333333</v>
      </c>
      <c r="AT73" s="28" cm="1">
        <f t="array" aca="1" ref="AT73" ca="1">IF(SUMPRODUCT((TransAsset=$C73)*(TransType="DIS")*(TransIDDate&lt;(Assets!$I$2+1))*(1))&gt;0,0,IF(AND($AU73=0,DATE(YEAR($L73),MONTH($L73),1)&lt;&gt;DATE(YEAR(Assets!$J$2),MONTH(Assets!$J$2),1)),0,IF(DATE(YEAR($Q73),MONTH($Q73),1)&lt;&gt;DATE(YEAR(Assets!$I$2),MONTH(Assets!$I$2),1),0,IF(SUMIFS(TransPMAccDep,TransAsset,$C73)&gt;=($T73-$V73),($T73-$V73)-SUMIFS(TransPMAccDep,TransAsset,$C73),IF($U73=0,0,IF($S73&lt;$T73,MIN(($S73-$V73)/($U73*12),($T73-$V73)-$AU73),MIN(($T73-$V73)/($U73*12),($T73-$V73)-$AU73)))))))</f>
        <v>114.83333333333333</v>
      </c>
      <c r="AU73" s="28">
        <f t="array" aca="1" ref="AU73" ca="1">IF($L73=LARGE(IF(TransAsset=$C73,IF(TransIDDate&lt;Assets!$J$2,TransIDDate,0),0),1),IF($B73="DIS",0,MIN(SUMIFS(TransTDCost,TransAsset,$C73,TransDate,"&lt;="&amp;$L73)+IF($U73=0,0,MIN(($S73-$V73)/($U73*12)*(((YEAR(Assets!$J$2)*12)+MONTH(Assets!$J$2)-1)-((YEAR($L73)*12)+MONTH($L73)-1)),$S73-$V73)),SUMIFS(TransTDCost,TransAsset,$C73,TransDate,"&lt;="&amp;$L73)+IF($U73=0,0,MIN(($T73-$V73)/($U73*12)*(((YEAR(Assets!$J$2)*12)+MONTH(Assets!$J$2)-1)-((YEAR($L73)*12)+MONTH($L73)-1)),$T73-$V73)),$T73-$V73)),0)</f>
        <v>5971.3333333333321</v>
      </c>
    </row>
    <row r="74" spans="1:47" ht="16" customHeight="1" x14ac:dyDescent="0.25">
      <c r="A74" s="33">
        <v>43891</v>
      </c>
      <c r="B74" s="4" t="s">
        <v>360</v>
      </c>
      <c r="C74" s="8" t="s">
        <v>341</v>
      </c>
      <c r="D74" s="3" t="s">
        <v>361</v>
      </c>
      <c r="E74" s="3" t="s">
        <v>168</v>
      </c>
      <c r="F74" s="28">
        <v>14325</v>
      </c>
      <c r="G74" s="28">
        <v>5</v>
      </c>
      <c r="H74" s="28">
        <v>0</v>
      </c>
      <c r="I74" s="28">
        <v>0</v>
      </c>
      <c r="J74" s="59" t="str" cm="1">
        <f t="array" aca="1" ref="J74" ca="1">IF(ISNA(VLOOKUP($C74,AssetCode,1,0))=TRUE,"E3",IF(OR(ISBLANK($B74)=TRUE,SUMPRODUCT((TransAsset=$C74)*(TransIDDate&lt;$L74)*(TransType="DIS")*(1))&gt;0),"E4",IF(SUMPRODUCT((TransAsset=$C74)*(TransType="ACQ")*(1))&gt;1,"E5",IF(OR($F74&lt;0,AND(TransType="DIS",$F74&lt;&gt;0)=TRUE),"E6",IF(OR(AND($G74&lt;0,TransType&lt;&gt;"DIS")=TRUE,AND(TransType="DIS",$G74&lt;&gt;0)=TRUE),"E7",IF(OR($H74&lt;0,AND(TransType="DIS",$H74&lt;&gt;0)=TRUE,$H74&gt;$F74),"E8",IF($I74&lt;0,"E9","-")))))))</f>
        <v>-</v>
      </c>
      <c r="K74" s="60" t="str">
        <f>IF(ISNA(VLOOKUP($C74,AssetAll,COLUMN(Assets!$E$4),0))=TRUE,"add!",VLOOKUP($C74,AssetAll,COLUMN(Assets!$E$4),0))</f>
        <v>EQP01</v>
      </c>
      <c r="L74" s="61">
        <f t="shared" ca="1" si="42"/>
        <v>43891.000856481478</v>
      </c>
      <c r="M74" s="61">
        <f t="array" aca="1" ref="M74" ca="1">IF(ISBLANK($C74)=TRUE,0,LARGE(IF(TransAsset=$C74,IF(TransIDDate&lt;$L74,TransIDDate,0),0),1))</f>
        <v>43062.000416666669</v>
      </c>
      <c r="N74" s="61">
        <f t="array" aca="1" ref="N74" ca="1">IF(ISBLANK($C74)=TRUE,0,SMALL(IF(TransAsset=$C74,IF(TransIDDate&gt;$L74,TransIDDate,(Assets!$I$2+1)),(Assets!$I$2+1)),1))</f>
        <v>44256</v>
      </c>
      <c r="O74" s="61">
        <f t="shared" ca="1" si="43"/>
        <v>45716</v>
      </c>
      <c r="P74" s="61">
        <f ca="1">IF(OR($N74&lt;Assets!$H$2,$O74&lt;Assets!$H$2,$L74&gt;(Assets!$I$2+1)),0,IF($B74="DIS",IF($L74&lt;Assets!$H$2,0,IF($L74&lt;(Assets!$I$2+1),DATE(YEAR($L74),MONTH($L74),0),Assets!$H$2)),IF($L74&lt;Assets!$H$2,Assets!$H$2,DATE(YEAR($L74),MONTH($L74),1))))</f>
        <v>43891</v>
      </c>
      <c r="Q74" s="61">
        <f ca="1">IF($P74=0,0,IF($B74="DIS",IF($L74&gt;(Assets!$I$2+1),MIN(Assets!$I$2,$O74),MIN($L74,$O74)),IF($N74&lt;(Assets!$I$2+1),MIN(IF(DATE(YEAR($N74),MONTH($N74),0)&lt;$P74,$P74,DATE(YEAR($N74),MONTH($N74),0)),$O74),MIN(Assets!$I$2,$O74))))</f>
        <v>44255</v>
      </c>
      <c r="R74" s="60">
        <f t="shared" ca="1" si="44"/>
        <v>12</v>
      </c>
      <c r="S74" s="60">
        <f t="shared" si="45"/>
        <v>14325</v>
      </c>
      <c r="T74" s="60" cm="1">
        <f t="array" ref="T74">IF(ISBLANK($B74)=FALSE,SUMIFS(TransAmount,TransAsset,$C74,TransType,"ACQ"),0)</f>
        <v>19100</v>
      </c>
      <c r="U74" s="60">
        <f t="shared" si="46"/>
        <v>5</v>
      </c>
      <c r="V74" s="60">
        <f t="shared" si="47"/>
        <v>0</v>
      </c>
      <c r="W74" s="28">
        <f t="shared" ca="1" si="48"/>
        <v>19100</v>
      </c>
      <c r="X74" s="28">
        <f t="shared" ca="1" si="49"/>
        <v>0</v>
      </c>
      <c r="Y74" s="28">
        <f t="shared" ca="1" si="50"/>
        <v>5</v>
      </c>
      <c r="Z74" s="28">
        <f t="shared" ca="1" si="51"/>
        <v>8913.3333333333321</v>
      </c>
      <c r="AA74" s="28">
        <f t="shared" ca="1" si="52"/>
        <v>10186.666666666668</v>
      </c>
      <c r="AB74" s="28" cm="1">
        <f t="array" aca="1" ref="AB74" ca="1">IF(SUMIFS(TransTDCost,TransAsset,$C74,TransDate,"&lt;="&amp;$L74)&gt;($T74-$X74),($T74-$X74),SUMIFS(TransTDCost,TransAsset,$C74,TransDate,"&lt;="&amp;$L74))</f>
        <v>8913.3333333333321</v>
      </c>
      <c r="AC74" s="28">
        <f t="shared" ca="1" si="53"/>
        <v>0</v>
      </c>
      <c r="AD74" s="28">
        <f t="array" aca="1" ref="AD74" ca="1">IF($L74=LARGE(IF(TransAsset=$C74,IF(TransIDDate&lt;Assets!$H$2,TransIDDate,0),0),1),IF($B74="DIS",$AC74,SUMIFS(TransCAccDep,TransAsset,$C74,TransDate,"&lt;="&amp;$L74)+IF($U74=0,0,MIN(($S74-$V74)/($U74*12)*(((YEAR(Assets!$H$2)*12)+MONTH(Assets!$H$2)-1)-((YEAR($L74)*12)+MONTH($L74)-1)),$S74-$V74))),0)-$AO74</f>
        <v>0</v>
      </c>
      <c r="AE74" s="28">
        <f t="shared" ca="1" si="54"/>
        <v>0</v>
      </c>
      <c r="AF74" s="28">
        <f t="shared" ca="1" si="55"/>
        <v>4138.3333333333321</v>
      </c>
      <c r="AG74" s="28">
        <f t="shared" ca="1" si="56"/>
        <v>4138.3333333333321</v>
      </c>
      <c r="AH74" s="28">
        <f t="shared" ca="1" si="57"/>
        <v>0</v>
      </c>
      <c r="AI74" s="28" cm="1">
        <f t="array" aca="1" ref="AI74" ca="1">IF($B74="REV",IF($S74-$AA74+$AE74&gt;0,IF(SUMIFS(TransImpair,TransAsset,$C74,TransDate,"&lt;"&amp;$M74)&gt;0,IF(SUMIFS(TransImpair,TransAsset,$C74,TransDate,"&lt;"&amp;$M74)&gt;$S74-$AA74+$AE74,-($S74-$AA74+$AE74),-SUMIFS(TransImpair,TransAsset,$C74,TransDate,"&lt;"&amp;$M74)),0),-($S74-$AA74+$AE74)),0)</f>
        <v>0</v>
      </c>
      <c r="AJ74" s="28">
        <f t="shared" si="58"/>
        <v>0</v>
      </c>
      <c r="AK74" s="28">
        <f t="shared" ca="1" si="59"/>
        <v>2865</v>
      </c>
      <c r="AL74" s="28">
        <f t="shared" ca="1" si="60"/>
        <v>2865</v>
      </c>
      <c r="AM74" s="28" cm="1">
        <f t="array" aca="1" ref="AM74" ca="1">IF($AN74&gt;($T74-$V74),($T74-$V74)-SUMIFS(TransPCAccDep,TransAsset,$C74,TransDate,"&lt;="&amp;$L74),$AL74)</f>
        <v>2865</v>
      </c>
      <c r="AN74" s="28" cm="1">
        <f t="array" aca="1" ref="AN74" ca="1">IF($AL74=0,0,SUMIFS(TransCCYDep2,TransAsset,$C74,TransDate,"&lt;="&amp;$L74)+SUMIFS(TransPCAccDep,TransAsset,$C74,TransDate,"&lt;="&amp;$L74))</f>
        <v>11778.333333333332</v>
      </c>
      <c r="AO74" s="28">
        <f t="array" aca="1" ref="AO74" ca="1">IF($L74=LARGE(IF(TransAsset=$C74,IF(TransIDDate&lt;Assets!$H$2,TransIDDate,0),0),1),IF($B74="DIS",0,MIN(SUMIFS(TransTDCost,TransAsset,$C74,TransDate,"&lt;="&amp;$L74)+IF($U74=0,0,MIN(($S74-$V74)/($U74*12)*(((YEAR(Assets!$H$2)*12)+MONTH(Assets!$H$2)-1)-((YEAR($L74)*12)+MONTH($L74)-1)),$S74-$V74)),SUMIFS(TransTDCost,TransAsset,$C74,TransDate,"&lt;="&amp;$L74)+IF($U74=0,0,MIN(($T74-$V74)/($U74*12)*(((YEAR(Assets!$H$2)*12)+MONTH(Assets!$H$2)-1)-((YEAR($L74)*12)+MONTH($L74)-1)),$T74-$V74)),$T74-$V74)),0)</f>
        <v>0</v>
      </c>
      <c r="AP74" s="28">
        <f t="shared" ca="1" si="61"/>
        <v>8913.3333333333321</v>
      </c>
      <c r="AQ74" s="60">
        <f ca="1">IF(SUMPRODUCT((TransAsset=$C74)*(TransType="DIS")*(TransIDDate&lt;(Assets!$I$2+1))*(1))&gt;0,0,IF(AND($AR74=0,DATE(YEAR($L74),MONTH($L74),1)&lt;&gt;DATE(YEAR(Assets!$J$2),MONTH(Assets!$J$2),1)),0,IF(DATE(YEAR($Q74),MONTH($Q74),1)&lt;&gt;DATE(YEAR(Assets!$I$2),MONTH(Assets!$I$2),1),0,IF($AR74=$S74-$V74,0,IF($U74=0,0,MIN(($S74-$V74)/($U74*12),($S74-$V74)-$AR74))))))</f>
        <v>238.75</v>
      </c>
      <c r="AR74" s="60">
        <f t="array" aca="1" ref="AR74" ca="1">IF($L74=LARGE(IF(TransAsset=$C74,IF(TransIDDate&lt;Assets!$J$2,TransIDDate,0),0),1),IF($B74="DIS",0,MIN(IF($U74=0,0,(($S74-$V74)/($U74*12)*(((YEAR(Assets!$J$2)*12)+MONTH(Assets!$J$2)-1)-((YEAR($L74)*12)+MONTH($L74)-1)))),($S74-$V74))),0)</f>
        <v>2626.25</v>
      </c>
      <c r="AS74" s="60">
        <f t="shared" si="62"/>
        <v>238.75</v>
      </c>
      <c r="AT74" s="28" cm="1">
        <f t="array" aca="1" ref="AT74" ca="1">IF(SUMPRODUCT((TransAsset=$C74)*(TransType="DIS")*(TransIDDate&lt;(Assets!$I$2+1))*(1))&gt;0,0,IF(AND($AU74=0,DATE(YEAR($L74),MONTH($L74),1)&lt;&gt;DATE(YEAR(Assets!$J$2),MONTH(Assets!$J$2),1)),0,IF(DATE(YEAR($Q74),MONTH($Q74),1)&lt;&gt;DATE(YEAR(Assets!$I$2),MONTH(Assets!$I$2),1),0,IF(SUMIFS(TransPMAccDep,TransAsset,$C74)&gt;=($T74-$V74),($T74-$V74)-SUMIFS(TransPMAccDep,TransAsset,$C74),IF($U74=0,0,IF($S74&lt;$T74,MIN(($S74-$V74)/($U74*12),($T74-$V74)-$AU74),MIN(($T74-$V74)/($U74*12),($T74-$V74)-$AU74)))))))</f>
        <v>238.75</v>
      </c>
      <c r="AU74" s="28">
        <f t="array" aca="1" ref="AU74" ca="1">IF($L74=LARGE(IF(TransAsset=$C74,IF(TransIDDate&lt;Assets!$J$2,TransIDDate,0),0),1),IF($B74="DIS",0,MIN(SUMIFS(TransTDCost,TransAsset,$C74,TransDate,"&lt;="&amp;$L74)+IF($U74=0,0,MIN(($S74-$V74)/($U74*12)*(((YEAR(Assets!$J$2)*12)+MONTH(Assets!$J$2)-1)-((YEAR($L74)*12)+MONTH($L74)-1)),$S74-$V74)),SUMIFS(TransTDCost,TransAsset,$C74,TransDate,"&lt;="&amp;$L74)+IF($U74=0,0,MIN(($T74-$V74)/($U74*12)*(((YEAR(Assets!$J$2)*12)+MONTH(Assets!$J$2)-1)-((YEAR($L74)*12)+MONTH($L74)-1)),$T74-$V74)),$T74-$V74)),0)</f>
        <v>11539.583333333332</v>
      </c>
    </row>
    <row r="75" spans="1:47" ht="16" customHeight="1" x14ac:dyDescent="0.25">
      <c r="A75" s="33">
        <v>43891</v>
      </c>
      <c r="B75" s="4" t="s">
        <v>360</v>
      </c>
      <c r="C75" s="8" t="s">
        <v>342</v>
      </c>
      <c r="D75" s="3" t="s">
        <v>361</v>
      </c>
      <c r="E75" s="3" t="s">
        <v>168</v>
      </c>
      <c r="F75" s="28">
        <v>29520</v>
      </c>
      <c r="G75" s="28">
        <v>5</v>
      </c>
      <c r="H75" s="28">
        <v>0</v>
      </c>
      <c r="I75" s="28">
        <v>0</v>
      </c>
      <c r="J75" s="59" t="str" cm="1">
        <f t="array" aca="1" ref="J75" ca="1">IF(ISNA(VLOOKUP($C75,AssetCode,1,0))=TRUE,"E3",IF(OR(ISBLANK($B75)=TRUE,SUMPRODUCT((TransAsset=$C75)*(TransIDDate&lt;$L75)*(TransType="DIS")*(1))&gt;0),"E4",IF(SUMPRODUCT((TransAsset=$C75)*(TransType="ACQ")*(1))&gt;1,"E5",IF(OR($F75&lt;0,AND(TransType="DIS",$F75&lt;&gt;0)=TRUE),"E6",IF(OR(AND($G75&lt;0,TransType&lt;&gt;"DIS")=TRUE,AND(TransType="DIS",$G75&lt;&gt;0)=TRUE),"E7",IF(OR($H75&lt;0,AND(TransType="DIS",$H75&lt;&gt;0)=TRUE,$H75&gt;$F75),"E8",IF($I75&lt;0,"E9","-")))))))</f>
        <v>-</v>
      </c>
      <c r="K75" s="60" t="str">
        <f>IF(ISNA(VLOOKUP($C75,AssetAll,COLUMN(Assets!$E$4),0))=TRUE,"add!",VLOOKUP($C75,AssetAll,COLUMN(Assets!$E$4),0))</f>
        <v>EQP01</v>
      </c>
      <c r="L75" s="61">
        <f t="shared" ca="1" si="42"/>
        <v>43891.000868055555</v>
      </c>
      <c r="M75" s="61">
        <f t="array" aca="1" ref="M75" ca="1">IF(ISBLANK($C75)=TRUE,0,LARGE(IF(TransAsset=$C75,IF(TransIDDate&lt;$L75,TransIDDate,0),0),1))</f>
        <v>43151.000428240739</v>
      </c>
      <c r="N75" s="61">
        <f t="array" aca="1" ref="N75" ca="1">IF(ISBLANK($C75)=TRUE,0,SMALL(IF(TransAsset=$C75,IF(TransIDDate&gt;$L75,TransIDDate,(Assets!$I$2+1)),(Assets!$I$2+1)),1))</f>
        <v>44256</v>
      </c>
      <c r="O75" s="61">
        <f t="shared" ca="1" si="43"/>
        <v>45716</v>
      </c>
      <c r="P75" s="61">
        <f ca="1">IF(OR($N75&lt;Assets!$H$2,$O75&lt;Assets!$H$2,$L75&gt;(Assets!$I$2+1)),0,IF($B75="DIS",IF($L75&lt;Assets!$H$2,0,IF($L75&lt;(Assets!$I$2+1),DATE(YEAR($L75),MONTH($L75),0),Assets!$H$2)),IF($L75&lt;Assets!$H$2,Assets!$H$2,DATE(YEAR($L75),MONTH($L75),1))))</f>
        <v>43891</v>
      </c>
      <c r="Q75" s="61">
        <f ca="1">IF($P75=0,0,IF($B75="DIS",IF($L75&gt;(Assets!$I$2+1),MIN(Assets!$I$2,$O75),MIN($L75,$O75)),IF($N75&lt;(Assets!$I$2+1),MIN(IF(DATE(YEAR($N75),MONTH($N75),0)&lt;$P75,$P75,DATE(YEAR($N75),MONTH($N75),0)),$O75),MIN(Assets!$I$2,$O75))))</f>
        <v>44255</v>
      </c>
      <c r="R75" s="60">
        <f t="shared" ca="1" si="44"/>
        <v>12</v>
      </c>
      <c r="S75" s="60">
        <f t="shared" si="45"/>
        <v>29520</v>
      </c>
      <c r="T75" s="60" cm="1">
        <f t="array" ref="T75">IF(ISBLANK($B75)=FALSE,SUMIFS(TransAmount,TransAsset,$C75,TransType,"ACQ"),0)</f>
        <v>36900</v>
      </c>
      <c r="U75" s="60">
        <f t="shared" si="46"/>
        <v>5</v>
      </c>
      <c r="V75" s="60">
        <f t="shared" si="47"/>
        <v>0</v>
      </c>
      <c r="W75" s="28">
        <f t="shared" ca="1" si="48"/>
        <v>36900</v>
      </c>
      <c r="X75" s="28">
        <f t="shared" ca="1" si="49"/>
        <v>0</v>
      </c>
      <c r="Y75" s="28">
        <f t="shared" ca="1" si="50"/>
        <v>5</v>
      </c>
      <c r="Z75" s="28">
        <f t="shared" ca="1" si="51"/>
        <v>15375</v>
      </c>
      <c r="AA75" s="28">
        <f t="shared" ca="1" si="52"/>
        <v>21525</v>
      </c>
      <c r="AB75" s="28" cm="1">
        <f t="array" aca="1" ref="AB75" ca="1">IF(SUMIFS(TransTDCost,TransAsset,$C75,TransDate,"&lt;="&amp;$L75)&gt;($T75-$X75),($T75-$X75),SUMIFS(TransTDCost,TransAsset,$C75,TransDate,"&lt;="&amp;$L75))</f>
        <v>15375</v>
      </c>
      <c r="AC75" s="28">
        <f t="shared" ca="1" si="53"/>
        <v>0</v>
      </c>
      <c r="AD75" s="28">
        <f t="array" aca="1" ref="AD75" ca="1">IF($L75=LARGE(IF(TransAsset=$C75,IF(TransIDDate&lt;Assets!$H$2,TransIDDate,0),0),1),IF($B75="DIS",$AC75,SUMIFS(TransCAccDep,TransAsset,$C75,TransDate,"&lt;="&amp;$L75)+IF($U75=0,0,MIN(($S75-$V75)/($U75*12)*(((YEAR(Assets!$H$2)*12)+MONTH(Assets!$H$2)-1)-((YEAR($L75)*12)+MONTH($L75)-1)),$S75-$V75))),0)-$AO75</f>
        <v>0</v>
      </c>
      <c r="AE75" s="28">
        <f t="shared" ca="1" si="54"/>
        <v>0</v>
      </c>
      <c r="AF75" s="28">
        <f t="shared" ca="1" si="55"/>
        <v>7995</v>
      </c>
      <c r="AG75" s="28">
        <f t="shared" ca="1" si="56"/>
        <v>7995</v>
      </c>
      <c r="AH75" s="28">
        <f t="shared" ca="1" si="57"/>
        <v>0</v>
      </c>
      <c r="AI75" s="28" cm="1">
        <f t="array" aca="1" ref="AI75" ca="1">IF($B75="REV",IF($S75-$AA75+$AE75&gt;0,IF(SUMIFS(TransImpair,TransAsset,$C75,TransDate,"&lt;"&amp;$M75)&gt;0,IF(SUMIFS(TransImpair,TransAsset,$C75,TransDate,"&lt;"&amp;$M75)&gt;$S75-$AA75+$AE75,-($S75-$AA75+$AE75),-SUMIFS(TransImpair,TransAsset,$C75,TransDate,"&lt;"&amp;$M75)),0),-($S75-$AA75+$AE75)),0)</f>
        <v>0</v>
      </c>
      <c r="AJ75" s="28">
        <f t="shared" si="58"/>
        <v>0</v>
      </c>
      <c r="AK75" s="28">
        <f t="shared" ca="1" si="59"/>
        <v>5904</v>
      </c>
      <c r="AL75" s="28">
        <f t="shared" ca="1" si="60"/>
        <v>5904</v>
      </c>
      <c r="AM75" s="28" cm="1">
        <f t="array" aca="1" ref="AM75" ca="1">IF($AN75&gt;($T75-$V75),($T75-$V75)-SUMIFS(TransPCAccDep,TransAsset,$C75,TransDate,"&lt;="&amp;$L75),$AL75)</f>
        <v>5904</v>
      </c>
      <c r="AN75" s="28" cm="1">
        <f t="array" aca="1" ref="AN75" ca="1">IF($AL75=0,0,SUMIFS(TransCCYDep2,TransAsset,$C75,TransDate,"&lt;="&amp;$L75)+SUMIFS(TransPCAccDep,TransAsset,$C75,TransDate,"&lt;="&amp;$L75))</f>
        <v>21279</v>
      </c>
      <c r="AO75" s="28">
        <f t="array" aca="1" ref="AO75" ca="1">IF($L75=LARGE(IF(TransAsset=$C75,IF(TransIDDate&lt;Assets!$H$2,TransIDDate,0),0),1),IF($B75="DIS",0,MIN(SUMIFS(TransTDCost,TransAsset,$C75,TransDate,"&lt;="&amp;$L75)+IF($U75=0,0,MIN(($S75-$V75)/($U75*12)*(((YEAR(Assets!$H$2)*12)+MONTH(Assets!$H$2)-1)-((YEAR($L75)*12)+MONTH($L75)-1)),$S75-$V75)),SUMIFS(TransTDCost,TransAsset,$C75,TransDate,"&lt;="&amp;$L75)+IF($U75=0,0,MIN(($T75-$V75)/($U75*12)*(((YEAR(Assets!$H$2)*12)+MONTH(Assets!$H$2)-1)-((YEAR($L75)*12)+MONTH($L75)-1)),$T75-$V75)),$T75-$V75)),0)</f>
        <v>0</v>
      </c>
      <c r="AP75" s="28">
        <f t="shared" ca="1" si="61"/>
        <v>15375</v>
      </c>
      <c r="AQ75" s="60">
        <f ca="1">IF(SUMPRODUCT((TransAsset=$C75)*(TransType="DIS")*(TransIDDate&lt;(Assets!$I$2+1))*(1))&gt;0,0,IF(AND($AR75=0,DATE(YEAR($L75),MONTH($L75),1)&lt;&gt;DATE(YEAR(Assets!$J$2),MONTH(Assets!$J$2),1)),0,IF(DATE(YEAR($Q75),MONTH($Q75),1)&lt;&gt;DATE(YEAR(Assets!$I$2),MONTH(Assets!$I$2),1),0,IF($AR75=$S75-$V75,0,IF($U75=0,0,MIN(($S75-$V75)/($U75*12),($S75-$V75)-$AR75))))))</f>
        <v>492</v>
      </c>
      <c r="AR75" s="60">
        <f t="array" aca="1" ref="AR75" ca="1">IF($L75=LARGE(IF(TransAsset=$C75,IF(TransIDDate&lt;Assets!$J$2,TransIDDate,0),0),1),IF($B75="DIS",0,MIN(IF($U75=0,0,(($S75-$V75)/($U75*12)*(((YEAR(Assets!$J$2)*12)+MONTH(Assets!$J$2)-1)-((YEAR($L75)*12)+MONTH($L75)-1)))),($S75-$V75))),0)</f>
        <v>5412</v>
      </c>
      <c r="AS75" s="60">
        <f t="shared" si="62"/>
        <v>492</v>
      </c>
      <c r="AT75" s="28" cm="1">
        <f t="array" aca="1" ref="AT75" ca="1">IF(SUMPRODUCT((TransAsset=$C75)*(TransType="DIS")*(TransIDDate&lt;(Assets!$I$2+1))*(1))&gt;0,0,IF(AND($AU75=0,DATE(YEAR($L75),MONTH($L75),1)&lt;&gt;DATE(YEAR(Assets!$J$2),MONTH(Assets!$J$2),1)),0,IF(DATE(YEAR($Q75),MONTH($Q75),1)&lt;&gt;DATE(YEAR(Assets!$I$2),MONTH(Assets!$I$2),1),0,IF(SUMIFS(TransPMAccDep,TransAsset,$C75)&gt;=($T75-$V75),($T75-$V75)-SUMIFS(TransPMAccDep,TransAsset,$C75),IF($U75=0,0,IF($S75&lt;$T75,MIN(($S75-$V75)/($U75*12),($T75-$V75)-$AU75),MIN(($T75-$V75)/($U75*12),($T75-$V75)-$AU75)))))))</f>
        <v>492</v>
      </c>
      <c r="AU75" s="28">
        <f t="array" aca="1" ref="AU75" ca="1">IF($L75=LARGE(IF(TransAsset=$C75,IF(TransIDDate&lt;Assets!$J$2,TransIDDate,0),0),1),IF($B75="DIS",0,MIN(SUMIFS(TransTDCost,TransAsset,$C75,TransDate,"&lt;="&amp;$L75)+IF($U75=0,0,MIN(($S75-$V75)/($U75*12)*(((YEAR(Assets!$J$2)*12)+MONTH(Assets!$J$2)-1)-((YEAR($L75)*12)+MONTH($L75)-1)),$S75-$V75)),SUMIFS(TransTDCost,TransAsset,$C75,TransDate,"&lt;="&amp;$L75)+IF($U75=0,0,MIN(($T75-$V75)/($U75*12)*(((YEAR(Assets!$J$2)*12)+MONTH(Assets!$J$2)-1)-((YEAR($L75)*12)+MONTH($L75)-1)),$T75-$V75)),$T75-$V75)),0)</f>
        <v>20787</v>
      </c>
    </row>
    <row r="76" spans="1:47" ht="16" customHeight="1" x14ac:dyDescent="0.25">
      <c r="A76" s="33">
        <v>43891</v>
      </c>
      <c r="B76" s="4" t="s">
        <v>360</v>
      </c>
      <c r="C76" s="8" t="s">
        <v>343</v>
      </c>
      <c r="D76" s="3" t="s">
        <v>361</v>
      </c>
      <c r="E76" s="3" t="s">
        <v>168</v>
      </c>
      <c r="F76" s="28">
        <v>40000</v>
      </c>
      <c r="G76" s="28">
        <v>5</v>
      </c>
      <c r="H76" s="28">
        <v>0</v>
      </c>
      <c r="I76" s="28">
        <v>0</v>
      </c>
      <c r="J76" s="59" t="str" cm="1">
        <f t="array" aca="1" ref="J76" ca="1">IF(ISNA(VLOOKUP($C76,AssetCode,1,0))=TRUE,"E3",IF(OR(ISBLANK($B76)=TRUE,SUMPRODUCT((TransAsset=$C76)*(TransIDDate&lt;$L76)*(TransType="DIS")*(1))&gt;0),"E4",IF(SUMPRODUCT((TransAsset=$C76)*(TransType="ACQ")*(1))&gt;1,"E5",IF(OR($F76&lt;0,AND(TransType="DIS",$F76&lt;&gt;0)=TRUE),"E6",IF(OR(AND($G76&lt;0,TransType&lt;&gt;"DIS")=TRUE,AND(TransType="DIS",$G76&lt;&gt;0)=TRUE),"E7",IF(OR($H76&lt;0,AND(TransType="DIS",$H76&lt;&gt;0)=TRUE,$H76&gt;$F76),"E8",IF($I76&lt;0,"E9","-")))))))</f>
        <v>-</v>
      </c>
      <c r="K76" s="60" t="str">
        <f>IF(ISNA(VLOOKUP($C76,AssetAll,COLUMN(Assets!$E$4),0))=TRUE,"add!",VLOOKUP($C76,AssetAll,COLUMN(Assets!$E$4),0))</f>
        <v>EQP01</v>
      </c>
      <c r="L76" s="61">
        <f t="shared" ca="1" si="42"/>
        <v>43891.000879629632</v>
      </c>
      <c r="M76" s="61">
        <f t="array" aca="1" ref="M76" ca="1">IF(ISBLANK($C76)=TRUE,0,LARGE(IF(TransAsset=$C76,IF(TransIDDate&lt;$L76,TransIDDate,0),0),1))</f>
        <v>43327.000462962962</v>
      </c>
      <c r="N76" s="61">
        <f t="array" aca="1" ref="N76" ca="1">IF(ISBLANK($C76)=TRUE,0,SMALL(IF(TransAsset=$C76,IF(TransIDDate&gt;$L76,TransIDDate,(Assets!$I$2+1)),(Assets!$I$2+1)),1))</f>
        <v>44256</v>
      </c>
      <c r="O76" s="61">
        <f t="shared" ca="1" si="43"/>
        <v>45716</v>
      </c>
      <c r="P76" s="61">
        <f ca="1">IF(OR($N76&lt;Assets!$H$2,$O76&lt;Assets!$H$2,$L76&gt;(Assets!$I$2+1)),0,IF($B76="DIS",IF($L76&lt;Assets!$H$2,0,IF($L76&lt;(Assets!$I$2+1),DATE(YEAR($L76),MONTH($L76),0),Assets!$H$2)),IF($L76&lt;Assets!$H$2,Assets!$H$2,DATE(YEAR($L76),MONTH($L76),1))))</f>
        <v>43891</v>
      </c>
      <c r="Q76" s="61">
        <f ca="1">IF($P76=0,0,IF($B76="DIS",IF($L76&gt;(Assets!$I$2+1),MIN(Assets!$I$2,$O76),MIN($L76,$O76)),IF($N76&lt;(Assets!$I$2+1),MIN(IF(DATE(YEAR($N76),MONTH($N76),0)&lt;$P76,$P76,DATE(YEAR($N76),MONTH($N76),0)),$O76),MIN(Assets!$I$2,$O76))))</f>
        <v>44255</v>
      </c>
      <c r="R76" s="60">
        <f t="shared" ca="1" si="44"/>
        <v>12</v>
      </c>
      <c r="S76" s="60">
        <f t="shared" si="45"/>
        <v>40000</v>
      </c>
      <c r="T76" s="60" cm="1">
        <f t="array" ref="T76">IF(ISBLANK($B76)=FALSE,SUMIFS(TransAmount,TransAsset,$C76,TransType,"ACQ"),0)</f>
        <v>40000</v>
      </c>
      <c r="U76" s="60">
        <f t="shared" si="46"/>
        <v>5</v>
      </c>
      <c r="V76" s="60">
        <f t="shared" si="47"/>
        <v>0</v>
      </c>
      <c r="W76" s="28">
        <f t="shared" ca="1" si="48"/>
        <v>40000</v>
      </c>
      <c r="X76" s="28">
        <f t="shared" ca="1" si="49"/>
        <v>0</v>
      </c>
      <c r="Y76" s="28">
        <f t="shared" ca="1" si="50"/>
        <v>5</v>
      </c>
      <c r="Z76" s="28">
        <f t="shared" ca="1" si="51"/>
        <v>12666.666666666666</v>
      </c>
      <c r="AA76" s="28">
        <f t="shared" ca="1" si="52"/>
        <v>27333.333333333336</v>
      </c>
      <c r="AB76" s="28" cm="1">
        <f t="array" aca="1" ref="AB76" ca="1">IF(SUMIFS(TransTDCost,TransAsset,$C76,TransDate,"&lt;="&amp;$L76)&gt;($T76-$X76),($T76-$X76),SUMIFS(TransTDCost,TransAsset,$C76,TransDate,"&lt;="&amp;$L76))</f>
        <v>12666.666666666666</v>
      </c>
      <c r="AC76" s="28">
        <f t="shared" ca="1" si="53"/>
        <v>0</v>
      </c>
      <c r="AD76" s="28">
        <f t="array" aca="1" ref="AD76" ca="1">IF($L76=LARGE(IF(TransAsset=$C76,IF(TransIDDate&lt;Assets!$H$2,TransIDDate,0),0),1),IF($B76="DIS",$AC76,SUMIFS(TransCAccDep,TransAsset,$C76,TransDate,"&lt;="&amp;$L76)+IF($U76=0,0,MIN(($S76-$V76)/($U76*12)*(((YEAR(Assets!$H$2)*12)+MONTH(Assets!$H$2)-1)-((YEAR($L76)*12)+MONTH($L76)-1)),$S76-$V76))),0)-$AO76</f>
        <v>0</v>
      </c>
      <c r="AE76" s="28">
        <f t="shared" ca="1" si="54"/>
        <v>0</v>
      </c>
      <c r="AF76" s="28">
        <f t="shared" ca="1" si="55"/>
        <v>12666.666666666664</v>
      </c>
      <c r="AG76" s="28">
        <f t="shared" ca="1" si="56"/>
        <v>12666.666666666664</v>
      </c>
      <c r="AH76" s="28">
        <f t="shared" ca="1" si="57"/>
        <v>0</v>
      </c>
      <c r="AI76" s="28" cm="1">
        <f t="array" aca="1" ref="AI76" ca="1">IF($B76="REV",IF($S76-$AA76+$AE76&gt;0,IF(SUMIFS(TransImpair,TransAsset,$C76,TransDate,"&lt;"&amp;$M76)&gt;0,IF(SUMIFS(TransImpair,TransAsset,$C76,TransDate,"&lt;"&amp;$M76)&gt;$S76-$AA76+$AE76,-($S76-$AA76+$AE76),-SUMIFS(TransImpair,TransAsset,$C76,TransDate,"&lt;"&amp;$M76)),0),-($S76-$AA76+$AE76)),0)</f>
        <v>0</v>
      </c>
      <c r="AJ76" s="28">
        <f t="shared" si="58"/>
        <v>0</v>
      </c>
      <c r="AK76" s="28">
        <f t="shared" ca="1" si="59"/>
        <v>8000</v>
      </c>
      <c r="AL76" s="28">
        <f t="shared" ca="1" si="60"/>
        <v>8000</v>
      </c>
      <c r="AM76" s="28" cm="1">
        <f t="array" aca="1" ref="AM76" ca="1">IF($AN76&gt;($T76-$V76),($T76-$V76)-SUMIFS(TransPCAccDep,TransAsset,$C76,TransDate,"&lt;="&amp;$L76),$AL76)</f>
        <v>8000</v>
      </c>
      <c r="AN76" s="28" cm="1">
        <f t="array" aca="1" ref="AN76" ca="1">IF($AL76=0,0,SUMIFS(TransCCYDep2,TransAsset,$C76,TransDate,"&lt;="&amp;$L76)+SUMIFS(TransPCAccDep,TransAsset,$C76,TransDate,"&lt;="&amp;$L76))</f>
        <v>20666.666666666664</v>
      </c>
      <c r="AO76" s="28">
        <f t="array" aca="1" ref="AO76" ca="1">IF($L76=LARGE(IF(TransAsset=$C76,IF(TransIDDate&lt;Assets!$H$2,TransIDDate,0),0),1),IF($B76="DIS",0,MIN(SUMIFS(TransTDCost,TransAsset,$C76,TransDate,"&lt;="&amp;$L76)+IF($U76=0,0,MIN(($S76-$V76)/($U76*12)*(((YEAR(Assets!$H$2)*12)+MONTH(Assets!$H$2)-1)-((YEAR($L76)*12)+MONTH($L76)-1)),$S76-$V76)),SUMIFS(TransTDCost,TransAsset,$C76,TransDate,"&lt;="&amp;$L76)+IF($U76=0,0,MIN(($T76-$V76)/($U76*12)*(((YEAR(Assets!$H$2)*12)+MONTH(Assets!$H$2)-1)-((YEAR($L76)*12)+MONTH($L76)-1)),$T76-$V76)),$T76-$V76)),0)</f>
        <v>0</v>
      </c>
      <c r="AP76" s="28">
        <f t="shared" ca="1" si="61"/>
        <v>12666.666666666666</v>
      </c>
      <c r="AQ76" s="60">
        <f ca="1">IF(SUMPRODUCT((TransAsset=$C76)*(TransType="DIS")*(TransIDDate&lt;(Assets!$I$2+1))*(1))&gt;0,0,IF(AND($AR76=0,DATE(YEAR($L76),MONTH($L76),1)&lt;&gt;DATE(YEAR(Assets!$J$2),MONTH(Assets!$J$2),1)),0,IF(DATE(YEAR($Q76),MONTH($Q76),1)&lt;&gt;DATE(YEAR(Assets!$I$2),MONTH(Assets!$I$2),1),0,IF($AR76=$S76-$V76,0,IF($U76=0,0,MIN(($S76-$V76)/($U76*12),($S76-$V76)-$AR76))))))</f>
        <v>666.66666666666663</v>
      </c>
      <c r="AR76" s="60">
        <f t="array" aca="1" ref="AR76" ca="1">IF($L76=LARGE(IF(TransAsset=$C76,IF(TransIDDate&lt;Assets!$J$2,TransIDDate,0),0),1),IF($B76="DIS",0,MIN(IF($U76=0,0,(($S76-$V76)/($U76*12)*(((YEAR(Assets!$J$2)*12)+MONTH(Assets!$J$2)-1)-((YEAR($L76)*12)+MONTH($L76)-1)))),($S76-$V76))),0)</f>
        <v>7333.333333333333</v>
      </c>
      <c r="AS76" s="60">
        <f t="shared" si="62"/>
        <v>666.66666666666663</v>
      </c>
      <c r="AT76" s="28" cm="1">
        <f t="array" aca="1" ref="AT76" ca="1">IF(SUMPRODUCT((TransAsset=$C76)*(TransType="DIS")*(TransIDDate&lt;(Assets!$I$2+1))*(1))&gt;0,0,IF(AND($AU76=0,DATE(YEAR($L76),MONTH($L76),1)&lt;&gt;DATE(YEAR(Assets!$J$2),MONTH(Assets!$J$2),1)),0,IF(DATE(YEAR($Q76),MONTH($Q76),1)&lt;&gt;DATE(YEAR(Assets!$I$2),MONTH(Assets!$I$2),1),0,IF(SUMIFS(TransPMAccDep,TransAsset,$C76)&gt;=($T76-$V76),($T76-$V76)-SUMIFS(TransPMAccDep,TransAsset,$C76),IF($U76=0,0,IF($S76&lt;$T76,MIN(($S76-$V76)/($U76*12),($T76-$V76)-$AU76),MIN(($T76-$V76)/($U76*12),($T76-$V76)-$AU76)))))))</f>
        <v>666.66666666666663</v>
      </c>
      <c r="AU76" s="28">
        <f t="array" aca="1" ref="AU76" ca="1">IF($L76=LARGE(IF(TransAsset=$C76,IF(TransIDDate&lt;Assets!$J$2,TransIDDate,0),0),1),IF($B76="DIS",0,MIN(SUMIFS(TransTDCost,TransAsset,$C76,TransDate,"&lt;="&amp;$L76)+IF($U76=0,0,MIN(($S76-$V76)/($U76*12)*(((YEAR(Assets!$J$2)*12)+MONTH(Assets!$J$2)-1)-((YEAR($L76)*12)+MONTH($L76)-1)),$S76-$V76)),SUMIFS(TransTDCost,TransAsset,$C76,TransDate,"&lt;="&amp;$L76)+IF($U76=0,0,MIN(($T76-$V76)/($U76*12)*(((YEAR(Assets!$J$2)*12)+MONTH(Assets!$J$2)-1)-((YEAR($L76)*12)+MONTH($L76)-1)),$T76-$V76)),$T76-$V76)),0)</f>
        <v>20000</v>
      </c>
    </row>
    <row r="77" spans="1:47" ht="16" customHeight="1" x14ac:dyDescent="0.25">
      <c r="A77" s="33">
        <v>43981</v>
      </c>
      <c r="B77" s="4" t="s">
        <v>108</v>
      </c>
      <c r="C77" s="8" t="s">
        <v>326</v>
      </c>
      <c r="D77" s="3" t="s">
        <v>334</v>
      </c>
      <c r="E77" s="3" t="s">
        <v>359</v>
      </c>
      <c r="F77" s="28">
        <v>0</v>
      </c>
      <c r="G77" s="28">
        <v>0</v>
      </c>
      <c r="H77" s="28">
        <v>0</v>
      </c>
      <c r="I77" s="28">
        <v>41000</v>
      </c>
      <c r="J77" s="59" t="str" cm="1">
        <f t="array" aca="1" ref="J77" ca="1">IF(ISNA(VLOOKUP($C77,AssetCode,1,0))=TRUE,"E3",IF(OR(ISBLANK($B77)=TRUE,SUMPRODUCT((TransAsset=$C77)*(TransIDDate&lt;$L77)*(TransType="DIS")*(1))&gt;0),"E4",IF(SUMPRODUCT((TransAsset=$C77)*(TransType="ACQ")*(1))&gt;1,"E5",IF(OR($F77&lt;0,AND(TransType="DIS",$F77&lt;&gt;0)=TRUE),"E6",IF(OR(AND($G77&lt;0,TransType&lt;&gt;"DIS")=TRUE,AND(TransType="DIS",$G77&lt;&gt;0)=TRUE),"E7",IF(OR($H77&lt;0,AND(TransType="DIS",$H77&lt;&gt;0)=TRUE,$H77&gt;$F77),"E8",IF($I77&lt;0,"E9","-")))))))</f>
        <v>-</v>
      </c>
      <c r="K77" s="60" t="str">
        <f>IF(ISNA(VLOOKUP($C77,AssetAll,COLUMN(Assets!$E$4),0))=TRUE,"add!",VLOOKUP($C77,AssetAll,COLUMN(Assets!$E$4),0))</f>
        <v>MVH01</v>
      </c>
      <c r="L77" s="61">
        <f t="shared" ca="1" si="42"/>
        <v>43981.000891203701</v>
      </c>
      <c r="M77" s="61">
        <f t="array" aca="1" ref="M77" ca="1">IF(ISBLANK($C77)=TRUE,0,LARGE(IF(TransAsset=$C77,IF(TransIDDate&lt;$L77,TransIDDate,0),0),1))</f>
        <v>43891.000567129631</v>
      </c>
      <c r="N77" s="61">
        <f t="array" aca="1" ref="N77" ca="1">IF(ISBLANK($C77)=TRUE,0,SMALL(IF(TransAsset=$C77,IF(TransIDDate&gt;$L77,TransIDDate,(Assets!$I$2+1)),(Assets!$I$2+1)),1))</f>
        <v>44256</v>
      </c>
      <c r="O77" s="61">
        <f t="shared" ca="1" si="43"/>
        <v>43951</v>
      </c>
      <c r="P77" s="61">
        <f ca="1">IF(OR($N77&lt;Assets!$H$2,$O77&lt;Assets!$H$2,$L77&gt;(Assets!$I$2+1)),0,IF($B77="DIS",IF($L77&lt;Assets!$H$2,0,IF($L77&lt;(Assets!$I$2+1),DATE(YEAR($L77),MONTH($L77),0),Assets!$H$2)),IF($L77&lt;Assets!$H$2,Assets!$H$2,DATE(YEAR($L77),MONTH($L77),1))))</f>
        <v>43951</v>
      </c>
      <c r="Q77" s="61">
        <f ca="1">IF($P77=0,0,IF($B77="DIS",IF($L77&gt;(Assets!$I$2+1),MIN(Assets!$I$2,$O77),MIN($L77,$O77)),IF($N77&lt;(Assets!$I$2+1),MIN(IF(DATE(YEAR($N77),MONTH($N77),0)&lt;$P77,$P77,DATE(YEAR($N77),MONTH($N77),0)),$O77),MIN(Assets!$I$2,$O77))))</f>
        <v>43951</v>
      </c>
      <c r="R77" s="60">
        <f t="shared" ca="1" si="44"/>
        <v>0</v>
      </c>
      <c r="S77" s="60">
        <f t="shared" si="45"/>
        <v>0</v>
      </c>
      <c r="T77" s="60" cm="1">
        <f t="array" ref="T77">IF(ISBLANK($B77)=FALSE,SUMIFS(TransAmount,TransAsset,$C77,TransType,"ACQ"),0)</f>
        <v>252200</v>
      </c>
      <c r="U77" s="60">
        <f t="shared" si="46"/>
        <v>0</v>
      </c>
      <c r="V77" s="60">
        <f t="shared" si="47"/>
        <v>0</v>
      </c>
      <c r="W77" s="28">
        <f t="shared" ca="1" si="48"/>
        <v>45000</v>
      </c>
      <c r="X77" s="28">
        <f t="shared" ca="1" si="49"/>
        <v>15000</v>
      </c>
      <c r="Y77" s="28">
        <f t="shared" ca="1" si="50"/>
        <v>5</v>
      </c>
      <c r="Z77" s="28">
        <f t="shared" ca="1" si="51"/>
        <v>1000</v>
      </c>
      <c r="AA77" s="28">
        <f t="shared" ca="1" si="52"/>
        <v>44000</v>
      </c>
      <c r="AB77" s="28" cm="1">
        <f t="array" aca="1" ref="AB77" ca="1">IF(SUMIFS(TransTDCost,TransAsset,$C77,TransDate,"&lt;="&amp;$L77)&gt;($T77-$X77),($T77-$X77),SUMIFS(TransTDCost,TransAsset,$C77,TransDate,"&lt;="&amp;$L77))</f>
        <v>222386.66666666669</v>
      </c>
      <c r="AC77" s="28">
        <f t="shared" ca="1" si="53"/>
        <v>0</v>
      </c>
      <c r="AD77" s="28">
        <f t="array" aca="1" ref="AD77" ca="1">IF($L77=LARGE(IF(TransAsset=$C77,IF(TransIDDate&lt;Assets!$H$2,TransIDDate,0),0),1),IF($B77="DIS",$AC77,SUMIFS(TransCAccDep,TransAsset,$C77,TransDate,"&lt;="&amp;$L77)+IF($U77=0,0,MIN(($S77-$V77)/($U77*12)*(((YEAR(Assets!$H$2)*12)+MONTH(Assets!$H$2)-1)-((YEAR($L77)*12)+MONTH($L77)-1)),$S77-$V77))),0)-$AO77</f>
        <v>0</v>
      </c>
      <c r="AE77" s="28">
        <f t="shared" ca="1" si="54"/>
        <v>14186.666666666686</v>
      </c>
      <c r="AF77" s="28">
        <f t="shared" ca="1" si="55"/>
        <v>-14186.666666666686</v>
      </c>
      <c r="AG77" s="28">
        <f t="shared" ca="1" si="56"/>
        <v>0</v>
      </c>
      <c r="AH77" s="28">
        <f t="shared" ca="1" si="57"/>
        <v>0</v>
      </c>
      <c r="AI77" s="28" cm="1">
        <f t="array" ref="AI77">IF($B77="REV",IF($S77-$AA77+$AE77&gt;0,IF(SUMIFS(TransImpair,TransAsset,$C77,TransDate,"&lt;"&amp;$M77)&gt;0,IF(SUMIFS(TransImpair,TransAsset,$C77,TransDate,"&lt;"&amp;$M77)&gt;$S77-$AA77+$AE77,-($S77-$AA77+$AE77),-SUMIFS(TransImpair,TransAsset,$C77,TransDate,"&lt;"&amp;$M77)),0),-($S77-$AA77+$AE77)),0)</f>
        <v>0</v>
      </c>
      <c r="AJ77" s="28">
        <f t="shared" ca="1" si="58"/>
        <v>11186.666666666686</v>
      </c>
      <c r="AK77" s="28">
        <f t="shared" ca="1" si="59"/>
        <v>0</v>
      </c>
      <c r="AL77" s="28">
        <f t="shared" ca="1" si="60"/>
        <v>0</v>
      </c>
      <c r="AM77" s="28" cm="1">
        <f t="array" aca="1" ref="AM77" ca="1">IF($AN77&gt;($T77-$V77),($T77-$V77)-SUMIFS(TransPCAccDep,TransAsset,$C77,TransDate,"&lt;="&amp;$L77),$AL77)</f>
        <v>0</v>
      </c>
      <c r="AN77" s="28" cm="1">
        <f t="array" aca="1" ref="AN77" ca="1">IF($AL77=0,0,SUMIFS(TransCCYDep2,TransAsset,$C77,TransDate,"&lt;="&amp;$L77)+SUMIFS(TransPCAccDep,TransAsset,$C77,TransDate,"&lt;="&amp;$L77))</f>
        <v>0</v>
      </c>
      <c r="AO77" s="28">
        <f t="array" aca="1" ref="AO77" ca="1">IF($L77=LARGE(IF(TransAsset=$C77,IF(TransIDDate&lt;Assets!$H$2,TransIDDate,0),0),1),IF($B77="DIS",0,MIN(SUMIFS(TransTDCost,TransAsset,$C77,TransDate,"&lt;="&amp;$L77)+IF($U77=0,0,MIN(($S77-$V77)/($U77*12)*(((YEAR(Assets!$H$2)*12)+MONTH(Assets!$H$2)-1)-((YEAR($L77)*12)+MONTH($L77)-1)),$S77-$V77)),SUMIFS(TransTDCost,TransAsset,$C77,TransDate,"&lt;="&amp;$L77)+IF($U77=0,0,MIN(($T77-$V77)/($U77*12)*(((YEAR(Assets!$H$2)*12)+MONTH(Assets!$H$2)-1)-((YEAR($L77)*12)+MONTH($L77)-1)),$T77-$V77)),$T77-$V77)),0)</f>
        <v>0</v>
      </c>
      <c r="AP77" s="28">
        <f t="shared" ca="1" si="61"/>
        <v>1000</v>
      </c>
      <c r="AQ77" s="60">
        <f ca="1">IF(SUMPRODUCT((TransAsset=$C77)*(TransType="DIS")*(TransIDDate&lt;(Assets!$I$2+1))*(1))&gt;0,0,IF(AND($AR77=0,DATE(YEAR($L77),MONTH($L77),1)&lt;&gt;DATE(YEAR(Assets!$J$2),MONTH(Assets!$J$2),1)),0,IF(DATE(YEAR($Q77),MONTH($Q77),1)&lt;&gt;DATE(YEAR(Assets!$I$2),MONTH(Assets!$I$2),1),0,IF($AR77=$S77-$V77,0,IF($U77=0,0,MIN(($S77-$V77)/($U77*12),($S77-$V77)-$AR77))))))</f>
        <v>0</v>
      </c>
      <c r="AR77" s="60">
        <f t="array" aca="1" ref="AR77" ca="1">IF($L77=LARGE(IF(TransAsset=$C77,IF(TransIDDate&lt;Assets!$J$2,TransIDDate,0),0),1),IF($B77="DIS",0,MIN(IF($U77=0,0,(($S77-$V77)/($U77*12)*(((YEAR(Assets!$J$2)*12)+MONTH(Assets!$J$2)-1)-((YEAR($L77)*12)+MONTH($L77)-1)))),($S77-$V77))),0)</f>
        <v>0</v>
      </c>
      <c r="AS77" s="60">
        <f t="shared" ca="1" si="62"/>
        <v>500</v>
      </c>
      <c r="AT77" s="28" cm="1">
        <f t="array" aca="1" ref="AT77" ca="1">IF(SUMPRODUCT((TransAsset=$C77)*(TransType="DIS")*(TransIDDate&lt;(Assets!$I$2+1))*(1))&gt;0,0,IF(AND($AU77=0,DATE(YEAR($L77),MONTH($L77),1)&lt;&gt;DATE(YEAR(Assets!$J$2),MONTH(Assets!$J$2),1)),0,IF(DATE(YEAR($Q77),MONTH($Q77),1)&lt;&gt;DATE(YEAR(Assets!$I$2),MONTH(Assets!$I$2),1),0,IF(SUMIFS(TransPMAccDep,TransAsset,$C77)&gt;=($T77-$V77),($T77-$V77)-SUMIFS(TransPMAccDep,TransAsset,$C77),IF($U77=0,0,IF($S77&lt;$T77,MIN(($S77-$V77)/($U77*12),($T77-$V77)-$AU77),MIN(($T77-$V77)/($U77*12),($T77-$V77)-$AU77)))))))</f>
        <v>0</v>
      </c>
      <c r="AU77" s="28">
        <f t="array" aca="1" ref="AU77" ca="1">IF($L77=LARGE(IF(TransAsset=$C77,IF(TransIDDate&lt;Assets!$J$2,TransIDDate,0),0),1),IF($B77="DIS",0,MIN(SUMIFS(TransTDCost,TransAsset,$C77,TransDate,"&lt;="&amp;$L77)+IF($U77=0,0,MIN(($S77-$V77)/($U77*12)*(((YEAR(Assets!$J$2)*12)+MONTH(Assets!$J$2)-1)-((YEAR($L77)*12)+MONTH($L77)-1)),$S77-$V77)),SUMIFS(TransTDCost,TransAsset,$C77,TransDate,"&lt;="&amp;$L77)+IF($U77=0,0,MIN(($T77-$V77)/($U77*12)*(((YEAR(Assets!$J$2)*12)+MONTH(Assets!$J$2)-1)-((YEAR($L77)*12)+MONTH($L77)-1)),$T77-$V77)),$T77-$V77)),0)</f>
        <v>0</v>
      </c>
    </row>
    <row r="78" spans="1:47" ht="16" customHeight="1" x14ac:dyDescent="0.25">
      <c r="A78" s="33">
        <v>44002</v>
      </c>
      <c r="B78" s="4" t="s">
        <v>79</v>
      </c>
      <c r="C78" s="8" t="s">
        <v>351</v>
      </c>
      <c r="D78" s="3" t="s">
        <v>334</v>
      </c>
      <c r="E78" s="3" t="s">
        <v>353</v>
      </c>
      <c r="F78" s="28">
        <v>288500</v>
      </c>
      <c r="G78" s="28">
        <v>5</v>
      </c>
      <c r="H78" s="28">
        <v>22000</v>
      </c>
      <c r="I78" s="28">
        <v>0</v>
      </c>
      <c r="J78" s="59" t="str" cm="1">
        <f t="array" aca="1" ref="J78" ca="1">IF(ISNA(VLOOKUP($C78,AssetCode,1,0))=TRUE,"E3",IF(OR(ISBLANK($B78)=TRUE,SUMPRODUCT((TransAsset=$C78)*(TransIDDate&lt;$L78)*(TransType="DIS")*(1))&gt;0),"E4",IF(SUMPRODUCT((TransAsset=$C78)*(TransType="ACQ")*(1))&gt;1,"E5",IF(OR($F78&lt;0,AND(TransType="DIS",$F78&lt;&gt;0)=TRUE),"E6",IF(OR(AND($G78&lt;0,TransType&lt;&gt;"DIS")=TRUE,AND(TransType="DIS",$G78&lt;&gt;0)=TRUE),"E7",IF(OR($H78&lt;0,AND(TransType="DIS",$H78&lt;&gt;0)=TRUE,$H78&gt;$F78),"E8",IF($I78&lt;0,"E9","-")))))))</f>
        <v>-</v>
      </c>
      <c r="K78" s="60" t="str">
        <f>IF(ISNA(VLOOKUP($C78,AssetAll,COLUMN(Assets!$E$4),0))=TRUE,"add!",VLOOKUP($C78,AssetAll,COLUMN(Assets!$E$4),0))</f>
        <v>MVH01</v>
      </c>
      <c r="L78" s="61">
        <f t="shared" ca="1" si="42"/>
        <v>44002.000902777778</v>
      </c>
      <c r="M78" s="61">
        <f t="array" aca="1" ref="M78" ca="1">IF(ISBLANK($C78)=TRUE,0,LARGE(IF(TransAsset=$C78,IF(TransIDDate&lt;$L78,TransIDDate,0),0),1))</f>
        <v>0</v>
      </c>
      <c r="N78" s="61">
        <f t="array" aca="1" ref="N78" ca="1">IF(ISBLANK($C78)=TRUE,0,SMALL(IF(TransAsset=$C78,IF(TransIDDate&gt;$L78,TransIDDate,(Assets!$I$2+1)),(Assets!$I$2+1)),1))</f>
        <v>44256</v>
      </c>
      <c r="O78" s="61">
        <f t="shared" ca="1" si="43"/>
        <v>45808</v>
      </c>
      <c r="P78" s="61">
        <f ca="1">IF(OR($N78&lt;Assets!$H$2,$O78&lt;Assets!$H$2,$L78&gt;(Assets!$I$2+1)),0,IF($B78="DIS",IF($L78&lt;Assets!$H$2,0,IF($L78&lt;(Assets!$I$2+1),DATE(YEAR($L78),MONTH($L78),0),Assets!$H$2)),IF($L78&lt;Assets!$H$2,Assets!$H$2,DATE(YEAR($L78),MONTH($L78),1))))</f>
        <v>43983</v>
      </c>
      <c r="Q78" s="61">
        <f ca="1">IF($P78=0,0,IF($B78="DIS",IF($L78&gt;(Assets!$I$2+1),MIN(Assets!$I$2,$O78),MIN($L78,$O78)),IF($N78&lt;(Assets!$I$2+1),MIN(IF(DATE(YEAR($N78),MONTH($N78),0)&lt;$P78,$P78,DATE(YEAR($N78),MONTH($N78),0)),$O78),MIN(Assets!$I$2,$O78))))</f>
        <v>44255</v>
      </c>
      <c r="R78" s="60">
        <f t="shared" ca="1" si="44"/>
        <v>9</v>
      </c>
      <c r="S78" s="60">
        <f t="shared" si="45"/>
        <v>288500</v>
      </c>
      <c r="T78" s="60" cm="1">
        <f t="array" ref="T78">IF(ISBLANK($B78)=FALSE,SUMIFS(TransAmount,TransAsset,$C78,TransType,"ACQ"),0)</f>
        <v>288500</v>
      </c>
      <c r="U78" s="60">
        <f t="shared" si="46"/>
        <v>5</v>
      </c>
      <c r="V78" s="60">
        <f t="shared" si="47"/>
        <v>22000</v>
      </c>
      <c r="W78" s="28">
        <f t="shared" ca="1" si="48"/>
        <v>0</v>
      </c>
      <c r="X78" s="28">
        <f t="shared" ca="1" si="49"/>
        <v>0</v>
      </c>
      <c r="Y78" s="28">
        <f t="shared" ca="1" si="50"/>
        <v>0</v>
      </c>
      <c r="Z78" s="28">
        <f t="shared" ca="1" si="51"/>
        <v>0</v>
      </c>
      <c r="AA78" s="28">
        <f t="shared" ca="1" si="52"/>
        <v>0</v>
      </c>
      <c r="AB78" s="28" cm="1">
        <f t="array" aca="1" ref="AB78" ca="1">IF(SUMIFS(TransTDCost,TransAsset,$C78,TransDate,"&lt;="&amp;$L78)&gt;($T78-$X78),($T78-$X78),SUMIFS(TransTDCost,TransAsset,$C78,TransDate,"&lt;="&amp;$L78))</f>
        <v>0</v>
      </c>
      <c r="AC78" s="28">
        <f t="shared" ca="1" si="53"/>
        <v>0</v>
      </c>
      <c r="AD78" s="28">
        <f t="array" aca="1" ref="AD78" ca="1">IF($L78=LARGE(IF(TransAsset=$C78,IF(TransIDDate&lt;Assets!$H$2,TransIDDate,0),0),1),IF($B78="DIS",$AC78,SUMIFS(TransCAccDep,TransAsset,$C78,TransDate,"&lt;="&amp;$L78)+IF($U78=0,0,MIN(($S78-$V78)/($U78*12)*(((YEAR(Assets!$H$2)*12)+MONTH(Assets!$H$2)-1)-((YEAR($L78)*12)+MONTH($L78)-1)),$S78-$V78))),0)-$AO78</f>
        <v>0</v>
      </c>
      <c r="AE78" s="28">
        <f t="shared" ca="1" si="54"/>
        <v>0</v>
      </c>
      <c r="AF78" s="28">
        <f t="shared" ca="1" si="55"/>
        <v>0</v>
      </c>
      <c r="AG78" s="28">
        <f t="shared" ca="1" si="56"/>
        <v>0</v>
      </c>
      <c r="AH78" s="28">
        <f t="shared" ca="1" si="57"/>
        <v>0</v>
      </c>
      <c r="AI78" s="28" cm="1">
        <f t="array" ref="AI78">IF($B78="REV",IF($S78-$AA78+$AE78&gt;0,IF(SUMIFS(TransImpair,TransAsset,$C78,TransDate,"&lt;"&amp;$M78)&gt;0,IF(SUMIFS(TransImpair,TransAsset,$C78,TransDate,"&lt;"&amp;$M78)&gt;$S78-$AA78+$AE78,-($S78-$AA78+$AE78),-SUMIFS(TransImpair,TransAsset,$C78,TransDate,"&lt;"&amp;$M78)),0),-($S78-$AA78+$AE78)),0)</f>
        <v>0</v>
      </c>
      <c r="AJ78" s="28">
        <f t="shared" si="58"/>
        <v>0</v>
      </c>
      <c r="AK78" s="28">
        <f t="shared" ca="1" si="59"/>
        <v>39975</v>
      </c>
      <c r="AL78" s="28">
        <f t="shared" ca="1" si="60"/>
        <v>39975</v>
      </c>
      <c r="AM78" s="28" cm="1">
        <f t="array" aca="1" ref="AM78" ca="1">IF($AN78&gt;($T78-$V78),($T78-$V78)-SUMIFS(TransPCAccDep,TransAsset,$C78,TransDate,"&lt;="&amp;$L78),$AL78)</f>
        <v>39975</v>
      </c>
      <c r="AN78" s="28" cm="1">
        <f t="array" aca="1" ref="AN78" ca="1">IF($AL78=0,0,SUMIFS(TransCCYDep2,TransAsset,$C78,TransDate,"&lt;="&amp;$L78)+SUMIFS(TransPCAccDep,TransAsset,$C78,TransDate,"&lt;="&amp;$L78))</f>
        <v>39975</v>
      </c>
      <c r="AO78" s="28">
        <f t="array" aca="1" ref="AO78" ca="1">IF($L78=LARGE(IF(TransAsset=$C78,IF(TransIDDate&lt;Assets!$H$2,TransIDDate,0),0),1),IF($B78="DIS",0,MIN(SUMIFS(TransTDCost,TransAsset,$C78,TransDate,"&lt;="&amp;$L78)+IF($U78=0,0,MIN(($S78-$V78)/($U78*12)*(((YEAR(Assets!$H$2)*12)+MONTH(Assets!$H$2)-1)-((YEAR($L78)*12)+MONTH($L78)-1)),$S78-$V78)),SUMIFS(TransTDCost,TransAsset,$C78,TransDate,"&lt;="&amp;$L78)+IF($U78=0,0,MIN(($T78-$V78)/($U78*12)*(((YEAR(Assets!$H$2)*12)+MONTH(Assets!$H$2)-1)-((YEAR($L78)*12)+MONTH($L78)-1)),$T78-$V78)),$T78-$V78)),0)</f>
        <v>0</v>
      </c>
      <c r="AP78" s="28">
        <f t="shared" ca="1" si="61"/>
        <v>0</v>
      </c>
      <c r="AQ78" s="60">
        <f ca="1">IF(SUMPRODUCT((TransAsset=$C78)*(TransType="DIS")*(TransIDDate&lt;(Assets!$I$2+1))*(1))&gt;0,0,IF(AND($AR78=0,DATE(YEAR($L78),MONTH($L78),1)&lt;&gt;DATE(YEAR(Assets!$J$2),MONTH(Assets!$J$2),1)),0,IF(DATE(YEAR($Q78),MONTH($Q78),1)&lt;&gt;DATE(YEAR(Assets!$I$2),MONTH(Assets!$I$2),1),0,IF($AR78=$S78-$V78,0,IF($U78=0,0,MIN(($S78-$V78)/($U78*12),($S78-$V78)-$AR78))))))</f>
        <v>4441.666666666667</v>
      </c>
      <c r="AR78" s="60">
        <f t="array" aca="1" ref="AR78" ca="1">IF($L78=LARGE(IF(TransAsset=$C78,IF(TransIDDate&lt;Assets!$J$2,TransIDDate,0),0),1),IF($B78="DIS",0,MIN(IF($U78=0,0,(($S78-$V78)/($U78*12)*(((YEAR(Assets!$J$2)*12)+MONTH(Assets!$J$2)-1)-((YEAR($L78)*12)+MONTH($L78)-1)))),($S78-$V78))),0)</f>
        <v>35533.333333333336</v>
      </c>
      <c r="AS78" s="60">
        <f t="shared" si="62"/>
        <v>4441.666666666667</v>
      </c>
      <c r="AT78" s="28" cm="1">
        <f t="array" aca="1" ref="AT78" ca="1">IF(SUMPRODUCT((TransAsset=$C78)*(TransType="DIS")*(TransIDDate&lt;(Assets!$I$2+1))*(1))&gt;0,0,IF(AND($AU78=0,DATE(YEAR($L78),MONTH($L78),1)&lt;&gt;DATE(YEAR(Assets!$J$2),MONTH(Assets!$J$2),1)),0,IF(DATE(YEAR($Q78),MONTH($Q78),1)&lt;&gt;DATE(YEAR(Assets!$I$2),MONTH(Assets!$I$2),1),0,IF(SUMIFS(TransPMAccDep,TransAsset,$C78)&gt;=($T78-$V78),($T78-$V78)-SUMIFS(TransPMAccDep,TransAsset,$C78),IF($U78=0,0,IF($S78&lt;$T78,MIN(($S78-$V78)/($U78*12),($T78-$V78)-$AU78),MIN(($T78-$V78)/($U78*12),($T78-$V78)-$AU78)))))))</f>
        <v>4441.666666666667</v>
      </c>
      <c r="AU78" s="28">
        <f t="array" aca="1" ref="AU78" ca="1">IF($L78=LARGE(IF(TransAsset=$C78,IF(TransIDDate&lt;Assets!$J$2,TransIDDate,0),0),1),IF($B78="DIS",0,MIN(SUMIFS(TransTDCost,TransAsset,$C78,TransDate,"&lt;="&amp;$L78)+IF($U78=0,0,MIN(($S78-$V78)/($U78*12)*(((YEAR(Assets!$J$2)*12)+MONTH(Assets!$J$2)-1)-((YEAR($L78)*12)+MONTH($L78)-1)),$S78-$V78)),SUMIFS(TransTDCost,TransAsset,$C78,TransDate,"&lt;="&amp;$L78)+IF($U78=0,0,MIN(($T78-$V78)/($U78*12)*(((YEAR(Assets!$J$2)*12)+MONTH(Assets!$J$2)-1)-((YEAR($L78)*12)+MONTH($L78)-1)),$T78-$V78)),$T78-$V78)),0)</f>
        <v>35533.333333333336</v>
      </c>
    </row>
    <row r="79" spans="1:47" ht="16" customHeight="1" x14ac:dyDescent="0.25">
      <c r="A79" s="33">
        <v>44058</v>
      </c>
      <c r="B79" s="4" t="s">
        <v>79</v>
      </c>
      <c r="C79" s="8" t="s">
        <v>331</v>
      </c>
      <c r="D79" s="3" t="s">
        <v>333</v>
      </c>
      <c r="E79" s="3" t="s">
        <v>338</v>
      </c>
      <c r="F79" s="28">
        <v>3420</v>
      </c>
      <c r="G79" s="28">
        <v>5</v>
      </c>
      <c r="H79" s="28">
        <v>0</v>
      </c>
      <c r="I79" s="28">
        <v>0</v>
      </c>
      <c r="J79" s="59" t="str" cm="1">
        <f t="array" aca="1" ref="J79" ca="1">IF(ISNA(VLOOKUP($C79,AssetCode,1,0))=TRUE,"E3",IF(OR(ISBLANK($B79)=TRUE,SUMPRODUCT((TransAsset=$C79)*(TransIDDate&lt;$L79)*(TransType="DIS")*(1))&gt;0),"E4",IF(SUMPRODUCT((TransAsset=$C79)*(TransType="ACQ")*(1))&gt;1,"E5",IF(OR($F79&lt;0,AND(TransType="DIS",$F79&lt;&gt;0)=TRUE),"E6",IF(OR(AND($G79&lt;0,TransType&lt;&gt;"DIS")=TRUE,AND(TransType="DIS",$G79&lt;&gt;0)=TRUE),"E7",IF(OR($H79&lt;0,AND(TransType="DIS",$H79&lt;&gt;0)=TRUE,$H79&gt;$F79),"E8",IF($I79&lt;0,"E9","-")))))))</f>
        <v>-</v>
      </c>
      <c r="K79" s="60" t="str">
        <f>IF(ISNA(VLOOKUP($C79,AssetAll,COLUMN(Assets!$E$4),0))=TRUE,"add!",VLOOKUP($C79,AssetAll,COLUMN(Assets!$E$4),0))</f>
        <v>PPM01</v>
      </c>
      <c r="L79" s="61">
        <f t="shared" ca="1" si="42"/>
        <v>44058.000914351855</v>
      </c>
      <c r="M79" s="61">
        <f t="array" aca="1" ref="M79" ca="1">IF(ISBLANK($C79)=TRUE,0,LARGE(IF(TransAsset=$C79,IF(TransIDDate&lt;$L79,TransIDDate,0),0),1))</f>
        <v>0</v>
      </c>
      <c r="N79" s="61">
        <f t="array" aca="1" ref="N79" ca="1">IF(ISBLANK($C79)=TRUE,0,SMALL(IF(TransAsset=$C79,IF(TransIDDate&gt;$L79,TransIDDate,(Assets!$I$2+1)),(Assets!$I$2+1)),1))</f>
        <v>44256</v>
      </c>
      <c r="O79" s="61">
        <f t="shared" ca="1" si="43"/>
        <v>45869</v>
      </c>
      <c r="P79" s="61">
        <f ca="1">IF(OR($N79&lt;Assets!$H$2,$O79&lt;Assets!$H$2,$L79&gt;(Assets!$I$2+1)),0,IF($B79="DIS",IF($L79&lt;Assets!$H$2,0,IF($L79&lt;(Assets!$I$2+1),DATE(YEAR($L79),MONTH($L79),0),Assets!$H$2)),IF($L79&lt;Assets!$H$2,Assets!$H$2,DATE(YEAR($L79),MONTH($L79),1))))</f>
        <v>44044</v>
      </c>
      <c r="Q79" s="61">
        <f ca="1">IF($P79=0,0,IF($B79="DIS",IF($L79&gt;(Assets!$I$2+1),MIN(Assets!$I$2,$O79),MIN($L79,$O79)),IF($N79&lt;(Assets!$I$2+1),MIN(IF(DATE(YEAR($N79),MONTH($N79),0)&lt;$P79,$P79,DATE(YEAR($N79),MONTH($N79),0)),$O79),MIN(Assets!$I$2,$O79))))</f>
        <v>44255</v>
      </c>
      <c r="R79" s="60">
        <f t="shared" ca="1" si="44"/>
        <v>7</v>
      </c>
      <c r="S79" s="60">
        <f t="shared" si="45"/>
        <v>3420</v>
      </c>
      <c r="T79" s="60" cm="1">
        <f t="array" ref="T79">IF(ISBLANK($B79)=FALSE,SUMIFS(TransAmount,TransAsset,$C79,TransType,"ACQ"),0)</f>
        <v>3420</v>
      </c>
      <c r="U79" s="60">
        <f t="shared" si="46"/>
        <v>5</v>
      </c>
      <c r="V79" s="60">
        <f t="shared" si="47"/>
        <v>0</v>
      </c>
      <c r="W79" s="28">
        <f t="shared" ca="1" si="48"/>
        <v>0</v>
      </c>
      <c r="X79" s="28">
        <f t="shared" ca="1" si="49"/>
        <v>0</v>
      </c>
      <c r="Y79" s="28">
        <f t="shared" ca="1" si="50"/>
        <v>0</v>
      </c>
      <c r="Z79" s="28">
        <f t="shared" ca="1" si="51"/>
        <v>0</v>
      </c>
      <c r="AA79" s="28">
        <f t="shared" ca="1" si="52"/>
        <v>0</v>
      </c>
      <c r="AB79" s="28" cm="1">
        <f t="array" aca="1" ref="AB79" ca="1">IF(SUMIFS(TransTDCost,TransAsset,$C79,TransDate,"&lt;="&amp;$L79)&gt;($T79-$X79),($T79-$X79),SUMIFS(TransTDCost,TransAsset,$C79,TransDate,"&lt;="&amp;$L79))</f>
        <v>0</v>
      </c>
      <c r="AC79" s="28">
        <f t="shared" ca="1" si="53"/>
        <v>0</v>
      </c>
      <c r="AD79" s="28">
        <f t="array" aca="1" ref="AD79" ca="1">IF($L79=LARGE(IF(TransAsset=$C79,IF(TransIDDate&lt;Assets!$H$2,TransIDDate,0),0),1),IF($B79="DIS",$AC79,SUMIFS(TransCAccDep,TransAsset,$C79,TransDate,"&lt;="&amp;$L79)+IF($U79=0,0,MIN(($S79-$V79)/($U79*12)*(((YEAR(Assets!$H$2)*12)+MONTH(Assets!$H$2)-1)-((YEAR($L79)*12)+MONTH($L79)-1)),$S79-$V79))),0)-$AO79</f>
        <v>0</v>
      </c>
      <c r="AE79" s="28">
        <f t="shared" ca="1" si="54"/>
        <v>0</v>
      </c>
      <c r="AF79" s="28">
        <f t="shared" ca="1" si="55"/>
        <v>0</v>
      </c>
      <c r="AG79" s="28">
        <f t="shared" ca="1" si="56"/>
        <v>0</v>
      </c>
      <c r="AH79" s="28">
        <f t="shared" ca="1" si="57"/>
        <v>0</v>
      </c>
      <c r="AI79" s="28" cm="1">
        <f t="array" ref="AI79">IF($B79="REV",IF($S79-$AA79+$AE79&gt;0,IF(SUMIFS(TransImpair,TransAsset,$C79,TransDate,"&lt;"&amp;$M79)&gt;0,IF(SUMIFS(TransImpair,TransAsset,$C79,TransDate,"&lt;"&amp;$M79)&gt;$S79-$AA79+$AE79,-($S79-$AA79+$AE79),-SUMIFS(TransImpair,TransAsset,$C79,TransDate,"&lt;"&amp;$M79)),0),-($S79-$AA79+$AE79)),0)</f>
        <v>0</v>
      </c>
      <c r="AJ79" s="28">
        <f t="shared" si="58"/>
        <v>0</v>
      </c>
      <c r="AK79" s="28">
        <f t="shared" ca="1" si="59"/>
        <v>399</v>
      </c>
      <c r="AL79" s="28">
        <f t="shared" ca="1" si="60"/>
        <v>399</v>
      </c>
      <c r="AM79" s="28" cm="1">
        <f t="array" aca="1" ref="AM79" ca="1">IF($AN79&gt;($T79-$V79),($T79-$V79)-SUMIFS(TransPCAccDep,TransAsset,$C79,TransDate,"&lt;="&amp;$L79),$AL79)</f>
        <v>399</v>
      </c>
      <c r="AN79" s="28" cm="1">
        <f t="array" aca="1" ref="AN79" ca="1">IF($AL79=0,0,SUMIFS(TransCCYDep2,TransAsset,$C79,TransDate,"&lt;="&amp;$L79)+SUMIFS(TransPCAccDep,TransAsset,$C79,TransDate,"&lt;="&amp;$L79))</f>
        <v>399</v>
      </c>
      <c r="AO79" s="28">
        <f t="array" aca="1" ref="AO79" ca="1">IF($L79=LARGE(IF(TransAsset=$C79,IF(TransIDDate&lt;Assets!$H$2,TransIDDate,0),0),1),IF($B79="DIS",0,MIN(SUMIFS(TransTDCost,TransAsset,$C79,TransDate,"&lt;="&amp;$L79)+IF($U79=0,0,MIN(($S79-$V79)/($U79*12)*(((YEAR(Assets!$H$2)*12)+MONTH(Assets!$H$2)-1)-((YEAR($L79)*12)+MONTH($L79)-1)),$S79-$V79)),SUMIFS(TransTDCost,TransAsset,$C79,TransDate,"&lt;="&amp;$L79)+IF($U79=0,0,MIN(($T79-$V79)/($U79*12)*(((YEAR(Assets!$H$2)*12)+MONTH(Assets!$H$2)-1)-((YEAR($L79)*12)+MONTH($L79)-1)),$T79-$V79)),$T79-$V79)),0)</f>
        <v>0</v>
      </c>
      <c r="AP79" s="28">
        <f t="shared" ca="1" si="61"/>
        <v>0</v>
      </c>
      <c r="AQ79" s="60">
        <f ca="1">IF(SUMPRODUCT((TransAsset=$C79)*(TransType="DIS")*(TransIDDate&lt;(Assets!$I$2+1))*(1))&gt;0,0,IF(AND($AR79=0,DATE(YEAR($L79),MONTH($L79),1)&lt;&gt;DATE(YEAR(Assets!$J$2),MONTH(Assets!$J$2),1)),0,IF(DATE(YEAR($Q79),MONTH($Q79),1)&lt;&gt;DATE(YEAR(Assets!$I$2),MONTH(Assets!$I$2),1),0,IF($AR79=$S79-$V79,0,IF($U79=0,0,MIN(($S79-$V79)/($U79*12),($S79-$V79)-$AR79))))))</f>
        <v>57</v>
      </c>
      <c r="AR79" s="60">
        <f t="array" aca="1" ref="AR79" ca="1">IF($L79=LARGE(IF(TransAsset=$C79,IF(TransIDDate&lt;Assets!$J$2,TransIDDate,0),0),1),IF($B79="DIS",0,MIN(IF($U79=0,0,(($S79-$V79)/($U79*12)*(((YEAR(Assets!$J$2)*12)+MONTH(Assets!$J$2)-1)-((YEAR($L79)*12)+MONTH($L79)-1)))),($S79-$V79))),0)</f>
        <v>342</v>
      </c>
      <c r="AS79" s="60">
        <f t="shared" si="62"/>
        <v>57</v>
      </c>
      <c r="AT79" s="28" cm="1">
        <f t="array" aca="1" ref="AT79" ca="1">IF(SUMPRODUCT((TransAsset=$C79)*(TransType="DIS")*(TransIDDate&lt;(Assets!$I$2+1))*(1))&gt;0,0,IF(AND($AU79=0,DATE(YEAR($L79),MONTH($L79),1)&lt;&gt;DATE(YEAR(Assets!$J$2),MONTH(Assets!$J$2),1)),0,IF(DATE(YEAR($Q79),MONTH($Q79),1)&lt;&gt;DATE(YEAR(Assets!$I$2),MONTH(Assets!$I$2),1),0,IF(SUMIFS(TransPMAccDep,TransAsset,$C79)&gt;=($T79-$V79),($T79-$V79)-SUMIFS(TransPMAccDep,TransAsset,$C79),IF($U79=0,0,IF($S79&lt;$T79,MIN(($S79-$V79)/($U79*12),($T79-$V79)-$AU79),MIN(($T79-$V79)/($U79*12),($T79-$V79)-$AU79)))))))</f>
        <v>57</v>
      </c>
      <c r="AU79" s="28">
        <f t="array" aca="1" ref="AU79" ca="1">IF($L79=LARGE(IF(TransAsset=$C79,IF(TransIDDate&lt;Assets!$J$2,TransIDDate,0),0),1),IF($B79="DIS",0,MIN(SUMIFS(TransTDCost,TransAsset,$C79,TransDate,"&lt;="&amp;$L79)+IF($U79=0,0,MIN(($S79-$V79)/($U79*12)*(((YEAR(Assets!$J$2)*12)+MONTH(Assets!$J$2)-1)-((YEAR($L79)*12)+MONTH($L79)-1)),$S79-$V79)),SUMIFS(TransTDCost,TransAsset,$C79,TransDate,"&lt;="&amp;$L79)+IF($U79=0,0,MIN(($T79-$V79)/($U79*12)*(((YEAR(Assets!$J$2)*12)+MONTH(Assets!$J$2)-1)-((YEAR($L79)*12)+MONTH($L79)-1)),$T79-$V79)),$T79-$V79)),0)</f>
        <v>342</v>
      </c>
    </row>
    <row r="80" spans="1:47" ht="16" customHeight="1" x14ac:dyDescent="0.25">
      <c r="A80" s="33">
        <v>44185</v>
      </c>
      <c r="B80" s="4" t="s">
        <v>79</v>
      </c>
      <c r="C80" s="8" t="s">
        <v>344</v>
      </c>
      <c r="D80" s="3" t="s">
        <v>333</v>
      </c>
      <c r="E80" s="3" t="s">
        <v>350</v>
      </c>
      <c r="F80" s="28">
        <v>18999</v>
      </c>
      <c r="G80" s="28">
        <v>5</v>
      </c>
      <c r="H80" s="28">
        <v>0</v>
      </c>
      <c r="I80" s="28">
        <v>0</v>
      </c>
      <c r="J80" s="59" t="str" cm="1">
        <f t="array" aca="1" ref="J80" ca="1">IF(ISNA(VLOOKUP($C80,AssetCode,1,0))=TRUE,"E3",IF(OR(ISBLANK($B80)=TRUE,SUMPRODUCT((TransAsset=$C80)*(TransIDDate&lt;$L80)*(TransType="DIS")*(1))&gt;0),"E4",IF(SUMPRODUCT((TransAsset=$C80)*(TransType="ACQ")*(1))&gt;1,"E5",IF(OR($F80&lt;0,AND(TransType="DIS",$F80&lt;&gt;0)=TRUE),"E6",IF(OR(AND($G80&lt;0,TransType&lt;&gt;"DIS")=TRUE,AND(TransType="DIS",$G80&lt;&gt;0)=TRUE),"E7",IF(OR($H80&lt;0,AND(TransType="DIS",$H80&lt;&gt;0)=TRUE,$H80&gt;$F80),"E8",IF($I80&lt;0,"E9","-")))))))</f>
        <v>-</v>
      </c>
      <c r="K80" s="60" t="str">
        <f>IF(ISNA(VLOOKUP($C80,AssetAll,COLUMN(Assets!$E$4),0))=TRUE,"add!",VLOOKUP($C80,AssetAll,COLUMN(Assets!$E$4),0))</f>
        <v>EQP01</v>
      </c>
      <c r="L80" s="61">
        <f t="shared" ca="1" si="42"/>
        <v>44185.000925925924</v>
      </c>
      <c r="M80" s="61">
        <f t="array" aca="1" ref="M80" ca="1">IF(ISBLANK($C80)=TRUE,0,LARGE(IF(TransAsset=$C80,IF(TransIDDate&lt;$L80,TransIDDate,0),0),1))</f>
        <v>0</v>
      </c>
      <c r="N80" s="61">
        <f t="array" aca="1" ref="N80" ca="1">IF(ISBLANK($C80)=TRUE,0,SMALL(IF(TransAsset=$C80,IF(TransIDDate&gt;$L80,TransIDDate,(Assets!$I$2+1)),(Assets!$I$2+1)),1))</f>
        <v>44256</v>
      </c>
      <c r="O80" s="61">
        <f t="shared" ca="1" si="43"/>
        <v>45991</v>
      </c>
      <c r="P80" s="61">
        <f ca="1">IF(OR($N80&lt;Assets!$H$2,$O80&lt;Assets!$H$2,$L80&gt;(Assets!$I$2+1)),0,IF($B80="DIS",IF($L80&lt;Assets!$H$2,0,IF($L80&lt;(Assets!$I$2+1),DATE(YEAR($L80),MONTH($L80),0),Assets!$H$2)),IF($L80&lt;Assets!$H$2,Assets!$H$2,DATE(YEAR($L80),MONTH($L80),1))))</f>
        <v>44166</v>
      </c>
      <c r="Q80" s="61">
        <f ca="1">IF($P80=0,0,IF($B80="DIS",IF($L80&gt;(Assets!$I$2+1),MIN(Assets!$I$2,$O80),MIN($L80,$O80)),IF($N80&lt;(Assets!$I$2+1),MIN(IF(DATE(YEAR($N80),MONTH($N80),0)&lt;$P80,$P80,DATE(YEAR($N80),MONTH($N80),0)),$O80),MIN(Assets!$I$2,$O80))))</f>
        <v>44255</v>
      </c>
      <c r="R80" s="60">
        <f t="shared" ca="1" si="44"/>
        <v>3</v>
      </c>
      <c r="S80" s="60">
        <f t="shared" si="45"/>
        <v>18999</v>
      </c>
      <c r="T80" s="60" cm="1">
        <f t="array" ref="T80">IF(ISBLANK($B80)=FALSE,SUMIFS(TransAmount,TransAsset,$C80,TransType,"ACQ"),0)</f>
        <v>18999</v>
      </c>
      <c r="U80" s="60">
        <f t="shared" si="46"/>
        <v>5</v>
      </c>
      <c r="V80" s="60">
        <f t="shared" si="47"/>
        <v>0</v>
      </c>
      <c r="W80" s="28">
        <f t="shared" ca="1" si="48"/>
        <v>0</v>
      </c>
      <c r="X80" s="28">
        <f t="shared" ca="1" si="49"/>
        <v>0</v>
      </c>
      <c r="Y80" s="28">
        <f t="shared" ca="1" si="50"/>
        <v>0</v>
      </c>
      <c r="Z80" s="28">
        <f t="shared" ca="1" si="51"/>
        <v>0</v>
      </c>
      <c r="AA80" s="28">
        <f t="shared" ca="1" si="52"/>
        <v>0</v>
      </c>
      <c r="AB80" s="28" cm="1">
        <f t="array" aca="1" ref="AB80" ca="1">IF(SUMIFS(TransTDCost,TransAsset,$C80,TransDate,"&lt;="&amp;$L80)&gt;($T80-$X80),($T80-$X80),SUMIFS(TransTDCost,TransAsset,$C80,TransDate,"&lt;="&amp;$L80))</f>
        <v>0</v>
      </c>
      <c r="AC80" s="28">
        <f t="shared" ca="1" si="53"/>
        <v>0</v>
      </c>
      <c r="AD80" s="28">
        <f t="array" aca="1" ref="AD80" ca="1">IF($L80=LARGE(IF(TransAsset=$C80,IF(TransIDDate&lt;Assets!$H$2,TransIDDate,0),0),1),IF($B80="DIS",$AC80,SUMIFS(TransCAccDep,TransAsset,$C80,TransDate,"&lt;="&amp;$L80)+IF($U80=0,0,MIN(($S80-$V80)/($U80*12)*(((YEAR(Assets!$H$2)*12)+MONTH(Assets!$H$2)-1)-((YEAR($L80)*12)+MONTH($L80)-1)),$S80-$V80))),0)-$AO80</f>
        <v>0</v>
      </c>
      <c r="AE80" s="28">
        <f t="shared" ca="1" si="54"/>
        <v>0</v>
      </c>
      <c r="AF80" s="28">
        <f t="shared" ca="1" si="55"/>
        <v>0</v>
      </c>
      <c r="AG80" s="28">
        <f t="shared" ca="1" si="56"/>
        <v>0</v>
      </c>
      <c r="AH80" s="28">
        <f t="shared" ca="1" si="57"/>
        <v>0</v>
      </c>
      <c r="AI80" s="28" cm="1">
        <f t="array" ref="AI80">IF($B80="REV",IF($S80-$AA80+$AE80&gt;0,IF(SUMIFS(TransImpair,TransAsset,$C80,TransDate,"&lt;"&amp;$M80)&gt;0,IF(SUMIFS(TransImpair,TransAsset,$C80,TransDate,"&lt;"&amp;$M80)&gt;$S80-$AA80+$AE80,-($S80-$AA80+$AE80),-SUMIFS(TransImpair,TransAsset,$C80,TransDate,"&lt;"&amp;$M80)),0),-($S80-$AA80+$AE80)),0)</f>
        <v>0</v>
      </c>
      <c r="AJ80" s="28">
        <f t="shared" si="58"/>
        <v>0</v>
      </c>
      <c r="AK80" s="28">
        <f t="shared" ca="1" si="59"/>
        <v>949.94999999999993</v>
      </c>
      <c r="AL80" s="28">
        <f t="shared" ca="1" si="60"/>
        <v>949.94999999999993</v>
      </c>
      <c r="AM80" s="28" cm="1">
        <f t="array" aca="1" ref="AM80" ca="1">IF($AN80&gt;($T80-$V80),($T80-$V80)-SUMIFS(TransPCAccDep,TransAsset,$C80,TransDate,"&lt;="&amp;$L80),$AL80)</f>
        <v>949.94999999999993</v>
      </c>
      <c r="AN80" s="28" cm="1">
        <f t="array" aca="1" ref="AN80" ca="1">IF($AL80=0,0,SUMIFS(TransCCYDep2,TransAsset,$C80,TransDate,"&lt;="&amp;$L80)+SUMIFS(TransPCAccDep,TransAsset,$C80,TransDate,"&lt;="&amp;$L80))</f>
        <v>949.94999999999993</v>
      </c>
      <c r="AO80" s="28">
        <f t="array" aca="1" ref="AO80" ca="1">IF($L80=LARGE(IF(TransAsset=$C80,IF(TransIDDate&lt;Assets!$H$2,TransIDDate,0),0),1),IF($B80="DIS",0,MIN(SUMIFS(TransTDCost,TransAsset,$C80,TransDate,"&lt;="&amp;$L80)+IF($U80=0,0,MIN(($S80-$V80)/($U80*12)*(((YEAR(Assets!$H$2)*12)+MONTH(Assets!$H$2)-1)-((YEAR($L80)*12)+MONTH($L80)-1)),$S80-$V80)),SUMIFS(TransTDCost,TransAsset,$C80,TransDate,"&lt;="&amp;$L80)+IF($U80=0,0,MIN(($T80-$V80)/($U80*12)*(((YEAR(Assets!$H$2)*12)+MONTH(Assets!$H$2)-1)-((YEAR($L80)*12)+MONTH($L80)-1)),$T80-$V80)),$T80-$V80)),0)</f>
        <v>0</v>
      </c>
      <c r="AP80" s="28">
        <f t="shared" ca="1" si="61"/>
        <v>0</v>
      </c>
      <c r="AQ80" s="60">
        <f ca="1">IF(SUMPRODUCT((TransAsset=$C80)*(TransType="DIS")*(TransIDDate&lt;(Assets!$I$2+1))*(1))&gt;0,0,IF(AND($AR80=0,DATE(YEAR($L80),MONTH($L80),1)&lt;&gt;DATE(YEAR(Assets!$J$2),MONTH(Assets!$J$2),1)),0,IF(DATE(YEAR($Q80),MONTH($Q80),1)&lt;&gt;DATE(YEAR(Assets!$I$2),MONTH(Assets!$I$2),1),0,IF($AR80=$S80-$V80,0,IF($U80=0,0,MIN(($S80-$V80)/($U80*12),($S80-$V80)-$AR80))))))</f>
        <v>316.64999999999998</v>
      </c>
      <c r="AR80" s="60">
        <f t="array" aca="1" ref="AR80" ca="1">IF($L80=LARGE(IF(TransAsset=$C80,IF(TransIDDate&lt;Assets!$J$2,TransIDDate,0),0),1),IF($B80="DIS",0,MIN(IF($U80=0,0,(($S80-$V80)/($U80*12)*(((YEAR(Assets!$J$2)*12)+MONTH(Assets!$J$2)-1)-((YEAR($L80)*12)+MONTH($L80)-1)))),($S80-$V80))),0)</f>
        <v>633.29999999999995</v>
      </c>
      <c r="AS80" s="60">
        <f t="shared" si="62"/>
        <v>316.64999999999998</v>
      </c>
      <c r="AT80" s="28" cm="1">
        <f t="array" aca="1" ref="AT80" ca="1">IF(SUMPRODUCT((TransAsset=$C80)*(TransType="DIS")*(TransIDDate&lt;(Assets!$I$2+1))*(1))&gt;0,0,IF(AND($AU80=0,DATE(YEAR($L80),MONTH($L80),1)&lt;&gt;DATE(YEAR(Assets!$J$2),MONTH(Assets!$J$2),1)),0,IF(DATE(YEAR($Q80),MONTH($Q80),1)&lt;&gt;DATE(YEAR(Assets!$I$2),MONTH(Assets!$I$2),1),0,IF(SUMIFS(TransPMAccDep,TransAsset,$C80)&gt;=($T80-$V80),($T80-$V80)-SUMIFS(TransPMAccDep,TransAsset,$C80),IF($U80=0,0,IF($S80&lt;$T80,MIN(($S80-$V80)/($U80*12),($T80-$V80)-$AU80),MIN(($T80-$V80)/($U80*12),($T80-$V80)-$AU80)))))))</f>
        <v>316.64999999999998</v>
      </c>
      <c r="AU80" s="28">
        <f t="array" aca="1" ref="AU80" ca="1">IF($L80=LARGE(IF(TransAsset=$C80,IF(TransIDDate&lt;Assets!$J$2,TransIDDate,0),0),1),IF($B80="DIS",0,MIN(SUMIFS(TransTDCost,TransAsset,$C80,TransDate,"&lt;="&amp;$L80)+IF($U80=0,0,MIN(($S80-$V80)/($U80*12)*(((YEAR(Assets!$J$2)*12)+MONTH(Assets!$J$2)-1)-((YEAR($L80)*12)+MONTH($L80)-1)),$S80-$V80)),SUMIFS(TransTDCost,TransAsset,$C80,TransDate,"&lt;="&amp;$L80)+IF($U80=0,0,MIN(($T80-$V80)/($U80*12)*(((YEAR(Assets!$J$2)*12)+MONTH(Assets!$J$2)-1)-((YEAR($L80)*12)+MONTH($L80)-1)),$T80-$V80)),$T80-$V80)),0)</f>
        <v>633.29999999999995</v>
      </c>
    </row>
    <row r="81" spans="1:47" ht="16" customHeight="1" x14ac:dyDescent="0.25">
      <c r="A81" s="33">
        <v>44216</v>
      </c>
      <c r="B81" s="4" t="s">
        <v>79</v>
      </c>
      <c r="C81" s="8" t="s">
        <v>332</v>
      </c>
      <c r="D81" s="3" t="s">
        <v>334</v>
      </c>
      <c r="E81" s="3" t="s">
        <v>354</v>
      </c>
      <c r="F81" s="28">
        <v>65000</v>
      </c>
      <c r="G81" s="28">
        <v>5</v>
      </c>
      <c r="H81" s="28">
        <v>5000</v>
      </c>
      <c r="I81" s="28">
        <v>0</v>
      </c>
      <c r="J81" s="59" t="str" cm="1">
        <f t="array" aca="1" ref="J81" ca="1">IF(ISNA(VLOOKUP($C81,AssetCode,1,0))=TRUE,"E3",IF(OR(ISBLANK($B81)=TRUE,SUMPRODUCT((TransAsset=$C81)*(TransIDDate&lt;$L81)*(TransType="DIS")*(1))&gt;0),"E4",IF(SUMPRODUCT((TransAsset=$C81)*(TransType="ACQ")*(1))&gt;1,"E5",IF(OR($F81&lt;0,AND(TransType="DIS",$F81&lt;&gt;0)=TRUE),"E6",IF(OR(AND($G81&lt;0,TransType&lt;&gt;"DIS")=TRUE,AND(TransType="DIS",$G81&lt;&gt;0)=TRUE),"E7",IF(OR($H81&lt;0,AND(TransType="DIS",$H81&lt;&gt;0)=TRUE,$H81&gt;$F81),"E8",IF($I81&lt;0,"E9","-")))))))</f>
        <v>-</v>
      </c>
      <c r="K81" s="60" t="str">
        <f>IF(ISNA(VLOOKUP($C81,AssetAll,COLUMN(Assets!$E$4),0))=TRUE,"add!",VLOOKUP($C81,AssetAll,COLUMN(Assets!$E$4),0))</f>
        <v>PPM01</v>
      </c>
      <c r="L81" s="61">
        <f t="shared" ca="1" si="42"/>
        <v>44216.000937500001</v>
      </c>
      <c r="M81" s="61">
        <f t="array" aca="1" ref="M81" ca="1">IF(ISBLANK($C81)=TRUE,0,LARGE(IF(TransAsset=$C81,IF(TransIDDate&lt;$L81,TransIDDate,0),0),1))</f>
        <v>0</v>
      </c>
      <c r="N81" s="61">
        <f t="array" aca="1" ref="N81" ca="1">IF(ISBLANK($C81)=TRUE,0,SMALL(IF(TransAsset=$C81,IF(TransIDDate&gt;$L81,TransIDDate,(Assets!$I$2+1)),(Assets!$I$2+1)),1))</f>
        <v>44256</v>
      </c>
      <c r="O81" s="61">
        <f t="shared" ca="1" si="43"/>
        <v>46022</v>
      </c>
      <c r="P81" s="61">
        <f ca="1">IF(OR($N81&lt;Assets!$H$2,$O81&lt;Assets!$H$2,$L81&gt;(Assets!$I$2+1)),0,IF($B81="DIS",IF($L81&lt;Assets!$H$2,0,IF($L81&lt;(Assets!$I$2+1),DATE(YEAR($L81),MONTH($L81),0),Assets!$H$2)),IF($L81&lt;Assets!$H$2,Assets!$H$2,DATE(YEAR($L81),MONTH($L81),1))))</f>
        <v>44197</v>
      </c>
      <c r="Q81" s="61">
        <f ca="1">IF($P81=0,0,IF($B81="DIS",IF($L81&gt;(Assets!$I$2+1),MIN(Assets!$I$2,$O81),MIN($L81,$O81)),IF($N81&lt;(Assets!$I$2+1),MIN(IF(DATE(YEAR($N81),MONTH($N81),0)&lt;$P81,$P81,DATE(YEAR($N81),MONTH($N81),0)),$O81),MIN(Assets!$I$2,$O81))))</f>
        <v>44255</v>
      </c>
      <c r="R81" s="60">
        <f t="shared" ca="1" si="44"/>
        <v>2</v>
      </c>
      <c r="S81" s="60">
        <f t="shared" si="45"/>
        <v>65000</v>
      </c>
      <c r="T81" s="60" cm="1">
        <f t="array" ref="T81">IF(ISBLANK($B81)=FALSE,SUMIFS(TransAmount,TransAsset,$C81,TransType,"ACQ"),0)</f>
        <v>65000</v>
      </c>
      <c r="U81" s="60">
        <f t="shared" si="46"/>
        <v>5</v>
      </c>
      <c r="V81" s="60">
        <f t="shared" si="47"/>
        <v>5000</v>
      </c>
      <c r="W81" s="28">
        <f t="shared" ca="1" si="48"/>
        <v>0</v>
      </c>
      <c r="X81" s="28">
        <f t="shared" ca="1" si="49"/>
        <v>0</v>
      </c>
      <c r="Y81" s="28">
        <f t="shared" ca="1" si="50"/>
        <v>0</v>
      </c>
      <c r="Z81" s="28">
        <f t="shared" ca="1" si="51"/>
        <v>0</v>
      </c>
      <c r="AA81" s="28">
        <f t="shared" ca="1" si="52"/>
        <v>0</v>
      </c>
      <c r="AB81" s="28" cm="1">
        <f t="array" aca="1" ref="AB81" ca="1">IF(SUMIFS(TransTDCost,TransAsset,$C81,TransDate,"&lt;="&amp;$L81)&gt;($T81-$X81),($T81-$X81),SUMIFS(TransTDCost,TransAsset,$C81,TransDate,"&lt;="&amp;$L81))</f>
        <v>0</v>
      </c>
      <c r="AC81" s="28">
        <f t="shared" ca="1" si="53"/>
        <v>0</v>
      </c>
      <c r="AD81" s="28">
        <f t="array" aca="1" ref="AD81" ca="1">IF($L81=LARGE(IF(TransAsset=$C81,IF(TransIDDate&lt;Assets!$H$2,TransIDDate,0),0),1),IF($B81="DIS",$AC81,SUMIFS(TransCAccDep,TransAsset,$C81,TransDate,"&lt;="&amp;$L81)+IF($U81=0,0,MIN(($S81-$V81)/($U81*12)*(((YEAR(Assets!$H$2)*12)+MONTH(Assets!$H$2)-1)-((YEAR($L81)*12)+MONTH($L81)-1)),$S81-$V81))),0)-$AO81</f>
        <v>0</v>
      </c>
      <c r="AE81" s="28">
        <f t="shared" ca="1" si="54"/>
        <v>0</v>
      </c>
      <c r="AF81" s="28">
        <f t="shared" ca="1" si="55"/>
        <v>0</v>
      </c>
      <c r="AG81" s="28">
        <f t="shared" ca="1" si="56"/>
        <v>0</v>
      </c>
      <c r="AH81" s="28">
        <f t="shared" ca="1" si="57"/>
        <v>0</v>
      </c>
      <c r="AI81" s="28" cm="1">
        <f t="array" ref="AI81">IF($B81="REV",IF($S81-$AA81+$AE81&gt;0,IF(SUMIFS(TransImpair,TransAsset,$C81,TransDate,"&lt;"&amp;$M81)&gt;0,IF(SUMIFS(TransImpair,TransAsset,$C81,TransDate,"&lt;"&amp;$M81)&gt;$S81-$AA81+$AE81,-($S81-$AA81+$AE81),-SUMIFS(TransImpair,TransAsset,$C81,TransDate,"&lt;"&amp;$M81)),0),-($S81-$AA81+$AE81)),0)</f>
        <v>0</v>
      </c>
      <c r="AJ81" s="28">
        <f t="shared" si="58"/>
        <v>0</v>
      </c>
      <c r="AK81" s="28">
        <f t="shared" ca="1" si="59"/>
        <v>2000</v>
      </c>
      <c r="AL81" s="28">
        <f t="shared" ca="1" si="60"/>
        <v>2000</v>
      </c>
      <c r="AM81" s="28" cm="1">
        <f t="array" aca="1" ref="AM81" ca="1">IF($AN81&gt;($T81-$V81),($T81-$V81)-SUMIFS(TransPCAccDep,TransAsset,$C81,TransDate,"&lt;="&amp;$L81),$AL81)</f>
        <v>2000</v>
      </c>
      <c r="AN81" s="28" cm="1">
        <f t="array" aca="1" ref="AN81" ca="1">IF($AL81=0,0,SUMIFS(TransCCYDep2,TransAsset,$C81,TransDate,"&lt;="&amp;$L81)+SUMIFS(TransPCAccDep,TransAsset,$C81,TransDate,"&lt;="&amp;$L81))</f>
        <v>2000</v>
      </c>
      <c r="AO81" s="28">
        <f t="array" aca="1" ref="AO81" ca="1">IF($L81=LARGE(IF(TransAsset=$C81,IF(TransIDDate&lt;Assets!$H$2,TransIDDate,0),0),1),IF($B81="DIS",0,MIN(SUMIFS(TransTDCost,TransAsset,$C81,TransDate,"&lt;="&amp;$L81)+IF($U81=0,0,MIN(($S81-$V81)/($U81*12)*(((YEAR(Assets!$H$2)*12)+MONTH(Assets!$H$2)-1)-((YEAR($L81)*12)+MONTH($L81)-1)),$S81-$V81)),SUMIFS(TransTDCost,TransAsset,$C81,TransDate,"&lt;="&amp;$L81)+IF($U81=0,0,MIN(($T81-$V81)/($U81*12)*(((YEAR(Assets!$H$2)*12)+MONTH(Assets!$H$2)-1)-((YEAR($L81)*12)+MONTH($L81)-1)),$T81-$V81)),$T81-$V81)),0)</f>
        <v>0</v>
      </c>
      <c r="AP81" s="28">
        <f t="shared" ca="1" si="61"/>
        <v>0</v>
      </c>
      <c r="AQ81" s="60">
        <f ca="1">IF(SUMPRODUCT((TransAsset=$C81)*(TransType="DIS")*(TransIDDate&lt;(Assets!$I$2+1))*(1))&gt;0,0,IF(AND($AR81=0,DATE(YEAR($L81),MONTH($L81),1)&lt;&gt;DATE(YEAR(Assets!$J$2),MONTH(Assets!$J$2),1)),0,IF(DATE(YEAR($Q81),MONTH($Q81),1)&lt;&gt;DATE(YEAR(Assets!$I$2),MONTH(Assets!$I$2),1),0,IF($AR81=$S81-$V81,0,IF($U81=0,0,MIN(($S81-$V81)/($U81*12),($S81-$V81)-$AR81))))))</f>
        <v>1000</v>
      </c>
      <c r="AR81" s="60">
        <f t="array" aca="1" ref="AR81" ca="1">IF($L81=LARGE(IF(TransAsset=$C81,IF(TransIDDate&lt;Assets!$J$2,TransIDDate,0),0),1),IF($B81="DIS",0,MIN(IF($U81=0,0,(($S81-$V81)/($U81*12)*(((YEAR(Assets!$J$2)*12)+MONTH(Assets!$J$2)-1)-((YEAR($L81)*12)+MONTH($L81)-1)))),($S81-$V81))),0)</f>
        <v>1000</v>
      </c>
      <c r="AS81" s="60">
        <f t="shared" si="62"/>
        <v>1000</v>
      </c>
      <c r="AT81" s="28" cm="1">
        <f t="array" aca="1" ref="AT81" ca="1">IF(SUMPRODUCT((TransAsset=$C81)*(TransType="DIS")*(TransIDDate&lt;(Assets!$I$2+1))*(1))&gt;0,0,IF(AND($AU81=0,DATE(YEAR($L81),MONTH($L81),1)&lt;&gt;DATE(YEAR(Assets!$J$2),MONTH(Assets!$J$2),1)),0,IF(DATE(YEAR($Q81),MONTH($Q81),1)&lt;&gt;DATE(YEAR(Assets!$I$2),MONTH(Assets!$I$2),1),0,IF(SUMIFS(TransPMAccDep,TransAsset,$C81)&gt;=($T81-$V81),($T81-$V81)-SUMIFS(TransPMAccDep,TransAsset,$C81),IF($U81=0,0,IF($S81&lt;$T81,MIN(($S81-$V81)/($U81*12),($T81-$V81)-$AU81),MIN(($T81-$V81)/($U81*12),($T81-$V81)-$AU81)))))))</f>
        <v>1000</v>
      </c>
      <c r="AU81" s="28">
        <f t="array" aca="1" ref="AU81" ca="1">IF($L81=LARGE(IF(TransAsset=$C81,IF(TransIDDate&lt;Assets!$J$2,TransIDDate,0),0),1),IF($B81="DIS",0,MIN(SUMIFS(TransTDCost,TransAsset,$C81,TransDate,"&lt;="&amp;$L81)+IF($U81=0,0,MIN(($S81-$V81)/($U81*12)*(((YEAR(Assets!$J$2)*12)+MONTH(Assets!$J$2)-1)-((YEAR($L81)*12)+MONTH($L81)-1)),$S81-$V81)),SUMIFS(TransTDCost,TransAsset,$C81,TransDate,"&lt;="&amp;$L81)+IF($U81=0,0,MIN(($T81-$V81)/($U81*12)*(((YEAR(Assets!$J$2)*12)+MONTH(Assets!$J$2)-1)-((YEAR($L81)*12)+MONTH($L81)-1)),$T81-$V81)),$T81-$V81)),0)</f>
        <v>1000</v>
      </c>
    </row>
    <row r="82" spans="1:47" ht="16" customHeight="1" x14ac:dyDescent="0.25">
      <c r="A82" s="33">
        <v>44239</v>
      </c>
      <c r="B82" s="4" t="s">
        <v>108</v>
      </c>
      <c r="C82" s="8" t="s">
        <v>287</v>
      </c>
      <c r="D82" s="3" t="s">
        <v>362</v>
      </c>
      <c r="E82" s="3" t="s">
        <v>359</v>
      </c>
      <c r="F82" s="28">
        <v>0</v>
      </c>
      <c r="G82" s="28">
        <v>0</v>
      </c>
      <c r="H82" s="28">
        <v>0</v>
      </c>
      <c r="I82" s="28">
        <v>150000</v>
      </c>
      <c r="J82" s="59" t="str" cm="1">
        <f t="array" aca="1" ref="J82" ca="1">IF(ISNA(VLOOKUP($C82,AssetCode,1,0))=TRUE,"E3",IF(OR(ISBLANK($B82)=TRUE,SUMPRODUCT((TransAsset=$C82)*(TransIDDate&lt;$L82)*(TransType="DIS")*(1))&gt;0),"E4",IF(SUMPRODUCT((TransAsset=$C82)*(TransType="ACQ")*(1))&gt;1,"E5",IF(OR($F82&lt;0,AND(TransType="DIS",$F82&lt;&gt;0)=TRUE),"E6",IF(OR(AND($G82&lt;0,TransType&lt;&gt;"DIS")=TRUE,AND(TransType="DIS",$G82&lt;&gt;0)=TRUE),"E7",IF(OR($H82&lt;0,AND(TransType="DIS",$H82&lt;&gt;0)=TRUE,$H82&gt;$F82),"E8",IF($I82&lt;0,"E9","-")))))))</f>
        <v>-</v>
      </c>
      <c r="K82" s="60" t="str">
        <f>IF(ISNA(VLOOKUP($C82,AssetAll,COLUMN(Assets!$E$4),0))=TRUE,"add!",VLOOKUP($C82,AssetAll,COLUMN(Assets!$E$4),0))</f>
        <v>PPM01</v>
      </c>
      <c r="L82" s="61">
        <f t="shared" ca="1" si="42"/>
        <v>44239.000949074078</v>
      </c>
      <c r="M82" s="61">
        <f t="array" aca="1" ref="M82" ca="1">IF(ISBLANK($C82)=TRUE,0,LARGE(IF(TransAsset=$C82,IF(TransIDDate&lt;$L82,TransIDDate,0),0),1))</f>
        <v>43891.000717592593</v>
      </c>
      <c r="N82" s="61">
        <f t="array" aca="1" ref="N82" ca="1">IF(ISBLANK($C82)=TRUE,0,SMALL(IF(TransAsset=$C82,IF(TransIDDate&gt;$L82,TransIDDate,(Assets!$I$2+1)),(Assets!$I$2+1)),1))</f>
        <v>44256</v>
      </c>
      <c r="O82" s="61">
        <f t="shared" ca="1" si="43"/>
        <v>44227</v>
      </c>
      <c r="P82" s="61">
        <f ca="1">IF(OR($N82&lt;Assets!$H$2,$O82&lt;Assets!$H$2,$L82&gt;(Assets!$I$2+1)),0,IF($B82="DIS",IF($L82&lt;Assets!$H$2,0,IF($L82&lt;(Assets!$I$2+1),DATE(YEAR($L82),MONTH($L82),0),Assets!$H$2)),IF($L82&lt;Assets!$H$2,Assets!$H$2,DATE(YEAR($L82),MONTH($L82),1))))</f>
        <v>44227</v>
      </c>
      <c r="Q82" s="61">
        <f ca="1">IF($P82=0,0,IF($B82="DIS",IF($L82&gt;(Assets!$I$2+1),MIN(Assets!$I$2,$O82),MIN($L82,$O82)),IF($N82&lt;(Assets!$I$2+1),MIN(IF(DATE(YEAR($N82),MONTH($N82),0)&lt;$P82,$P82,DATE(YEAR($N82),MONTH($N82),0)),$O82),MIN(Assets!$I$2,$O82))))</f>
        <v>44227</v>
      </c>
      <c r="R82" s="60">
        <f t="shared" ca="1" si="44"/>
        <v>0</v>
      </c>
      <c r="S82" s="60">
        <f t="shared" si="45"/>
        <v>0</v>
      </c>
      <c r="T82" s="60" cm="1">
        <f t="array" ref="T82">IF(ISBLANK($B82)=FALSE,SUMIFS(TransAmount,TransAsset,$C82,TransType,"ACQ"),0)</f>
        <v>660450</v>
      </c>
      <c r="U82" s="60">
        <f t="shared" si="46"/>
        <v>0</v>
      </c>
      <c r="V82" s="60">
        <f t="shared" si="47"/>
        <v>0</v>
      </c>
      <c r="W82" s="28">
        <f t="shared" ca="1" si="48"/>
        <v>190000</v>
      </c>
      <c r="X82" s="28">
        <f t="shared" ca="1" si="49"/>
        <v>0</v>
      </c>
      <c r="Y82" s="28">
        <f t="shared" ca="1" si="50"/>
        <v>5</v>
      </c>
      <c r="Z82" s="28">
        <f t="shared" ca="1" si="51"/>
        <v>34833.333333333328</v>
      </c>
      <c r="AA82" s="28">
        <f t="shared" ca="1" si="52"/>
        <v>155166.66666666669</v>
      </c>
      <c r="AB82" s="28" cm="1">
        <f t="array" aca="1" ref="AB82" ca="1">IF(SUMIFS(TransTDCost,TransAsset,$C82,TransDate,"&lt;="&amp;$L82)&gt;($T82-$X82),($T82-$X82),SUMIFS(TransTDCost,TransAsset,$C82,TransDate,"&lt;="&amp;$L82))</f>
        <v>651253.33333333337</v>
      </c>
      <c r="AC82" s="28">
        <f t="shared" ca="1" si="53"/>
        <v>0</v>
      </c>
      <c r="AD82" s="28">
        <f t="array" aca="1" ref="AD82" ca="1">IF($L82=LARGE(IF(TransAsset=$C82,IF(TransIDDate&lt;Assets!$H$2,TransIDDate,0),0),1),IF($B82="DIS",$AC82,SUMIFS(TransCAccDep,TransAsset,$C82,TransDate,"&lt;="&amp;$L82)+IF($U82=0,0,MIN(($S82-$V82)/($U82*12)*(((YEAR(Assets!$H$2)*12)+MONTH(Assets!$H$2)-1)-((YEAR($L82)*12)+MONTH($L82)-1)),$S82-$V82))),0)-$AO82</f>
        <v>0</v>
      </c>
      <c r="AE82" s="28">
        <f t="shared" ca="1" si="54"/>
        <v>145970</v>
      </c>
      <c r="AF82" s="28">
        <f t="shared" ca="1" si="55"/>
        <v>-145970</v>
      </c>
      <c r="AG82" s="28">
        <f t="shared" ca="1" si="56"/>
        <v>0</v>
      </c>
      <c r="AH82" s="28">
        <f t="shared" ca="1" si="57"/>
        <v>0</v>
      </c>
      <c r="AI82" s="28" cm="1">
        <f t="array" ref="AI82">IF($B82="REV",IF($S82-$AA82+$AE82&gt;0,IF(SUMIFS(TransImpair,TransAsset,$C82,TransDate,"&lt;"&amp;$M82)&gt;0,IF(SUMIFS(TransImpair,TransAsset,$C82,TransDate,"&lt;"&amp;$M82)&gt;$S82-$AA82+$AE82,-($S82-$AA82+$AE82),-SUMIFS(TransImpair,TransAsset,$C82,TransDate,"&lt;"&amp;$M82)),0),-($S82-$AA82+$AE82)),0)</f>
        <v>0</v>
      </c>
      <c r="AJ82" s="28">
        <f t="shared" ca="1" si="58"/>
        <v>140803.33333333331</v>
      </c>
      <c r="AK82" s="28">
        <f t="shared" ca="1" si="59"/>
        <v>0</v>
      </c>
      <c r="AL82" s="28">
        <f t="shared" ca="1" si="60"/>
        <v>0</v>
      </c>
      <c r="AM82" s="28" cm="1">
        <f t="array" aca="1" ref="AM82" ca="1">IF($AN82&gt;($T82-$V82),($T82-$V82)-SUMIFS(TransPCAccDep,TransAsset,$C82,TransDate,"&lt;="&amp;$L82),$AL82)</f>
        <v>0</v>
      </c>
      <c r="AN82" s="28" cm="1">
        <f t="array" aca="1" ref="AN82" ca="1">IF($AL82=0,0,SUMIFS(TransCCYDep2,TransAsset,$C82,TransDate,"&lt;="&amp;$L82)+SUMIFS(TransPCAccDep,TransAsset,$C82,TransDate,"&lt;="&amp;$L82))</f>
        <v>0</v>
      </c>
      <c r="AO82" s="28">
        <f t="array" aca="1" ref="AO82" ca="1">IF($L82=LARGE(IF(TransAsset=$C82,IF(TransIDDate&lt;Assets!$H$2,TransIDDate,0),0),1),IF($B82="DIS",0,MIN(SUMIFS(TransTDCost,TransAsset,$C82,TransDate,"&lt;="&amp;$L82)+IF($U82=0,0,MIN(($S82-$V82)/($U82*12)*(((YEAR(Assets!$H$2)*12)+MONTH(Assets!$H$2)-1)-((YEAR($L82)*12)+MONTH($L82)-1)),$S82-$V82)),SUMIFS(TransTDCost,TransAsset,$C82,TransDate,"&lt;="&amp;$L82)+IF($U82=0,0,MIN(($T82-$V82)/($U82*12)*(((YEAR(Assets!$H$2)*12)+MONTH(Assets!$H$2)-1)-((YEAR($L82)*12)+MONTH($L82)-1)),$T82-$V82)),$T82-$V82)),0)</f>
        <v>0</v>
      </c>
      <c r="AP82" s="28">
        <f t="shared" ca="1" si="61"/>
        <v>34833.333333333328</v>
      </c>
      <c r="AQ82" s="60">
        <f ca="1">IF(SUMPRODUCT((TransAsset=$C82)*(TransType="DIS")*(TransIDDate&lt;(Assets!$I$2+1))*(1))&gt;0,0,IF(AND($AR82=0,DATE(YEAR($L82),MONTH($L82),1)&lt;&gt;DATE(YEAR(Assets!$J$2),MONTH(Assets!$J$2),1)),0,IF(DATE(YEAR($Q82),MONTH($Q82),1)&lt;&gt;DATE(YEAR(Assets!$I$2),MONTH(Assets!$I$2),1),0,IF($AR82=$S82-$V82,0,IF($U82=0,0,MIN(($S82-$V82)/($U82*12),($S82-$V82)-$AR82))))))</f>
        <v>0</v>
      </c>
      <c r="AR82" s="60">
        <f t="array" aca="1" ref="AR82" ca="1">IF($L82=LARGE(IF(TransAsset=$C82,IF(TransIDDate&lt;Assets!$J$2,TransIDDate,0),0),1),IF($B82="DIS",0,MIN(IF($U82=0,0,(($S82-$V82)/($U82*12)*(((YEAR(Assets!$J$2)*12)+MONTH(Assets!$J$2)-1)-((YEAR($L82)*12)+MONTH($L82)-1)))),($S82-$V82))),0)</f>
        <v>0</v>
      </c>
      <c r="AS82" s="60">
        <f t="shared" ca="1" si="62"/>
        <v>3166.6666666666665</v>
      </c>
      <c r="AT82" s="28" cm="1">
        <f t="array" aca="1" ref="AT82" ca="1">IF(SUMPRODUCT((TransAsset=$C82)*(TransType="DIS")*(TransIDDate&lt;(Assets!$I$2+1))*(1))&gt;0,0,IF(AND($AU82=0,DATE(YEAR($L82),MONTH($L82),1)&lt;&gt;DATE(YEAR(Assets!$J$2),MONTH(Assets!$J$2),1)),0,IF(DATE(YEAR($Q82),MONTH($Q82),1)&lt;&gt;DATE(YEAR(Assets!$I$2),MONTH(Assets!$I$2),1),0,IF(SUMIFS(TransPMAccDep,TransAsset,$C82)&gt;=($T82-$V82),($T82-$V82)-SUMIFS(TransPMAccDep,TransAsset,$C82),IF($U82=0,0,IF($S82&lt;$T82,MIN(($S82-$V82)/($U82*12),($T82-$V82)-$AU82),MIN(($T82-$V82)/($U82*12),($T82-$V82)-$AU82)))))))</f>
        <v>0</v>
      </c>
      <c r="AU82" s="28">
        <f t="array" aca="1" ref="AU82" ca="1">IF($L82=LARGE(IF(TransAsset=$C82,IF(TransIDDate&lt;Assets!$J$2,TransIDDate,0),0),1),IF($B82="DIS",0,MIN(SUMIFS(TransTDCost,TransAsset,$C82,TransDate,"&lt;="&amp;$L82)+IF($U82=0,0,MIN(($S82-$V82)/($U82*12)*(((YEAR(Assets!$J$2)*12)+MONTH(Assets!$J$2)-1)-((YEAR($L82)*12)+MONTH($L82)-1)),$S82-$V82)),SUMIFS(TransTDCost,TransAsset,$C82,TransDate,"&lt;="&amp;$L82)+IF($U82=0,0,MIN(($T82-$V82)/($U82*12)*(((YEAR(Assets!$J$2)*12)+MONTH(Assets!$J$2)-1)-((YEAR($L82)*12)+MONTH($L82)-1)),$T82-$V82)),$T82-$V82)),0)</f>
        <v>0</v>
      </c>
    </row>
  </sheetData>
  <sheetProtection autoFilter="0"/>
  <phoneticPr fontId="2" type="noConversion"/>
  <conditionalFormatting sqref="C4">
    <cfRule type="expression" dxfId="56" priority="6" stopIfTrue="1">
      <formula>OR(COUNTIF(TransError,"E3")&gt;0,COUNTIF(TransError,"E5"))=TRUE</formula>
    </cfRule>
  </conditionalFormatting>
  <conditionalFormatting sqref="B4">
    <cfRule type="expression" dxfId="55" priority="5" stopIfTrue="1">
      <formula>COUNTIF(TransError,"E4")&gt;0</formula>
    </cfRule>
  </conditionalFormatting>
  <conditionalFormatting sqref="F4">
    <cfRule type="expression" dxfId="54" priority="4" stopIfTrue="1">
      <formula>COUNTIF(TransError,"E6")&gt;0</formula>
    </cfRule>
  </conditionalFormatting>
  <conditionalFormatting sqref="G4">
    <cfRule type="expression" dxfId="53" priority="3" stopIfTrue="1">
      <formula>COUNTIF(TransError,"E7")&gt;0</formula>
    </cfRule>
  </conditionalFormatting>
  <conditionalFormatting sqref="H4">
    <cfRule type="expression" dxfId="52" priority="2" stopIfTrue="1">
      <formula>COUNTIF(TransError,"E8")&gt;0</formula>
    </cfRule>
  </conditionalFormatting>
  <conditionalFormatting sqref="I4">
    <cfRule type="expression" dxfId="51" priority="1" stopIfTrue="1">
      <formula>COUNTIF(TransError,"E9")&gt;0</formula>
    </cfRule>
  </conditionalFormatting>
  <dataValidations count="3">
    <dataValidation type="date" operator="greaterThan" allowBlank="1" showInputMessage="1" showErrorMessage="1" errorTitle="Invalid Date" error="Enter a valid date in accordance with the Regional Settings that are specified in the System Control Panel." sqref="A5:A82" xr:uid="{00000000-0002-0000-0600-000000000000}">
      <formula1>18264</formula1>
    </dataValidation>
    <dataValidation type="list" allowBlank="1" showInputMessage="1" showErrorMessage="1" errorTitle="Invalid Data" error="Select a valid transaction type from the list box." sqref="B5:B82" xr:uid="{00000000-0002-0000-0600-000001000000}">
      <formula1>"ACQ,DIS,REV"</formula1>
    </dataValidation>
    <dataValidation type="list" allowBlank="1" showInputMessage="1" showErrorMessage="1" errorTitle="Invalid Data" error="Select a valid asset number from the list box." sqref="C5:C82" xr:uid="{00000000-0002-0000-0600-000002000000}">
      <formula1>AssetNo</formula1>
    </dataValidation>
  </dataValidations>
  <pageMargins left="0.55118110236220474" right="0.55118110236220474" top="0.59055118110236227" bottom="0.39370078740157483" header="0.39370078740157483" footer="0.39370078740157483"/>
  <pageSetup paperSize="9" scale="60" fitToWidth="0" fitToHeight="0" orientation="landscape" r:id="rId1"/>
  <headerFooter alignWithMargins="0">
    <oddFooter>&amp;C&amp;9Page &amp;P of &amp;N</oddFooter>
  </headerFooter>
  <drawing r:id="rId2"/>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Y35"/>
  <sheetViews>
    <sheetView zoomScale="95" zoomScaleNormal="95" workbookViewId="0">
      <pane xSplit="2" ySplit="5" topLeftCell="C6" activePane="bottomRight" state="frozen"/>
      <selection pane="topRight" activeCell="C1" sqref="C1"/>
      <selection pane="bottomLeft" activeCell="A6" sqref="A6"/>
      <selection pane="bottomRight" activeCell="A5" sqref="A5"/>
    </sheetView>
  </sheetViews>
  <sheetFormatPr defaultColWidth="9.08984375" defaultRowHeight="16" customHeight="1" x14ac:dyDescent="0.25"/>
  <cols>
    <col min="1" max="1" width="10.6328125" style="3" customWidth="1"/>
    <col min="2" max="2" width="30.6328125" style="3" customWidth="1"/>
    <col min="3" max="25" width="14.6328125" style="36" customWidth="1"/>
    <col min="26" max="16384" width="9.08984375" style="3"/>
  </cols>
  <sheetData>
    <row r="1" spans="1:25" ht="16" customHeight="1" x14ac:dyDescent="0.3">
      <c r="A1" s="88" t="str">
        <f>'Set-up'!$C$5</f>
        <v>Example (Pty) Ltd</v>
      </c>
    </row>
    <row r="2" spans="1:25" ht="16" customHeight="1" x14ac:dyDescent="0.25">
      <c r="A2" s="18" t="s">
        <v>141</v>
      </c>
    </row>
    <row r="3" spans="1:25" s="5" customFormat="1" ht="16" customHeight="1" x14ac:dyDescent="0.25">
      <c r="A3" s="18" t="str">
        <f ca="1">"From "&amp;TEXT(Assets!$H$2,"d mmmm yyyy")&amp;" to "&amp;TEXT(Assets!$I$2,"d mmmm yyyy")</f>
        <v>From 1 March 2020 to 28 February 2021</v>
      </c>
      <c r="C3" s="42" cm="1">
        <f t="array" aca="1" ref="C3" ca="1">SUBTOTAL(109,OFFSET(C$5,1,0,CatSumCount,1))</f>
        <v>7397870</v>
      </c>
      <c r="D3" s="42" cm="1">
        <f t="array" aca="1" ref="D3" ca="1">SUBTOTAL(109,OFFSET(D$5,1,0,CatSumCount,1))</f>
        <v>375919</v>
      </c>
      <c r="E3" s="42" cm="1">
        <f t="array" aca="1" ref="E3" ca="1">SUBTOTAL(109,OFFSET(E$5,1,0,CatSumCount,1))</f>
        <v>-4076950</v>
      </c>
      <c r="F3" s="42" cm="1">
        <f t="array" aca="1" ref="F3" ca="1">SUBTOTAL(109,OFFSET(F$5,1,0,CatSumCount,1))</f>
        <v>-235000</v>
      </c>
      <c r="G3" s="42" cm="1">
        <f t="array" aca="1" ref="G3" ca="1">SUBTOTAL(109,OFFSET(G$5,1,0,CatSumCount,1))</f>
        <v>-200000</v>
      </c>
      <c r="H3" s="42" cm="1">
        <f t="array" aca="1" ref="H3" ca="1">SUBTOTAL(109,OFFSET(H$5,1,0,CatSumCount,1))</f>
        <v>3261839</v>
      </c>
      <c r="I3" s="42" cm="1">
        <f t="array" aca="1" ref="I3" ca="1">SUBTOTAL(109,OFFSET(I$5,1,0,CatSumCount,1))</f>
        <v>5397789.3611111119</v>
      </c>
      <c r="J3" s="42" cm="1">
        <f t="array" aca="1" ref="J3" ca="1">SUBTOTAL(109,OFFSET(J$5,1,0,CatSumCount,1))</f>
        <v>391165.11666666664</v>
      </c>
      <c r="K3" s="42" cm="1">
        <f t="array" aca="1" ref="K3" ca="1">SUBTOTAL(109,OFFSET(K$5,1,0,CatSumCount,1))</f>
        <v>8654.5000000000055</v>
      </c>
      <c r="L3" s="42" cm="1">
        <f t="array" aca="1" ref="L3" ca="1">SUBTOTAL(109,OFFSET(L$5,1,0,CatSumCount,1))</f>
        <v>399819.61666666664</v>
      </c>
      <c r="M3" s="42" cm="1">
        <f t="array" aca="1" ref="M3" ca="1">SUBTOTAL(109,OFFSET(M$5,1,0,CatSumCount,1))</f>
        <v>-5397789.3611111119</v>
      </c>
      <c r="N3" s="42" cm="1">
        <f t="array" aca="1" ref="N3" ca="1">SUBTOTAL(109,OFFSET(N$5,1,0,CatSumCount,1))</f>
        <v>-35833.333333333328</v>
      </c>
      <c r="O3" s="42" cm="1">
        <f t="array" aca="1" ref="O3" ca="1">SUBTOTAL(109,OFFSET(O$5,1,0,CatSumCount,1))</f>
        <v>363986.28333333303</v>
      </c>
      <c r="P3" s="42" cm="1">
        <f t="array" aca="1" ref="P3" ca="1">SUBTOTAL(109,OFFSET(P$5,1,0,CatSumCount,1))</f>
        <v>2897852.7166666663</v>
      </c>
      <c r="Q3" s="42" cm="1">
        <f t="array" aca="1" ref="Q3" ca="1">SUBTOTAL(109,OFFSET(Q$5,1,0,CatSumCount,1))</f>
        <v>0</v>
      </c>
      <c r="R3" s="42" cm="1">
        <f t="array" aca="1" ref="R3" ca="1">SUBTOTAL(109,OFFSET(R$5,1,0,CatSumCount,1))</f>
        <v>1160682.6944444445</v>
      </c>
      <c r="S3" s="42" cm="1">
        <f t="array" aca="1" ref="S3" ca="1">SUBTOTAL(109,OFFSET(S$5,1,0,CatSumCount,1))</f>
        <v>-8654.5000000000055</v>
      </c>
      <c r="T3" s="42" cm="1">
        <f t="array" aca="1" ref="T3" ca="1">SUBTOTAL(109,OFFSET(T$5,1,0,CatSumCount,1))</f>
        <v>1152028.1944444445</v>
      </c>
      <c r="U3" s="42" cm="1">
        <f t="array" aca="1" ref="U3" ca="1">SUBTOTAL(109,OFFSET(U$5,1,0,CatSumCount,1))</f>
        <v>-200000</v>
      </c>
      <c r="V3" s="42" cm="1">
        <f t="array" aca="1" ref="V3" ca="1">SUBTOTAL(109,OFFSET(V$5,1,0,CatSumCount,1))</f>
        <v>151990</v>
      </c>
      <c r="W3" s="42" cm="1">
        <f t="array" aca="1" ref="W3" ca="1">SUBTOTAL(109,OFFSET(W$5,1,0,CatSumCount,1))</f>
        <v>31728.191666666658</v>
      </c>
      <c r="X3" s="42" cm="1">
        <f t="array" aca="1" ref="X3" ca="1">SUBTOTAL(109,OFFSET(X$5,1,0,CatSumCount,1))</f>
        <v>808.98611111111848</v>
      </c>
      <c r="Y3" s="42" cm="1">
        <f t="array" aca="1" ref="Y3" ca="1">SUBTOTAL(109,OFFSET(Y$5,1,0,CatSumCount,1))</f>
        <v>32537.177777777779</v>
      </c>
    </row>
    <row r="4" spans="1:25" ht="18" customHeight="1" x14ac:dyDescent="0.25">
      <c r="A4" s="62" t="s">
        <v>363</v>
      </c>
      <c r="C4" s="117" t="s">
        <v>121</v>
      </c>
      <c r="D4" s="118"/>
      <c r="E4" s="118"/>
      <c r="F4" s="118"/>
      <c r="G4" s="118"/>
      <c r="H4" s="119"/>
      <c r="I4" s="117" t="s">
        <v>122</v>
      </c>
      <c r="J4" s="118"/>
      <c r="K4" s="118"/>
      <c r="L4" s="118"/>
      <c r="M4" s="118"/>
      <c r="N4" s="118"/>
      <c r="O4" s="119"/>
      <c r="P4" s="120" t="s">
        <v>123</v>
      </c>
      <c r="Q4" s="122" t="s">
        <v>184</v>
      </c>
      <c r="R4" s="122"/>
      <c r="S4" s="122"/>
      <c r="T4" s="122"/>
      <c r="U4" s="120" t="s">
        <v>152</v>
      </c>
      <c r="V4" s="120" t="s">
        <v>109</v>
      </c>
      <c r="W4" s="116" t="s">
        <v>150</v>
      </c>
      <c r="X4" s="116"/>
      <c r="Y4" s="116"/>
    </row>
    <row r="5" spans="1:25" s="78" customFormat="1" ht="25" x14ac:dyDescent="0.25">
      <c r="A5" s="76" t="s">
        <v>21</v>
      </c>
      <c r="B5" s="76" t="s">
        <v>5</v>
      </c>
      <c r="C5" s="77" t="s">
        <v>113</v>
      </c>
      <c r="D5" s="77" t="s">
        <v>114</v>
      </c>
      <c r="E5" s="77" t="s">
        <v>125</v>
      </c>
      <c r="F5" s="77" t="s">
        <v>115</v>
      </c>
      <c r="G5" s="77" t="s">
        <v>117</v>
      </c>
      <c r="H5" s="77" t="s">
        <v>116</v>
      </c>
      <c r="I5" s="77" t="s">
        <v>113</v>
      </c>
      <c r="J5" s="77" t="s">
        <v>119</v>
      </c>
      <c r="K5" s="77" t="s">
        <v>118</v>
      </c>
      <c r="L5" s="77" t="s">
        <v>120</v>
      </c>
      <c r="M5" s="77" t="s">
        <v>125</v>
      </c>
      <c r="N5" s="77" t="s">
        <v>115</v>
      </c>
      <c r="O5" s="77" t="s">
        <v>116</v>
      </c>
      <c r="P5" s="121"/>
      <c r="Q5" s="77" t="s">
        <v>113</v>
      </c>
      <c r="R5" s="77" t="s">
        <v>98</v>
      </c>
      <c r="S5" s="77" t="s">
        <v>118</v>
      </c>
      <c r="T5" s="77" t="s">
        <v>116</v>
      </c>
      <c r="U5" s="121"/>
      <c r="V5" s="121"/>
      <c r="W5" s="77" t="s">
        <v>147</v>
      </c>
      <c r="X5" s="77" t="s">
        <v>148</v>
      </c>
      <c r="Y5" s="77" t="s">
        <v>149</v>
      </c>
    </row>
    <row r="6" spans="1:25" ht="16" customHeight="1" x14ac:dyDescent="0.25">
      <c r="A6" s="3" t="str" cm="1">
        <f t="array" aca="1" ref="A6" ca="1">IF(ROW($B6)-ROW($B$5)&gt;CatCount,"",OFFSET('Set-up'!$A$22,ROW($B6)-ROW($B$5),0,1,1))</f>
        <v>LBU01</v>
      </c>
      <c r="B6" s="3" t="str">
        <f t="shared" ref="B6:B35" ca="1" si="0">IF(ISNA(VLOOKUP($A6,CatAll,3,0))=TRUE,"",VLOOKUP($A6,CatAll,3,0))</f>
        <v>Land &amp; Buildings</v>
      </c>
      <c r="C6" s="36" cm="1">
        <f t="array" aca="1" ref="C6" ca="1">IF(LEN($A6)&gt;1,SUMIFS(AssetCOB,AssetCat,$A6),"")</f>
        <v>1500000</v>
      </c>
      <c r="D6" s="36" cm="1">
        <f t="array" aca="1" ref="D6" ca="1">IF(LEN($A6)&gt;1,SUMIFS(AssetCAdd,AssetCat,$A6),"")</f>
        <v>0</v>
      </c>
      <c r="E6" s="36" cm="1">
        <f t="array" aca="1" ref="E6" ca="1">IF(LEN($A6)&gt;1,SUMIFS(AssetCRev,AssetCat,$A6),"")</f>
        <v>0</v>
      </c>
      <c r="F6" s="36" cm="1">
        <f t="array" aca="1" ref="F6" ca="1">IF(LEN($A6)&gt;1,SUMIFS(AssetCDis,AssetCat,$A6),"")</f>
        <v>0</v>
      </c>
      <c r="G6" s="36" cm="1">
        <f t="array" aca="1" ref="G6" ca="1">IF(LEN($A6)&gt;1,SUMIFS(AssetCImp,AssetCat,$A6),"")</f>
        <v>-200000</v>
      </c>
      <c r="H6" s="36">
        <f ca="1">IF(LEN($A6)&gt;1,SUM($C6:$G6),"")</f>
        <v>1300000</v>
      </c>
      <c r="I6" s="36" cm="1">
        <f t="array" aca="1" ref="I6" ca="1">IF(LEN($A6)&gt;1,SUMIFS(AssetDOB,AssetCat,$A6),"")</f>
        <v>0</v>
      </c>
      <c r="J6" s="36" cm="1">
        <f t="array" aca="1" ref="J6" ca="1">IF(LEN($A6)&gt;1,SUMIFS(AssetDDepC,AssetCat,$A6),"")</f>
        <v>0</v>
      </c>
      <c r="K6" s="36" cm="1">
        <f t="array" aca="1" ref="K6" ca="1">IF(LEN($A6)&gt;1,SUMIFS(AssetDDepR,AssetCat,$A6),"")</f>
        <v>0</v>
      </c>
      <c r="L6" s="36">
        <f ca="1">IF(LEN($A6)&gt;1,SUM($J6:$K6),"")</f>
        <v>0</v>
      </c>
      <c r="M6" s="36" cm="1">
        <f t="array" aca="1" ref="M6" ca="1">IF(LEN($A6)&gt;1,SUMIFS(AssetDRev,AssetCat,$A6),"")</f>
        <v>0</v>
      </c>
      <c r="N6" s="36" cm="1">
        <f t="array" aca="1" ref="N6" ca="1">IF(LEN($A6)&gt;1,SUMIFS(AssetDDis,AssetCat,$A6),"")</f>
        <v>0</v>
      </c>
      <c r="O6" s="36">
        <f ca="1">IF(LEN($A6)&gt;1,SUM($I6,$L6,$M6,$N6),"")</f>
        <v>0</v>
      </c>
      <c r="P6" s="36">
        <f ca="1">IF(LEN($A6)&gt;1,SUM($H6,-$O6),"")</f>
        <v>1300000</v>
      </c>
      <c r="Q6" s="36" cm="1">
        <f t="array" aca="1" ref="Q6" ca="1">IF(LEN($A6)&gt;1,SUMIFS(AssetROB,AssetCat,$A6),"")</f>
        <v>0</v>
      </c>
      <c r="R6" s="36" cm="1">
        <f t="array" aca="1" ref="R6" ca="1">IF(LEN($A6)&gt;1,SUMIFS(AssetRMove,AssetCat,$A6),"")</f>
        <v>0</v>
      </c>
      <c r="S6" s="36">
        <f ca="1">IF(LEN($A6)&gt;1,-$K6,"")</f>
        <v>0</v>
      </c>
      <c r="T6" s="36">
        <f ca="1">IF(LEN($A6)&gt;1,SUM($Q6:$S6),"")</f>
        <v>0</v>
      </c>
      <c r="U6" s="36" cm="1">
        <f t="array" aca="1" ref="U6" ca="1">IF(LEN($A6)&gt;1,SUMIFS(AssetIWO,AssetCat,$A6),"")</f>
        <v>-200000</v>
      </c>
      <c r="V6" s="36" cm="1">
        <f t="array" aca="1" ref="V6" ca="1">IF(LEN($A6)&gt;1,SUMIFS(AssetPLoss,AssetCat,$A6),"")</f>
        <v>0</v>
      </c>
      <c r="W6" s="36" cm="1">
        <f t="array" aca="1" ref="W6" ca="1">IF(LEN($A6)&gt;1,SUMIFS(AssetMCost,AssetCat,$A6),"")</f>
        <v>0</v>
      </c>
      <c r="X6" s="36" cm="1">
        <f t="array" aca="1" ref="X6" ca="1">IF(LEN($A6)&gt;1,SUMIFS(AssetMRev,AssetCat,$A6),"")</f>
        <v>0</v>
      </c>
      <c r="Y6" s="36">
        <f ca="1">IF(LEN($A6)&gt;1,SUM($W6:$X6),"")</f>
        <v>0</v>
      </c>
    </row>
    <row r="7" spans="1:25" ht="16" customHeight="1" x14ac:dyDescent="0.25">
      <c r="A7" s="3" t="str" cm="1">
        <f t="array" aca="1" ref="A7" ca="1">IF(ROW($B7)-ROW($B$5)&gt;CatCount,"",OFFSET('Set-up'!$A$22,ROW($B7)-ROW($B$5),0,1,1))</f>
        <v>PPM01</v>
      </c>
      <c r="B7" s="3" t="str">
        <f t="shared" ca="1" si="0"/>
        <v>Main Production Plant</v>
      </c>
      <c r="C7" s="36" cm="1">
        <f t="array" aca="1" ref="C7" ca="1">IF(LEN($A7)&gt;1,SUMIFS(AssetCOB,AssetCat,$A7),"")</f>
        <v>5224750</v>
      </c>
      <c r="D7" s="36" cm="1">
        <f t="array" aca="1" ref="D7" ca="1">IF(LEN($A7)&gt;1,SUMIFS(AssetCAdd,AssetCat,$A7),"")</f>
        <v>68420</v>
      </c>
      <c r="E7" s="36" cm="1">
        <f t="array" aca="1" ref="E7" ca="1">IF(LEN($A7)&gt;1,SUMIFS(AssetCRev,AssetCat,$A7),"")</f>
        <v>-3652280</v>
      </c>
      <c r="F7" s="36" cm="1">
        <f t="array" aca="1" ref="F7" ca="1">IF(LEN($A7)&gt;1,SUMIFS(AssetCDis,AssetCat,$A7),"")</f>
        <v>-190000</v>
      </c>
      <c r="G7" s="36" cm="1">
        <f t="array" aca="1" ref="G7" ca="1">IF(LEN($A7)&gt;1,SUMIFS(AssetCImp,AssetCat,$A7),"")</f>
        <v>0</v>
      </c>
      <c r="H7" s="36">
        <f t="shared" ref="H7:H35" ca="1" si="1">IF(LEN($A7)&gt;1,SUM($C7:$G7),"")</f>
        <v>1450890</v>
      </c>
      <c r="I7" s="36" cm="1">
        <f t="array" aca="1" ref="I7" ca="1">IF(LEN($A7)&gt;1,SUMIFS(AssetDOB,AssetCat,$A7),"")</f>
        <v>4841433.333333334</v>
      </c>
      <c r="J7" s="36" cm="1">
        <f t="array" aca="1" ref="J7" ca="1">IF(LEN($A7)&gt;1,SUMIFS(AssetDDepC,AssetCat,$A7),"")</f>
        <v>312726.33333333331</v>
      </c>
      <c r="K7" s="36" cm="1">
        <f t="array" aca="1" ref="K7" ca="1">IF(LEN($A7)&gt;1,SUMIFS(AssetDDepR,AssetCat,$A7),"")</f>
        <v>1000</v>
      </c>
      <c r="L7" s="36">
        <f t="shared" ref="L7:L35" ca="1" si="2">IF(LEN($A7)&gt;1,SUM($J7:$K7),"")</f>
        <v>313726.33333333331</v>
      </c>
      <c r="M7" s="36" cm="1">
        <f t="array" aca="1" ref="M7" ca="1">IF(LEN($A7)&gt;1,SUMIFS(AssetDRev,AssetCat,$A7),"")</f>
        <v>-4841433.333333334</v>
      </c>
      <c r="N7" s="36" cm="1">
        <f t="array" aca="1" ref="N7" ca="1">IF(LEN($A7)&gt;1,SUMIFS(AssetDDis,AssetCat,$A7),"")</f>
        <v>-34833.333333333328</v>
      </c>
      <c r="O7" s="36">
        <f t="shared" ref="O7:O35" ca="1" si="3">IF(LEN($A7)&gt;1,SUM($I7,$L7,$M7,$N7),"")</f>
        <v>278892.99999999971</v>
      </c>
      <c r="P7" s="36">
        <f t="shared" ref="P7:P35" ca="1" si="4">IF(LEN($A7)&gt;1,SUM($H7,-$O7),"")</f>
        <v>1171997.0000000002</v>
      </c>
      <c r="Q7" s="36" cm="1">
        <f t="array" aca="1" ref="Q7" ca="1">IF(LEN($A7)&gt;1,SUMIFS(AssetROB,AssetCat,$A7),"")</f>
        <v>0</v>
      </c>
      <c r="R7" s="36" cm="1">
        <f t="array" aca="1" ref="R7" ca="1">IF(LEN($A7)&gt;1,SUMIFS(AssetRMove,AssetCat,$A7),"")</f>
        <v>1043183.3333333334</v>
      </c>
      <c r="S7" s="36">
        <f t="shared" ref="S7:S35" ca="1" si="5">IF(LEN($A7)&gt;1,-$K7,"")</f>
        <v>-1000</v>
      </c>
      <c r="T7" s="36">
        <f t="shared" ref="T7:T35" ca="1" si="6">IF(LEN($A7)&gt;1,SUM($Q7:$S7),"")</f>
        <v>1042183.3333333334</v>
      </c>
      <c r="U7" s="36" cm="1">
        <f t="array" aca="1" ref="U7" ca="1">IF(LEN($A7)&gt;1,SUMIFS(AssetIWO,AssetCat,$A7),"")</f>
        <v>0</v>
      </c>
      <c r="V7" s="36" cm="1">
        <f t="array" aca="1" ref="V7" ca="1">IF(LEN($A7)&gt;1,SUMIFS(AssetPLoss,AssetCat,$A7),"")</f>
        <v>140803.33333333331</v>
      </c>
      <c r="W7" s="36" cm="1">
        <f t="array" aca="1" ref="W7" ca="1">IF(LEN($A7)&gt;1,SUMIFS(AssetMCost,AssetCat,$A7),"")</f>
        <v>24014.833333333332</v>
      </c>
      <c r="X7" s="36" cm="1">
        <f t="array" aca="1" ref="X7" ca="1">IF(LEN($A7)&gt;1,SUMIFS(AssetMRev,AssetCat,$A7),"")</f>
        <v>83.333333333333314</v>
      </c>
      <c r="Y7" s="36">
        <f t="shared" ref="Y7:Y35" ca="1" si="7">IF(LEN($A7)&gt;1,SUM($W7:$X7),"")</f>
        <v>24098.166666666664</v>
      </c>
    </row>
    <row r="8" spans="1:25" ht="16" customHeight="1" x14ac:dyDescent="0.25">
      <c r="A8" s="3" t="str" cm="1">
        <f t="array" aca="1" ref="A8" ca="1">IF(ROW($B8)-ROW($B$5)&gt;CatCount,"",OFFSET('Set-up'!$A$22,ROW($B8)-ROW($B$5),0,1,1))</f>
        <v>PPS02</v>
      </c>
      <c r="B8" s="3" t="str">
        <f t="shared" ca="1" si="0"/>
        <v>Secondary Plant</v>
      </c>
      <c r="C8" s="36" cm="1">
        <f t="array" aca="1" ref="C8" ca="1">IF(LEN($A8)&gt;1,SUMIFS(AssetCOB,AssetCat,$A8),"")</f>
        <v>0</v>
      </c>
      <c r="D8" s="36" cm="1">
        <f t="array" aca="1" ref="D8" ca="1">IF(LEN($A8)&gt;1,SUMIFS(AssetCAdd,AssetCat,$A8),"")</f>
        <v>0</v>
      </c>
      <c r="E8" s="36" cm="1">
        <f t="array" aca="1" ref="E8" ca="1">IF(LEN($A8)&gt;1,SUMIFS(AssetCRev,AssetCat,$A8),"")</f>
        <v>0</v>
      </c>
      <c r="F8" s="36" cm="1">
        <f t="array" aca="1" ref="F8" ca="1">IF(LEN($A8)&gt;1,SUMIFS(AssetCDis,AssetCat,$A8),"")</f>
        <v>0</v>
      </c>
      <c r="G8" s="36" cm="1">
        <f t="array" aca="1" ref="G8" ca="1">IF(LEN($A8)&gt;1,SUMIFS(AssetCImp,AssetCat,$A8),"")</f>
        <v>0</v>
      </c>
      <c r="H8" s="36">
        <f t="shared" ca="1" si="1"/>
        <v>0</v>
      </c>
      <c r="I8" s="36" cm="1">
        <f t="array" aca="1" ref="I8" ca="1">IF(LEN($A8)&gt;1,SUMIFS(AssetDOB,AssetCat,$A8),"")</f>
        <v>0</v>
      </c>
      <c r="J8" s="36" cm="1">
        <f t="array" aca="1" ref="J8" ca="1">IF(LEN($A8)&gt;1,SUMIFS(AssetDDepC,AssetCat,$A8),"")</f>
        <v>0</v>
      </c>
      <c r="K8" s="36" cm="1">
        <f t="array" aca="1" ref="K8" ca="1">IF(LEN($A8)&gt;1,SUMIFS(AssetDDepR,AssetCat,$A8),"")</f>
        <v>0</v>
      </c>
      <c r="L8" s="36">
        <f t="shared" ca="1" si="2"/>
        <v>0</v>
      </c>
      <c r="M8" s="36" cm="1">
        <f t="array" aca="1" ref="M8" ca="1">IF(LEN($A8)&gt;1,SUMIFS(AssetDRev,AssetCat,$A8),"")</f>
        <v>0</v>
      </c>
      <c r="N8" s="36" cm="1">
        <f t="array" aca="1" ref="N8" ca="1">IF(LEN($A8)&gt;1,SUMIFS(AssetDDis,AssetCat,$A8),"")</f>
        <v>0</v>
      </c>
      <c r="O8" s="36">
        <f t="shared" ca="1" si="3"/>
        <v>0</v>
      </c>
      <c r="P8" s="36">
        <f t="shared" ca="1" si="4"/>
        <v>0</v>
      </c>
      <c r="Q8" s="36" cm="1">
        <f t="array" aca="1" ref="Q8" ca="1">IF(LEN($A8)&gt;1,SUMIFS(AssetROB,AssetCat,$A8),"")</f>
        <v>0</v>
      </c>
      <c r="R8" s="36" cm="1">
        <f t="array" aca="1" ref="R8" ca="1">IF(LEN($A8)&gt;1,SUMIFS(AssetRMove,AssetCat,$A8),"")</f>
        <v>0</v>
      </c>
      <c r="S8" s="36">
        <f t="shared" ca="1" si="5"/>
        <v>0</v>
      </c>
      <c r="T8" s="36">
        <f t="shared" ca="1" si="6"/>
        <v>0</v>
      </c>
      <c r="U8" s="36" cm="1">
        <f t="array" aca="1" ref="U8" ca="1">IF(LEN($A8)&gt;1,SUMIFS(AssetIWO,AssetCat,$A8),"")</f>
        <v>0</v>
      </c>
      <c r="V8" s="36" cm="1">
        <f t="array" aca="1" ref="V8" ca="1">IF(LEN($A8)&gt;1,SUMIFS(AssetPLoss,AssetCat,$A8),"")</f>
        <v>0</v>
      </c>
      <c r="W8" s="36" cm="1">
        <f t="array" aca="1" ref="W8" ca="1">IF(LEN($A8)&gt;1,SUMIFS(AssetMCost,AssetCat,$A8),"")</f>
        <v>0</v>
      </c>
      <c r="X8" s="36" cm="1">
        <f t="array" aca="1" ref="X8" ca="1">IF(LEN($A8)&gt;1,SUMIFS(AssetMRev,AssetCat,$A8),"")</f>
        <v>0</v>
      </c>
      <c r="Y8" s="36">
        <f t="shared" ca="1" si="7"/>
        <v>0</v>
      </c>
    </row>
    <row r="9" spans="1:25" ht="16" customHeight="1" x14ac:dyDescent="0.25">
      <c r="A9" s="3" t="str" cm="1">
        <f t="array" aca="1" ref="A9" ca="1">IF(ROW($B9)-ROW($B$5)&gt;CatCount,"",OFFSET('Set-up'!$A$22,ROW($B9)-ROW($B$5),0,1,1))</f>
        <v>EQP01</v>
      </c>
      <c r="B9" s="3" t="str">
        <f t="shared" ca="1" si="0"/>
        <v>Primary Equipment</v>
      </c>
      <c r="C9" s="36" cm="1">
        <f t="array" aca="1" ref="C9" ca="1">IF(LEN($A9)&gt;1,SUMIFS(AssetCOB,AssetCat,$A9),"")</f>
        <v>361570</v>
      </c>
      <c r="D9" s="36" cm="1">
        <f t="array" aca="1" ref="D9" ca="1">IF(LEN($A9)&gt;1,SUMIFS(AssetCAdd,AssetCat,$A9),"")</f>
        <v>18999</v>
      </c>
      <c r="E9" s="36" cm="1">
        <f t="array" aca="1" ref="E9" ca="1">IF(LEN($A9)&gt;1,SUMIFS(AssetCRev,AssetCat,$A9),"")</f>
        <v>-190270</v>
      </c>
      <c r="F9" s="36" cm="1">
        <f t="array" aca="1" ref="F9" ca="1">IF(LEN($A9)&gt;1,SUMIFS(AssetCDis,AssetCat,$A9),"")</f>
        <v>0</v>
      </c>
      <c r="G9" s="36" cm="1">
        <f t="array" aca="1" ref="G9" ca="1">IF(LEN($A9)&gt;1,SUMIFS(AssetCImp,AssetCat,$A9),"")</f>
        <v>0</v>
      </c>
      <c r="H9" s="36">
        <f t="shared" ca="1" si="1"/>
        <v>190299</v>
      </c>
      <c r="I9" s="36" cm="1">
        <f t="array" aca="1" ref="I9" ca="1">IF(LEN($A9)&gt;1,SUMIFS(AssetDOB,AssetCat,$A9),"")</f>
        <v>283097.83333333337</v>
      </c>
      <c r="J9" s="36" cm="1">
        <f t="array" aca="1" ref="J9" ca="1">IF(LEN($A9)&gt;1,SUMIFS(AssetDDepC,AssetCat,$A9),"")</f>
        <v>34601.283333333326</v>
      </c>
      <c r="K9" s="36" cm="1">
        <f t="array" aca="1" ref="K9" ca="1">IF(LEN($A9)&gt;1,SUMIFS(AssetDDepR,AssetCat,$A9),"")</f>
        <v>608.66666666667152</v>
      </c>
      <c r="L9" s="36">
        <f t="shared" ca="1" si="2"/>
        <v>35209.949999999997</v>
      </c>
      <c r="M9" s="36" cm="1">
        <f t="array" aca="1" ref="M9" ca="1">IF(LEN($A9)&gt;1,SUMIFS(AssetDRev,AssetCat,$A9),"")</f>
        <v>-283097.83333333337</v>
      </c>
      <c r="N9" s="36" cm="1">
        <f t="array" aca="1" ref="N9" ca="1">IF(LEN($A9)&gt;1,SUMIFS(AssetDDis,AssetCat,$A9),"")</f>
        <v>0</v>
      </c>
      <c r="O9" s="36">
        <f t="shared" ca="1" si="3"/>
        <v>35209.950000000012</v>
      </c>
      <c r="P9" s="36">
        <f t="shared" ca="1" si="4"/>
        <v>155089.04999999999</v>
      </c>
      <c r="Q9" s="36" cm="1">
        <f t="array" aca="1" ref="Q9" ca="1">IF(LEN($A9)&gt;1,SUMIFS(AssetROB,AssetCat,$A9),"")</f>
        <v>0</v>
      </c>
      <c r="R9" s="36" cm="1">
        <f t="array" aca="1" ref="R9" ca="1">IF(LEN($A9)&gt;1,SUMIFS(AssetRMove,AssetCat,$A9),"")</f>
        <v>92827.833333333343</v>
      </c>
      <c r="S9" s="36">
        <f t="shared" ca="1" si="5"/>
        <v>-608.66666666667152</v>
      </c>
      <c r="T9" s="36">
        <f t="shared" ca="1" si="6"/>
        <v>92219.166666666672</v>
      </c>
      <c r="U9" s="36" cm="1">
        <f t="array" aca="1" ref="U9" ca="1">IF(LEN($A9)&gt;1,SUMIFS(AssetIWO,AssetCat,$A9),"")</f>
        <v>0</v>
      </c>
      <c r="V9" s="36" cm="1">
        <f t="array" aca="1" ref="V9" ca="1">IF(LEN($A9)&gt;1,SUMIFS(AssetPLoss,AssetCat,$A9),"")</f>
        <v>0</v>
      </c>
      <c r="W9" s="36" cm="1">
        <f t="array" aca="1" ref="W9" ca="1">IF(LEN($A9)&gt;1,SUMIFS(AssetMCost,AssetCat,$A9),"")</f>
        <v>3033.1499999999924</v>
      </c>
      <c r="X9" s="36" cm="1">
        <f t="array" aca="1" ref="X9" ca="1">IF(LEN($A9)&gt;1,SUMIFS(AssetMRev,AssetCat,$A9),"")</f>
        <v>138.50000000000728</v>
      </c>
      <c r="Y9" s="36">
        <f t="shared" ca="1" si="7"/>
        <v>3171.6499999999996</v>
      </c>
    </row>
    <row r="10" spans="1:25" ht="16" customHeight="1" x14ac:dyDescent="0.25">
      <c r="A10" s="3" t="str" cm="1">
        <f t="array" aca="1" ref="A10" ca="1">IF(ROW($B10)-ROW($B$5)&gt;CatCount,"",OFFSET('Set-up'!$A$22,ROW($B10)-ROW($B$5),0,1,1))</f>
        <v>EQS01</v>
      </c>
      <c r="B10" s="3" t="str">
        <f t="shared" ca="1" si="0"/>
        <v>Secondary Equipment</v>
      </c>
      <c r="C10" s="36" cm="1">
        <f t="array" aca="1" ref="C10" ca="1">IF(LEN($A10)&gt;1,SUMIFS(AssetCOB,AssetCat,$A10),"")</f>
        <v>0</v>
      </c>
      <c r="D10" s="36" cm="1">
        <f t="array" aca="1" ref="D10" ca="1">IF(LEN($A10)&gt;1,SUMIFS(AssetCAdd,AssetCat,$A10),"")</f>
        <v>0</v>
      </c>
      <c r="E10" s="36" cm="1">
        <f t="array" aca="1" ref="E10" ca="1">IF(LEN($A10)&gt;1,SUMIFS(AssetCRev,AssetCat,$A10),"")</f>
        <v>0</v>
      </c>
      <c r="F10" s="36" cm="1">
        <f t="array" aca="1" ref="F10" ca="1">IF(LEN($A10)&gt;1,SUMIFS(AssetCDis,AssetCat,$A10),"")</f>
        <v>0</v>
      </c>
      <c r="G10" s="36" cm="1">
        <f t="array" aca="1" ref="G10" ca="1">IF(LEN($A10)&gt;1,SUMIFS(AssetCImp,AssetCat,$A10),"")</f>
        <v>0</v>
      </c>
      <c r="H10" s="36">
        <f t="shared" ca="1" si="1"/>
        <v>0</v>
      </c>
      <c r="I10" s="36" cm="1">
        <f t="array" aca="1" ref="I10" ca="1">IF(LEN($A10)&gt;1,SUMIFS(AssetDOB,AssetCat,$A10),"")</f>
        <v>0</v>
      </c>
      <c r="J10" s="36" cm="1">
        <f t="array" aca="1" ref="J10" ca="1">IF(LEN($A10)&gt;1,SUMIFS(AssetDDepC,AssetCat,$A10),"")</f>
        <v>0</v>
      </c>
      <c r="K10" s="36" cm="1">
        <f t="array" aca="1" ref="K10" ca="1">IF(LEN($A10)&gt;1,SUMIFS(AssetDDepR,AssetCat,$A10),"")</f>
        <v>0</v>
      </c>
      <c r="L10" s="36">
        <f t="shared" ca="1" si="2"/>
        <v>0</v>
      </c>
      <c r="M10" s="36" cm="1">
        <f t="array" aca="1" ref="M10" ca="1">IF(LEN($A10)&gt;1,SUMIFS(AssetDRev,AssetCat,$A10),"")</f>
        <v>0</v>
      </c>
      <c r="N10" s="36" cm="1">
        <f t="array" aca="1" ref="N10" ca="1">IF(LEN($A10)&gt;1,SUMIFS(AssetDDis,AssetCat,$A10),"")</f>
        <v>0</v>
      </c>
      <c r="O10" s="36">
        <f t="shared" ca="1" si="3"/>
        <v>0</v>
      </c>
      <c r="P10" s="36">
        <f t="shared" ca="1" si="4"/>
        <v>0</v>
      </c>
      <c r="Q10" s="36" cm="1">
        <f t="array" aca="1" ref="Q10" ca="1">IF(LEN($A10)&gt;1,SUMIFS(AssetROB,AssetCat,$A10),"")</f>
        <v>0</v>
      </c>
      <c r="R10" s="36" cm="1">
        <f t="array" aca="1" ref="R10" ca="1">IF(LEN($A10)&gt;1,SUMIFS(AssetRMove,AssetCat,$A10),"")</f>
        <v>0</v>
      </c>
      <c r="S10" s="36">
        <f t="shared" ca="1" si="5"/>
        <v>0</v>
      </c>
      <c r="T10" s="36">
        <f t="shared" ca="1" si="6"/>
        <v>0</v>
      </c>
      <c r="U10" s="36" cm="1">
        <f t="array" aca="1" ref="U10" ca="1">IF(LEN($A10)&gt;1,SUMIFS(AssetIWO,AssetCat,$A10),"")</f>
        <v>0</v>
      </c>
      <c r="V10" s="36" cm="1">
        <f t="array" aca="1" ref="V10" ca="1">IF(LEN($A10)&gt;1,SUMIFS(AssetPLoss,AssetCat,$A10),"")</f>
        <v>0</v>
      </c>
      <c r="W10" s="36" cm="1">
        <f t="array" aca="1" ref="W10" ca="1">IF(LEN($A10)&gt;1,SUMIFS(AssetMCost,AssetCat,$A10),"")</f>
        <v>0</v>
      </c>
      <c r="X10" s="36" cm="1">
        <f t="array" aca="1" ref="X10" ca="1">IF(LEN($A10)&gt;1,SUMIFS(AssetMRev,AssetCat,$A10),"")</f>
        <v>0</v>
      </c>
      <c r="Y10" s="36">
        <f t="shared" ca="1" si="7"/>
        <v>0</v>
      </c>
    </row>
    <row r="11" spans="1:25" ht="16" customHeight="1" x14ac:dyDescent="0.25">
      <c r="A11" s="3" t="str" cm="1">
        <f t="array" aca="1" ref="A11" ca="1">IF(ROW($B11)-ROW($B$5)&gt;CatCount,"",OFFSET('Set-up'!$A$22,ROW($B11)-ROW($B$5),0,1,1))</f>
        <v>SMA01</v>
      </c>
      <c r="B11" s="3" t="str">
        <f t="shared" ca="1" si="0"/>
        <v>Small Assets</v>
      </c>
      <c r="C11" s="36" cm="1">
        <f t="array" aca="1" ref="C11" ca="1">IF(LEN($A11)&gt;1,SUMIFS(AssetCOB,AssetCat,$A11),"")</f>
        <v>0</v>
      </c>
      <c r="D11" s="36" cm="1">
        <f t="array" aca="1" ref="D11" ca="1">IF(LEN($A11)&gt;1,SUMIFS(AssetCAdd,AssetCat,$A11),"")</f>
        <v>0</v>
      </c>
      <c r="E11" s="36" cm="1">
        <f t="array" aca="1" ref="E11" ca="1">IF(LEN($A11)&gt;1,SUMIFS(AssetCRev,AssetCat,$A11),"")</f>
        <v>0</v>
      </c>
      <c r="F11" s="36" cm="1">
        <f t="array" aca="1" ref="F11" ca="1">IF(LEN($A11)&gt;1,SUMIFS(AssetCDis,AssetCat,$A11),"")</f>
        <v>0</v>
      </c>
      <c r="G11" s="36" cm="1">
        <f t="array" aca="1" ref="G11" ca="1">IF(LEN($A11)&gt;1,SUMIFS(AssetCImp,AssetCat,$A11),"")</f>
        <v>0</v>
      </c>
      <c r="H11" s="36">
        <f t="shared" ca="1" si="1"/>
        <v>0</v>
      </c>
      <c r="I11" s="36" cm="1">
        <f t="array" aca="1" ref="I11" ca="1">IF(LEN($A11)&gt;1,SUMIFS(AssetDOB,AssetCat,$A11),"")</f>
        <v>0</v>
      </c>
      <c r="J11" s="36" cm="1">
        <f t="array" aca="1" ref="J11" ca="1">IF(LEN($A11)&gt;1,SUMIFS(AssetDDepC,AssetCat,$A11),"")</f>
        <v>0</v>
      </c>
      <c r="K11" s="36" cm="1">
        <f t="array" aca="1" ref="K11" ca="1">IF(LEN($A11)&gt;1,SUMIFS(AssetDDepR,AssetCat,$A11),"")</f>
        <v>0</v>
      </c>
      <c r="L11" s="36">
        <f t="shared" ca="1" si="2"/>
        <v>0</v>
      </c>
      <c r="M11" s="36" cm="1">
        <f t="array" aca="1" ref="M11" ca="1">IF(LEN($A11)&gt;1,SUMIFS(AssetDRev,AssetCat,$A11),"")</f>
        <v>0</v>
      </c>
      <c r="N11" s="36" cm="1">
        <f t="array" aca="1" ref="N11" ca="1">IF(LEN($A11)&gt;1,SUMIFS(AssetDDis,AssetCat,$A11),"")</f>
        <v>0</v>
      </c>
      <c r="O11" s="36">
        <f t="shared" ca="1" si="3"/>
        <v>0</v>
      </c>
      <c r="P11" s="36">
        <f t="shared" ca="1" si="4"/>
        <v>0</v>
      </c>
      <c r="Q11" s="36" cm="1">
        <f t="array" aca="1" ref="Q11" ca="1">IF(LEN($A11)&gt;1,SUMIFS(AssetROB,AssetCat,$A11),"")</f>
        <v>0</v>
      </c>
      <c r="R11" s="36" cm="1">
        <f t="array" aca="1" ref="R11" ca="1">IF(LEN($A11)&gt;1,SUMIFS(AssetRMove,AssetCat,$A11),"")</f>
        <v>0</v>
      </c>
      <c r="S11" s="36">
        <f t="shared" ca="1" si="5"/>
        <v>0</v>
      </c>
      <c r="T11" s="36">
        <f t="shared" ca="1" si="6"/>
        <v>0</v>
      </c>
      <c r="U11" s="36" cm="1">
        <f t="array" aca="1" ref="U11" ca="1">IF(LEN($A11)&gt;1,SUMIFS(AssetIWO,AssetCat,$A11),"")</f>
        <v>0</v>
      </c>
      <c r="V11" s="36" cm="1">
        <f t="array" aca="1" ref="V11" ca="1">IF(LEN($A11)&gt;1,SUMIFS(AssetPLoss,AssetCat,$A11),"")</f>
        <v>0</v>
      </c>
      <c r="W11" s="36" cm="1">
        <f t="array" aca="1" ref="W11" ca="1">IF(LEN($A11)&gt;1,SUMIFS(AssetMCost,AssetCat,$A11),"")</f>
        <v>0</v>
      </c>
      <c r="X11" s="36" cm="1">
        <f t="array" aca="1" ref="X11" ca="1">IF(LEN($A11)&gt;1,SUMIFS(AssetMRev,AssetCat,$A11),"")</f>
        <v>0</v>
      </c>
      <c r="Y11" s="36">
        <f t="shared" ca="1" si="7"/>
        <v>0</v>
      </c>
    </row>
    <row r="12" spans="1:25" ht="16" customHeight="1" x14ac:dyDescent="0.25">
      <c r="A12" s="3" t="str" cm="1">
        <f t="array" aca="1" ref="A12" ca="1">IF(ROW($B12)-ROW($B$5)&gt;CatCount,"",OFFSET('Set-up'!$A$22,ROW($B12)-ROW($B$5),0,1,1))</f>
        <v>CHW01</v>
      </c>
      <c r="B12" s="3" t="str">
        <f t="shared" ca="1" si="0"/>
        <v>Computer Hardware</v>
      </c>
      <c r="C12" s="36" cm="1">
        <f t="array" aca="1" ref="C12" ca="1">IF(LEN($A12)&gt;1,SUMIFS(AssetCOB,AssetCat,$A12),"")</f>
        <v>16900</v>
      </c>
      <c r="D12" s="36" cm="1">
        <f t="array" aca="1" ref="D12" ca="1">IF(LEN($A12)&gt;1,SUMIFS(AssetCAdd,AssetCat,$A12),"")</f>
        <v>0</v>
      </c>
      <c r="E12" s="36" cm="1">
        <f t="array" aca="1" ref="E12" ca="1">IF(LEN($A12)&gt;1,SUMIFS(AssetCRev,AssetCat,$A12),"")</f>
        <v>-9600</v>
      </c>
      <c r="F12" s="36" cm="1">
        <f t="array" aca="1" ref="F12" ca="1">IF(LEN($A12)&gt;1,SUMIFS(AssetCDis,AssetCat,$A12),"")</f>
        <v>0</v>
      </c>
      <c r="G12" s="36" cm="1">
        <f t="array" aca="1" ref="G12" ca="1">IF(LEN($A12)&gt;1,SUMIFS(AssetCImp,AssetCat,$A12),"")</f>
        <v>0</v>
      </c>
      <c r="H12" s="36">
        <f t="shared" ca="1" si="1"/>
        <v>7300</v>
      </c>
      <c r="I12" s="36" cm="1">
        <f t="array" aca="1" ref="I12" ca="1">IF(LEN($A12)&gt;1,SUMIFS(AssetDOB,AssetCat,$A12),"")</f>
        <v>16900</v>
      </c>
      <c r="J12" s="36" cm="1">
        <f t="array" aca="1" ref="J12" ca="1">IF(LEN($A12)&gt;1,SUMIFS(AssetDDepC,AssetCat,$A12),"")</f>
        <v>0</v>
      </c>
      <c r="K12" s="36" cm="1">
        <f t="array" aca="1" ref="K12" ca="1">IF(LEN($A12)&gt;1,SUMIFS(AssetDDepR,AssetCat,$A12),"")</f>
        <v>2433.3333333333335</v>
      </c>
      <c r="L12" s="36">
        <f t="shared" ca="1" si="2"/>
        <v>2433.3333333333335</v>
      </c>
      <c r="M12" s="36" cm="1">
        <f t="array" aca="1" ref="M12" ca="1">IF(LEN($A12)&gt;1,SUMIFS(AssetDRev,AssetCat,$A12),"")</f>
        <v>-16900</v>
      </c>
      <c r="N12" s="36" cm="1">
        <f t="array" aca="1" ref="N12" ca="1">IF(LEN($A12)&gt;1,SUMIFS(AssetDDis,AssetCat,$A12),"")</f>
        <v>0</v>
      </c>
      <c r="O12" s="36">
        <f t="shared" ca="1" si="3"/>
        <v>2433.3333333333321</v>
      </c>
      <c r="P12" s="36">
        <f t="shared" ca="1" si="4"/>
        <v>4866.6666666666679</v>
      </c>
      <c r="Q12" s="36" cm="1">
        <f t="array" aca="1" ref="Q12" ca="1">IF(LEN($A12)&gt;1,SUMIFS(AssetROB,AssetCat,$A12),"")</f>
        <v>0</v>
      </c>
      <c r="R12" s="36" cm="1">
        <f t="array" aca="1" ref="R12" ca="1">IF(LEN($A12)&gt;1,SUMIFS(AssetRMove,AssetCat,$A12),"")</f>
        <v>7300</v>
      </c>
      <c r="S12" s="36">
        <f t="shared" ca="1" si="5"/>
        <v>-2433.3333333333335</v>
      </c>
      <c r="T12" s="36">
        <f t="shared" ca="1" si="6"/>
        <v>4866.6666666666661</v>
      </c>
      <c r="U12" s="36" cm="1">
        <f t="array" aca="1" ref="U12" ca="1">IF(LEN($A12)&gt;1,SUMIFS(AssetIWO,AssetCat,$A12),"")</f>
        <v>0</v>
      </c>
      <c r="V12" s="36" cm="1">
        <f t="array" aca="1" ref="V12" ca="1">IF(LEN($A12)&gt;1,SUMIFS(AssetPLoss,AssetCat,$A12),"")</f>
        <v>0</v>
      </c>
      <c r="W12" s="36" cm="1">
        <f t="array" aca="1" ref="W12" ca="1">IF(LEN($A12)&gt;1,SUMIFS(AssetMCost,AssetCat,$A12),"")</f>
        <v>0</v>
      </c>
      <c r="X12" s="36" cm="1">
        <f t="array" aca="1" ref="X12" ca="1">IF(LEN($A12)&gt;1,SUMIFS(AssetMRev,AssetCat,$A12),"")</f>
        <v>202.77777777777777</v>
      </c>
      <c r="Y12" s="36">
        <f t="shared" ca="1" si="7"/>
        <v>202.77777777777777</v>
      </c>
    </row>
    <row r="13" spans="1:25" ht="16" customHeight="1" x14ac:dyDescent="0.25">
      <c r="A13" s="3" t="str" cm="1">
        <f t="array" aca="1" ref="A13" ca="1">IF(ROW($B13)-ROW($B$5)&gt;CatCount,"",OFFSET('Set-up'!$A$22,ROW($B13)-ROW($B$5),0,1,1))</f>
        <v>CSW01</v>
      </c>
      <c r="B13" s="3" t="str">
        <f t="shared" ca="1" si="0"/>
        <v>Computer Software</v>
      </c>
      <c r="C13" s="36" cm="1">
        <f t="array" aca="1" ref="C13" ca="1">IF(LEN($A13)&gt;1,SUMIFS(AssetCOB,AssetCat,$A13),"")</f>
        <v>12800</v>
      </c>
      <c r="D13" s="36" cm="1">
        <f t="array" aca="1" ref="D13" ca="1">IF(LEN($A13)&gt;1,SUMIFS(AssetCAdd,AssetCat,$A13),"")</f>
        <v>0</v>
      </c>
      <c r="E13" s="36" cm="1">
        <f t="array" aca="1" ref="E13" ca="1">IF(LEN($A13)&gt;1,SUMIFS(AssetCRev,AssetCat,$A13),"")</f>
        <v>-4600</v>
      </c>
      <c r="F13" s="36" cm="1">
        <f t="array" aca="1" ref="F13" ca="1">IF(LEN($A13)&gt;1,SUMIFS(AssetCDis,AssetCat,$A13),"")</f>
        <v>0</v>
      </c>
      <c r="G13" s="36" cm="1">
        <f t="array" aca="1" ref="G13" ca="1">IF(LEN($A13)&gt;1,SUMIFS(AssetCImp,AssetCat,$A13),"")</f>
        <v>0</v>
      </c>
      <c r="H13" s="36">
        <f t="shared" ca="1" si="1"/>
        <v>8200</v>
      </c>
      <c r="I13" s="36" cm="1">
        <f t="array" aca="1" ref="I13" ca="1">IF(LEN($A13)&gt;1,SUMIFS(AssetDOB,AssetCat,$A13),"")</f>
        <v>12800</v>
      </c>
      <c r="J13" s="36" cm="1">
        <f t="array" aca="1" ref="J13" ca="1">IF(LEN($A13)&gt;1,SUMIFS(AssetDDepC,AssetCat,$A13),"")</f>
        <v>0</v>
      </c>
      <c r="K13" s="36" cm="1">
        <f t="array" aca="1" ref="K13" ca="1">IF(LEN($A13)&gt;1,SUMIFS(AssetDDepR,AssetCat,$A13),"")</f>
        <v>4100</v>
      </c>
      <c r="L13" s="36">
        <f t="shared" ca="1" si="2"/>
        <v>4100</v>
      </c>
      <c r="M13" s="36" cm="1">
        <f t="array" aca="1" ref="M13" ca="1">IF(LEN($A13)&gt;1,SUMIFS(AssetDRev,AssetCat,$A13),"")</f>
        <v>-12800</v>
      </c>
      <c r="N13" s="36" cm="1">
        <f t="array" aca="1" ref="N13" ca="1">IF(LEN($A13)&gt;1,SUMIFS(AssetDDis,AssetCat,$A13),"")</f>
        <v>0</v>
      </c>
      <c r="O13" s="36">
        <f t="shared" ca="1" si="3"/>
        <v>4100</v>
      </c>
      <c r="P13" s="36">
        <f t="shared" ca="1" si="4"/>
        <v>4100</v>
      </c>
      <c r="Q13" s="36" cm="1">
        <f t="array" aca="1" ref="Q13" ca="1">IF(LEN($A13)&gt;1,SUMIFS(AssetROB,AssetCat,$A13),"")</f>
        <v>0</v>
      </c>
      <c r="R13" s="36" cm="1">
        <f t="array" aca="1" ref="R13" ca="1">IF(LEN($A13)&gt;1,SUMIFS(AssetRMove,AssetCat,$A13),"")</f>
        <v>8200</v>
      </c>
      <c r="S13" s="36">
        <f t="shared" ca="1" si="5"/>
        <v>-4100</v>
      </c>
      <c r="T13" s="36">
        <f t="shared" ca="1" si="6"/>
        <v>4100</v>
      </c>
      <c r="U13" s="36" cm="1">
        <f t="array" aca="1" ref="U13" ca="1">IF(LEN($A13)&gt;1,SUMIFS(AssetIWO,AssetCat,$A13),"")</f>
        <v>0</v>
      </c>
      <c r="V13" s="36" cm="1">
        <f t="array" aca="1" ref="V13" ca="1">IF(LEN($A13)&gt;1,SUMIFS(AssetPLoss,AssetCat,$A13),"")</f>
        <v>0</v>
      </c>
      <c r="W13" s="36" cm="1">
        <f t="array" aca="1" ref="W13" ca="1">IF(LEN($A13)&gt;1,SUMIFS(AssetMCost,AssetCat,$A13),"")</f>
        <v>0</v>
      </c>
      <c r="X13" s="36" cm="1">
        <f t="array" aca="1" ref="X13" ca="1">IF(LEN($A13)&gt;1,SUMIFS(AssetMRev,AssetCat,$A13),"")</f>
        <v>341.66666666666669</v>
      </c>
      <c r="Y13" s="36">
        <f t="shared" ca="1" si="7"/>
        <v>341.66666666666669</v>
      </c>
    </row>
    <row r="14" spans="1:25" ht="16" customHeight="1" x14ac:dyDescent="0.25">
      <c r="A14" s="3" t="str" cm="1">
        <f t="array" aca="1" ref="A14" ca="1">IF(ROW($B14)-ROW($B$5)&gt;CatCount,"",OFFSET('Set-up'!$A$22,ROW($B14)-ROW($B$5),0,1,1))</f>
        <v>OFE01</v>
      </c>
      <c r="B14" s="3" t="str">
        <f t="shared" ca="1" si="0"/>
        <v>Office Equipment</v>
      </c>
      <c r="C14" s="36" cm="1">
        <f t="array" aca="1" ref="C14" ca="1">IF(LEN($A14)&gt;1,SUMIFS(AssetCOB,AssetCat,$A14),"")</f>
        <v>8550</v>
      </c>
      <c r="D14" s="36" cm="1">
        <f t="array" aca="1" ref="D14" ca="1">IF(LEN($A14)&gt;1,SUMIFS(AssetCAdd,AssetCat,$A14),"")</f>
        <v>0</v>
      </c>
      <c r="E14" s="36" cm="1">
        <f t="array" aca="1" ref="E14" ca="1">IF(LEN($A14)&gt;1,SUMIFS(AssetCRev,AssetCat,$A14),"")</f>
        <v>-1350</v>
      </c>
      <c r="F14" s="36" cm="1">
        <f t="array" aca="1" ref="F14" ca="1">IF(LEN($A14)&gt;1,SUMIFS(AssetCDis,AssetCat,$A14),"")</f>
        <v>0</v>
      </c>
      <c r="G14" s="36" cm="1">
        <f t="array" aca="1" ref="G14" ca="1">IF(LEN($A14)&gt;1,SUMIFS(AssetCImp,AssetCat,$A14),"")</f>
        <v>0</v>
      </c>
      <c r="H14" s="36">
        <f t="shared" ca="1" si="1"/>
        <v>7200</v>
      </c>
      <c r="I14" s="36" cm="1">
        <f t="array" aca="1" ref="I14" ca="1">IF(LEN($A14)&gt;1,SUMIFS(AssetDOB,AssetCat,$A14),"")</f>
        <v>5760.416666666667</v>
      </c>
      <c r="J14" s="36" cm="1">
        <f t="array" aca="1" ref="J14" ca="1">IF(LEN($A14)&gt;1,SUMIFS(AssetDDepC,AssetCat,$A14),"")</f>
        <v>1287.5</v>
      </c>
      <c r="K14" s="36" cm="1">
        <f t="array" aca="1" ref="K14" ca="1">IF(LEN($A14)&gt;1,SUMIFS(AssetDDepR,AssetCat,$A14),"")</f>
        <v>512.5</v>
      </c>
      <c r="L14" s="36">
        <f t="shared" ca="1" si="2"/>
        <v>1800</v>
      </c>
      <c r="M14" s="36" cm="1">
        <f t="array" aca="1" ref="M14" ca="1">IF(LEN($A14)&gt;1,SUMIFS(AssetDRev,AssetCat,$A14),"")</f>
        <v>-5760.416666666667</v>
      </c>
      <c r="N14" s="36" cm="1">
        <f t="array" aca="1" ref="N14" ca="1">IF(LEN($A14)&gt;1,SUMIFS(AssetDDis,AssetCat,$A14),"")</f>
        <v>0</v>
      </c>
      <c r="O14" s="36">
        <f t="shared" ca="1" si="3"/>
        <v>1800</v>
      </c>
      <c r="P14" s="36">
        <f t="shared" ca="1" si="4"/>
        <v>5400</v>
      </c>
      <c r="Q14" s="36" cm="1">
        <f t="array" aca="1" ref="Q14" ca="1">IF(LEN($A14)&gt;1,SUMIFS(AssetROB,AssetCat,$A14),"")</f>
        <v>0</v>
      </c>
      <c r="R14" s="36" cm="1">
        <f t="array" aca="1" ref="R14" ca="1">IF(LEN($A14)&gt;1,SUMIFS(AssetRMove,AssetCat,$A14),"")</f>
        <v>4410.416666666667</v>
      </c>
      <c r="S14" s="36">
        <f t="shared" ca="1" si="5"/>
        <v>-512.5</v>
      </c>
      <c r="T14" s="36">
        <f t="shared" ca="1" si="6"/>
        <v>3897.916666666667</v>
      </c>
      <c r="U14" s="36" cm="1">
        <f t="array" aca="1" ref="U14" ca="1">IF(LEN($A14)&gt;1,SUMIFS(AssetIWO,AssetCat,$A14),"")</f>
        <v>0</v>
      </c>
      <c r="V14" s="36" cm="1">
        <f t="array" aca="1" ref="V14" ca="1">IF(LEN($A14)&gt;1,SUMIFS(AssetPLoss,AssetCat,$A14),"")</f>
        <v>0</v>
      </c>
      <c r="W14" s="36" cm="1">
        <f t="array" aca="1" ref="W14" ca="1">IF(LEN($A14)&gt;1,SUMIFS(AssetMCost,AssetCat,$A14),"")</f>
        <v>107.29166666666667</v>
      </c>
      <c r="X14" s="36" cm="1">
        <f t="array" aca="1" ref="X14" ca="1">IF(LEN($A14)&gt;1,SUMIFS(AssetMRev,AssetCat,$A14),"")</f>
        <v>42.708333333333329</v>
      </c>
      <c r="Y14" s="36">
        <f t="shared" ca="1" si="7"/>
        <v>150</v>
      </c>
    </row>
    <row r="15" spans="1:25" ht="16" customHeight="1" x14ac:dyDescent="0.25">
      <c r="A15" s="3" t="str" cm="1">
        <f t="array" aca="1" ref="A15" ca="1">IF(ROW($B15)-ROW($B$5)&gt;CatCount,"",OFFSET('Set-up'!$A$22,ROW($B15)-ROW($B$5),0,1,1))</f>
        <v>FFX01</v>
      </c>
      <c r="B15" s="3" t="str">
        <f t="shared" ca="1" si="0"/>
        <v>Furniture &amp; Fixtures</v>
      </c>
      <c r="C15" s="36" cm="1">
        <f t="array" aca="1" ref="C15" ca="1">IF(LEN($A15)&gt;1,SUMIFS(AssetCOB,AssetCat,$A15),"")</f>
        <v>21100</v>
      </c>
      <c r="D15" s="36" cm="1">
        <f t="array" aca="1" ref="D15" ca="1">IF(LEN($A15)&gt;1,SUMIFS(AssetCAdd,AssetCat,$A15),"")</f>
        <v>0</v>
      </c>
      <c r="E15" s="36" cm="1">
        <f t="array" aca="1" ref="E15" ca="1">IF(LEN($A15)&gt;1,SUMIFS(AssetCRev,AssetCat,$A15),"")</f>
        <v>-11650</v>
      </c>
      <c r="F15" s="36" cm="1">
        <f t="array" aca="1" ref="F15" ca="1">IF(LEN($A15)&gt;1,SUMIFS(AssetCDis,AssetCat,$A15),"")</f>
        <v>0</v>
      </c>
      <c r="G15" s="36" cm="1">
        <f t="array" aca="1" ref="G15" ca="1">IF(LEN($A15)&gt;1,SUMIFS(AssetCImp,AssetCat,$A15),"")</f>
        <v>0</v>
      </c>
      <c r="H15" s="36">
        <f t="shared" ca="1" si="1"/>
        <v>9450</v>
      </c>
      <c r="I15" s="36" cm="1">
        <f t="array" aca="1" ref="I15" ca="1">IF(LEN($A15)&gt;1,SUMIFS(AssetDOB,AssetCat,$A15),"")</f>
        <v>16411.111111111113</v>
      </c>
      <c r="J15" s="36" cm="1">
        <f t="array" aca="1" ref="J15" ca="1">IF(LEN($A15)&gt;1,SUMIFS(AssetDDepC,AssetCat,$A15),"")</f>
        <v>1575</v>
      </c>
      <c r="K15" s="36" cm="1">
        <f t="array" aca="1" ref="K15" ca="1">IF(LEN($A15)&gt;1,SUMIFS(AssetDDepR,AssetCat,$A15),"")</f>
        <v>0</v>
      </c>
      <c r="L15" s="36">
        <f t="shared" ca="1" si="2"/>
        <v>1575</v>
      </c>
      <c r="M15" s="36" cm="1">
        <f t="array" aca="1" ref="M15" ca="1">IF(LEN($A15)&gt;1,SUMIFS(AssetDRev,AssetCat,$A15),"")</f>
        <v>-16411.111111111113</v>
      </c>
      <c r="N15" s="36" cm="1">
        <f t="array" aca="1" ref="N15" ca="1">IF(LEN($A15)&gt;1,SUMIFS(AssetDDis,AssetCat,$A15),"")</f>
        <v>0</v>
      </c>
      <c r="O15" s="36">
        <f t="shared" ca="1" si="3"/>
        <v>1575</v>
      </c>
      <c r="P15" s="36">
        <f t="shared" ca="1" si="4"/>
        <v>7875</v>
      </c>
      <c r="Q15" s="36" cm="1">
        <f t="array" aca="1" ref="Q15" ca="1">IF(LEN($A15)&gt;1,SUMIFS(AssetROB,AssetCat,$A15),"")</f>
        <v>0</v>
      </c>
      <c r="R15" s="36" cm="1">
        <f t="array" aca="1" ref="R15" ca="1">IF(LEN($A15)&gt;1,SUMIFS(AssetRMove,AssetCat,$A15),"")</f>
        <v>4761.1111111111113</v>
      </c>
      <c r="S15" s="36">
        <f t="shared" ca="1" si="5"/>
        <v>0</v>
      </c>
      <c r="T15" s="36">
        <f t="shared" ca="1" si="6"/>
        <v>4761.1111111111113</v>
      </c>
      <c r="U15" s="36" cm="1">
        <f t="array" aca="1" ref="U15" ca="1">IF(LEN($A15)&gt;1,SUMIFS(AssetIWO,AssetCat,$A15),"")</f>
        <v>0</v>
      </c>
      <c r="V15" s="36" cm="1">
        <f t="array" aca="1" ref="V15" ca="1">IF(LEN($A15)&gt;1,SUMIFS(AssetPLoss,AssetCat,$A15),"")</f>
        <v>0</v>
      </c>
      <c r="W15" s="36" cm="1">
        <f t="array" aca="1" ref="W15" ca="1">IF(LEN($A15)&gt;1,SUMIFS(AssetMCost,AssetCat,$A15),"")</f>
        <v>131.25</v>
      </c>
      <c r="X15" s="36" cm="1">
        <f t="array" aca="1" ref="X15" ca="1">IF(LEN($A15)&gt;1,SUMIFS(AssetMRev,AssetCat,$A15),"")</f>
        <v>0</v>
      </c>
      <c r="Y15" s="36">
        <f t="shared" ca="1" si="7"/>
        <v>131.25</v>
      </c>
    </row>
    <row r="16" spans="1:25" ht="16" customHeight="1" x14ac:dyDescent="0.25">
      <c r="A16" s="3" t="str" cm="1">
        <f t="array" aca="1" ref="A16" ca="1">IF(ROW($B16)-ROW($B$5)&gt;CatCount,"",OFFSET('Set-up'!$A$22,ROW($B16)-ROW($B$5),0,1,1))</f>
        <v>MVH01</v>
      </c>
      <c r="B16" s="3" t="str">
        <f t="shared" ca="1" si="0"/>
        <v>Motor Vehicles</v>
      </c>
      <c r="C16" s="36" cm="1">
        <f t="array" aca="1" ref="C16" ca="1">IF(LEN($A16)&gt;1,SUMIFS(AssetCOB,AssetCat,$A16),"")</f>
        <v>252200</v>
      </c>
      <c r="D16" s="36" cm="1">
        <f t="array" aca="1" ref="D16" ca="1">IF(LEN($A16)&gt;1,SUMIFS(AssetCAdd,AssetCat,$A16),"")</f>
        <v>288500</v>
      </c>
      <c r="E16" s="36" cm="1">
        <f t="array" aca="1" ref="E16" ca="1">IF(LEN($A16)&gt;1,SUMIFS(AssetCRev,AssetCat,$A16),"")</f>
        <v>-207200</v>
      </c>
      <c r="F16" s="36" cm="1">
        <f t="array" aca="1" ref="F16" ca="1">IF(LEN($A16)&gt;1,SUMIFS(AssetCDis,AssetCat,$A16),"")</f>
        <v>-45000</v>
      </c>
      <c r="G16" s="36" cm="1">
        <f t="array" aca="1" ref="G16" ca="1">IF(LEN($A16)&gt;1,SUMIFS(AssetCImp,AssetCat,$A16),"")</f>
        <v>0</v>
      </c>
      <c r="H16" s="36">
        <f t="shared" ca="1" si="1"/>
        <v>288500</v>
      </c>
      <c r="I16" s="36" cm="1">
        <f t="array" aca="1" ref="I16" ca="1">IF(LEN($A16)&gt;1,SUMIFS(AssetDOB,AssetCat,$A16),"")</f>
        <v>221386.66666666669</v>
      </c>
      <c r="J16" s="36" cm="1">
        <f t="array" aca="1" ref="J16" ca="1">IF(LEN($A16)&gt;1,SUMIFS(AssetDDepC,AssetCat,$A16),"")</f>
        <v>40975</v>
      </c>
      <c r="K16" s="36" cm="1">
        <f t="array" aca="1" ref="K16" ca="1">IF(LEN($A16)&gt;1,SUMIFS(AssetDDepR,AssetCat,$A16),"")</f>
        <v>0</v>
      </c>
      <c r="L16" s="36">
        <f t="shared" ca="1" si="2"/>
        <v>40975</v>
      </c>
      <c r="M16" s="36" cm="1">
        <f t="array" aca="1" ref="M16" ca="1">IF(LEN($A16)&gt;1,SUMIFS(AssetDRev,AssetCat,$A16),"")</f>
        <v>-221386.66666666669</v>
      </c>
      <c r="N16" s="36" cm="1">
        <f t="array" aca="1" ref="N16" ca="1">IF(LEN($A16)&gt;1,SUMIFS(AssetDDis,AssetCat,$A16),"")</f>
        <v>-1000</v>
      </c>
      <c r="O16" s="36">
        <f t="shared" ca="1" si="3"/>
        <v>39975</v>
      </c>
      <c r="P16" s="36">
        <f t="shared" ca="1" si="4"/>
        <v>248525</v>
      </c>
      <c r="Q16" s="36" cm="1">
        <f t="array" aca="1" ref="Q16" ca="1">IF(LEN($A16)&gt;1,SUMIFS(AssetROB,AssetCat,$A16),"")</f>
        <v>0</v>
      </c>
      <c r="R16" s="36" cm="1">
        <f t="array" aca="1" ref="R16" ca="1">IF(LEN($A16)&gt;1,SUMIFS(AssetRMove,AssetCat,$A16),"")</f>
        <v>0</v>
      </c>
      <c r="S16" s="36">
        <f t="shared" ca="1" si="5"/>
        <v>0</v>
      </c>
      <c r="T16" s="36">
        <f t="shared" ca="1" si="6"/>
        <v>0</v>
      </c>
      <c r="U16" s="36" cm="1">
        <f t="array" aca="1" ref="U16" ca="1">IF(LEN($A16)&gt;1,SUMIFS(AssetIWO,AssetCat,$A16),"")</f>
        <v>0</v>
      </c>
      <c r="V16" s="36" cm="1">
        <f t="array" aca="1" ref="V16" ca="1">IF(LEN($A16)&gt;1,SUMIFS(AssetPLoss,AssetCat,$A16),"")</f>
        <v>11186.666666666686</v>
      </c>
      <c r="W16" s="36" cm="1">
        <f t="array" aca="1" ref="W16" ca="1">IF(LEN($A16)&gt;1,SUMIFS(AssetMCost,AssetCat,$A16),"")</f>
        <v>4441.666666666667</v>
      </c>
      <c r="X16" s="36" cm="1">
        <f t="array" aca="1" ref="X16" ca="1">IF(LEN($A16)&gt;1,SUMIFS(AssetMRev,AssetCat,$A16),"")</f>
        <v>0</v>
      </c>
      <c r="Y16" s="36">
        <f t="shared" ca="1" si="7"/>
        <v>4441.666666666667</v>
      </c>
    </row>
    <row r="17" spans="1:25" ht="16" customHeight="1" x14ac:dyDescent="0.25">
      <c r="A17" s="3" t="str" cm="1">
        <f t="array" aca="1" ref="A17" ca="1">IF(ROW($B17)-ROW($B$5)&gt;CatCount,"",OFFSET('Set-up'!$A$22,ROW($B17)-ROW($B$5),0,1,1))</f>
        <v/>
      </c>
      <c r="B17" s="3" t="str">
        <f t="shared" ca="1" si="0"/>
        <v/>
      </c>
      <c r="C17" s="36" t="str" cm="1">
        <f t="array" aca="1" ref="C17" ca="1">IF(LEN($A17)&gt;1,SUMIFS(AssetCOB,AssetCat,$A17),"")</f>
        <v/>
      </c>
      <c r="D17" s="36" t="str" cm="1">
        <f t="array" aca="1" ref="D17" ca="1">IF(LEN($A17)&gt;1,SUMIFS(AssetCAdd,AssetCat,$A17),"")</f>
        <v/>
      </c>
      <c r="E17" s="36" t="str" cm="1">
        <f t="array" aca="1" ref="E17" ca="1">IF(LEN($A17)&gt;1,SUMIFS(AssetCRev,AssetCat,$A17),"")</f>
        <v/>
      </c>
      <c r="F17" s="36" t="str" cm="1">
        <f t="array" aca="1" ref="F17" ca="1">IF(LEN($A17)&gt;1,SUMIFS(AssetCDis,AssetCat,$A17),"")</f>
        <v/>
      </c>
      <c r="G17" s="36" t="str" cm="1">
        <f t="array" aca="1" ref="G17" ca="1">IF(LEN($A17)&gt;1,SUMIFS(AssetCImp,AssetCat,$A17),"")</f>
        <v/>
      </c>
      <c r="H17" s="36" t="str">
        <f t="shared" ca="1" si="1"/>
        <v/>
      </c>
      <c r="I17" s="36" t="str" cm="1">
        <f t="array" aca="1" ref="I17" ca="1">IF(LEN($A17)&gt;1,SUMIFS(AssetDOB,AssetCat,$A17),"")</f>
        <v/>
      </c>
      <c r="J17" s="36" t="str" cm="1">
        <f t="array" aca="1" ref="J17" ca="1">IF(LEN($A17)&gt;1,SUMIFS(AssetDDepC,AssetCat,$A17),"")</f>
        <v/>
      </c>
      <c r="K17" s="36" t="str" cm="1">
        <f t="array" aca="1" ref="K17" ca="1">IF(LEN($A17)&gt;1,SUMIFS(AssetDDepR,AssetCat,$A17),"")</f>
        <v/>
      </c>
      <c r="L17" s="36" t="str">
        <f t="shared" ca="1" si="2"/>
        <v/>
      </c>
      <c r="M17" s="36" t="str" cm="1">
        <f t="array" aca="1" ref="M17" ca="1">IF(LEN($A17)&gt;1,SUMIFS(AssetDRev,AssetCat,$A17),"")</f>
        <v/>
      </c>
      <c r="N17" s="36" t="str" cm="1">
        <f t="array" aca="1" ref="N17" ca="1">IF(LEN($A17)&gt;1,SUMIFS(AssetDDis,AssetCat,$A17),"")</f>
        <v/>
      </c>
      <c r="O17" s="36" t="str">
        <f t="shared" ca="1" si="3"/>
        <v/>
      </c>
      <c r="P17" s="36" t="str">
        <f t="shared" ca="1" si="4"/>
        <v/>
      </c>
      <c r="Q17" s="36" t="str" cm="1">
        <f t="array" aca="1" ref="Q17" ca="1">IF(LEN($A17)&gt;1,SUMIFS(AssetROB,AssetCat,$A17),"")</f>
        <v/>
      </c>
      <c r="R17" s="36" t="str" cm="1">
        <f t="array" aca="1" ref="R17" ca="1">IF(LEN($A17)&gt;1,SUMIFS(AssetRMove,AssetCat,$A17),"")</f>
        <v/>
      </c>
      <c r="S17" s="36" t="str">
        <f t="shared" ca="1" si="5"/>
        <v/>
      </c>
      <c r="T17" s="36" t="str">
        <f t="shared" ca="1" si="6"/>
        <v/>
      </c>
      <c r="U17" s="36" t="str" cm="1">
        <f t="array" aca="1" ref="U17" ca="1">IF(LEN($A17)&gt;1,SUMIFS(AssetIWO,AssetCat,$A17),"")</f>
        <v/>
      </c>
      <c r="V17" s="36" t="str" cm="1">
        <f t="array" aca="1" ref="V17" ca="1">IF(LEN($A17)&gt;1,SUMIFS(AssetPLoss,AssetCat,$A17),"")</f>
        <v/>
      </c>
      <c r="W17" s="36" t="str" cm="1">
        <f t="array" aca="1" ref="W17" ca="1">IF(LEN($A17)&gt;1,SUMIFS(AssetMCost,AssetCat,$A17),"")</f>
        <v/>
      </c>
      <c r="X17" s="36" t="str" cm="1">
        <f t="array" aca="1" ref="X17" ca="1">IF(LEN($A17)&gt;1,SUMIFS(AssetMRev,AssetCat,$A17),"")</f>
        <v/>
      </c>
      <c r="Y17" s="36" t="str">
        <f t="shared" ca="1" si="7"/>
        <v/>
      </c>
    </row>
    <row r="18" spans="1:25" ht="16" customHeight="1" x14ac:dyDescent="0.25">
      <c r="A18" s="3" t="str" cm="1">
        <f t="array" aca="1" ref="A18" ca="1">IF(ROW($B18)-ROW($B$5)&gt;CatCount,"",OFFSET('Set-up'!$A$22,ROW($B18)-ROW($B$5),0,1,1))</f>
        <v/>
      </c>
      <c r="B18" s="3" t="str">
        <f t="shared" ca="1" si="0"/>
        <v/>
      </c>
      <c r="C18" s="36" t="str" cm="1">
        <f t="array" aca="1" ref="C18" ca="1">IF(LEN($A18)&gt;1,SUMIFS(AssetCOB,AssetCat,$A18),"")</f>
        <v/>
      </c>
      <c r="D18" s="36" t="str" cm="1">
        <f t="array" aca="1" ref="D18" ca="1">IF(LEN($A18)&gt;1,SUMIFS(AssetCAdd,AssetCat,$A18),"")</f>
        <v/>
      </c>
      <c r="E18" s="36" t="str" cm="1">
        <f t="array" aca="1" ref="E18" ca="1">IF(LEN($A18)&gt;1,SUMIFS(AssetCRev,AssetCat,$A18),"")</f>
        <v/>
      </c>
      <c r="F18" s="36" t="str" cm="1">
        <f t="array" aca="1" ref="F18" ca="1">IF(LEN($A18)&gt;1,SUMIFS(AssetCDis,AssetCat,$A18),"")</f>
        <v/>
      </c>
      <c r="G18" s="36" t="str" cm="1">
        <f t="array" aca="1" ref="G18" ca="1">IF(LEN($A18)&gt;1,SUMIFS(AssetCImp,AssetCat,$A18),"")</f>
        <v/>
      </c>
      <c r="H18" s="36" t="str">
        <f t="shared" ca="1" si="1"/>
        <v/>
      </c>
      <c r="I18" s="36" t="str" cm="1">
        <f t="array" aca="1" ref="I18" ca="1">IF(LEN($A18)&gt;1,SUMIFS(AssetDOB,AssetCat,$A18),"")</f>
        <v/>
      </c>
      <c r="J18" s="36" t="str" cm="1">
        <f t="array" aca="1" ref="J18" ca="1">IF(LEN($A18)&gt;1,SUMIFS(AssetDDepC,AssetCat,$A18),"")</f>
        <v/>
      </c>
      <c r="K18" s="36" t="str" cm="1">
        <f t="array" aca="1" ref="K18" ca="1">IF(LEN($A18)&gt;1,SUMIFS(AssetDDepR,AssetCat,$A18),"")</f>
        <v/>
      </c>
      <c r="L18" s="36" t="str">
        <f t="shared" ca="1" si="2"/>
        <v/>
      </c>
      <c r="M18" s="36" t="str" cm="1">
        <f t="array" aca="1" ref="M18" ca="1">IF(LEN($A18)&gt;1,SUMIFS(AssetDRev,AssetCat,$A18),"")</f>
        <v/>
      </c>
      <c r="N18" s="36" t="str" cm="1">
        <f t="array" aca="1" ref="N18" ca="1">IF(LEN($A18)&gt;1,SUMIFS(AssetDDis,AssetCat,$A18),"")</f>
        <v/>
      </c>
      <c r="O18" s="36" t="str">
        <f t="shared" ca="1" si="3"/>
        <v/>
      </c>
      <c r="P18" s="36" t="str">
        <f t="shared" ca="1" si="4"/>
        <v/>
      </c>
      <c r="Q18" s="36" t="str" cm="1">
        <f t="array" aca="1" ref="Q18" ca="1">IF(LEN($A18)&gt;1,SUMIFS(AssetROB,AssetCat,$A18),"")</f>
        <v/>
      </c>
      <c r="R18" s="36" t="str" cm="1">
        <f t="array" aca="1" ref="R18" ca="1">IF(LEN($A18)&gt;1,SUMIFS(AssetRMove,AssetCat,$A18),"")</f>
        <v/>
      </c>
      <c r="S18" s="36" t="str">
        <f t="shared" ca="1" si="5"/>
        <v/>
      </c>
      <c r="T18" s="36" t="str">
        <f t="shared" ca="1" si="6"/>
        <v/>
      </c>
      <c r="U18" s="36" t="str" cm="1">
        <f t="array" aca="1" ref="U18" ca="1">IF(LEN($A18)&gt;1,SUMIFS(AssetIWO,AssetCat,$A18),"")</f>
        <v/>
      </c>
      <c r="V18" s="36" t="str" cm="1">
        <f t="array" aca="1" ref="V18" ca="1">IF(LEN($A18)&gt;1,SUMIFS(AssetPLoss,AssetCat,$A18),"")</f>
        <v/>
      </c>
      <c r="W18" s="36" t="str" cm="1">
        <f t="array" aca="1" ref="W18" ca="1">IF(LEN($A18)&gt;1,SUMIFS(AssetMCost,AssetCat,$A18),"")</f>
        <v/>
      </c>
      <c r="X18" s="36" t="str" cm="1">
        <f t="array" aca="1" ref="X18" ca="1">IF(LEN($A18)&gt;1,SUMIFS(AssetMRev,AssetCat,$A18),"")</f>
        <v/>
      </c>
      <c r="Y18" s="36" t="str">
        <f t="shared" ca="1" si="7"/>
        <v/>
      </c>
    </row>
    <row r="19" spans="1:25" ht="16" customHeight="1" x14ac:dyDescent="0.25">
      <c r="A19" s="3" t="str" cm="1">
        <f t="array" aca="1" ref="A19" ca="1">IF(ROW($B19)-ROW($B$5)&gt;CatCount,"",OFFSET('Set-up'!$A$22,ROW($B19)-ROW($B$5),0,1,1))</f>
        <v/>
      </c>
      <c r="B19" s="3" t="str">
        <f t="shared" ca="1" si="0"/>
        <v/>
      </c>
      <c r="C19" s="36" t="str" cm="1">
        <f t="array" aca="1" ref="C19" ca="1">IF(LEN($A19)&gt;1,SUMIFS(AssetCOB,AssetCat,$A19),"")</f>
        <v/>
      </c>
      <c r="D19" s="36" t="str" cm="1">
        <f t="array" aca="1" ref="D19" ca="1">IF(LEN($A19)&gt;1,SUMIFS(AssetCAdd,AssetCat,$A19),"")</f>
        <v/>
      </c>
      <c r="E19" s="36" t="str" cm="1">
        <f t="array" aca="1" ref="E19" ca="1">IF(LEN($A19)&gt;1,SUMIFS(AssetCRev,AssetCat,$A19),"")</f>
        <v/>
      </c>
      <c r="F19" s="36" t="str" cm="1">
        <f t="array" aca="1" ref="F19" ca="1">IF(LEN($A19)&gt;1,SUMIFS(AssetCDis,AssetCat,$A19),"")</f>
        <v/>
      </c>
      <c r="G19" s="36" t="str" cm="1">
        <f t="array" aca="1" ref="G19" ca="1">IF(LEN($A19)&gt;1,SUMIFS(AssetCImp,AssetCat,$A19),"")</f>
        <v/>
      </c>
      <c r="H19" s="36" t="str">
        <f t="shared" ca="1" si="1"/>
        <v/>
      </c>
      <c r="I19" s="36" t="str" cm="1">
        <f t="array" aca="1" ref="I19" ca="1">IF(LEN($A19)&gt;1,SUMIFS(AssetDOB,AssetCat,$A19),"")</f>
        <v/>
      </c>
      <c r="J19" s="36" t="str" cm="1">
        <f t="array" aca="1" ref="J19" ca="1">IF(LEN($A19)&gt;1,SUMIFS(AssetDDepC,AssetCat,$A19),"")</f>
        <v/>
      </c>
      <c r="K19" s="36" t="str" cm="1">
        <f t="array" aca="1" ref="K19" ca="1">IF(LEN($A19)&gt;1,SUMIFS(AssetDDepR,AssetCat,$A19),"")</f>
        <v/>
      </c>
      <c r="L19" s="36" t="str">
        <f t="shared" ca="1" si="2"/>
        <v/>
      </c>
      <c r="M19" s="36" t="str" cm="1">
        <f t="array" aca="1" ref="M19" ca="1">IF(LEN($A19)&gt;1,SUMIFS(AssetDRev,AssetCat,$A19),"")</f>
        <v/>
      </c>
      <c r="N19" s="36" t="str" cm="1">
        <f t="array" aca="1" ref="N19" ca="1">IF(LEN($A19)&gt;1,SUMIFS(AssetDDis,AssetCat,$A19),"")</f>
        <v/>
      </c>
      <c r="O19" s="36" t="str">
        <f t="shared" ca="1" si="3"/>
        <v/>
      </c>
      <c r="P19" s="36" t="str">
        <f t="shared" ca="1" si="4"/>
        <v/>
      </c>
      <c r="Q19" s="36" t="str" cm="1">
        <f t="array" aca="1" ref="Q19" ca="1">IF(LEN($A19)&gt;1,SUMIFS(AssetROB,AssetCat,$A19),"")</f>
        <v/>
      </c>
      <c r="R19" s="36" t="str" cm="1">
        <f t="array" aca="1" ref="R19" ca="1">IF(LEN($A19)&gt;1,SUMIFS(AssetRMove,AssetCat,$A19),"")</f>
        <v/>
      </c>
      <c r="S19" s="36" t="str">
        <f t="shared" ca="1" si="5"/>
        <v/>
      </c>
      <c r="T19" s="36" t="str">
        <f t="shared" ca="1" si="6"/>
        <v/>
      </c>
      <c r="U19" s="36" t="str" cm="1">
        <f t="array" aca="1" ref="U19" ca="1">IF(LEN($A19)&gt;1,SUMIFS(AssetIWO,AssetCat,$A19),"")</f>
        <v/>
      </c>
      <c r="V19" s="36" t="str" cm="1">
        <f t="array" aca="1" ref="V19" ca="1">IF(LEN($A19)&gt;1,SUMIFS(AssetPLoss,AssetCat,$A19),"")</f>
        <v/>
      </c>
      <c r="W19" s="36" t="str" cm="1">
        <f t="array" aca="1" ref="W19" ca="1">IF(LEN($A19)&gt;1,SUMIFS(AssetMCost,AssetCat,$A19),"")</f>
        <v/>
      </c>
      <c r="X19" s="36" t="str" cm="1">
        <f t="array" aca="1" ref="X19" ca="1">IF(LEN($A19)&gt;1,SUMIFS(AssetMRev,AssetCat,$A19),"")</f>
        <v/>
      </c>
      <c r="Y19" s="36" t="str">
        <f t="shared" ca="1" si="7"/>
        <v/>
      </c>
    </row>
    <row r="20" spans="1:25" ht="16" customHeight="1" x14ac:dyDescent="0.25">
      <c r="A20" s="3" t="str" cm="1">
        <f t="array" aca="1" ref="A20" ca="1">IF(ROW($B20)-ROW($B$5)&gt;CatCount,"",OFFSET('Set-up'!$A$22,ROW($B20)-ROW($B$5),0,1,1))</f>
        <v/>
      </c>
      <c r="B20" s="3" t="str">
        <f t="shared" ca="1" si="0"/>
        <v/>
      </c>
      <c r="C20" s="36" t="str" cm="1">
        <f t="array" aca="1" ref="C20" ca="1">IF(LEN($A20)&gt;1,SUMIFS(AssetCOB,AssetCat,$A20),"")</f>
        <v/>
      </c>
      <c r="D20" s="36" t="str" cm="1">
        <f t="array" aca="1" ref="D20" ca="1">IF(LEN($A20)&gt;1,SUMIFS(AssetCAdd,AssetCat,$A20),"")</f>
        <v/>
      </c>
      <c r="E20" s="36" t="str" cm="1">
        <f t="array" aca="1" ref="E20" ca="1">IF(LEN($A20)&gt;1,SUMIFS(AssetCRev,AssetCat,$A20),"")</f>
        <v/>
      </c>
      <c r="F20" s="36" t="str" cm="1">
        <f t="array" aca="1" ref="F20" ca="1">IF(LEN($A20)&gt;1,SUMIFS(AssetCDis,AssetCat,$A20),"")</f>
        <v/>
      </c>
      <c r="G20" s="36" t="str" cm="1">
        <f t="array" aca="1" ref="G20" ca="1">IF(LEN($A20)&gt;1,SUMIFS(AssetCImp,AssetCat,$A20),"")</f>
        <v/>
      </c>
      <c r="H20" s="36" t="str">
        <f t="shared" ca="1" si="1"/>
        <v/>
      </c>
      <c r="I20" s="36" t="str" cm="1">
        <f t="array" aca="1" ref="I20" ca="1">IF(LEN($A20)&gt;1,SUMIFS(AssetDOB,AssetCat,$A20),"")</f>
        <v/>
      </c>
      <c r="J20" s="36" t="str" cm="1">
        <f t="array" aca="1" ref="J20" ca="1">IF(LEN($A20)&gt;1,SUMIFS(AssetDDepC,AssetCat,$A20),"")</f>
        <v/>
      </c>
      <c r="K20" s="36" t="str" cm="1">
        <f t="array" aca="1" ref="K20" ca="1">IF(LEN($A20)&gt;1,SUMIFS(AssetDDepR,AssetCat,$A20),"")</f>
        <v/>
      </c>
      <c r="L20" s="36" t="str">
        <f t="shared" ca="1" si="2"/>
        <v/>
      </c>
      <c r="M20" s="36" t="str" cm="1">
        <f t="array" aca="1" ref="M20" ca="1">IF(LEN($A20)&gt;1,SUMIFS(AssetDRev,AssetCat,$A20),"")</f>
        <v/>
      </c>
      <c r="N20" s="36" t="str" cm="1">
        <f t="array" aca="1" ref="N20" ca="1">IF(LEN($A20)&gt;1,SUMIFS(AssetDDis,AssetCat,$A20),"")</f>
        <v/>
      </c>
      <c r="O20" s="36" t="str">
        <f t="shared" ca="1" si="3"/>
        <v/>
      </c>
      <c r="P20" s="36" t="str">
        <f t="shared" ca="1" si="4"/>
        <v/>
      </c>
      <c r="Q20" s="36" t="str" cm="1">
        <f t="array" aca="1" ref="Q20" ca="1">IF(LEN($A20)&gt;1,SUMIFS(AssetROB,AssetCat,$A20),"")</f>
        <v/>
      </c>
      <c r="R20" s="36" t="str" cm="1">
        <f t="array" aca="1" ref="R20" ca="1">IF(LEN($A20)&gt;1,SUMIFS(AssetRMove,AssetCat,$A20),"")</f>
        <v/>
      </c>
      <c r="S20" s="36" t="str">
        <f t="shared" ca="1" si="5"/>
        <v/>
      </c>
      <c r="T20" s="36" t="str">
        <f t="shared" ca="1" si="6"/>
        <v/>
      </c>
      <c r="U20" s="36" t="str" cm="1">
        <f t="array" aca="1" ref="U20" ca="1">IF(LEN($A20)&gt;1,SUMIFS(AssetIWO,AssetCat,$A20),"")</f>
        <v/>
      </c>
      <c r="V20" s="36" t="str" cm="1">
        <f t="array" aca="1" ref="V20" ca="1">IF(LEN($A20)&gt;1,SUMIFS(AssetPLoss,AssetCat,$A20),"")</f>
        <v/>
      </c>
      <c r="W20" s="36" t="str" cm="1">
        <f t="array" aca="1" ref="W20" ca="1">IF(LEN($A20)&gt;1,SUMIFS(AssetMCost,AssetCat,$A20),"")</f>
        <v/>
      </c>
      <c r="X20" s="36" t="str" cm="1">
        <f t="array" aca="1" ref="X20" ca="1">IF(LEN($A20)&gt;1,SUMIFS(AssetMRev,AssetCat,$A20),"")</f>
        <v/>
      </c>
      <c r="Y20" s="36" t="str">
        <f t="shared" ca="1" si="7"/>
        <v/>
      </c>
    </row>
    <row r="21" spans="1:25" ht="16" customHeight="1" x14ac:dyDescent="0.25">
      <c r="A21" s="3" t="str" cm="1">
        <f t="array" aca="1" ref="A21" ca="1">IF(ROW($B21)-ROW($B$5)&gt;CatCount,"",OFFSET('Set-up'!$A$22,ROW($B21)-ROW($B$5),0,1,1))</f>
        <v/>
      </c>
      <c r="B21" s="3" t="str">
        <f t="shared" ca="1" si="0"/>
        <v/>
      </c>
      <c r="C21" s="36" t="str" cm="1">
        <f t="array" aca="1" ref="C21" ca="1">IF(LEN($A21)&gt;1,SUMIFS(AssetCOB,AssetCat,$A21),"")</f>
        <v/>
      </c>
      <c r="D21" s="36" t="str" cm="1">
        <f t="array" aca="1" ref="D21" ca="1">IF(LEN($A21)&gt;1,SUMIFS(AssetCAdd,AssetCat,$A21),"")</f>
        <v/>
      </c>
      <c r="E21" s="36" t="str" cm="1">
        <f t="array" aca="1" ref="E21" ca="1">IF(LEN($A21)&gt;1,SUMIFS(AssetCRev,AssetCat,$A21),"")</f>
        <v/>
      </c>
      <c r="F21" s="36" t="str" cm="1">
        <f t="array" aca="1" ref="F21" ca="1">IF(LEN($A21)&gt;1,SUMIFS(AssetCDis,AssetCat,$A21),"")</f>
        <v/>
      </c>
      <c r="G21" s="36" t="str" cm="1">
        <f t="array" aca="1" ref="G21" ca="1">IF(LEN($A21)&gt;1,SUMIFS(AssetCImp,AssetCat,$A21),"")</f>
        <v/>
      </c>
      <c r="H21" s="36" t="str">
        <f t="shared" ca="1" si="1"/>
        <v/>
      </c>
      <c r="I21" s="36" t="str" cm="1">
        <f t="array" aca="1" ref="I21" ca="1">IF(LEN($A21)&gt;1,SUMIFS(AssetDOB,AssetCat,$A21),"")</f>
        <v/>
      </c>
      <c r="J21" s="36" t="str" cm="1">
        <f t="array" aca="1" ref="J21" ca="1">IF(LEN($A21)&gt;1,SUMIFS(AssetDDepC,AssetCat,$A21),"")</f>
        <v/>
      </c>
      <c r="K21" s="36" t="str" cm="1">
        <f t="array" aca="1" ref="K21" ca="1">IF(LEN($A21)&gt;1,SUMIFS(AssetDDepR,AssetCat,$A21),"")</f>
        <v/>
      </c>
      <c r="L21" s="36" t="str">
        <f t="shared" ca="1" si="2"/>
        <v/>
      </c>
      <c r="M21" s="36" t="str" cm="1">
        <f t="array" aca="1" ref="M21" ca="1">IF(LEN($A21)&gt;1,SUMIFS(AssetDRev,AssetCat,$A21),"")</f>
        <v/>
      </c>
      <c r="N21" s="36" t="str" cm="1">
        <f t="array" aca="1" ref="N21" ca="1">IF(LEN($A21)&gt;1,SUMIFS(AssetDDis,AssetCat,$A21),"")</f>
        <v/>
      </c>
      <c r="O21" s="36" t="str">
        <f t="shared" ca="1" si="3"/>
        <v/>
      </c>
      <c r="P21" s="36" t="str">
        <f t="shared" ca="1" si="4"/>
        <v/>
      </c>
      <c r="Q21" s="36" t="str" cm="1">
        <f t="array" aca="1" ref="Q21" ca="1">IF(LEN($A21)&gt;1,SUMIFS(AssetROB,AssetCat,$A21),"")</f>
        <v/>
      </c>
      <c r="R21" s="36" t="str" cm="1">
        <f t="array" aca="1" ref="R21" ca="1">IF(LEN($A21)&gt;1,SUMIFS(AssetRMove,AssetCat,$A21),"")</f>
        <v/>
      </c>
      <c r="S21" s="36" t="str">
        <f t="shared" ca="1" si="5"/>
        <v/>
      </c>
      <c r="T21" s="36" t="str">
        <f t="shared" ca="1" si="6"/>
        <v/>
      </c>
      <c r="U21" s="36" t="str" cm="1">
        <f t="array" aca="1" ref="U21" ca="1">IF(LEN($A21)&gt;1,SUMIFS(AssetIWO,AssetCat,$A21),"")</f>
        <v/>
      </c>
      <c r="V21" s="36" t="str" cm="1">
        <f t="array" aca="1" ref="V21" ca="1">IF(LEN($A21)&gt;1,SUMIFS(AssetPLoss,AssetCat,$A21),"")</f>
        <v/>
      </c>
      <c r="W21" s="36" t="str" cm="1">
        <f t="array" aca="1" ref="W21" ca="1">IF(LEN($A21)&gt;1,SUMIFS(AssetMCost,AssetCat,$A21),"")</f>
        <v/>
      </c>
      <c r="X21" s="36" t="str" cm="1">
        <f t="array" aca="1" ref="X21" ca="1">IF(LEN($A21)&gt;1,SUMIFS(AssetMRev,AssetCat,$A21),"")</f>
        <v/>
      </c>
      <c r="Y21" s="36" t="str">
        <f t="shared" ca="1" si="7"/>
        <v/>
      </c>
    </row>
    <row r="22" spans="1:25" ht="16" customHeight="1" x14ac:dyDescent="0.25">
      <c r="A22" s="3" t="str" cm="1">
        <f t="array" aca="1" ref="A22" ca="1">IF(ROW($B22)-ROW($B$5)&gt;CatCount,"",OFFSET('Set-up'!$A$22,ROW($B22)-ROW($B$5),0,1,1))</f>
        <v/>
      </c>
      <c r="B22" s="3" t="str">
        <f t="shared" ca="1" si="0"/>
        <v/>
      </c>
      <c r="C22" s="36" t="str" cm="1">
        <f t="array" aca="1" ref="C22" ca="1">IF(LEN($A22)&gt;1,SUMIFS(AssetCOB,AssetCat,$A22),"")</f>
        <v/>
      </c>
      <c r="D22" s="36" t="str" cm="1">
        <f t="array" aca="1" ref="D22" ca="1">IF(LEN($A22)&gt;1,SUMIFS(AssetCAdd,AssetCat,$A22),"")</f>
        <v/>
      </c>
      <c r="E22" s="36" t="str" cm="1">
        <f t="array" aca="1" ref="E22" ca="1">IF(LEN($A22)&gt;1,SUMIFS(AssetCRev,AssetCat,$A22),"")</f>
        <v/>
      </c>
      <c r="F22" s="36" t="str" cm="1">
        <f t="array" aca="1" ref="F22" ca="1">IF(LEN($A22)&gt;1,SUMIFS(AssetCDis,AssetCat,$A22),"")</f>
        <v/>
      </c>
      <c r="G22" s="36" t="str" cm="1">
        <f t="array" aca="1" ref="G22" ca="1">IF(LEN($A22)&gt;1,SUMIFS(AssetCImp,AssetCat,$A22),"")</f>
        <v/>
      </c>
      <c r="H22" s="36" t="str">
        <f t="shared" ca="1" si="1"/>
        <v/>
      </c>
      <c r="I22" s="36" t="str" cm="1">
        <f t="array" aca="1" ref="I22" ca="1">IF(LEN($A22)&gt;1,SUMIFS(AssetDOB,AssetCat,$A22),"")</f>
        <v/>
      </c>
      <c r="J22" s="36" t="str" cm="1">
        <f t="array" aca="1" ref="J22" ca="1">IF(LEN($A22)&gt;1,SUMIFS(AssetDDepC,AssetCat,$A22),"")</f>
        <v/>
      </c>
      <c r="K22" s="36" t="str" cm="1">
        <f t="array" aca="1" ref="K22" ca="1">IF(LEN($A22)&gt;1,SUMIFS(AssetDDepR,AssetCat,$A22),"")</f>
        <v/>
      </c>
      <c r="L22" s="36" t="str">
        <f t="shared" ca="1" si="2"/>
        <v/>
      </c>
      <c r="M22" s="36" t="str" cm="1">
        <f t="array" aca="1" ref="M22" ca="1">IF(LEN($A22)&gt;1,SUMIFS(AssetDRev,AssetCat,$A22),"")</f>
        <v/>
      </c>
      <c r="N22" s="36" t="str" cm="1">
        <f t="array" aca="1" ref="N22" ca="1">IF(LEN($A22)&gt;1,SUMIFS(AssetDDis,AssetCat,$A22),"")</f>
        <v/>
      </c>
      <c r="O22" s="36" t="str">
        <f t="shared" ca="1" si="3"/>
        <v/>
      </c>
      <c r="P22" s="36" t="str">
        <f t="shared" ca="1" si="4"/>
        <v/>
      </c>
      <c r="Q22" s="36" t="str" cm="1">
        <f t="array" aca="1" ref="Q22" ca="1">IF(LEN($A22)&gt;1,SUMIFS(AssetROB,AssetCat,$A22),"")</f>
        <v/>
      </c>
      <c r="R22" s="36" t="str" cm="1">
        <f t="array" aca="1" ref="R22" ca="1">IF(LEN($A22)&gt;1,SUMIFS(AssetRMove,AssetCat,$A22),"")</f>
        <v/>
      </c>
      <c r="S22" s="36" t="str">
        <f t="shared" ca="1" si="5"/>
        <v/>
      </c>
      <c r="T22" s="36" t="str">
        <f t="shared" ca="1" si="6"/>
        <v/>
      </c>
      <c r="U22" s="36" t="str" cm="1">
        <f t="array" aca="1" ref="U22" ca="1">IF(LEN($A22)&gt;1,SUMIFS(AssetIWO,AssetCat,$A22),"")</f>
        <v/>
      </c>
      <c r="V22" s="36" t="str" cm="1">
        <f t="array" aca="1" ref="V22" ca="1">IF(LEN($A22)&gt;1,SUMIFS(AssetPLoss,AssetCat,$A22),"")</f>
        <v/>
      </c>
      <c r="W22" s="36" t="str" cm="1">
        <f t="array" aca="1" ref="W22" ca="1">IF(LEN($A22)&gt;1,SUMIFS(AssetMCost,AssetCat,$A22),"")</f>
        <v/>
      </c>
      <c r="X22" s="36" t="str" cm="1">
        <f t="array" aca="1" ref="X22" ca="1">IF(LEN($A22)&gt;1,SUMIFS(AssetMRev,AssetCat,$A22),"")</f>
        <v/>
      </c>
      <c r="Y22" s="36" t="str">
        <f t="shared" ca="1" si="7"/>
        <v/>
      </c>
    </row>
    <row r="23" spans="1:25" ht="16" customHeight="1" x14ac:dyDescent="0.25">
      <c r="A23" s="3" t="str" cm="1">
        <f t="array" aca="1" ref="A23" ca="1">IF(ROW($B23)-ROW($B$5)&gt;CatCount,"",OFFSET('Set-up'!$A$22,ROW($B23)-ROW($B$5),0,1,1))</f>
        <v/>
      </c>
      <c r="B23" s="3" t="str">
        <f t="shared" ca="1" si="0"/>
        <v/>
      </c>
      <c r="C23" s="36" t="str" cm="1">
        <f t="array" aca="1" ref="C23" ca="1">IF(LEN($A23)&gt;1,SUMIFS(AssetCOB,AssetCat,$A23),"")</f>
        <v/>
      </c>
      <c r="D23" s="36" t="str" cm="1">
        <f t="array" aca="1" ref="D23" ca="1">IF(LEN($A23)&gt;1,SUMIFS(AssetCAdd,AssetCat,$A23),"")</f>
        <v/>
      </c>
      <c r="E23" s="36" t="str" cm="1">
        <f t="array" aca="1" ref="E23" ca="1">IF(LEN($A23)&gt;1,SUMIFS(AssetCRev,AssetCat,$A23),"")</f>
        <v/>
      </c>
      <c r="F23" s="36" t="str" cm="1">
        <f t="array" aca="1" ref="F23" ca="1">IF(LEN($A23)&gt;1,SUMIFS(AssetCDis,AssetCat,$A23),"")</f>
        <v/>
      </c>
      <c r="G23" s="36" t="str" cm="1">
        <f t="array" aca="1" ref="G23" ca="1">IF(LEN($A23)&gt;1,SUMIFS(AssetCImp,AssetCat,$A23),"")</f>
        <v/>
      </c>
      <c r="H23" s="36" t="str">
        <f t="shared" ca="1" si="1"/>
        <v/>
      </c>
      <c r="I23" s="36" t="str" cm="1">
        <f t="array" aca="1" ref="I23" ca="1">IF(LEN($A23)&gt;1,SUMIFS(AssetDOB,AssetCat,$A23),"")</f>
        <v/>
      </c>
      <c r="J23" s="36" t="str" cm="1">
        <f t="array" aca="1" ref="J23" ca="1">IF(LEN($A23)&gt;1,SUMIFS(AssetDDepC,AssetCat,$A23),"")</f>
        <v/>
      </c>
      <c r="K23" s="36" t="str" cm="1">
        <f t="array" aca="1" ref="K23" ca="1">IF(LEN($A23)&gt;1,SUMIFS(AssetDDepR,AssetCat,$A23),"")</f>
        <v/>
      </c>
      <c r="L23" s="36" t="str">
        <f t="shared" ca="1" si="2"/>
        <v/>
      </c>
      <c r="M23" s="36" t="str" cm="1">
        <f t="array" aca="1" ref="M23" ca="1">IF(LEN($A23)&gt;1,SUMIFS(AssetDRev,AssetCat,$A23),"")</f>
        <v/>
      </c>
      <c r="N23" s="36" t="str" cm="1">
        <f t="array" aca="1" ref="N23" ca="1">IF(LEN($A23)&gt;1,SUMIFS(AssetDDis,AssetCat,$A23),"")</f>
        <v/>
      </c>
      <c r="O23" s="36" t="str">
        <f t="shared" ca="1" si="3"/>
        <v/>
      </c>
      <c r="P23" s="36" t="str">
        <f t="shared" ca="1" si="4"/>
        <v/>
      </c>
      <c r="Q23" s="36" t="str" cm="1">
        <f t="array" aca="1" ref="Q23" ca="1">IF(LEN($A23)&gt;1,SUMIFS(AssetROB,AssetCat,$A23),"")</f>
        <v/>
      </c>
      <c r="R23" s="36" t="str" cm="1">
        <f t="array" aca="1" ref="R23" ca="1">IF(LEN($A23)&gt;1,SUMIFS(AssetRMove,AssetCat,$A23),"")</f>
        <v/>
      </c>
      <c r="S23" s="36" t="str">
        <f t="shared" ca="1" si="5"/>
        <v/>
      </c>
      <c r="T23" s="36" t="str">
        <f t="shared" ca="1" si="6"/>
        <v/>
      </c>
      <c r="U23" s="36" t="str" cm="1">
        <f t="array" aca="1" ref="U23" ca="1">IF(LEN($A23)&gt;1,SUMIFS(AssetIWO,AssetCat,$A23),"")</f>
        <v/>
      </c>
      <c r="V23" s="36" t="str" cm="1">
        <f t="array" aca="1" ref="V23" ca="1">IF(LEN($A23)&gt;1,SUMIFS(AssetPLoss,AssetCat,$A23),"")</f>
        <v/>
      </c>
      <c r="W23" s="36" t="str" cm="1">
        <f t="array" aca="1" ref="W23" ca="1">IF(LEN($A23)&gt;1,SUMIFS(AssetMCost,AssetCat,$A23),"")</f>
        <v/>
      </c>
      <c r="X23" s="36" t="str" cm="1">
        <f t="array" aca="1" ref="X23" ca="1">IF(LEN($A23)&gt;1,SUMIFS(AssetMRev,AssetCat,$A23),"")</f>
        <v/>
      </c>
      <c r="Y23" s="36" t="str">
        <f t="shared" ca="1" si="7"/>
        <v/>
      </c>
    </row>
    <row r="24" spans="1:25" ht="16" customHeight="1" x14ac:dyDescent="0.25">
      <c r="A24" s="3" t="str" cm="1">
        <f t="array" aca="1" ref="A24" ca="1">IF(ROW($B24)-ROW($B$5)&gt;CatCount,"",OFFSET('Set-up'!$A$22,ROW($B24)-ROW($B$5),0,1,1))</f>
        <v/>
      </c>
      <c r="B24" s="3" t="str">
        <f t="shared" ca="1" si="0"/>
        <v/>
      </c>
      <c r="C24" s="36" t="str" cm="1">
        <f t="array" aca="1" ref="C24" ca="1">IF(LEN($A24)&gt;1,SUMIFS(AssetCOB,AssetCat,$A24),"")</f>
        <v/>
      </c>
      <c r="D24" s="36" t="str" cm="1">
        <f t="array" aca="1" ref="D24" ca="1">IF(LEN($A24)&gt;1,SUMIFS(AssetCAdd,AssetCat,$A24),"")</f>
        <v/>
      </c>
      <c r="E24" s="36" t="str" cm="1">
        <f t="array" aca="1" ref="E24" ca="1">IF(LEN($A24)&gt;1,SUMIFS(AssetCRev,AssetCat,$A24),"")</f>
        <v/>
      </c>
      <c r="F24" s="36" t="str" cm="1">
        <f t="array" aca="1" ref="F24" ca="1">IF(LEN($A24)&gt;1,SUMIFS(AssetCDis,AssetCat,$A24),"")</f>
        <v/>
      </c>
      <c r="G24" s="36" t="str" cm="1">
        <f t="array" aca="1" ref="G24" ca="1">IF(LEN($A24)&gt;1,SUMIFS(AssetCImp,AssetCat,$A24),"")</f>
        <v/>
      </c>
      <c r="H24" s="36" t="str">
        <f t="shared" ca="1" si="1"/>
        <v/>
      </c>
      <c r="I24" s="36" t="str" cm="1">
        <f t="array" aca="1" ref="I24" ca="1">IF(LEN($A24)&gt;1,SUMIFS(AssetDOB,AssetCat,$A24),"")</f>
        <v/>
      </c>
      <c r="J24" s="36" t="str" cm="1">
        <f t="array" aca="1" ref="J24" ca="1">IF(LEN($A24)&gt;1,SUMIFS(AssetDDepC,AssetCat,$A24),"")</f>
        <v/>
      </c>
      <c r="K24" s="36" t="str" cm="1">
        <f t="array" aca="1" ref="K24" ca="1">IF(LEN($A24)&gt;1,SUMIFS(AssetDDepR,AssetCat,$A24),"")</f>
        <v/>
      </c>
      <c r="L24" s="36" t="str">
        <f t="shared" ca="1" si="2"/>
        <v/>
      </c>
      <c r="M24" s="36" t="str" cm="1">
        <f t="array" aca="1" ref="M24" ca="1">IF(LEN($A24)&gt;1,SUMIFS(AssetDRev,AssetCat,$A24),"")</f>
        <v/>
      </c>
      <c r="N24" s="36" t="str" cm="1">
        <f t="array" aca="1" ref="N24" ca="1">IF(LEN($A24)&gt;1,SUMIFS(AssetDDis,AssetCat,$A24),"")</f>
        <v/>
      </c>
      <c r="O24" s="36" t="str">
        <f t="shared" ca="1" si="3"/>
        <v/>
      </c>
      <c r="P24" s="36" t="str">
        <f t="shared" ca="1" si="4"/>
        <v/>
      </c>
      <c r="Q24" s="36" t="str" cm="1">
        <f t="array" aca="1" ref="Q24" ca="1">IF(LEN($A24)&gt;1,SUMIFS(AssetROB,AssetCat,$A24),"")</f>
        <v/>
      </c>
      <c r="R24" s="36" t="str" cm="1">
        <f t="array" aca="1" ref="R24" ca="1">IF(LEN($A24)&gt;1,SUMIFS(AssetRMove,AssetCat,$A24),"")</f>
        <v/>
      </c>
      <c r="S24" s="36" t="str">
        <f t="shared" ca="1" si="5"/>
        <v/>
      </c>
      <c r="T24" s="36" t="str">
        <f t="shared" ca="1" si="6"/>
        <v/>
      </c>
      <c r="U24" s="36" t="str" cm="1">
        <f t="array" aca="1" ref="U24" ca="1">IF(LEN($A24)&gt;1,SUMIFS(AssetIWO,AssetCat,$A24),"")</f>
        <v/>
      </c>
      <c r="V24" s="36" t="str" cm="1">
        <f t="array" aca="1" ref="V24" ca="1">IF(LEN($A24)&gt;1,SUMIFS(AssetPLoss,AssetCat,$A24),"")</f>
        <v/>
      </c>
      <c r="W24" s="36" t="str" cm="1">
        <f t="array" aca="1" ref="W24" ca="1">IF(LEN($A24)&gt;1,SUMIFS(AssetMCost,AssetCat,$A24),"")</f>
        <v/>
      </c>
      <c r="X24" s="36" t="str" cm="1">
        <f t="array" aca="1" ref="X24" ca="1">IF(LEN($A24)&gt;1,SUMIFS(AssetMRev,AssetCat,$A24),"")</f>
        <v/>
      </c>
      <c r="Y24" s="36" t="str">
        <f t="shared" ca="1" si="7"/>
        <v/>
      </c>
    </row>
    <row r="25" spans="1:25" ht="16" customHeight="1" x14ac:dyDescent="0.25">
      <c r="A25" s="3" t="str" cm="1">
        <f t="array" aca="1" ref="A25" ca="1">IF(ROW($B25)-ROW($B$5)&gt;CatCount,"",OFFSET('Set-up'!$A$22,ROW($B25)-ROW($B$5),0,1,1))</f>
        <v/>
      </c>
      <c r="B25" s="3" t="str">
        <f t="shared" ca="1" si="0"/>
        <v/>
      </c>
      <c r="C25" s="36" t="str" cm="1">
        <f t="array" aca="1" ref="C25" ca="1">IF(LEN($A25)&gt;1,SUMIFS(AssetCOB,AssetCat,$A25),"")</f>
        <v/>
      </c>
      <c r="D25" s="36" t="str" cm="1">
        <f t="array" aca="1" ref="D25" ca="1">IF(LEN($A25)&gt;1,SUMIFS(AssetCAdd,AssetCat,$A25),"")</f>
        <v/>
      </c>
      <c r="E25" s="36" t="str" cm="1">
        <f t="array" aca="1" ref="E25" ca="1">IF(LEN($A25)&gt;1,SUMIFS(AssetCRev,AssetCat,$A25),"")</f>
        <v/>
      </c>
      <c r="F25" s="36" t="str" cm="1">
        <f t="array" aca="1" ref="F25" ca="1">IF(LEN($A25)&gt;1,SUMIFS(AssetCDis,AssetCat,$A25),"")</f>
        <v/>
      </c>
      <c r="G25" s="36" t="str" cm="1">
        <f t="array" aca="1" ref="G25" ca="1">IF(LEN($A25)&gt;1,SUMIFS(AssetCImp,AssetCat,$A25),"")</f>
        <v/>
      </c>
      <c r="H25" s="36" t="str">
        <f t="shared" ca="1" si="1"/>
        <v/>
      </c>
      <c r="I25" s="36" t="str" cm="1">
        <f t="array" aca="1" ref="I25" ca="1">IF(LEN($A25)&gt;1,SUMIFS(AssetDOB,AssetCat,$A25),"")</f>
        <v/>
      </c>
      <c r="J25" s="36" t="str" cm="1">
        <f t="array" aca="1" ref="J25" ca="1">IF(LEN($A25)&gt;1,SUMIFS(AssetDDepC,AssetCat,$A25),"")</f>
        <v/>
      </c>
      <c r="K25" s="36" t="str" cm="1">
        <f t="array" aca="1" ref="K25" ca="1">IF(LEN($A25)&gt;1,SUMIFS(AssetDDepR,AssetCat,$A25),"")</f>
        <v/>
      </c>
      <c r="L25" s="36" t="str">
        <f t="shared" ca="1" si="2"/>
        <v/>
      </c>
      <c r="M25" s="36" t="str" cm="1">
        <f t="array" aca="1" ref="M25" ca="1">IF(LEN($A25)&gt;1,SUMIFS(AssetDRev,AssetCat,$A25),"")</f>
        <v/>
      </c>
      <c r="N25" s="36" t="str" cm="1">
        <f t="array" aca="1" ref="N25" ca="1">IF(LEN($A25)&gt;1,SUMIFS(AssetDDis,AssetCat,$A25),"")</f>
        <v/>
      </c>
      <c r="O25" s="36" t="str">
        <f t="shared" ca="1" si="3"/>
        <v/>
      </c>
      <c r="P25" s="36" t="str">
        <f t="shared" ca="1" si="4"/>
        <v/>
      </c>
      <c r="Q25" s="36" t="str" cm="1">
        <f t="array" aca="1" ref="Q25" ca="1">IF(LEN($A25)&gt;1,SUMIFS(AssetROB,AssetCat,$A25),"")</f>
        <v/>
      </c>
      <c r="R25" s="36" t="str" cm="1">
        <f t="array" aca="1" ref="R25" ca="1">IF(LEN($A25)&gt;1,SUMIFS(AssetRMove,AssetCat,$A25),"")</f>
        <v/>
      </c>
      <c r="S25" s="36" t="str">
        <f t="shared" ca="1" si="5"/>
        <v/>
      </c>
      <c r="T25" s="36" t="str">
        <f t="shared" ca="1" si="6"/>
        <v/>
      </c>
      <c r="U25" s="36" t="str" cm="1">
        <f t="array" aca="1" ref="U25" ca="1">IF(LEN($A25)&gt;1,SUMIFS(AssetIWO,AssetCat,$A25),"")</f>
        <v/>
      </c>
      <c r="V25" s="36" t="str" cm="1">
        <f t="array" aca="1" ref="V25" ca="1">IF(LEN($A25)&gt;1,SUMIFS(AssetPLoss,AssetCat,$A25),"")</f>
        <v/>
      </c>
      <c r="W25" s="36" t="str" cm="1">
        <f t="array" aca="1" ref="W25" ca="1">IF(LEN($A25)&gt;1,SUMIFS(AssetMCost,AssetCat,$A25),"")</f>
        <v/>
      </c>
      <c r="X25" s="36" t="str" cm="1">
        <f t="array" aca="1" ref="X25" ca="1">IF(LEN($A25)&gt;1,SUMIFS(AssetMRev,AssetCat,$A25),"")</f>
        <v/>
      </c>
      <c r="Y25" s="36" t="str">
        <f t="shared" ca="1" si="7"/>
        <v/>
      </c>
    </row>
    <row r="26" spans="1:25" ht="16" customHeight="1" x14ac:dyDescent="0.25">
      <c r="A26" s="3" t="str" cm="1">
        <f t="array" aca="1" ref="A26" ca="1">IF(ROW($B26)-ROW($B$5)&gt;CatCount,"",OFFSET('Set-up'!$A$22,ROW($B26)-ROW($B$5),0,1,1))</f>
        <v/>
      </c>
      <c r="B26" s="3" t="str">
        <f t="shared" ca="1" si="0"/>
        <v/>
      </c>
      <c r="C26" s="36" t="str" cm="1">
        <f t="array" aca="1" ref="C26" ca="1">IF(LEN($A26)&gt;1,SUMIFS(AssetCOB,AssetCat,$A26),"")</f>
        <v/>
      </c>
      <c r="D26" s="36" t="str" cm="1">
        <f t="array" aca="1" ref="D26" ca="1">IF(LEN($A26)&gt;1,SUMIFS(AssetCAdd,AssetCat,$A26),"")</f>
        <v/>
      </c>
      <c r="E26" s="36" t="str" cm="1">
        <f t="array" aca="1" ref="E26" ca="1">IF(LEN($A26)&gt;1,SUMIFS(AssetCRev,AssetCat,$A26),"")</f>
        <v/>
      </c>
      <c r="F26" s="36" t="str" cm="1">
        <f t="array" aca="1" ref="F26" ca="1">IF(LEN($A26)&gt;1,SUMIFS(AssetCDis,AssetCat,$A26),"")</f>
        <v/>
      </c>
      <c r="G26" s="36" t="str" cm="1">
        <f t="array" aca="1" ref="G26" ca="1">IF(LEN($A26)&gt;1,SUMIFS(AssetCImp,AssetCat,$A26),"")</f>
        <v/>
      </c>
      <c r="H26" s="36" t="str">
        <f t="shared" ca="1" si="1"/>
        <v/>
      </c>
      <c r="I26" s="36" t="str" cm="1">
        <f t="array" aca="1" ref="I26" ca="1">IF(LEN($A26)&gt;1,SUMIFS(AssetDOB,AssetCat,$A26),"")</f>
        <v/>
      </c>
      <c r="J26" s="36" t="str" cm="1">
        <f t="array" aca="1" ref="J26" ca="1">IF(LEN($A26)&gt;1,SUMIFS(AssetDDepC,AssetCat,$A26),"")</f>
        <v/>
      </c>
      <c r="K26" s="36" t="str" cm="1">
        <f t="array" aca="1" ref="K26" ca="1">IF(LEN($A26)&gt;1,SUMIFS(AssetDDepR,AssetCat,$A26),"")</f>
        <v/>
      </c>
      <c r="L26" s="36" t="str">
        <f t="shared" ca="1" si="2"/>
        <v/>
      </c>
      <c r="M26" s="36" t="str" cm="1">
        <f t="array" aca="1" ref="M26" ca="1">IF(LEN($A26)&gt;1,SUMIFS(AssetDRev,AssetCat,$A26),"")</f>
        <v/>
      </c>
      <c r="N26" s="36" t="str" cm="1">
        <f t="array" aca="1" ref="N26" ca="1">IF(LEN($A26)&gt;1,SUMIFS(AssetDDis,AssetCat,$A26),"")</f>
        <v/>
      </c>
      <c r="O26" s="36" t="str">
        <f t="shared" ca="1" si="3"/>
        <v/>
      </c>
      <c r="P26" s="36" t="str">
        <f t="shared" ca="1" si="4"/>
        <v/>
      </c>
      <c r="Q26" s="36" t="str" cm="1">
        <f t="array" aca="1" ref="Q26" ca="1">IF(LEN($A26)&gt;1,SUMIFS(AssetROB,AssetCat,$A26),"")</f>
        <v/>
      </c>
      <c r="R26" s="36" t="str" cm="1">
        <f t="array" aca="1" ref="R26" ca="1">IF(LEN($A26)&gt;1,SUMIFS(AssetRMove,AssetCat,$A26),"")</f>
        <v/>
      </c>
      <c r="S26" s="36" t="str">
        <f t="shared" ca="1" si="5"/>
        <v/>
      </c>
      <c r="T26" s="36" t="str">
        <f t="shared" ca="1" si="6"/>
        <v/>
      </c>
      <c r="U26" s="36" t="str" cm="1">
        <f t="array" aca="1" ref="U26" ca="1">IF(LEN($A26)&gt;1,SUMIFS(AssetIWO,AssetCat,$A26),"")</f>
        <v/>
      </c>
      <c r="V26" s="36" t="str" cm="1">
        <f t="array" aca="1" ref="V26" ca="1">IF(LEN($A26)&gt;1,SUMIFS(AssetPLoss,AssetCat,$A26),"")</f>
        <v/>
      </c>
      <c r="W26" s="36" t="str" cm="1">
        <f t="array" aca="1" ref="W26" ca="1">IF(LEN($A26)&gt;1,SUMIFS(AssetMCost,AssetCat,$A26),"")</f>
        <v/>
      </c>
      <c r="X26" s="36" t="str" cm="1">
        <f t="array" aca="1" ref="X26" ca="1">IF(LEN($A26)&gt;1,SUMIFS(AssetMRev,AssetCat,$A26),"")</f>
        <v/>
      </c>
      <c r="Y26" s="36" t="str">
        <f t="shared" ca="1" si="7"/>
        <v/>
      </c>
    </row>
    <row r="27" spans="1:25" ht="16" customHeight="1" x14ac:dyDescent="0.25">
      <c r="A27" s="3" t="str" cm="1">
        <f t="array" aca="1" ref="A27" ca="1">IF(ROW($B27)-ROW($B$5)&gt;CatCount,"",OFFSET('Set-up'!$A$22,ROW($B27)-ROW($B$5),0,1,1))</f>
        <v/>
      </c>
      <c r="B27" s="3" t="str">
        <f t="shared" ca="1" si="0"/>
        <v/>
      </c>
      <c r="C27" s="36" t="str" cm="1">
        <f t="array" aca="1" ref="C27" ca="1">IF(LEN($A27)&gt;1,SUMIFS(AssetCOB,AssetCat,$A27),"")</f>
        <v/>
      </c>
      <c r="D27" s="36" t="str" cm="1">
        <f t="array" aca="1" ref="D27" ca="1">IF(LEN($A27)&gt;1,SUMIFS(AssetCAdd,AssetCat,$A27),"")</f>
        <v/>
      </c>
      <c r="E27" s="36" t="str" cm="1">
        <f t="array" aca="1" ref="E27" ca="1">IF(LEN($A27)&gt;1,SUMIFS(AssetCRev,AssetCat,$A27),"")</f>
        <v/>
      </c>
      <c r="F27" s="36" t="str" cm="1">
        <f t="array" aca="1" ref="F27" ca="1">IF(LEN($A27)&gt;1,SUMIFS(AssetCDis,AssetCat,$A27),"")</f>
        <v/>
      </c>
      <c r="G27" s="36" t="str" cm="1">
        <f t="array" aca="1" ref="G27" ca="1">IF(LEN($A27)&gt;1,SUMIFS(AssetCImp,AssetCat,$A27),"")</f>
        <v/>
      </c>
      <c r="H27" s="36" t="str">
        <f t="shared" ca="1" si="1"/>
        <v/>
      </c>
      <c r="I27" s="36" t="str" cm="1">
        <f t="array" aca="1" ref="I27" ca="1">IF(LEN($A27)&gt;1,SUMIFS(AssetDOB,AssetCat,$A27),"")</f>
        <v/>
      </c>
      <c r="J27" s="36" t="str" cm="1">
        <f t="array" aca="1" ref="J27" ca="1">IF(LEN($A27)&gt;1,SUMIFS(AssetDDepC,AssetCat,$A27),"")</f>
        <v/>
      </c>
      <c r="K27" s="36" t="str" cm="1">
        <f t="array" aca="1" ref="K27" ca="1">IF(LEN($A27)&gt;1,SUMIFS(AssetDDepR,AssetCat,$A27),"")</f>
        <v/>
      </c>
      <c r="L27" s="36" t="str">
        <f t="shared" ca="1" si="2"/>
        <v/>
      </c>
      <c r="M27" s="36" t="str" cm="1">
        <f t="array" aca="1" ref="M27" ca="1">IF(LEN($A27)&gt;1,SUMIFS(AssetDRev,AssetCat,$A27),"")</f>
        <v/>
      </c>
      <c r="N27" s="36" t="str" cm="1">
        <f t="array" aca="1" ref="N27" ca="1">IF(LEN($A27)&gt;1,SUMIFS(AssetDDis,AssetCat,$A27),"")</f>
        <v/>
      </c>
      <c r="O27" s="36" t="str">
        <f t="shared" ca="1" si="3"/>
        <v/>
      </c>
      <c r="P27" s="36" t="str">
        <f t="shared" ca="1" si="4"/>
        <v/>
      </c>
      <c r="Q27" s="36" t="str" cm="1">
        <f t="array" aca="1" ref="Q27" ca="1">IF(LEN($A27)&gt;1,SUMIFS(AssetROB,AssetCat,$A27),"")</f>
        <v/>
      </c>
      <c r="R27" s="36" t="str" cm="1">
        <f t="array" aca="1" ref="R27" ca="1">IF(LEN($A27)&gt;1,SUMIFS(AssetRMove,AssetCat,$A27),"")</f>
        <v/>
      </c>
      <c r="S27" s="36" t="str">
        <f t="shared" ca="1" si="5"/>
        <v/>
      </c>
      <c r="T27" s="36" t="str">
        <f t="shared" ca="1" si="6"/>
        <v/>
      </c>
      <c r="U27" s="36" t="str" cm="1">
        <f t="array" aca="1" ref="U27" ca="1">IF(LEN($A27)&gt;1,SUMIFS(AssetIWO,AssetCat,$A27),"")</f>
        <v/>
      </c>
      <c r="V27" s="36" t="str" cm="1">
        <f t="array" aca="1" ref="V27" ca="1">IF(LEN($A27)&gt;1,SUMIFS(AssetPLoss,AssetCat,$A27),"")</f>
        <v/>
      </c>
      <c r="W27" s="36" t="str" cm="1">
        <f t="array" aca="1" ref="W27" ca="1">IF(LEN($A27)&gt;1,SUMIFS(AssetMCost,AssetCat,$A27),"")</f>
        <v/>
      </c>
      <c r="X27" s="36" t="str" cm="1">
        <f t="array" aca="1" ref="X27" ca="1">IF(LEN($A27)&gt;1,SUMIFS(AssetMRev,AssetCat,$A27),"")</f>
        <v/>
      </c>
      <c r="Y27" s="36" t="str">
        <f t="shared" ca="1" si="7"/>
        <v/>
      </c>
    </row>
    <row r="28" spans="1:25" ht="16" customHeight="1" x14ac:dyDescent="0.25">
      <c r="A28" s="3" t="str" cm="1">
        <f t="array" aca="1" ref="A28" ca="1">IF(ROW($B28)-ROW($B$5)&gt;CatCount,"",OFFSET('Set-up'!$A$22,ROW($B28)-ROW($B$5),0,1,1))</f>
        <v/>
      </c>
      <c r="B28" s="3" t="str">
        <f t="shared" ca="1" si="0"/>
        <v/>
      </c>
      <c r="C28" s="36" t="str" cm="1">
        <f t="array" aca="1" ref="C28" ca="1">IF(LEN($A28)&gt;1,SUMIFS(AssetCOB,AssetCat,$A28),"")</f>
        <v/>
      </c>
      <c r="D28" s="36" t="str" cm="1">
        <f t="array" aca="1" ref="D28" ca="1">IF(LEN($A28)&gt;1,SUMIFS(AssetCAdd,AssetCat,$A28),"")</f>
        <v/>
      </c>
      <c r="E28" s="36" t="str" cm="1">
        <f t="array" aca="1" ref="E28" ca="1">IF(LEN($A28)&gt;1,SUMIFS(AssetCRev,AssetCat,$A28),"")</f>
        <v/>
      </c>
      <c r="F28" s="36" t="str" cm="1">
        <f t="array" aca="1" ref="F28" ca="1">IF(LEN($A28)&gt;1,SUMIFS(AssetCDis,AssetCat,$A28),"")</f>
        <v/>
      </c>
      <c r="G28" s="36" t="str" cm="1">
        <f t="array" aca="1" ref="G28" ca="1">IF(LEN($A28)&gt;1,SUMIFS(AssetCImp,AssetCat,$A28),"")</f>
        <v/>
      </c>
      <c r="H28" s="36" t="str">
        <f t="shared" ca="1" si="1"/>
        <v/>
      </c>
      <c r="I28" s="36" t="str" cm="1">
        <f t="array" aca="1" ref="I28" ca="1">IF(LEN($A28)&gt;1,SUMIFS(AssetDOB,AssetCat,$A28),"")</f>
        <v/>
      </c>
      <c r="J28" s="36" t="str" cm="1">
        <f t="array" aca="1" ref="J28" ca="1">IF(LEN($A28)&gt;1,SUMIFS(AssetDDepC,AssetCat,$A28),"")</f>
        <v/>
      </c>
      <c r="K28" s="36" t="str" cm="1">
        <f t="array" aca="1" ref="K28" ca="1">IF(LEN($A28)&gt;1,SUMIFS(AssetDDepR,AssetCat,$A28),"")</f>
        <v/>
      </c>
      <c r="L28" s="36" t="str">
        <f t="shared" ca="1" si="2"/>
        <v/>
      </c>
      <c r="M28" s="36" t="str" cm="1">
        <f t="array" aca="1" ref="M28" ca="1">IF(LEN($A28)&gt;1,SUMIFS(AssetDRev,AssetCat,$A28),"")</f>
        <v/>
      </c>
      <c r="N28" s="36" t="str" cm="1">
        <f t="array" aca="1" ref="N28" ca="1">IF(LEN($A28)&gt;1,SUMIFS(AssetDDis,AssetCat,$A28),"")</f>
        <v/>
      </c>
      <c r="O28" s="36" t="str">
        <f t="shared" ca="1" si="3"/>
        <v/>
      </c>
      <c r="P28" s="36" t="str">
        <f t="shared" ca="1" si="4"/>
        <v/>
      </c>
      <c r="Q28" s="36" t="str" cm="1">
        <f t="array" aca="1" ref="Q28" ca="1">IF(LEN($A28)&gt;1,SUMIFS(AssetROB,AssetCat,$A28),"")</f>
        <v/>
      </c>
      <c r="R28" s="36" t="str" cm="1">
        <f t="array" aca="1" ref="R28" ca="1">IF(LEN($A28)&gt;1,SUMIFS(AssetRMove,AssetCat,$A28),"")</f>
        <v/>
      </c>
      <c r="S28" s="36" t="str">
        <f t="shared" ca="1" si="5"/>
        <v/>
      </c>
      <c r="T28" s="36" t="str">
        <f t="shared" ca="1" si="6"/>
        <v/>
      </c>
      <c r="U28" s="36" t="str" cm="1">
        <f t="array" aca="1" ref="U28" ca="1">IF(LEN($A28)&gt;1,SUMIFS(AssetIWO,AssetCat,$A28),"")</f>
        <v/>
      </c>
      <c r="V28" s="36" t="str" cm="1">
        <f t="array" aca="1" ref="V28" ca="1">IF(LEN($A28)&gt;1,SUMIFS(AssetPLoss,AssetCat,$A28),"")</f>
        <v/>
      </c>
      <c r="W28" s="36" t="str" cm="1">
        <f t="array" aca="1" ref="W28" ca="1">IF(LEN($A28)&gt;1,SUMIFS(AssetMCost,AssetCat,$A28),"")</f>
        <v/>
      </c>
      <c r="X28" s="36" t="str" cm="1">
        <f t="array" aca="1" ref="X28" ca="1">IF(LEN($A28)&gt;1,SUMIFS(AssetMRev,AssetCat,$A28),"")</f>
        <v/>
      </c>
      <c r="Y28" s="36" t="str">
        <f t="shared" ca="1" si="7"/>
        <v/>
      </c>
    </row>
    <row r="29" spans="1:25" ht="16" customHeight="1" x14ac:dyDescent="0.25">
      <c r="A29" s="3" t="str" cm="1">
        <f t="array" aca="1" ref="A29" ca="1">IF(ROW($B29)-ROW($B$5)&gt;CatCount,"",OFFSET('Set-up'!$A$22,ROW($B29)-ROW($B$5),0,1,1))</f>
        <v/>
      </c>
      <c r="B29" s="3" t="str">
        <f t="shared" ca="1" si="0"/>
        <v/>
      </c>
      <c r="C29" s="36" t="str" cm="1">
        <f t="array" aca="1" ref="C29" ca="1">IF(LEN($A29)&gt;1,SUMIFS(AssetCOB,AssetCat,$A29),"")</f>
        <v/>
      </c>
      <c r="D29" s="36" t="str" cm="1">
        <f t="array" aca="1" ref="D29" ca="1">IF(LEN($A29)&gt;1,SUMIFS(AssetCAdd,AssetCat,$A29),"")</f>
        <v/>
      </c>
      <c r="E29" s="36" t="str" cm="1">
        <f t="array" aca="1" ref="E29" ca="1">IF(LEN($A29)&gt;1,SUMIFS(AssetCRev,AssetCat,$A29),"")</f>
        <v/>
      </c>
      <c r="F29" s="36" t="str" cm="1">
        <f t="array" aca="1" ref="F29" ca="1">IF(LEN($A29)&gt;1,SUMIFS(AssetCDis,AssetCat,$A29),"")</f>
        <v/>
      </c>
      <c r="G29" s="36" t="str" cm="1">
        <f t="array" aca="1" ref="G29" ca="1">IF(LEN($A29)&gt;1,SUMIFS(AssetCImp,AssetCat,$A29),"")</f>
        <v/>
      </c>
      <c r="H29" s="36" t="str">
        <f t="shared" ca="1" si="1"/>
        <v/>
      </c>
      <c r="I29" s="36" t="str" cm="1">
        <f t="array" aca="1" ref="I29" ca="1">IF(LEN($A29)&gt;1,SUMIFS(AssetDOB,AssetCat,$A29),"")</f>
        <v/>
      </c>
      <c r="J29" s="36" t="str" cm="1">
        <f t="array" aca="1" ref="J29" ca="1">IF(LEN($A29)&gt;1,SUMIFS(AssetDDepC,AssetCat,$A29),"")</f>
        <v/>
      </c>
      <c r="K29" s="36" t="str" cm="1">
        <f t="array" aca="1" ref="K29" ca="1">IF(LEN($A29)&gt;1,SUMIFS(AssetDDepR,AssetCat,$A29),"")</f>
        <v/>
      </c>
      <c r="L29" s="36" t="str">
        <f t="shared" ca="1" si="2"/>
        <v/>
      </c>
      <c r="M29" s="36" t="str" cm="1">
        <f t="array" aca="1" ref="M29" ca="1">IF(LEN($A29)&gt;1,SUMIFS(AssetDRev,AssetCat,$A29),"")</f>
        <v/>
      </c>
      <c r="N29" s="36" t="str" cm="1">
        <f t="array" aca="1" ref="N29" ca="1">IF(LEN($A29)&gt;1,SUMIFS(AssetDDis,AssetCat,$A29),"")</f>
        <v/>
      </c>
      <c r="O29" s="36" t="str">
        <f t="shared" ca="1" si="3"/>
        <v/>
      </c>
      <c r="P29" s="36" t="str">
        <f t="shared" ca="1" si="4"/>
        <v/>
      </c>
      <c r="Q29" s="36" t="str" cm="1">
        <f t="array" aca="1" ref="Q29" ca="1">IF(LEN($A29)&gt;1,SUMIFS(AssetROB,AssetCat,$A29),"")</f>
        <v/>
      </c>
      <c r="R29" s="36" t="str" cm="1">
        <f t="array" aca="1" ref="R29" ca="1">IF(LEN($A29)&gt;1,SUMIFS(AssetRMove,AssetCat,$A29),"")</f>
        <v/>
      </c>
      <c r="S29" s="36" t="str">
        <f t="shared" ca="1" si="5"/>
        <v/>
      </c>
      <c r="T29" s="36" t="str">
        <f t="shared" ca="1" si="6"/>
        <v/>
      </c>
      <c r="U29" s="36" t="str" cm="1">
        <f t="array" aca="1" ref="U29" ca="1">IF(LEN($A29)&gt;1,SUMIFS(AssetIWO,AssetCat,$A29),"")</f>
        <v/>
      </c>
      <c r="V29" s="36" t="str" cm="1">
        <f t="array" aca="1" ref="V29" ca="1">IF(LEN($A29)&gt;1,SUMIFS(AssetPLoss,AssetCat,$A29),"")</f>
        <v/>
      </c>
      <c r="W29" s="36" t="str" cm="1">
        <f t="array" aca="1" ref="W29" ca="1">IF(LEN($A29)&gt;1,SUMIFS(AssetMCost,AssetCat,$A29),"")</f>
        <v/>
      </c>
      <c r="X29" s="36" t="str" cm="1">
        <f t="array" aca="1" ref="X29" ca="1">IF(LEN($A29)&gt;1,SUMIFS(AssetMRev,AssetCat,$A29),"")</f>
        <v/>
      </c>
      <c r="Y29" s="36" t="str">
        <f t="shared" ca="1" si="7"/>
        <v/>
      </c>
    </row>
    <row r="30" spans="1:25" ht="16" customHeight="1" x14ac:dyDescent="0.25">
      <c r="A30" s="3" t="str" cm="1">
        <f t="array" aca="1" ref="A30" ca="1">IF(ROW($B30)-ROW($B$5)&gt;CatCount,"",OFFSET('Set-up'!$A$22,ROW($B30)-ROW($B$5),0,1,1))</f>
        <v/>
      </c>
      <c r="B30" s="3" t="str">
        <f t="shared" ca="1" si="0"/>
        <v/>
      </c>
      <c r="C30" s="36" t="str" cm="1">
        <f t="array" aca="1" ref="C30" ca="1">IF(LEN($A30)&gt;1,SUMIFS(AssetCOB,AssetCat,$A30),"")</f>
        <v/>
      </c>
      <c r="D30" s="36" t="str" cm="1">
        <f t="array" aca="1" ref="D30" ca="1">IF(LEN($A30)&gt;1,SUMIFS(AssetCAdd,AssetCat,$A30),"")</f>
        <v/>
      </c>
      <c r="E30" s="36" t="str" cm="1">
        <f t="array" aca="1" ref="E30" ca="1">IF(LEN($A30)&gt;1,SUMIFS(AssetCRev,AssetCat,$A30),"")</f>
        <v/>
      </c>
      <c r="F30" s="36" t="str" cm="1">
        <f t="array" aca="1" ref="F30" ca="1">IF(LEN($A30)&gt;1,SUMIFS(AssetCDis,AssetCat,$A30),"")</f>
        <v/>
      </c>
      <c r="G30" s="36" t="str" cm="1">
        <f t="array" aca="1" ref="G30" ca="1">IF(LEN($A30)&gt;1,SUMIFS(AssetCImp,AssetCat,$A30),"")</f>
        <v/>
      </c>
      <c r="H30" s="36" t="str">
        <f t="shared" ca="1" si="1"/>
        <v/>
      </c>
      <c r="I30" s="36" t="str" cm="1">
        <f t="array" aca="1" ref="I30" ca="1">IF(LEN($A30)&gt;1,SUMIFS(AssetDOB,AssetCat,$A30),"")</f>
        <v/>
      </c>
      <c r="J30" s="36" t="str" cm="1">
        <f t="array" aca="1" ref="J30" ca="1">IF(LEN($A30)&gt;1,SUMIFS(AssetDDepC,AssetCat,$A30),"")</f>
        <v/>
      </c>
      <c r="K30" s="36" t="str" cm="1">
        <f t="array" aca="1" ref="K30" ca="1">IF(LEN($A30)&gt;1,SUMIFS(AssetDDepR,AssetCat,$A30),"")</f>
        <v/>
      </c>
      <c r="L30" s="36" t="str">
        <f t="shared" ca="1" si="2"/>
        <v/>
      </c>
      <c r="M30" s="36" t="str" cm="1">
        <f t="array" aca="1" ref="M30" ca="1">IF(LEN($A30)&gt;1,SUMIFS(AssetDRev,AssetCat,$A30),"")</f>
        <v/>
      </c>
      <c r="N30" s="36" t="str" cm="1">
        <f t="array" aca="1" ref="N30" ca="1">IF(LEN($A30)&gt;1,SUMIFS(AssetDDis,AssetCat,$A30),"")</f>
        <v/>
      </c>
      <c r="O30" s="36" t="str">
        <f t="shared" ca="1" si="3"/>
        <v/>
      </c>
      <c r="P30" s="36" t="str">
        <f t="shared" ca="1" si="4"/>
        <v/>
      </c>
      <c r="Q30" s="36" t="str" cm="1">
        <f t="array" aca="1" ref="Q30" ca="1">IF(LEN($A30)&gt;1,SUMIFS(AssetROB,AssetCat,$A30),"")</f>
        <v/>
      </c>
      <c r="R30" s="36" t="str" cm="1">
        <f t="array" aca="1" ref="R30" ca="1">IF(LEN($A30)&gt;1,SUMIFS(AssetRMove,AssetCat,$A30),"")</f>
        <v/>
      </c>
      <c r="S30" s="36" t="str">
        <f t="shared" ca="1" si="5"/>
        <v/>
      </c>
      <c r="T30" s="36" t="str">
        <f t="shared" ca="1" si="6"/>
        <v/>
      </c>
      <c r="U30" s="36" t="str" cm="1">
        <f t="array" aca="1" ref="U30" ca="1">IF(LEN($A30)&gt;1,SUMIFS(AssetIWO,AssetCat,$A30),"")</f>
        <v/>
      </c>
      <c r="V30" s="36" t="str" cm="1">
        <f t="array" aca="1" ref="V30" ca="1">IF(LEN($A30)&gt;1,SUMIFS(AssetPLoss,AssetCat,$A30),"")</f>
        <v/>
      </c>
      <c r="W30" s="36" t="str" cm="1">
        <f t="array" aca="1" ref="W30" ca="1">IF(LEN($A30)&gt;1,SUMIFS(AssetMCost,AssetCat,$A30),"")</f>
        <v/>
      </c>
      <c r="X30" s="36" t="str" cm="1">
        <f t="array" aca="1" ref="X30" ca="1">IF(LEN($A30)&gt;1,SUMIFS(AssetMRev,AssetCat,$A30),"")</f>
        <v/>
      </c>
      <c r="Y30" s="36" t="str">
        <f t="shared" ca="1" si="7"/>
        <v/>
      </c>
    </row>
    <row r="31" spans="1:25" ht="16" customHeight="1" x14ac:dyDescent="0.25">
      <c r="A31" s="3" t="str" cm="1">
        <f t="array" aca="1" ref="A31" ca="1">IF(ROW($B31)-ROW($B$5)&gt;CatCount,"",OFFSET('Set-up'!$A$22,ROW($B31)-ROW($B$5),0,1,1))</f>
        <v/>
      </c>
      <c r="B31" s="3" t="str">
        <f t="shared" ca="1" si="0"/>
        <v/>
      </c>
      <c r="C31" s="36" t="str" cm="1">
        <f t="array" aca="1" ref="C31" ca="1">IF(LEN($A31)&gt;1,SUMIFS(AssetCOB,AssetCat,$A31),"")</f>
        <v/>
      </c>
      <c r="D31" s="36" t="str" cm="1">
        <f t="array" aca="1" ref="D31" ca="1">IF(LEN($A31)&gt;1,SUMIFS(AssetCAdd,AssetCat,$A31),"")</f>
        <v/>
      </c>
      <c r="E31" s="36" t="str" cm="1">
        <f t="array" aca="1" ref="E31" ca="1">IF(LEN($A31)&gt;1,SUMIFS(AssetCRev,AssetCat,$A31),"")</f>
        <v/>
      </c>
      <c r="F31" s="36" t="str" cm="1">
        <f t="array" aca="1" ref="F31" ca="1">IF(LEN($A31)&gt;1,SUMIFS(AssetCDis,AssetCat,$A31),"")</f>
        <v/>
      </c>
      <c r="G31" s="36" t="str" cm="1">
        <f t="array" aca="1" ref="G31" ca="1">IF(LEN($A31)&gt;1,SUMIFS(AssetCImp,AssetCat,$A31),"")</f>
        <v/>
      </c>
      <c r="H31" s="36" t="str">
        <f t="shared" ca="1" si="1"/>
        <v/>
      </c>
      <c r="I31" s="36" t="str" cm="1">
        <f t="array" aca="1" ref="I31" ca="1">IF(LEN($A31)&gt;1,SUMIFS(AssetDOB,AssetCat,$A31),"")</f>
        <v/>
      </c>
      <c r="J31" s="36" t="str" cm="1">
        <f t="array" aca="1" ref="J31" ca="1">IF(LEN($A31)&gt;1,SUMIFS(AssetDDepC,AssetCat,$A31),"")</f>
        <v/>
      </c>
      <c r="K31" s="36" t="str" cm="1">
        <f t="array" aca="1" ref="K31" ca="1">IF(LEN($A31)&gt;1,SUMIFS(AssetDDepR,AssetCat,$A31),"")</f>
        <v/>
      </c>
      <c r="L31" s="36" t="str">
        <f t="shared" ca="1" si="2"/>
        <v/>
      </c>
      <c r="M31" s="36" t="str" cm="1">
        <f t="array" aca="1" ref="M31" ca="1">IF(LEN($A31)&gt;1,SUMIFS(AssetDRev,AssetCat,$A31),"")</f>
        <v/>
      </c>
      <c r="N31" s="36" t="str" cm="1">
        <f t="array" aca="1" ref="N31" ca="1">IF(LEN($A31)&gt;1,SUMIFS(AssetDDis,AssetCat,$A31),"")</f>
        <v/>
      </c>
      <c r="O31" s="36" t="str">
        <f t="shared" ca="1" si="3"/>
        <v/>
      </c>
      <c r="P31" s="36" t="str">
        <f t="shared" ca="1" si="4"/>
        <v/>
      </c>
      <c r="Q31" s="36" t="str" cm="1">
        <f t="array" aca="1" ref="Q31" ca="1">IF(LEN($A31)&gt;1,SUMIFS(AssetROB,AssetCat,$A31),"")</f>
        <v/>
      </c>
      <c r="R31" s="36" t="str" cm="1">
        <f t="array" aca="1" ref="R31" ca="1">IF(LEN($A31)&gt;1,SUMIFS(AssetRMove,AssetCat,$A31),"")</f>
        <v/>
      </c>
      <c r="S31" s="36" t="str">
        <f t="shared" ca="1" si="5"/>
        <v/>
      </c>
      <c r="T31" s="36" t="str">
        <f t="shared" ca="1" si="6"/>
        <v/>
      </c>
      <c r="U31" s="36" t="str" cm="1">
        <f t="array" aca="1" ref="U31" ca="1">IF(LEN($A31)&gt;1,SUMIFS(AssetIWO,AssetCat,$A31),"")</f>
        <v/>
      </c>
      <c r="V31" s="36" t="str" cm="1">
        <f t="array" aca="1" ref="V31" ca="1">IF(LEN($A31)&gt;1,SUMIFS(AssetPLoss,AssetCat,$A31),"")</f>
        <v/>
      </c>
      <c r="W31" s="36" t="str" cm="1">
        <f t="array" aca="1" ref="W31" ca="1">IF(LEN($A31)&gt;1,SUMIFS(AssetMCost,AssetCat,$A31),"")</f>
        <v/>
      </c>
      <c r="X31" s="36" t="str" cm="1">
        <f t="array" aca="1" ref="X31" ca="1">IF(LEN($A31)&gt;1,SUMIFS(AssetMRev,AssetCat,$A31),"")</f>
        <v/>
      </c>
      <c r="Y31" s="36" t="str">
        <f t="shared" ca="1" si="7"/>
        <v/>
      </c>
    </row>
    <row r="32" spans="1:25" ht="16" customHeight="1" x14ac:dyDescent="0.25">
      <c r="A32" s="3" t="str" cm="1">
        <f t="array" aca="1" ref="A32" ca="1">IF(ROW($B32)-ROW($B$5)&gt;CatCount,"",OFFSET('Set-up'!$A$22,ROW($B32)-ROW($B$5),0,1,1))</f>
        <v/>
      </c>
      <c r="B32" s="3" t="str">
        <f t="shared" ca="1" si="0"/>
        <v/>
      </c>
      <c r="C32" s="36" t="str" cm="1">
        <f t="array" aca="1" ref="C32" ca="1">IF(LEN($A32)&gt;1,SUMIFS(AssetCOB,AssetCat,$A32),"")</f>
        <v/>
      </c>
      <c r="D32" s="36" t="str" cm="1">
        <f t="array" aca="1" ref="D32" ca="1">IF(LEN($A32)&gt;1,SUMIFS(AssetCAdd,AssetCat,$A32),"")</f>
        <v/>
      </c>
      <c r="E32" s="36" t="str" cm="1">
        <f t="array" aca="1" ref="E32" ca="1">IF(LEN($A32)&gt;1,SUMIFS(AssetCRev,AssetCat,$A32),"")</f>
        <v/>
      </c>
      <c r="F32" s="36" t="str" cm="1">
        <f t="array" aca="1" ref="F32" ca="1">IF(LEN($A32)&gt;1,SUMIFS(AssetCDis,AssetCat,$A32),"")</f>
        <v/>
      </c>
      <c r="G32" s="36" t="str" cm="1">
        <f t="array" aca="1" ref="G32" ca="1">IF(LEN($A32)&gt;1,SUMIFS(AssetCImp,AssetCat,$A32),"")</f>
        <v/>
      </c>
      <c r="H32" s="36" t="str">
        <f t="shared" ca="1" si="1"/>
        <v/>
      </c>
      <c r="I32" s="36" t="str" cm="1">
        <f t="array" aca="1" ref="I32" ca="1">IF(LEN($A32)&gt;1,SUMIFS(AssetDOB,AssetCat,$A32),"")</f>
        <v/>
      </c>
      <c r="J32" s="36" t="str" cm="1">
        <f t="array" aca="1" ref="J32" ca="1">IF(LEN($A32)&gt;1,SUMIFS(AssetDDepC,AssetCat,$A32),"")</f>
        <v/>
      </c>
      <c r="K32" s="36" t="str" cm="1">
        <f t="array" aca="1" ref="K32" ca="1">IF(LEN($A32)&gt;1,SUMIFS(AssetDDepR,AssetCat,$A32),"")</f>
        <v/>
      </c>
      <c r="L32" s="36" t="str">
        <f t="shared" ca="1" si="2"/>
        <v/>
      </c>
      <c r="M32" s="36" t="str" cm="1">
        <f t="array" aca="1" ref="M32" ca="1">IF(LEN($A32)&gt;1,SUMIFS(AssetDRev,AssetCat,$A32),"")</f>
        <v/>
      </c>
      <c r="N32" s="36" t="str" cm="1">
        <f t="array" aca="1" ref="N32" ca="1">IF(LEN($A32)&gt;1,SUMIFS(AssetDDis,AssetCat,$A32),"")</f>
        <v/>
      </c>
      <c r="O32" s="36" t="str">
        <f t="shared" ca="1" si="3"/>
        <v/>
      </c>
      <c r="P32" s="36" t="str">
        <f t="shared" ca="1" si="4"/>
        <v/>
      </c>
      <c r="Q32" s="36" t="str" cm="1">
        <f t="array" aca="1" ref="Q32" ca="1">IF(LEN($A32)&gt;1,SUMIFS(AssetROB,AssetCat,$A32),"")</f>
        <v/>
      </c>
      <c r="R32" s="36" t="str" cm="1">
        <f t="array" aca="1" ref="R32" ca="1">IF(LEN($A32)&gt;1,SUMIFS(AssetRMove,AssetCat,$A32),"")</f>
        <v/>
      </c>
      <c r="S32" s="36" t="str">
        <f t="shared" ca="1" si="5"/>
        <v/>
      </c>
      <c r="T32" s="36" t="str">
        <f t="shared" ca="1" si="6"/>
        <v/>
      </c>
      <c r="U32" s="36" t="str" cm="1">
        <f t="array" aca="1" ref="U32" ca="1">IF(LEN($A32)&gt;1,SUMIFS(AssetIWO,AssetCat,$A32),"")</f>
        <v/>
      </c>
      <c r="V32" s="36" t="str" cm="1">
        <f t="array" aca="1" ref="V32" ca="1">IF(LEN($A32)&gt;1,SUMIFS(AssetPLoss,AssetCat,$A32),"")</f>
        <v/>
      </c>
      <c r="W32" s="36" t="str" cm="1">
        <f t="array" aca="1" ref="W32" ca="1">IF(LEN($A32)&gt;1,SUMIFS(AssetMCost,AssetCat,$A32),"")</f>
        <v/>
      </c>
      <c r="X32" s="36" t="str" cm="1">
        <f t="array" aca="1" ref="X32" ca="1">IF(LEN($A32)&gt;1,SUMIFS(AssetMRev,AssetCat,$A32),"")</f>
        <v/>
      </c>
      <c r="Y32" s="36" t="str">
        <f t="shared" ca="1" si="7"/>
        <v/>
      </c>
    </row>
    <row r="33" spans="1:25" ht="16" customHeight="1" x14ac:dyDescent="0.25">
      <c r="A33" s="3" t="str" cm="1">
        <f t="array" aca="1" ref="A33" ca="1">IF(ROW($B33)-ROW($B$5)&gt;CatCount,"",OFFSET('Set-up'!$A$22,ROW($B33)-ROW($B$5),0,1,1))</f>
        <v/>
      </c>
      <c r="B33" s="3" t="str">
        <f t="shared" ca="1" si="0"/>
        <v/>
      </c>
      <c r="C33" s="36" t="str" cm="1">
        <f t="array" aca="1" ref="C33" ca="1">IF(LEN($A33)&gt;1,SUMIFS(AssetCOB,AssetCat,$A33),"")</f>
        <v/>
      </c>
      <c r="D33" s="36" t="str" cm="1">
        <f t="array" aca="1" ref="D33" ca="1">IF(LEN($A33)&gt;1,SUMIFS(AssetCAdd,AssetCat,$A33),"")</f>
        <v/>
      </c>
      <c r="E33" s="36" t="str" cm="1">
        <f t="array" aca="1" ref="E33" ca="1">IF(LEN($A33)&gt;1,SUMIFS(AssetCRev,AssetCat,$A33),"")</f>
        <v/>
      </c>
      <c r="F33" s="36" t="str" cm="1">
        <f t="array" aca="1" ref="F33" ca="1">IF(LEN($A33)&gt;1,SUMIFS(AssetCDis,AssetCat,$A33),"")</f>
        <v/>
      </c>
      <c r="G33" s="36" t="str" cm="1">
        <f t="array" aca="1" ref="G33" ca="1">IF(LEN($A33)&gt;1,SUMIFS(AssetCImp,AssetCat,$A33),"")</f>
        <v/>
      </c>
      <c r="H33" s="36" t="str">
        <f t="shared" ca="1" si="1"/>
        <v/>
      </c>
      <c r="I33" s="36" t="str" cm="1">
        <f t="array" aca="1" ref="I33" ca="1">IF(LEN($A33)&gt;1,SUMIFS(AssetDOB,AssetCat,$A33),"")</f>
        <v/>
      </c>
      <c r="J33" s="36" t="str" cm="1">
        <f t="array" aca="1" ref="J33" ca="1">IF(LEN($A33)&gt;1,SUMIFS(AssetDDepC,AssetCat,$A33),"")</f>
        <v/>
      </c>
      <c r="K33" s="36" t="str" cm="1">
        <f t="array" aca="1" ref="K33" ca="1">IF(LEN($A33)&gt;1,SUMIFS(AssetDDepR,AssetCat,$A33),"")</f>
        <v/>
      </c>
      <c r="L33" s="36" t="str">
        <f t="shared" ca="1" si="2"/>
        <v/>
      </c>
      <c r="M33" s="36" t="str" cm="1">
        <f t="array" aca="1" ref="M33" ca="1">IF(LEN($A33)&gt;1,SUMIFS(AssetDRev,AssetCat,$A33),"")</f>
        <v/>
      </c>
      <c r="N33" s="36" t="str" cm="1">
        <f t="array" aca="1" ref="N33" ca="1">IF(LEN($A33)&gt;1,SUMIFS(AssetDDis,AssetCat,$A33),"")</f>
        <v/>
      </c>
      <c r="O33" s="36" t="str">
        <f t="shared" ca="1" si="3"/>
        <v/>
      </c>
      <c r="P33" s="36" t="str">
        <f t="shared" ca="1" si="4"/>
        <v/>
      </c>
      <c r="Q33" s="36" t="str" cm="1">
        <f t="array" aca="1" ref="Q33" ca="1">IF(LEN($A33)&gt;1,SUMIFS(AssetROB,AssetCat,$A33),"")</f>
        <v/>
      </c>
      <c r="R33" s="36" t="str" cm="1">
        <f t="array" aca="1" ref="R33" ca="1">IF(LEN($A33)&gt;1,SUMIFS(AssetRMove,AssetCat,$A33),"")</f>
        <v/>
      </c>
      <c r="S33" s="36" t="str">
        <f t="shared" ca="1" si="5"/>
        <v/>
      </c>
      <c r="T33" s="36" t="str">
        <f t="shared" ca="1" si="6"/>
        <v/>
      </c>
      <c r="U33" s="36" t="str" cm="1">
        <f t="array" aca="1" ref="U33" ca="1">IF(LEN($A33)&gt;1,SUMIFS(AssetIWO,AssetCat,$A33),"")</f>
        <v/>
      </c>
      <c r="V33" s="36" t="str" cm="1">
        <f t="array" aca="1" ref="V33" ca="1">IF(LEN($A33)&gt;1,SUMIFS(AssetPLoss,AssetCat,$A33),"")</f>
        <v/>
      </c>
      <c r="W33" s="36" t="str" cm="1">
        <f t="array" aca="1" ref="W33" ca="1">IF(LEN($A33)&gt;1,SUMIFS(AssetMCost,AssetCat,$A33),"")</f>
        <v/>
      </c>
      <c r="X33" s="36" t="str" cm="1">
        <f t="array" aca="1" ref="X33" ca="1">IF(LEN($A33)&gt;1,SUMIFS(AssetMRev,AssetCat,$A33),"")</f>
        <v/>
      </c>
      <c r="Y33" s="36" t="str">
        <f t="shared" ca="1" si="7"/>
        <v/>
      </c>
    </row>
    <row r="34" spans="1:25" ht="16" customHeight="1" x14ac:dyDescent="0.25">
      <c r="A34" s="3" t="str" cm="1">
        <f t="array" aca="1" ref="A34" ca="1">IF(ROW($B34)-ROW($B$5)&gt;CatCount,"",OFFSET('Set-up'!$A$22,ROW($B34)-ROW($B$5),0,1,1))</f>
        <v/>
      </c>
      <c r="B34" s="3" t="str">
        <f t="shared" ca="1" si="0"/>
        <v/>
      </c>
      <c r="C34" s="36" t="str" cm="1">
        <f t="array" aca="1" ref="C34" ca="1">IF(LEN($A34)&gt;1,SUMIFS(AssetCOB,AssetCat,$A34),"")</f>
        <v/>
      </c>
      <c r="D34" s="36" t="str" cm="1">
        <f t="array" aca="1" ref="D34" ca="1">IF(LEN($A34)&gt;1,SUMIFS(AssetCAdd,AssetCat,$A34),"")</f>
        <v/>
      </c>
      <c r="E34" s="36" t="str" cm="1">
        <f t="array" aca="1" ref="E34" ca="1">IF(LEN($A34)&gt;1,SUMIFS(AssetCRev,AssetCat,$A34),"")</f>
        <v/>
      </c>
      <c r="F34" s="36" t="str" cm="1">
        <f t="array" aca="1" ref="F34" ca="1">IF(LEN($A34)&gt;1,SUMIFS(AssetCDis,AssetCat,$A34),"")</f>
        <v/>
      </c>
      <c r="G34" s="36" t="str" cm="1">
        <f t="array" aca="1" ref="G34" ca="1">IF(LEN($A34)&gt;1,SUMIFS(AssetCImp,AssetCat,$A34),"")</f>
        <v/>
      </c>
      <c r="H34" s="36" t="str">
        <f t="shared" ca="1" si="1"/>
        <v/>
      </c>
      <c r="I34" s="36" t="str" cm="1">
        <f t="array" aca="1" ref="I34" ca="1">IF(LEN($A34)&gt;1,SUMIFS(AssetDOB,AssetCat,$A34),"")</f>
        <v/>
      </c>
      <c r="J34" s="36" t="str" cm="1">
        <f t="array" aca="1" ref="J34" ca="1">IF(LEN($A34)&gt;1,SUMIFS(AssetDDepC,AssetCat,$A34),"")</f>
        <v/>
      </c>
      <c r="K34" s="36" t="str" cm="1">
        <f t="array" aca="1" ref="K34" ca="1">IF(LEN($A34)&gt;1,SUMIFS(AssetDDepR,AssetCat,$A34),"")</f>
        <v/>
      </c>
      <c r="L34" s="36" t="str">
        <f t="shared" ca="1" si="2"/>
        <v/>
      </c>
      <c r="M34" s="36" t="str" cm="1">
        <f t="array" aca="1" ref="M34" ca="1">IF(LEN($A34)&gt;1,SUMIFS(AssetDRev,AssetCat,$A34),"")</f>
        <v/>
      </c>
      <c r="N34" s="36" t="str" cm="1">
        <f t="array" aca="1" ref="N34" ca="1">IF(LEN($A34)&gt;1,SUMIFS(AssetDDis,AssetCat,$A34),"")</f>
        <v/>
      </c>
      <c r="O34" s="36" t="str">
        <f t="shared" ca="1" si="3"/>
        <v/>
      </c>
      <c r="P34" s="36" t="str">
        <f t="shared" ca="1" si="4"/>
        <v/>
      </c>
      <c r="Q34" s="36" t="str" cm="1">
        <f t="array" aca="1" ref="Q34" ca="1">IF(LEN($A34)&gt;1,SUMIFS(AssetROB,AssetCat,$A34),"")</f>
        <v/>
      </c>
      <c r="R34" s="36" t="str" cm="1">
        <f t="array" aca="1" ref="R34" ca="1">IF(LEN($A34)&gt;1,SUMIFS(AssetRMove,AssetCat,$A34),"")</f>
        <v/>
      </c>
      <c r="S34" s="36" t="str">
        <f t="shared" ca="1" si="5"/>
        <v/>
      </c>
      <c r="T34" s="36" t="str">
        <f t="shared" ca="1" si="6"/>
        <v/>
      </c>
      <c r="U34" s="36" t="str" cm="1">
        <f t="array" aca="1" ref="U34" ca="1">IF(LEN($A34)&gt;1,SUMIFS(AssetIWO,AssetCat,$A34),"")</f>
        <v/>
      </c>
      <c r="V34" s="36" t="str" cm="1">
        <f t="array" aca="1" ref="V34" ca="1">IF(LEN($A34)&gt;1,SUMIFS(AssetPLoss,AssetCat,$A34),"")</f>
        <v/>
      </c>
      <c r="W34" s="36" t="str" cm="1">
        <f t="array" aca="1" ref="W34" ca="1">IF(LEN($A34)&gt;1,SUMIFS(AssetMCost,AssetCat,$A34),"")</f>
        <v/>
      </c>
      <c r="X34" s="36" t="str" cm="1">
        <f t="array" aca="1" ref="X34" ca="1">IF(LEN($A34)&gt;1,SUMIFS(AssetMRev,AssetCat,$A34),"")</f>
        <v/>
      </c>
      <c r="Y34" s="36" t="str">
        <f t="shared" ca="1" si="7"/>
        <v/>
      </c>
    </row>
    <row r="35" spans="1:25" ht="16" customHeight="1" x14ac:dyDescent="0.25">
      <c r="A35" s="3" t="str" cm="1">
        <f t="array" aca="1" ref="A35" ca="1">IF(ROW($B35)-ROW($B$5)&gt;CatCount,"",OFFSET('Set-up'!$A$22,ROW($B35)-ROW($B$5),0,1,1))</f>
        <v/>
      </c>
      <c r="B35" s="3" t="str">
        <f t="shared" ca="1" si="0"/>
        <v/>
      </c>
      <c r="C35" s="36" t="str" cm="1">
        <f t="array" aca="1" ref="C35" ca="1">IF(LEN($A35)&gt;1,SUMIFS(AssetCOB,AssetCat,$A35),"")</f>
        <v/>
      </c>
      <c r="D35" s="36" t="str" cm="1">
        <f t="array" aca="1" ref="D35" ca="1">IF(LEN($A35)&gt;1,SUMIFS(AssetCAdd,AssetCat,$A35),"")</f>
        <v/>
      </c>
      <c r="E35" s="36" t="str" cm="1">
        <f t="array" aca="1" ref="E35" ca="1">IF(LEN($A35)&gt;1,SUMIFS(AssetCRev,AssetCat,$A35),"")</f>
        <v/>
      </c>
      <c r="F35" s="36" t="str" cm="1">
        <f t="array" aca="1" ref="F35" ca="1">IF(LEN($A35)&gt;1,SUMIFS(AssetCDis,AssetCat,$A35),"")</f>
        <v/>
      </c>
      <c r="G35" s="36" t="str" cm="1">
        <f t="array" aca="1" ref="G35" ca="1">IF(LEN($A35)&gt;1,SUMIFS(AssetCImp,AssetCat,$A35),"")</f>
        <v/>
      </c>
      <c r="H35" s="36" t="str">
        <f t="shared" ca="1" si="1"/>
        <v/>
      </c>
      <c r="I35" s="36" t="str" cm="1">
        <f t="array" aca="1" ref="I35" ca="1">IF(LEN($A35)&gt;1,SUMIFS(AssetDOB,AssetCat,$A35),"")</f>
        <v/>
      </c>
      <c r="J35" s="36" t="str" cm="1">
        <f t="array" aca="1" ref="J35" ca="1">IF(LEN($A35)&gt;1,SUMIFS(AssetDDepC,AssetCat,$A35),"")</f>
        <v/>
      </c>
      <c r="K35" s="36" t="str" cm="1">
        <f t="array" aca="1" ref="K35" ca="1">IF(LEN($A35)&gt;1,SUMIFS(AssetDDepR,AssetCat,$A35),"")</f>
        <v/>
      </c>
      <c r="L35" s="36" t="str">
        <f t="shared" ca="1" si="2"/>
        <v/>
      </c>
      <c r="M35" s="36" t="str" cm="1">
        <f t="array" aca="1" ref="M35" ca="1">IF(LEN($A35)&gt;1,SUMIFS(AssetDRev,AssetCat,$A35),"")</f>
        <v/>
      </c>
      <c r="N35" s="36" t="str" cm="1">
        <f t="array" aca="1" ref="N35" ca="1">IF(LEN($A35)&gt;1,SUMIFS(AssetDDis,AssetCat,$A35),"")</f>
        <v/>
      </c>
      <c r="O35" s="36" t="str">
        <f t="shared" ca="1" si="3"/>
        <v/>
      </c>
      <c r="P35" s="36" t="str">
        <f t="shared" ca="1" si="4"/>
        <v/>
      </c>
      <c r="Q35" s="36" t="str" cm="1">
        <f t="array" aca="1" ref="Q35" ca="1">IF(LEN($A35)&gt;1,SUMIFS(AssetROB,AssetCat,$A35),"")</f>
        <v/>
      </c>
      <c r="R35" s="36" t="str" cm="1">
        <f t="array" aca="1" ref="R35" ca="1">IF(LEN($A35)&gt;1,SUMIFS(AssetRMove,AssetCat,$A35),"")</f>
        <v/>
      </c>
      <c r="S35" s="36" t="str">
        <f t="shared" ca="1" si="5"/>
        <v/>
      </c>
      <c r="T35" s="36" t="str">
        <f t="shared" ca="1" si="6"/>
        <v/>
      </c>
      <c r="U35" s="36" t="str" cm="1">
        <f t="array" aca="1" ref="U35" ca="1">IF(LEN($A35)&gt;1,SUMIFS(AssetIWO,AssetCat,$A35),"")</f>
        <v/>
      </c>
      <c r="V35" s="36" t="str" cm="1">
        <f t="array" aca="1" ref="V35" ca="1">IF(LEN($A35)&gt;1,SUMIFS(AssetPLoss,AssetCat,$A35),"")</f>
        <v/>
      </c>
      <c r="W35" s="36" t="str" cm="1">
        <f t="array" aca="1" ref="W35" ca="1">IF(LEN($A35)&gt;1,SUMIFS(AssetMCost,AssetCat,$A35),"")</f>
        <v/>
      </c>
      <c r="X35" s="36" t="str" cm="1">
        <f t="array" aca="1" ref="X35" ca="1">IF(LEN($A35)&gt;1,SUMIFS(AssetMRev,AssetCat,$A35),"")</f>
        <v/>
      </c>
      <c r="Y35" s="36" t="str">
        <f t="shared" ca="1" si="7"/>
        <v/>
      </c>
    </row>
  </sheetData>
  <mergeCells count="7">
    <mergeCell ref="W4:Y4"/>
    <mergeCell ref="C4:H4"/>
    <mergeCell ref="I4:O4"/>
    <mergeCell ref="P4:P5"/>
    <mergeCell ref="Q4:T4"/>
    <mergeCell ref="U4:U5"/>
    <mergeCell ref="V4:V5"/>
  </mergeCells>
  <pageMargins left="0.55118110236220474" right="0.55118110236220474" top="0.59055118110236227" bottom="0.59055118110236227" header="0.39370078740157483" footer="0.39370078740157483"/>
  <pageSetup paperSize="9" scale="55" fitToWidth="0" fitToHeight="0" orientation="landscape" r:id="rId1"/>
  <headerFooter>
    <oddFooter>&amp;C&amp;9Page &amp;P of &amp;N</oddFooter>
  </headerFooter>
  <colBreaks count="1" manualBreakCount="1">
    <brk id="16" max="1048575"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Y34"/>
  <sheetViews>
    <sheetView zoomScale="95" zoomScaleNormal="95" workbookViewId="0">
      <pane xSplit="2" ySplit="5" topLeftCell="C6" activePane="bottomRight" state="frozen"/>
      <selection pane="topRight" activeCell="C1" sqref="C1"/>
      <selection pane="bottomLeft" activeCell="A6" sqref="A6"/>
      <selection pane="bottomRight" activeCell="A5" sqref="A5"/>
    </sheetView>
  </sheetViews>
  <sheetFormatPr defaultColWidth="9.08984375" defaultRowHeight="16" customHeight="1" x14ac:dyDescent="0.25"/>
  <cols>
    <col min="1" max="1" width="10.6328125" style="3" customWidth="1"/>
    <col min="2" max="2" width="30.6328125" style="3" customWidth="1"/>
    <col min="3" max="25" width="14.6328125" style="36" customWidth="1"/>
    <col min="26" max="16384" width="9.08984375" style="3"/>
  </cols>
  <sheetData>
    <row r="1" spans="1:25" ht="16" customHeight="1" x14ac:dyDescent="0.3">
      <c r="A1" s="88" t="str">
        <f>'Set-up'!$C$5</f>
        <v>Example (Pty) Ltd</v>
      </c>
      <c r="Y1" s="79"/>
    </row>
    <row r="2" spans="1:25" ht="16" customHeight="1" x14ac:dyDescent="0.25">
      <c r="A2" s="18" t="s">
        <v>154</v>
      </c>
    </row>
    <row r="3" spans="1:25" s="5" customFormat="1" ht="16" customHeight="1" x14ac:dyDescent="0.25">
      <c r="A3" s="18" t="str">
        <f ca="1">"From "&amp;TEXT(Assets!$H$2,"d mmmm yyyy")&amp;" to "&amp;TEXT(Assets!$I$2,"d mmmm yyyy")</f>
        <v>From 1 March 2020 to 28 February 2021</v>
      </c>
      <c r="C3" s="42" cm="1">
        <f t="array" aca="1" ref="C3" ca="1">SUBTOTAL(109,OFFSET(C$5,1,0,ClassSumCount,1))</f>
        <v>7397870</v>
      </c>
      <c r="D3" s="42" cm="1">
        <f t="array" aca="1" ref="D3" ca="1">SUBTOTAL(109,OFFSET(D$5,1,0,ClassSumCount,1))</f>
        <v>375919</v>
      </c>
      <c r="E3" s="42" cm="1">
        <f t="array" aca="1" ref="E3" ca="1">SUBTOTAL(109,OFFSET(E$5,1,0,ClassSumCount,1))</f>
        <v>-4076950</v>
      </c>
      <c r="F3" s="42" cm="1">
        <f t="array" aca="1" ref="F3" ca="1">SUBTOTAL(109,OFFSET(F$5,1,0,ClassSumCount,1))</f>
        <v>-235000</v>
      </c>
      <c r="G3" s="42" cm="1">
        <f t="array" aca="1" ref="G3" ca="1">SUBTOTAL(109,OFFSET(G$5,1,0,ClassSumCount,1))</f>
        <v>-200000</v>
      </c>
      <c r="H3" s="42" cm="1">
        <f t="array" aca="1" ref="H3" ca="1">SUBTOTAL(109,OFFSET(H$5,1,0,ClassSumCount,1))</f>
        <v>3261839</v>
      </c>
      <c r="I3" s="42" cm="1">
        <f t="array" aca="1" ref="I3" ca="1">SUBTOTAL(109,OFFSET(I$5,1,0,ClassSumCount,1))</f>
        <v>5397789.3611111129</v>
      </c>
      <c r="J3" s="42" cm="1">
        <f t="array" aca="1" ref="J3" ca="1">SUBTOTAL(109,OFFSET(J$5,1,0,ClassSumCount,1))</f>
        <v>391165.11666666664</v>
      </c>
      <c r="K3" s="42" cm="1">
        <f t="array" aca="1" ref="K3" ca="1">SUBTOTAL(109,OFFSET(K$5,1,0,ClassSumCount,1))</f>
        <v>8654.5000000000055</v>
      </c>
      <c r="L3" s="42" cm="1">
        <f t="array" aca="1" ref="L3" ca="1">SUBTOTAL(109,OFFSET(L$5,1,0,ClassSumCount,1))</f>
        <v>399819.61666666664</v>
      </c>
      <c r="M3" s="42" cm="1">
        <f t="array" aca="1" ref="M3" ca="1">SUBTOTAL(109,OFFSET(M$5,1,0,ClassSumCount,1))</f>
        <v>-5397789.3611111129</v>
      </c>
      <c r="N3" s="42" cm="1">
        <f t="array" aca="1" ref="N3" ca="1">SUBTOTAL(109,OFFSET(N$5,1,0,ClassSumCount,1))</f>
        <v>-35833.333333333328</v>
      </c>
      <c r="O3" s="42" cm="1">
        <f t="array" aca="1" ref="O3" ca="1">SUBTOTAL(109,OFFSET(O$5,1,0,ClassSumCount,1))</f>
        <v>363986.28333333321</v>
      </c>
      <c r="P3" s="42" cm="1">
        <f t="array" aca="1" ref="P3" ca="1">SUBTOTAL(109,OFFSET(P$5,1,0,ClassSumCount,1))</f>
        <v>2897852.7166666663</v>
      </c>
      <c r="Q3" s="42" cm="1">
        <f t="array" aca="1" ref="Q3" ca="1">SUBTOTAL(109,OFFSET(Q$5,1,0,ClassSumCount,1))</f>
        <v>0</v>
      </c>
      <c r="R3" s="42" cm="1">
        <f t="array" aca="1" ref="R3" ca="1">SUBTOTAL(109,OFFSET(R$5,1,0,ClassSumCount,1))</f>
        <v>1160682.6944444447</v>
      </c>
      <c r="S3" s="42" cm="1">
        <f t="array" aca="1" ref="S3" ca="1">SUBTOTAL(109,OFFSET(S$5,1,0,ClassSumCount,1))</f>
        <v>-8654.5000000000055</v>
      </c>
      <c r="T3" s="42" cm="1">
        <f t="array" aca="1" ref="T3" ca="1">SUBTOTAL(109,OFFSET(T$5,1,0,ClassSumCount,1))</f>
        <v>1152028.1944444447</v>
      </c>
      <c r="U3" s="42" cm="1">
        <f t="array" aca="1" ref="U3" ca="1">SUBTOTAL(109,OFFSET(U$5,1,0,ClassSumCount,1))</f>
        <v>-200000</v>
      </c>
      <c r="V3" s="42" cm="1">
        <f t="array" aca="1" ref="V3" ca="1">SUBTOTAL(109,OFFSET(V$5,1,0,ClassSumCount,1))</f>
        <v>151990</v>
      </c>
      <c r="W3" s="42" cm="1">
        <f t="array" aca="1" ref="W3" ca="1">SUBTOTAL(109,OFFSET(W$5,1,0,ClassSumCount,1))</f>
        <v>31728.191666666662</v>
      </c>
      <c r="X3" s="42" cm="1">
        <f t="array" aca="1" ref="X3" ca="1">SUBTOTAL(109,OFFSET(X$5,1,0,ClassSumCount,1))</f>
        <v>808.98611111111848</v>
      </c>
      <c r="Y3" s="42" cm="1">
        <f t="array" aca="1" ref="Y3" ca="1">SUBTOTAL(109,OFFSET(Y$5,1,0,ClassSumCount,1))</f>
        <v>32537.177777777779</v>
      </c>
    </row>
    <row r="4" spans="1:25" ht="18" customHeight="1" x14ac:dyDescent="0.25">
      <c r="A4" s="80" t="s">
        <v>363</v>
      </c>
      <c r="C4" s="117" t="s">
        <v>121</v>
      </c>
      <c r="D4" s="118"/>
      <c r="E4" s="118"/>
      <c r="F4" s="118"/>
      <c r="G4" s="118"/>
      <c r="H4" s="119"/>
      <c r="I4" s="117" t="s">
        <v>122</v>
      </c>
      <c r="J4" s="118"/>
      <c r="K4" s="118"/>
      <c r="L4" s="118"/>
      <c r="M4" s="118"/>
      <c r="N4" s="118"/>
      <c r="O4" s="119"/>
      <c r="P4" s="120" t="s">
        <v>123</v>
      </c>
      <c r="Q4" s="122" t="s">
        <v>184</v>
      </c>
      <c r="R4" s="122"/>
      <c r="S4" s="122"/>
      <c r="T4" s="122"/>
      <c r="U4" s="120" t="s">
        <v>152</v>
      </c>
      <c r="V4" s="120" t="s">
        <v>109</v>
      </c>
      <c r="W4" s="122" t="s">
        <v>150</v>
      </c>
      <c r="X4" s="122"/>
      <c r="Y4" s="122"/>
    </row>
    <row r="5" spans="1:25" s="78" customFormat="1" ht="25" x14ac:dyDescent="0.25">
      <c r="A5" s="76" t="s">
        <v>20</v>
      </c>
      <c r="B5" s="76" t="s">
        <v>5</v>
      </c>
      <c r="C5" s="77" t="s">
        <v>113</v>
      </c>
      <c r="D5" s="77" t="s">
        <v>114</v>
      </c>
      <c r="E5" s="77" t="s">
        <v>125</v>
      </c>
      <c r="F5" s="77" t="s">
        <v>115</v>
      </c>
      <c r="G5" s="77" t="s">
        <v>117</v>
      </c>
      <c r="H5" s="77" t="s">
        <v>116</v>
      </c>
      <c r="I5" s="77" t="s">
        <v>113</v>
      </c>
      <c r="J5" s="77" t="s">
        <v>119</v>
      </c>
      <c r="K5" s="77" t="s">
        <v>118</v>
      </c>
      <c r="L5" s="77" t="s">
        <v>120</v>
      </c>
      <c r="M5" s="77" t="s">
        <v>125</v>
      </c>
      <c r="N5" s="77" t="s">
        <v>115</v>
      </c>
      <c r="O5" s="77" t="s">
        <v>116</v>
      </c>
      <c r="P5" s="121"/>
      <c r="Q5" s="77" t="s">
        <v>113</v>
      </c>
      <c r="R5" s="77" t="s">
        <v>98</v>
      </c>
      <c r="S5" s="77" t="s">
        <v>118</v>
      </c>
      <c r="T5" s="77" t="s">
        <v>116</v>
      </c>
      <c r="U5" s="121"/>
      <c r="V5" s="121"/>
      <c r="W5" s="77" t="s">
        <v>147</v>
      </c>
      <c r="X5" s="77" t="s">
        <v>148</v>
      </c>
      <c r="Y5" s="77" t="s">
        <v>149</v>
      </c>
    </row>
    <row r="6" spans="1:25" ht="16" customHeight="1" x14ac:dyDescent="0.25">
      <c r="A6" s="3" t="str" cm="1">
        <f t="array" aca="1" ref="A6" ca="1">IF(ROW($B6)-ROW($B$5)&gt;ClassCount,"",OFFSET('Set-up'!$A$12,ROW($B6)-ROW($B$5),0,1,1))</f>
        <v>LB</v>
      </c>
      <c r="B6" s="3" t="str">
        <f t="shared" ref="B6:B34" ca="1" si="0">IF(ISNA(VLOOKUP($A6,ClassAll,2,0))=TRUE,"",VLOOKUP($A6,ClassAll,2,0))</f>
        <v>Land &amp; Buildings</v>
      </c>
      <c r="C6" s="36" cm="1">
        <f t="array" aca="1" ref="C6" ca="1">IF(LEN($A6)&gt;1,SUMIFS(AssetCOB,AssetClass,$A6),"")</f>
        <v>1500000</v>
      </c>
      <c r="D6" s="36" cm="1">
        <f t="array" aca="1" ref="D6" ca="1">IF(LEN($A6)&gt;1,SUMIFS(AssetCAdd,AssetClass,$A6),"")</f>
        <v>0</v>
      </c>
      <c r="E6" s="36" cm="1">
        <f t="array" aca="1" ref="E6" ca="1">IF(LEN($A6)&gt;1,SUMIFS(AssetCRev,AssetClass,$A6),"")</f>
        <v>0</v>
      </c>
      <c r="F6" s="36" cm="1">
        <f t="array" aca="1" ref="F6" ca="1">IF(LEN($A6)&gt;1,SUMIFS(AssetCDis,AssetClass,$A6),"")</f>
        <v>0</v>
      </c>
      <c r="G6" s="36" cm="1">
        <f t="array" aca="1" ref="G6" ca="1">IF(LEN($A6)&gt;1,SUMIFS(AssetCImp,AssetClass,$A6),"")</f>
        <v>-200000</v>
      </c>
      <c r="H6" s="36">
        <f ca="1">IF(LEN($A6)&gt;1,SUM($C6:$G6),"")</f>
        <v>1300000</v>
      </c>
      <c r="I6" s="36" cm="1">
        <f t="array" aca="1" ref="I6" ca="1">IF(LEN($A6)&gt;1,SUMIFS(AssetDOB,AssetClass,$A6),"")</f>
        <v>0</v>
      </c>
      <c r="J6" s="36" cm="1">
        <f t="array" aca="1" ref="J6" ca="1">IF(LEN($A6)&gt;1,SUMIFS(AssetDDepC,AssetClass,$A6),"")</f>
        <v>0</v>
      </c>
      <c r="K6" s="36" cm="1">
        <f t="array" aca="1" ref="K6" ca="1">IF(LEN($A6)&gt;1,SUMIFS(AssetDDepR,AssetClass,$A6),"")</f>
        <v>0</v>
      </c>
      <c r="L6" s="36">
        <f ca="1">IF(LEN($A6)&gt;1,SUM($J6:$K6),"")</f>
        <v>0</v>
      </c>
      <c r="M6" s="36" cm="1">
        <f t="array" aca="1" ref="M6" ca="1">IF(LEN($A6)&gt;1,SUMIFS(AssetDRev,AssetClass,$A6),"")</f>
        <v>0</v>
      </c>
      <c r="N6" s="36" cm="1">
        <f t="array" aca="1" ref="N6" ca="1">IF(LEN($A6)&gt;1,SUMIFS(AssetDDis,AssetClass,$A6),"")</f>
        <v>0</v>
      </c>
      <c r="O6" s="36">
        <f ca="1">IF(LEN($A6)&gt;1,SUM($I6,$L6,$M6,$N6),"")</f>
        <v>0</v>
      </c>
      <c r="P6" s="36">
        <f ca="1">IF(LEN($A6)&gt;1,SUM($H6,-$O6),"")</f>
        <v>1300000</v>
      </c>
      <c r="Q6" s="36" cm="1">
        <f t="array" aca="1" ref="Q6" ca="1">IF(LEN($A6)&gt;1,SUMIFS(AssetROB,AssetClass,$A6),"")</f>
        <v>0</v>
      </c>
      <c r="R6" s="36" cm="1">
        <f t="array" aca="1" ref="R6" ca="1">IF(LEN($A6)&gt;1,SUMIFS(AssetRMove,AssetClass,$A6),"")</f>
        <v>0</v>
      </c>
      <c r="S6" s="36">
        <f ca="1">IF(LEN($A6)&gt;1,-$K6,"")</f>
        <v>0</v>
      </c>
      <c r="T6" s="36">
        <f ca="1">IF(LEN($A6)&gt;1,SUM($Q6:$S6),"")</f>
        <v>0</v>
      </c>
      <c r="U6" s="36" cm="1">
        <f t="array" aca="1" ref="U6" ca="1">IF(LEN($A6)&gt;1,SUMIFS(AssetIWO,AssetClass,$A6),"")</f>
        <v>-200000</v>
      </c>
      <c r="V6" s="36" cm="1">
        <f t="array" aca="1" ref="V6" ca="1">IF(LEN($A6)&gt;1,SUMIFS(AssetPLoss,AssetClass,$A6),"")</f>
        <v>0</v>
      </c>
      <c r="W6" s="36" cm="1">
        <f t="array" aca="1" ref="W6" ca="1">IF(LEN($A6)&gt;1,SUMIFS(AssetMCost,AssetClass,$A6),"")</f>
        <v>0</v>
      </c>
      <c r="X6" s="36" cm="1">
        <f t="array" aca="1" ref="X6" ca="1">IF(LEN($A6)&gt;1,SUMIFS(AssetMRev,AssetClass,$A6),"")</f>
        <v>0</v>
      </c>
      <c r="Y6" s="36">
        <f ca="1">IF(LEN($A6)&gt;1,SUM($W6:$X6),"")</f>
        <v>0</v>
      </c>
    </row>
    <row r="7" spans="1:25" ht="16" customHeight="1" x14ac:dyDescent="0.25">
      <c r="A7" s="3" t="str" cm="1">
        <f t="array" aca="1" ref="A7" ca="1">IF(ROW($B7)-ROW($B$5)&gt;ClassCount,"",OFFSET('Set-up'!$A$12,ROW($B7)-ROW($B$5),0,1,1))</f>
        <v>PM</v>
      </c>
      <c r="B7" s="3" t="str">
        <f t="shared" ca="1" si="0"/>
        <v>Plant &amp; Equipment</v>
      </c>
      <c r="C7" s="36" cm="1">
        <f t="array" aca="1" ref="C7" ca="1">IF(LEN($A7)&gt;1,SUMIFS(AssetCOB,AssetClass,$A7),"")</f>
        <v>5586320</v>
      </c>
      <c r="D7" s="36" cm="1">
        <f t="array" aca="1" ref="D7" ca="1">IF(LEN($A7)&gt;1,SUMIFS(AssetCAdd,AssetClass,$A7),"")</f>
        <v>87419</v>
      </c>
      <c r="E7" s="36" cm="1">
        <f t="array" aca="1" ref="E7" ca="1">IF(LEN($A7)&gt;1,SUMIFS(AssetCRev,AssetClass,$A7),"")</f>
        <v>-3842550</v>
      </c>
      <c r="F7" s="36" cm="1">
        <f t="array" aca="1" ref="F7" ca="1">IF(LEN($A7)&gt;1,SUMIFS(AssetCDis,AssetClass,$A7),"")</f>
        <v>-190000</v>
      </c>
      <c r="G7" s="36" cm="1">
        <f t="array" aca="1" ref="G7" ca="1">IF(LEN($A7)&gt;1,SUMIFS(AssetCImp,AssetClass,$A7),"")</f>
        <v>0</v>
      </c>
      <c r="H7" s="36">
        <f t="shared" ref="H7:H34" ca="1" si="1">IF(LEN($A7)&gt;1,SUM($C7:$G7),"")</f>
        <v>1641189</v>
      </c>
      <c r="I7" s="36" cm="1">
        <f t="array" aca="1" ref="I7" ca="1">IF(LEN($A7)&gt;1,SUMIFS(AssetDOB,AssetClass,$A7),"")</f>
        <v>5124531.1666666679</v>
      </c>
      <c r="J7" s="36" cm="1">
        <f t="array" aca="1" ref="J7" ca="1">IF(LEN($A7)&gt;1,SUMIFS(AssetDDepC,AssetClass,$A7),"")</f>
        <v>347327.61666666664</v>
      </c>
      <c r="K7" s="36" cm="1">
        <f t="array" aca="1" ref="K7" ca="1">IF(LEN($A7)&gt;1,SUMIFS(AssetDDepR,AssetClass,$A7),"")</f>
        <v>1608.6666666666715</v>
      </c>
      <c r="L7" s="36">
        <f t="shared" ref="L7:L34" ca="1" si="2">IF(LEN($A7)&gt;1,SUM($J7:$K7),"")</f>
        <v>348936.28333333333</v>
      </c>
      <c r="M7" s="36" cm="1">
        <f t="array" aca="1" ref="M7" ca="1">IF(LEN($A7)&gt;1,SUMIFS(AssetDRev,AssetClass,$A7),"")</f>
        <v>-5124531.1666666679</v>
      </c>
      <c r="N7" s="36" cm="1">
        <f t="array" aca="1" ref="N7" ca="1">IF(LEN($A7)&gt;1,SUMIFS(AssetDDis,AssetClass,$A7),"")</f>
        <v>-34833.333333333328</v>
      </c>
      <c r="O7" s="36">
        <f t="shared" ref="O7:O34" ca="1" si="3">IF(LEN($A7)&gt;1,SUM($I7,$L7,$M7,$N7),"")</f>
        <v>314102.9499999999</v>
      </c>
      <c r="P7" s="36">
        <f t="shared" ref="P7:P34" ca="1" si="4">IF(LEN($A7)&gt;1,SUM($H7,-$O7),"")</f>
        <v>1327086.05</v>
      </c>
      <c r="Q7" s="36" cm="1">
        <f t="array" aca="1" ref="Q7" ca="1">IF(LEN($A7)&gt;1,SUMIFS(AssetROB,AssetClass,$A7),"")</f>
        <v>0</v>
      </c>
      <c r="R7" s="36" cm="1">
        <f t="array" aca="1" ref="R7" ca="1">IF(LEN($A7)&gt;1,SUMIFS(AssetRMove,AssetClass,$A7),"")</f>
        <v>1136011.166666667</v>
      </c>
      <c r="S7" s="36">
        <f t="shared" ref="S7:S34" ca="1" si="5">IF(LEN($A7)&gt;1,-$K7,"")</f>
        <v>-1608.6666666666715</v>
      </c>
      <c r="T7" s="36">
        <f t="shared" ref="T7:T34" ca="1" si="6">IF(LEN($A7)&gt;1,SUM($Q7:$S7),"")</f>
        <v>1134402.5000000002</v>
      </c>
      <c r="U7" s="36" cm="1">
        <f t="array" aca="1" ref="U7" ca="1">IF(LEN($A7)&gt;1,SUMIFS(AssetIWO,AssetClass,$A7),"")</f>
        <v>0</v>
      </c>
      <c r="V7" s="36" cm="1">
        <f t="array" aca="1" ref="V7" ca="1">IF(LEN($A7)&gt;1,SUMIFS(AssetPLoss,AssetClass,$A7),"")</f>
        <v>140803.33333333331</v>
      </c>
      <c r="W7" s="36" cm="1">
        <f t="array" aca="1" ref="W7" ca="1">IF(LEN($A7)&gt;1,SUMIFS(AssetMCost,AssetClass,$A7),"")</f>
        <v>27047.983333333326</v>
      </c>
      <c r="X7" s="36" cm="1">
        <f t="array" aca="1" ref="X7" ca="1">IF(LEN($A7)&gt;1,SUMIFS(AssetMRev,AssetClass,$A7),"")</f>
        <v>221.83333333334059</v>
      </c>
      <c r="Y7" s="36">
        <f t="shared" ref="Y7:Y34" ca="1" si="7">IF(LEN($A7)&gt;1,SUM($W7:$X7),"")</f>
        <v>27269.816666666666</v>
      </c>
    </row>
    <row r="8" spans="1:25" ht="16" customHeight="1" x14ac:dyDescent="0.25">
      <c r="A8" s="3" t="str" cm="1">
        <f t="array" aca="1" ref="A8" ca="1">IF(ROW($B8)-ROW($B$5)&gt;ClassCount,"",OFFSET('Set-up'!$A$12,ROW($B8)-ROW($B$5),0,1,1))</f>
        <v>CE</v>
      </c>
      <c r="B8" s="3" t="str">
        <f t="shared" ca="1" si="0"/>
        <v>Computer Equipment</v>
      </c>
      <c r="C8" s="36" cm="1">
        <f t="array" aca="1" ref="C8" ca="1">IF(LEN($A8)&gt;1,SUMIFS(AssetCOB,AssetClass,$A8),"")</f>
        <v>29700</v>
      </c>
      <c r="D8" s="36" cm="1">
        <f t="array" aca="1" ref="D8" ca="1">IF(LEN($A8)&gt;1,SUMIFS(AssetCAdd,AssetClass,$A8),"")</f>
        <v>0</v>
      </c>
      <c r="E8" s="36" cm="1">
        <f t="array" aca="1" ref="E8" ca="1">IF(LEN($A8)&gt;1,SUMIFS(AssetCRev,AssetClass,$A8),"")</f>
        <v>-14200</v>
      </c>
      <c r="F8" s="36" cm="1">
        <f t="array" aca="1" ref="F8" ca="1">IF(LEN($A8)&gt;1,SUMIFS(AssetCDis,AssetClass,$A8),"")</f>
        <v>0</v>
      </c>
      <c r="G8" s="36" cm="1">
        <f t="array" aca="1" ref="G8" ca="1">IF(LEN($A8)&gt;1,SUMIFS(AssetCImp,AssetClass,$A8),"")</f>
        <v>0</v>
      </c>
      <c r="H8" s="36">
        <f t="shared" ca="1" si="1"/>
        <v>15500</v>
      </c>
      <c r="I8" s="36" cm="1">
        <f t="array" aca="1" ref="I8" ca="1">IF(LEN($A8)&gt;1,SUMIFS(AssetDOB,AssetClass,$A8),"")</f>
        <v>29700</v>
      </c>
      <c r="J8" s="36" cm="1">
        <f t="array" aca="1" ref="J8" ca="1">IF(LEN($A8)&gt;1,SUMIFS(AssetDDepC,AssetClass,$A8),"")</f>
        <v>0</v>
      </c>
      <c r="K8" s="36" cm="1">
        <f t="array" aca="1" ref="K8" ca="1">IF(LEN($A8)&gt;1,SUMIFS(AssetDDepR,AssetClass,$A8),"")</f>
        <v>6533.3333333333339</v>
      </c>
      <c r="L8" s="36">
        <f t="shared" ca="1" si="2"/>
        <v>6533.3333333333339</v>
      </c>
      <c r="M8" s="36" cm="1">
        <f t="array" aca="1" ref="M8" ca="1">IF(LEN($A8)&gt;1,SUMIFS(AssetDRev,AssetClass,$A8),"")</f>
        <v>-29700</v>
      </c>
      <c r="N8" s="36" cm="1">
        <f t="array" aca="1" ref="N8" ca="1">IF(LEN($A8)&gt;1,SUMIFS(AssetDDis,AssetClass,$A8),"")</f>
        <v>0</v>
      </c>
      <c r="O8" s="36">
        <f t="shared" ca="1" si="3"/>
        <v>6533.3333333333358</v>
      </c>
      <c r="P8" s="36">
        <f t="shared" ca="1" si="4"/>
        <v>8966.6666666666642</v>
      </c>
      <c r="Q8" s="36" cm="1">
        <f t="array" aca="1" ref="Q8" ca="1">IF(LEN($A8)&gt;1,SUMIFS(AssetROB,AssetClass,$A8),"")</f>
        <v>0</v>
      </c>
      <c r="R8" s="36" cm="1">
        <f t="array" aca="1" ref="R8" ca="1">IF(LEN($A8)&gt;1,SUMIFS(AssetRMove,AssetClass,$A8),"")</f>
        <v>15500</v>
      </c>
      <c r="S8" s="36">
        <f t="shared" ca="1" si="5"/>
        <v>-6533.3333333333339</v>
      </c>
      <c r="T8" s="36">
        <f t="shared" ca="1" si="6"/>
        <v>8966.6666666666661</v>
      </c>
      <c r="U8" s="36" cm="1">
        <f t="array" aca="1" ref="U8" ca="1">IF(LEN($A8)&gt;1,SUMIFS(AssetIWO,AssetClass,$A8),"")</f>
        <v>0</v>
      </c>
      <c r="V8" s="36" cm="1">
        <f t="array" aca="1" ref="V8" ca="1">IF(LEN($A8)&gt;1,SUMIFS(AssetPLoss,AssetClass,$A8),"")</f>
        <v>0</v>
      </c>
      <c r="W8" s="36" cm="1">
        <f t="array" aca="1" ref="W8" ca="1">IF(LEN($A8)&gt;1,SUMIFS(AssetMCost,AssetClass,$A8),"")</f>
        <v>0</v>
      </c>
      <c r="X8" s="36" cm="1">
        <f t="array" aca="1" ref="X8" ca="1">IF(LEN($A8)&gt;1,SUMIFS(AssetMRev,AssetClass,$A8),"")</f>
        <v>544.44444444444446</v>
      </c>
      <c r="Y8" s="36">
        <f t="shared" ca="1" si="7"/>
        <v>544.44444444444446</v>
      </c>
    </row>
    <row r="9" spans="1:25" ht="16" customHeight="1" x14ac:dyDescent="0.25">
      <c r="A9" s="3" t="str" cm="1">
        <f t="array" aca="1" ref="A9" ca="1">IF(ROW($B9)-ROW($B$5)&gt;ClassCount,"",OFFSET('Set-up'!$A$12,ROW($B9)-ROW($B$5),0,1,1))</f>
        <v>OE</v>
      </c>
      <c r="B9" s="3" t="str">
        <f t="shared" ca="1" si="0"/>
        <v>Office Equipment</v>
      </c>
      <c r="C9" s="36" cm="1">
        <f t="array" aca="1" ref="C9" ca="1">IF(LEN($A9)&gt;1,SUMIFS(AssetCOB,AssetClass,$A9),"")</f>
        <v>8550</v>
      </c>
      <c r="D9" s="36" cm="1">
        <f t="array" aca="1" ref="D9" ca="1">IF(LEN($A9)&gt;1,SUMIFS(AssetCAdd,AssetClass,$A9),"")</f>
        <v>0</v>
      </c>
      <c r="E9" s="36" cm="1">
        <f t="array" aca="1" ref="E9" ca="1">IF(LEN($A9)&gt;1,SUMIFS(AssetCRev,AssetClass,$A9),"")</f>
        <v>-1350</v>
      </c>
      <c r="F9" s="36" cm="1">
        <f t="array" aca="1" ref="F9" ca="1">IF(LEN($A9)&gt;1,SUMIFS(AssetCDis,AssetClass,$A9),"")</f>
        <v>0</v>
      </c>
      <c r="G9" s="36" cm="1">
        <f t="array" aca="1" ref="G9" ca="1">IF(LEN($A9)&gt;1,SUMIFS(AssetCImp,AssetClass,$A9),"")</f>
        <v>0</v>
      </c>
      <c r="H9" s="36">
        <f t="shared" ca="1" si="1"/>
        <v>7200</v>
      </c>
      <c r="I9" s="36" cm="1">
        <f t="array" aca="1" ref="I9" ca="1">IF(LEN($A9)&gt;1,SUMIFS(AssetDOB,AssetClass,$A9),"")</f>
        <v>5760.416666666667</v>
      </c>
      <c r="J9" s="36" cm="1">
        <f t="array" aca="1" ref="J9" ca="1">IF(LEN($A9)&gt;1,SUMIFS(AssetDDepC,AssetClass,$A9),"")</f>
        <v>1287.5</v>
      </c>
      <c r="K9" s="36" cm="1">
        <f t="array" aca="1" ref="K9" ca="1">IF(LEN($A9)&gt;1,SUMIFS(AssetDDepR,AssetClass,$A9),"")</f>
        <v>512.5</v>
      </c>
      <c r="L9" s="36">
        <f t="shared" ca="1" si="2"/>
        <v>1800</v>
      </c>
      <c r="M9" s="36" cm="1">
        <f t="array" aca="1" ref="M9" ca="1">IF(LEN($A9)&gt;1,SUMIFS(AssetDRev,AssetClass,$A9),"")</f>
        <v>-5760.416666666667</v>
      </c>
      <c r="N9" s="36" cm="1">
        <f t="array" aca="1" ref="N9" ca="1">IF(LEN($A9)&gt;1,SUMIFS(AssetDDis,AssetClass,$A9),"")</f>
        <v>0</v>
      </c>
      <c r="O9" s="36">
        <f t="shared" ca="1" si="3"/>
        <v>1800</v>
      </c>
      <c r="P9" s="36">
        <f t="shared" ca="1" si="4"/>
        <v>5400</v>
      </c>
      <c r="Q9" s="36" cm="1">
        <f t="array" aca="1" ref="Q9" ca="1">IF(LEN($A9)&gt;1,SUMIFS(AssetROB,AssetClass,$A9),"")</f>
        <v>0</v>
      </c>
      <c r="R9" s="36" cm="1">
        <f t="array" aca="1" ref="R9" ca="1">IF(LEN($A9)&gt;1,SUMIFS(AssetRMove,AssetClass,$A9),"")</f>
        <v>4410.416666666667</v>
      </c>
      <c r="S9" s="36">
        <f t="shared" ca="1" si="5"/>
        <v>-512.5</v>
      </c>
      <c r="T9" s="36">
        <f t="shared" ca="1" si="6"/>
        <v>3897.916666666667</v>
      </c>
      <c r="U9" s="36" cm="1">
        <f t="array" aca="1" ref="U9" ca="1">IF(LEN($A9)&gt;1,SUMIFS(AssetIWO,AssetClass,$A9),"")</f>
        <v>0</v>
      </c>
      <c r="V9" s="36" cm="1">
        <f t="array" aca="1" ref="V9" ca="1">IF(LEN($A9)&gt;1,SUMIFS(AssetPLoss,AssetClass,$A9),"")</f>
        <v>0</v>
      </c>
      <c r="W9" s="36" cm="1">
        <f t="array" aca="1" ref="W9" ca="1">IF(LEN($A9)&gt;1,SUMIFS(AssetMCost,AssetClass,$A9),"")</f>
        <v>107.29166666666667</v>
      </c>
      <c r="X9" s="36" cm="1">
        <f t="array" aca="1" ref="X9" ca="1">IF(LEN($A9)&gt;1,SUMIFS(AssetMRev,AssetClass,$A9),"")</f>
        <v>42.708333333333329</v>
      </c>
      <c r="Y9" s="36">
        <f t="shared" ca="1" si="7"/>
        <v>150</v>
      </c>
    </row>
    <row r="10" spans="1:25" ht="16" customHeight="1" x14ac:dyDescent="0.25">
      <c r="A10" s="3" t="str" cm="1">
        <f t="array" aca="1" ref="A10" ca="1">IF(ROW($B10)-ROW($B$5)&gt;ClassCount,"",OFFSET('Set-up'!$A$12,ROW($B10)-ROW($B$5),0,1,1))</f>
        <v>FF</v>
      </c>
      <c r="B10" s="3" t="str">
        <f t="shared" ca="1" si="0"/>
        <v>Furniture &amp; Fixtures</v>
      </c>
      <c r="C10" s="36" cm="1">
        <f t="array" aca="1" ref="C10" ca="1">IF(LEN($A10)&gt;1,SUMIFS(AssetCOB,AssetClass,$A10),"")</f>
        <v>21100</v>
      </c>
      <c r="D10" s="36" cm="1">
        <f t="array" aca="1" ref="D10" ca="1">IF(LEN($A10)&gt;1,SUMIFS(AssetCAdd,AssetClass,$A10),"")</f>
        <v>0</v>
      </c>
      <c r="E10" s="36" cm="1">
        <f t="array" aca="1" ref="E10" ca="1">IF(LEN($A10)&gt;1,SUMIFS(AssetCRev,AssetClass,$A10),"")</f>
        <v>-11650</v>
      </c>
      <c r="F10" s="36" cm="1">
        <f t="array" aca="1" ref="F10" ca="1">IF(LEN($A10)&gt;1,SUMIFS(AssetCDis,AssetClass,$A10),"")</f>
        <v>0</v>
      </c>
      <c r="G10" s="36" cm="1">
        <f t="array" aca="1" ref="G10" ca="1">IF(LEN($A10)&gt;1,SUMIFS(AssetCImp,AssetClass,$A10),"")</f>
        <v>0</v>
      </c>
      <c r="H10" s="36">
        <f t="shared" ca="1" si="1"/>
        <v>9450</v>
      </c>
      <c r="I10" s="36" cm="1">
        <f t="array" aca="1" ref="I10" ca="1">IF(LEN($A10)&gt;1,SUMIFS(AssetDOB,AssetClass,$A10),"")</f>
        <v>16411.111111111113</v>
      </c>
      <c r="J10" s="36" cm="1">
        <f t="array" aca="1" ref="J10" ca="1">IF(LEN($A10)&gt;1,SUMIFS(AssetDDepC,AssetClass,$A10),"")</f>
        <v>1575</v>
      </c>
      <c r="K10" s="36" cm="1">
        <f t="array" aca="1" ref="K10" ca="1">IF(LEN($A10)&gt;1,SUMIFS(AssetDDepR,AssetClass,$A10),"")</f>
        <v>0</v>
      </c>
      <c r="L10" s="36">
        <f t="shared" ca="1" si="2"/>
        <v>1575</v>
      </c>
      <c r="M10" s="36" cm="1">
        <f t="array" aca="1" ref="M10" ca="1">IF(LEN($A10)&gt;1,SUMIFS(AssetDRev,AssetClass,$A10),"")</f>
        <v>-16411.111111111113</v>
      </c>
      <c r="N10" s="36" cm="1">
        <f t="array" aca="1" ref="N10" ca="1">IF(LEN($A10)&gt;1,SUMIFS(AssetDDis,AssetClass,$A10),"")</f>
        <v>0</v>
      </c>
      <c r="O10" s="36">
        <f t="shared" ca="1" si="3"/>
        <v>1575</v>
      </c>
      <c r="P10" s="36">
        <f t="shared" ca="1" si="4"/>
        <v>7875</v>
      </c>
      <c r="Q10" s="36" cm="1">
        <f t="array" aca="1" ref="Q10" ca="1">IF(LEN($A10)&gt;1,SUMIFS(AssetROB,AssetClass,$A10),"")</f>
        <v>0</v>
      </c>
      <c r="R10" s="36" cm="1">
        <f t="array" aca="1" ref="R10" ca="1">IF(LEN($A10)&gt;1,SUMIFS(AssetRMove,AssetClass,$A10),"")</f>
        <v>4761.1111111111113</v>
      </c>
      <c r="S10" s="36">
        <f t="shared" ca="1" si="5"/>
        <v>0</v>
      </c>
      <c r="T10" s="36">
        <f t="shared" ca="1" si="6"/>
        <v>4761.1111111111113</v>
      </c>
      <c r="U10" s="36" cm="1">
        <f t="array" aca="1" ref="U10" ca="1">IF(LEN($A10)&gt;1,SUMIFS(AssetIWO,AssetClass,$A10),"")</f>
        <v>0</v>
      </c>
      <c r="V10" s="36" cm="1">
        <f t="array" aca="1" ref="V10" ca="1">IF(LEN($A10)&gt;1,SUMIFS(AssetPLoss,AssetClass,$A10),"")</f>
        <v>0</v>
      </c>
      <c r="W10" s="36" cm="1">
        <f t="array" aca="1" ref="W10" ca="1">IF(LEN($A10)&gt;1,SUMIFS(AssetMCost,AssetClass,$A10),"")</f>
        <v>131.25</v>
      </c>
      <c r="X10" s="36" cm="1">
        <f t="array" aca="1" ref="X10" ca="1">IF(LEN($A10)&gt;1,SUMIFS(AssetMRev,AssetClass,$A10),"")</f>
        <v>0</v>
      </c>
      <c r="Y10" s="36">
        <f t="shared" ca="1" si="7"/>
        <v>131.25</v>
      </c>
    </row>
    <row r="11" spans="1:25" ht="16" customHeight="1" x14ac:dyDescent="0.25">
      <c r="A11" s="3" t="str" cm="1">
        <f t="array" aca="1" ref="A11" ca="1">IF(ROW($B11)-ROW($B$5)&gt;ClassCount,"",OFFSET('Set-up'!$A$12,ROW($B11)-ROW($B$5),0,1,1))</f>
        <v>MV</v>
      </c>
      <c r="B11" s="3" t="str">
        <f t="shared" ca="1" si="0"/>
        <v>Motor Vehicles</v>
      </c>
      <c r="C11" s="36" cm="1">
        <f t="array" aca="1" ref="C11" ca="1">IF(LEN($A11)&gt;1,SUMIFS(AssetCOB,AssetClass,$A11),"")</f>
        <v>252200</v>
      </c>
      <c r="D11" s="36" cm="1">
        <f t="array" aca="1" ref="D11" ca="1">IF(LEN($A11)&gt;1,SUMIFS(AssetCAdd,AssetClass,$A11),"")</f>
        <v>288500</v>
      </c>
      <c r="E11" s="36" cm="1">
        <f t="array" aca="1" ref="E11" ca="1">IF(LEN($A11)&gt;1,SUMIFS(AssetCRev,AssetClass,$A11),"")</f>
        <v>-207200</v>
      </c>
      <c r="F11" s="36" cm="1">
        <f t="array" aca="1" ref="F11" ca="1">IF(LEN($A11)&gt;1,SUMIFS(AssetCDis,AssetClass,$A11),"")</f>
        <v>-45000</v>
      </c>
      <c r="G11" s="36" cm="1">
        <f t="array" aca="1" ref="G11" ca="1">IF(LEN($A11)&gt;1,SUMIFS(AssetCImp,AssetClass,$A11),"")</f>
        <v>0</v>
      </c>
      <c r="H11" s="36">
        <f t="shared" ca="1" si="1"/>
        <v>288500</v>
      </c>
      <c r="I11" s="36" cm="1">
        <f t="array" aca="1" ref="I11" ca="1">IF(LEN($A11)&gt;1,SUMIFS(AssetDOB,AssetClass,$A11),"")</f>
        <v>221386.66666666669</v>
      </c>
      <c r="J11" s="36" cm="1">
        <f t="array" aca="1" ref="J11" ca="1">IF(LEN($A11)&gt;1,SUMIFS(AssetDDepC,AssetClass,$A11),"")</f>
        <v>40975</v>
      </c>
      <c r="K11" s="36" cm="1">
        <f t="array" aca="1" ref="K11" ca="1">IF(LEN($A11)&gt;1,SUMIFS(AssetDDepR,AssetClass,$A11),"")</f>
        <v>0</v>
      </c>
      <c r="L11" s="36">
        <f t="shared" ca="1" si="2"/>
        <v>40975</v>
      </c>
      <c r="M11" s="36" cm="1">
        <f t="array" aca="1" ref="M11" ca="1">IF(LEN($A11)&gt;1,SUMIFS(AssetDRev,AssetClass,$A11),"")</f>
        <v>-221386.66666666669</v>
      </c>
      <c r="N11" s="36" cm="1">
        <f t="array" aca="1" ref="N11" ca="1">IF(LEN($A11)&gt;1,SUMIFS(AssetDDis,AssetClass,$A11),"")</f>
        <v>-1000</v>
      </c>
      <c r="O11" s="36">
        <f t="shared" ca="1" si="3"/>
        <v>39975</v>
      </c>
      <c r="P11" s="36">
        <f t="shared" ca="1" si="4"/>
        <v>248525</v>
      </c>
      <c r="Q11" s="36" cm="1">
        <f t="array" aca="1" ref="Q11" ca="1">IF(LEN($A11)&gt;1,SUMIFS(AssetROB,AssetClass,$A11),"")</f>
        <v>0</v>
      </c>
      <c r="R11" s="36" cm="1">
        <f t="array" aca="1" ref="R11" ca="1">IF(LEN($A11)&gt;1,SUMIFS(AssetRMove,AssetClass,$A11),"")</f>
        <v>0</v>
      </c>
      <c r="S11" s="36">
        <f t="shared" ca="1" si="5"/>
        <v>0</v>
      </c>
      <c r="T11" s="36">
        <f t="shared" ca="1" si="6"/>
        <v>0</v>
      </c>
      <c r="U11" s="36" cm="1">
        <f t="array" aca="1" ref="U11" ca="1">IF(LEN($A11)&gt;1,SUMIFS(AssetIWO,AssetClass,$A11),"")</f>
        <v>0</v>
      </c>
      <c r="V11" s="36" cm="1">
        <f t="array" aca="1" ref="V11" ca="1">IF(LEN($A11)&gt;1,SUMIFS(AssetPLoss,AssetClass,$A11),"")</f>
        <v>11186.666666666686</v>
      </c>
      <c r="W11" s="36" cm="1">
        <f t="array" aca="1" ref="W11" ca="1">IF(LEN($A11)&gt;1,SUMIFS(AssetMCost,AssetClass,$A11),"")</f>
        <v>4441.666666666667</v>
      </c>
      <c r="X11" s="36" cm="1">
        <f t="array" aca="1" ref="X11" ca="1">IF(LEN($A11)&gt;1,SUMIFS(AssetMRev,AssetClass,$A11),"")</f>
        <v>0</v>
      </c>
      <c r="Y11" s="36">
        <f t="shared" ca="1" si="7"/>
        <v>4441.666666666667</v>
      </c>
    </row>
    <row r="12" spans="1:25" ht="16" customHeight="1" x14ac:dyDescent="0.25">
      <c r="A12" s="3" t="str" cm="1">
        <f t="array" aca="1" ref="A12" ca="1">IF(ROW($B12)-ROW($B$5)&gt;ClassCount,"",OFFSET('Set-up'!$A$12,ROW($B12)-ROW($B$5),0,1,1))</f>
        <v/>
      </c>
      <c r="B12" s="3" t="str">
        <f t="shared" ca="1" si="0"/>
        <v/>
      </c>
      <c r="C12" s="36" t="str" cm="1">
        <f t="array" aca="1" ref="C12" ca="1">IF(LEN($A12)&gt;1,SUMIFS(AssetCOB,AssetClass,$A12),"")</f>
        <v/>
      </c>
      <c r="D12" s="36" t="str" cm="1">
        <f t="array" aca="1" ref="D12" ca="1">IF(LEN($A12)&gt;1,SUMIFS(AssetCAdd,AssetClass,$A12),"")</f>
        <v/>
      </c>
      <c r="E12" s="36" t="str" cm="1">
        <f t="array" aca="1" ref="E12" ca="1">IF(LEN($A12)&gt;1,SUMIFS(AssetCRev,AssetClass,$A12),"")</f>
        <v/>
      </c>
      <c r="F12" s="36" t="str" cm="1">
        <f t="array" aca="1" ref="F12" ca="1">IF(LEN($A12)&gt;1,SUMIFS(AssetCDis,AssetClass,$A12),"")</f>
        <v/>
      </c>
      <c r="G12" s="36" t="str" cm="1">
        <f t="array" aca="1" ref="G12" ca="1">IF(LEN($A12)&gt;1,SUMIFS(AssetCImp,AssetClass,$A12),"")</f>
        <v/>
      </c>
      <c r="H12" s="36" t="str">
        <f t="shared" ca="1" si="1"/>
        <v/>
      </c>
      <c r="I12" s="36" t="str" cm="1">
        <f t="array" aca="1" ref="I12" ca="1">IF(LEN($A12)&gt;1,SUMIFS(AssetDOB,AssetClass,$A12),"")</f>
        <v/>
      </c>
      <c r="J12" s="36" t="str" cm="1">
        <f t="array" aca="1" ref="J12" ca="1">IF(LEN($A12)&gt;1,SUMIFS(AssetDDepC,AssetClass,$A12),"")</f>
        <v/>
      </c>
      <c r="K12" s="36" t="str" cm="1">
        <f t="array" aca="1" ref="K12" ca="1">IF(LEN($A12)&gt;1,SUMIFS(AssetDDepR,AssetClass,$A12),"")</f>
        <v/>
      </c>
      <c r="L12" s="36" t="str">
        <f t="shared" ca="1" si="2"/>
        <v/>
      </c>
      <c r="M12" s="36" t="str" cm="1">
        <f t="array" aca="1" ref="M12" ca="1">IF(LEN($A12)&gt;1,SUMIFS(AssetDRev,AssetClass,$A12),"")</f>
        <v/>
      </c>
      <c r="N12" s="36" t="str" cm="1">
        <f t="array" aca="1" ref="N12" ca="1">IF(LEN($A12)&gt;1,SUMIFS(AssetDDis,AssetClass,$A12),"")</f>
        <v/>
      </c>
      <c r="O12" s="36" t="str">
        <f t="shared" ca="1" si="3"/>
        <v/>
      </c>
      <c r="P12" s="36" t="str">
        <f t="shared" ca="1" si="4"/>
        <v/>
      </c>
      <c r="Q12" s="36" t="str" cm="1">
        <f t="array" aca="1" ref="Q12" ca="1">IF(LEN($A12)&gt;1,SUMIFS(AssetROB,AssetClass,$A12),"")</f>
        <v/>
      </c>
      <c r="R12" s="36" t="str" cm="1">
        <f t="array" aca="1" ref="R12" ca="1">IF(LEN($A12)&gt;1,SUMIFS(AssetRMove,AssetClass,$A12),"")</f>
        <v/>
      </c>
      <c r="S12" s="36" t="str">
        <f t="shared" ca="1" si="5"/>
        <v/>
      </c>
      <c r="T12" s="36" t="str">
        <f t="shared" ca="1" si="6"/>
        <v/>
      </c>
      <c r="U12" s="36" t="str" cm="1">
        <f t="array" aca="1" ref="U12" ca="1">IF(LEN($A12)&gt;1,SUMIFS(AssetIWO,AssetClass,$A12),"")</f>
        <v/>
      </c>
      <c r="V12" s="36" t="str" cm="1">
        <f t="array" aca="1" ref="V12" ca="1">IF(LEN($A12)&gt;1,SUMIFS(AssetPLoss,AssetClass,$A12),"")</f>
        <v/>
      </c>
      <c r="W12" s="36" t="str" cm="1">
        <f t="array" aca="1" ref="W12" ca="1">IF(LEN($A12)&gt;1,SUMIFS(AssetMCost,AssetClass,$A12),"")</f>
        <v/>
      </c>
      <c r="X12" s="36" t="str" cm="1">
        <f t="array" aca="1" ref="X12" ca="1">IF(LEN($A12)&gt;1,SUMIFS(AssetMRev,AssetClass,$A12),"")</f>
        <v/>
      </c>
      <c r="Y12" s="36" t="str">
        <f t="shared" ca="1" si="7"/>
        <v/>
      </c>
    </row>
    <row r="13" spans="1:25" ht="16" customHeight="1" x14ac:dyDescent="0.25">
      <c r="A13" s="3" t="str" cm="1">
        <f t="array" aca="1" ref="A13" ca="1">IF(ROW($B13)-ROW($B$5)&gt;ClassCount,"",OFFSET('Set-up'!$A$12,ROW($B13)-ROW($B$5),0,1,1))</f>
        <v/>
      </c>
      <c r="B13" s="3" t="str">
        <f t="shared" ca="1" si="0"/>
        <v/>
      </c>
      <c r="C13" s="36" t="str" cm="1">
        <f t="array" aca="1" ref="C13" ca="1">IF(LEN($A13)&gt;1,SUMIFS(AssetCOB,AssetClass,$A13),"")</f>
        <v/>
      </c>
      <c r="D13" s="36" t="str" cm="1">
        <f t="array" aca="1" ref="D13" ca="1">IF(LEN($A13)&gt;1,SUMIFS(AssetCAdd,AssetClass,$A13),"")</f>
        <v/>
      </c>
      <c r="E13" s="36" t="str" cm="1">
        <f t="array" aca="1" ref="E13" ca="1">IF(LEN($A13)&gt;1,SUMIFS(AssetCRev,AssetClass,$A13),"")</f>
        <v/>
      </c>
      <c r="F13" s="36" t="str" cm="1">
        <f t="array" aca="1" ref="F13" ca="1">IF(LEN($A13)&gt;1,SUMIFS(AssetCDis,AssetClass,$A13),"")</f>
        <v/>
      </c>
      <c r="G13" s="36" t="str" cm="1">
        <f t="array" aca="1" ref="G13" ca="1">IF(LEN($A13)&gt;1,SUMIFS(AssetCImp,AssetClass,$A13),"")</f>
        <v/>
      </c>
      <c r="H13" s="36" t="str">
        <f t="shared" ca="1" si="1"/>
        <v/>
      </c>
      <c r="I13" s="36" t="str" cm="1">
        <f t="array" aca="1" ref="I13" ca="1">IF(LEN($A13)&gt;1,SUMIFS(AssetDOB,AssetClass,$A13),"")</f>
        <v/>
      </c>
      <c r="J13" s="36" t="str" cm="1">
        <f t="array" aca="1" ref="J13" ca="1">IF(LEN($A13)&gt;1,SUMIFS(AssetDDepC,AssetClass,$A13),"")</f>
        <v/>
      </c>
      <c r="K13" s="36" t="str" cm="1">
        <f t="array" aca="1" ref="K13" ca="1">IF(LEN($A13)&gt;1,SUMIFS(AssetDDepR,AssetClass,$A13),"")</f>
        <v/>
      </c>
      <c r="L13" s="36" t="str">
        <f t="shared" ca="1" si="2"/>
        <v/>
      </c>
      <c r="M13" s="36" t="str" cm="1">
        <f t="array" aca="1" ref="M13" ca="1">IF(LEN($A13)&gt;1,SUMIFS(AssetDRev,AssetClass,$A13),"")</f>
        <v/>
      </c>
      <c r="N13" s="36" t="str" cm="1">
        <f t="array" aca="1" ref="N13" ca="1">IF(LEN($A13)&gt;1,SUMIFS(AssetDDis,AssetClass,$A13),"")</f>
        <v/>
      </c>
      <c r="O13" s="36" t="str">
        <f t="shared" ca="1" si="3"/>
        <v/>
      </c>
      <c r="P13" s="36" t="str">
        <f t="shared" ca="1" si="4"/>
        <v/>
      </c>
      <c r="Q13" s="36" t="str" cm="1">
        <f t="array" aca="1" ref="Q13" ca="1">IF(LEN($A13)&gt;1,SUMIFS(AssetROB,AssetClass,$A13),"")</f>
        <v/>
      </c>
      <c r="R13" s="36" t="str" cm="1">
        <f t="array" aca="1" ref="R13" ca="1">IF(LEN($A13)&gt;1,SUMIFS(AssetRMove,AssetClass,$A13),"")</f>
        <v/>
      </c>
      <c r="S13" s="36" t="str">
        <f t="shared" ca="1" si="5"/>
        <v/>
      </c>
      <c r="T13" s="36" t="str">
        <f t="shared" ca="1" si="6"/>
        <v/>
      </c>
      <c r="U13" s="36" t="str" cm="1">
        <f t="array" aca="1" ref="U13" ca="1">IF(LEN($A13)&gt;1,SUMIFS(AssetIWO,AssetClass,$A13),"")</f>
        <v/>
      </c>
      <c r="V13" s="36" t="str" cm="1">
        <f t="array" aca="1" ref="V13" ca="1">IF(LEN($A13)&gt;1,SUMIFS(AssetPLoss,AssetClass,$A13),"")</f>
        <v/>
      </c>
      <c r="W13" s="36" t="str" cm="1">
        <f t="array" aca="1" ref="W13" ca="1">IF(LEN($A13)&gt;1,SUMIFS(AssetMCost,AssetClass,$A13),"")</f>
        <v/>
      </c>
      <c r="X13" s="36" t="str" cm="1">
        <f t="array" aca="1" ref="X13" ca="1">IF(LEN($A13)&gt;1,SUMIFS(AssetMRev,AssetClass,$A13),"")</f>
        <v/>
      </c>
      <c r="Y13" s="36" t="str">
        <f t="shared" ca="1" si="7"/>
        <v/>
      </c>
    </row>
    <row r="14" spans="1:25" ht="16" customHeight="1" x14ac:dyDescent="0.25">
      <c r="A14" s="3" t="str" cm="1">
        <f t="array" aca="1" ref="A14" ca="1">IF(ROW($B14)-ROW($B$5)&gt;ClassCount,"",OFFSET('Set-up'!$A$12,ROW($B14)-ROW($B$5),0,1,1))</f>
        <v/>
      </c>
      <c r="B14" s="3" t="str">
        <f t="shared" ca="1" si="0"/>
        <v/>
      </c>
      <c r="C14" s="36" t="str" cm="1">
        <f t="array" aca="1" ref="C14" ca="1">IF(LEN($A14)&gt;1,SUMIFS(AssetCOB,AssetClass,$A14),"")</f>
        <v/>
      </c>
      <c r="D14" s="36" t="str" cm="1">
        <f t="array" aca="1" ref="D14" ca="1">IF(LEN($A14)&gt;1,SUMIFS(AssetCAdd,AssetClass,$A14),"")</f>
        <v/>
      </c>
      <c r="E14" s="36" t="str" cm="1">
        <f t="array" aca="1" ref="E14" ca="1">IF(LEN($A14)&gt;1,SUMIFS(AssetCRev,AssetClass,$A14),"")</f>
        <v/>
      </c>
      <c r="F14" s="36" t="str" cm="1">
        <f t="array" aca="1" ref="F14" ca="1">IF(LEN($A14)&gt;1,SUMIFS(AssetCDis,AssetClass,$A14),"")</f>
        <v/>
      </c>
      <c r="G14" s="36" t="str" cm="1">
        <f t="array" aca="1" ref="G14" ca="1">IF(LEN($A14)&gt;1,SUMIFS(AssetCImp,AssetClass,$A14),"")</f>
        <v/>
      </c>
      <c r="H14" s="36" t="str">
        <f t="shared" ca="1" si="1"/>
        <v/>
      </c>
      <c r="I14" s="36" t="str" cm="1">
        <f t="array" aca="1" ref="I14" ca="1">IF(LEN($A14)&gt;1,SUMIFS(AssetDOB,AssetClass,$A14),"")</f>
        <v/>
      </c>
      <c r="J14" s="36" t="str" cm="1">
        <f t="array" aca="1" ref="J14" ca="1">IF(LEN($A14)&gt;1,SUMIFS(AssetDDepC,AssetClass,$A14),"")</f>
        <v/>
      </c>
      <c r="K14" s="36" t="str" cm="1">
        <f t="array" aca="1" ref="K14" ca="1">IF(LEN($A14)&gt;1,SUMIFS(AssetDDepR,AssetClass,$A14),"")</f>
        <v/>
      </c>
      <c r="L14" s="36" t="str">
        <f t="shared" ca="1" si="2"/>
        <v/>
      </c>
      <c r="M14" s="36" t="str" cm="1">
        <f t="array" aca="1" ref="M14" ca="1">IF(LEN($A14)&gt;1,SUMIFS(AssetDRev,AssetClass,$A14),"")</f>
        <v/>
      </c>
      <c r="N14" s="36" t="str" cm="1">
        <f t="array" aca="1" ref="N14" ca="1">IF(LEN($A14)&gt;1,SUMIFS(AssetDDis,AssetClass,$A14),"")</f>
        <v/>
      </c>
      <c r="O14" s="36" t="str">
        <f t="shared" ca="1" si="3"/>
        <v/>
      </c>
      <c r="P14" s="36" t="str">
        <f t="shared" ca="1" si="4"/>
        <v/>
      </c>
      <c r="Q14" s="36" t="str" cm="1">
        <f t="array" aca="1" ref="Q14" ca="1">IF(LEN($A14)&gt;1,SUMIFS(AssetROB,AssetClass,$A14),"")</f>
        <v/>
      </c>
      <c r="R14" s="36" t="str" cm="1">
        <f t="array" aca="1" ref="R14" ca="1">IF(LEN($A14)&gt;1,SUMIFS(AssetRMove,AssetClass,$A14),"")</f>
        <v/>
      </c>
      <c r="S14" s="36" t="str">
        <f t="shared" ca="1" si="5"/>
        <v/>
      </c>
      <c r="T14" s="36" t="str">
        <f t="shared" ca="1" si="6"/>
        <v/>
      </c>
      <c r="U14" s="36" t="str" cm="1">
        <f t="array" aca="1" ref="U14" ca="1">IF(LEN($A14)&gt;1,SUMIFS(AssetIWO,AssetClass,$A14),"")</f>
        <v/>
      </c>
      <c r="V14" s="36" t="str" cm="1">
        <f t="array" aca="1" ref="V14" ca="1">IF(LEN($A14)&gt;1,SUMIFS(AssetPLoss,AssetClass,$A14),"")</f>
        <v/>
      </c>
      <c r="W14" s="36" t="str" cm="1">
        <f t="array" aca="1" ref="W14" ca="1">IF(LEN($A14)&gt;1,SUMIFS(AssetMCost,AssetClass,$A14),"")</f>
        <v/>
      </c>
      <c r="X14" s="36" t="str" cm="1">
        <f t="array" aca="1" ref="X14" ca="1">IF(LEN($A14)&gt;1,SUMIFS(AssetMRev,AssetClass,$A14),"")</f>
        <v/>
      </c>
      <c r="Y14" s="36" t="str">
        <f t="shared" ca="1" si="7"/>
        <v/>
      </c>
    </row>
    <row r="15" spans="1:25" ht="16" customHeight="1" x14ac:dyDescent="0.25">
      <c r="A15" s="3" t="str" cm="1">
        <f t="array" aca="1" ref="A15" ca="1">IF(ROW($B15)-ROW($B$5)&gt;ClassCount,"",OFFSET('Set-up'!$A$12,ROW($B15)-ROW($B$5),0,1,1))</f>
        <v/>
      </c>
      <c r="B15" s="3" t="str">
        <f t="shared" ca="1" si="0"/>
        <v/>
      </c>
      <c r="C15" s="36" t="str" cm="1">
        <f t="array" aca="1" ref="C15" ca="1">IF(LEN($A15)&gt;1,SUMIFS(AssetCOB,AssetClass,$A15),"")</f>
        <v/>
      </c>
      <c r="D15" s="36" t="str" cm="1">
        <f t="array" aca="1" ref="D15" ca="1">IF(LEN($A15)&gt;1,SUMIFS(AssetCAdd,AssetClass,$A15),"")</f>
        <v/>
      </c>
      <c r="E15" s="36" t="str" cm="1">
        <f t="array" aca="1" ref="E15" ca="1">IF(LEN($A15)&gt;1,SUMIFS(AssetCRev,AssetClass,$A15),"")</f>
        <v/>
      </c>
      <c r="F15" s="36" t="str" cm="1">
        <f t="array" aca="1" ref="F15" ca="1">IF(LEN($A15)&gt;1,SUMIFS(AssetCDis,AssetClass,$A15),"")</f>
        <v/>
      </c>
      <c r="G15" s="36" t="str" cm="1">
        <f t="array" aca="1" ref="G15" ca="1">IF(LEN($A15)&gt;1,SUMIFS(AssetCImp,AssetClass,$A15),"")</f>
        <v/>
      </c>
      <c r="H15" s="36" t="str">
        <f t="shared" ca="1" si="1"/>
        <v/>
      </c>
      <c r="I15" s="36" t="str" cm="1">
        <f t="array" aca="1" ref="I15" ca="1">IF(LEN($A15)&gt;1,SUMIFS(AssetDOB,AssetClass,$A15),"")</f>
        <v/>
      </c>
      <c r="J15" s="36" t="str" cm="1">
        <f t="array" aca="1" ref="J15" ca="1">IF(LEN($A15)&gt;1,SUMIFS(AssetDDepC,AssetClass,$A15),"")</f>
        <v/>
      </c>
      <c r="K15" s="36" t="str" cm="1">
        <f t="array" aca="1" ref="K15" ca="1">IF(LEN($A15)&gt;1,SUMIFS(AssetDDepR,AssetClass,$A15),"")</f>
        <v/>
      </c>
      <c r="L15" s="36" t="str">
        <f t="shared" ca="1" si="2"/>
        <v/>
      </c>
      <c r="M15" s="36" t="str" cm="1">
        <f t="array" aca="1" ref="M15" ca="1">IF(LEN($A15)&gt;1,SUMIFS(AssetDRev,AssetClass,$A15),"")</f>
        <v/>
      </c>
      <c r="N15" s="36" t="str" cm="1">
        <f t="array" aca="1" ref="N15" ca="1">IF(LEN($A15)&gt;1,SUMIFS(AssetDDis,AssetClass,$A15),"")</f>
        <v/>
      </c>
      <c r="O15" s="36" t="str">
        <f t="shared" ca="1" si="3"/>
        <v/>
      </c>
      <c r="P15" s="36" t="str">
        <f t="shared" ca="1" si="4"/>
        <v/>
      </c>
      <c r="Q15" s="36" t="str" cm="1">
        <f t="array" aca="1" ref="Q15" ca="1">IF(LEN($A15)&gt;1,SUMIFS(AssetROB,AssetClass,$A15),"")</f>
        <v/>
      </c>
      <c r="R15" s="36" t="str" cm="1">
        <f t="array" aca="1" ref="R15" ca="1">IF(LEN($A15)&gt;1,SUMIFS(AssetRMove,AssetClass,$A15),"")</f>
        <v/>
      </c>
      <c r="S15" s="36" t="str">
        <f t="shared" ca="1" si="5"/>
        <v/>
      </c>
      <c r="T15" s="36" t="str">
        <f t="shared" ca="1" si="6"/>
        <v/>
      </c>
      <c r="U15" s="36" t="str" cm="1">
        <f t="array" aca="1" ref="U15" ca="1">IF(LEN($A15)&gt;1,SUMIFS(AssetIWO,AssetClass,$A15),"")</f>
        <v/>
      </c>
      <c r="V15" s="36" t="str" cm="1">
        <f t="array" aca="1" ref="V15" ca="1">IF(LEN($A15)&gt;1,SUMIFS(AssetPLoss,AssetClass,$A15),"")</f>
        <v/>
      </c>
      <c r="W15" s="36" t="str" cm="1">
        <f t="array" aca="1" ref="W15" ca="1">IF(LEN($A15)&gt;1,SUMIFS(AssetMCost,AssetClass,$A15),"")</f>
        <v/>
      </c>
      <c r="X15" s="36" t="str" cm="1">
        <f t="array" aca="1" ref="X15" ca="1">IF(LEN($A15)&gt;1,SUMIFS(AssetMRev,AssetClass,$A15),"")</f>
        <v/>
      </c>
      <c r="Y15" s="36" t="str">
        <f t="shared" ca="1" si="7"/>
        <v/>
      </c>
    </row>
    <row r="16" spans="1:25" ht="16" customHeight="1" x14ac:dyDescent="0.25">
      <c r="A16" s="3" t="str" cm="1">
        <f t="array" aca="1" ref="A16" ca="1">IF(ROW($B16)-ROW($B$5)&gt;ClassCount,"",OFFSET('Set-up'!$A$12,ROW($B16)-ROW($B$5),0,1,1))</f>
        <v/>
      </c>
      <c r="B16" s="3" t="str">
        <f t="shared" ca="1" si="0"/>
        <v/>
      </c>
      <c r="C16" s="36" t="str" cm="1">
        <f t="array" aca="1" ref="C16" ca="1">IF(LEN($A16)&gt;1,SUMIFS(AssetCOB,AssetClass,$A16),"")</f>
        <v/>
      </c>
      <c r="D16" s="36" t="str" cm="1">
        <f t="array" aca="1" ref="D16" ca="1">IF(LEN($A16)&gt;1,SUMIFS(AssetCAdd,AssetClass,$A16),"")</f>
        <v/>
      </c>
      <c r="E16" s="36" t="str" cm="1">
        <f t="array" aca="1" ref="E16" ca="1">IF(LEN($A16)&gt;1,SUMIFS(AssetCRev,AssetClass,$A16),"")</f>
        <v/>
      </c>
      <c r="F16" s="36" t="str" cm="1">
        <f t="array" aca="1" ref="F16" ca="1">IF(LEN($A16)&gt;1,SUMIFS(AssetCDis,AssetClass,$A16),"")</f>
        <v/>
      </c>
      <c r="G16" s="36" t="str" cm="1">
        <f t="array" aca="1" ref="G16" ca="1">IF(LEN($A16)&gt;1,SUMIFS(AssetCImp,AssetClass,$A16),"")</f>
        <v/>
      </c>
      <c r="H16" s="36" t="str">
        <f t="shared" ca="1" si="1"/>
        <v/>
      </c>
      <c r="I16" s="36" t="str" cm="1">
        <f t="array" aca="1" ref="I16" ca="1">IF(LEN($A16)&gt;1,SUMIFS(AssetDOB,AssetClass,$A16),"")</f>
        <v/>
      </c>
      <c r="J16" s="36" t="str" cm="1">
        <f t="array" aca="1" ref="J16" ca="1">IF(LEN($A16)&gt;1,SUMIFS(AssetDDepC,AssetClass,$A16),"")</f>
        <v/>
      </c>
      <c r="K16" s="36" t="str" cm="1">
        <f t="array" aca="1" ref="K16" ca="1">IF(LEN($A16)&gt;1,SUMIFS(AssetDDepR,AssetClass,$A16),"")</f>
        <v/>
      </c>
      <c r="L16" s="36" t="str">
        <f t="shared" ca="1" si="2"/>
        <v/>
      </c>
      <c r="M16" s="36" t="str" cm="1">
        <f t="array" aca="1" ref="M16" ca="1">IF(LEN($A16)&gt;1,SUMIFS(AssetDRev,AssetClass,$A16),"")</f>
        <v/>
      </c>
      <c r="N16" s="36" t="str" cm="1">
        <f t="array" aca="1" ref="N16" ca="1">IF(LEN($A16)&gt;1,SUMIFS(AssetDDis,AssetClass,$A16),"")</f>
        <v/>
      </c>
      <c r="O16" s="36" t="str">
        <f t="shared" ca="1" si="3"/>
        <v/>
      </c>
      <c r="P16" s="36" t="str">
        <f t="shared" ca="1" si="4"/>
        <v/>
      </c>
      <c r="Q16" s="36" t="str" cm="1">
        <f t="array" aca="1" ref="Q16" ca="1">IF(LEN($A16)&gt;1,SUMIFS(AssetROB,AssetClass,$A16),"")</f>
        <v/>
      </c>
      <c r="R16" s="36" t="str" cm="1">
        <f t="array" aca="1" ref="R16" ca="1">IF(LEN($A16)&gt;1,SUMIFS(AssetRMove,AssetClass,$A16),"")</f>
        <v/>
      </c>
      <c r="S16" s="36" t="str">
        <f t="shared" ca="1" si="5"/>
        <v/>
      </c>
      <c r="T16" s="36" t="str">
        <f t="shared" ca="1" si="6"/>
        <v/>
      </c>
      <c r="U16" s="36" t="str" cm="1">
        <f t="array" aca="1" ref="U16" ca="1">IF(LEN($A16)&gt;1,SUMIFS(AssetIWO,AssetClass,$A16),"")</f>
        <v/>
      </c>
      <c r="V16" s="36" t="str" cm="1">
        <f t="array" aca="1" ref="V16" ca="1">IF(LEN($A16)&gt;1,SUMIFS(AssetPLoss,AssetClass,$A16),"")</f>
        <v/>
      </c>
      <c r="W16" s="36" t="str" cm="1">
        <f t="array" aca="1" ref="W16" ca="1">IF(LEN($A16)&gt;1,SUMIFS(AssetMCost,AssetClass,$A16),"")</f>
        <v/>
      </c>
      <c r="X16" s="36" t="str" cm="1">
        <f t="array" aca="1" ref="X16" ca="1">IF(LEN($A16)&gt;1,SUMIFS(AssetMRev,AssetClass,$A16),"")</f>
        <v/>
      </c>
      <c r="Y16" s="36" t="str">
        <f t="shared" ca="1" si="7"/>
        <v/>
      </c>
    </row>
    <row r="17" spans="1:25" ht="16" customHeight="1" x14ac:dyDescent="0.25">
      <c r="A17" s="3" t="str" cm="1">
        <f t="array" aca="1" ref="A17" ca="1">IF(ROW($B17)-ROW($B$5)&gt;ClassCount,"",OFFSET('Set-up'!$A$12,ROW($B17)-ROW($B$5),0,1,1))</f>
        <v/>
      </c>
      <c r="B17" s="3" t="str">
        <f t="shared" ca="1" si="0"/>
        <v/>
      </c>
      <c r="C17" s="36" t="str" cm="1">
        <f t="array" aca="1" ref="C17" ca="1">IF(LEN($A17)&gt;1,SUMIFS(AssetCOB,AssetClass,$A17),"")</f>
        <v/>
      </c>
      <c r="D17" s="36" t="str" cm="1">
        <f t="array" aca="1" ref="D17" ca="1">IF(LEN($A17)&gt;1,SUMIFS(AssetCAdd,AssetClass,$A17),"")</f>
        <v/>
      </c>
      <c r="E17" s="36" t="str" cm="1">
        <f t="array" aca="1" ref="E17" ca="1">IF(LEN($A17)&gt;1,SUMIFS(AssetCRev,AssetClass,$A17),"")</f>
        <v/>
      </c>
      <c r="F17" s="36" t="str" cm="1">
        <f t="array" aca="1" ref="F17" ca="1">IF(LEN($A17)&gt;1,SUMIFS(AssetCDis,AssetClass,$A17),"")</f>
        <v/>
      </c>
      <c r="G17" s="36" t="str" cm="1">
        <f t="array" aca="1" ref="G17" ca="1">IF(LEN($A17)&gt;1,SUMIFS(AssetCImp,AssetClass,$A17),"")</f>
        <v/>
      </c>
      <c r="H17" s="36" t="str">
        <f t="shared" ca="1" si="1"/>
        <v/>
      </c>
      <c r="I17" s="36" t="str" cm="1">
        <f t="array" aca="1" ref="I17" ca="1">IF(LEN($A17)&gt;1,SUMIFS(AssetDOB,AssetClass,$A17),"")</f>
        <v/>
      </c>
      <c r="J17" s="36" t="str" cm="1">
        <f t="array" aca="1" ref="J17" ca="1">IF(LEN($A17)&gt;1,SUMIFS(AssetDDepC,AssetClass,$A17),"")</f>
        <v/>
      </c>
      <c r="K17" s="36" t="str" cm="1">
        <f t="array" aca="1" ref="K17" ca="1">IF(LEN($A17)&gt;1,SUMIFS(AssetDDepR,AssetClass,$A17),"")</f>
        <v/>
      </c>
      <c r="L17" s="36" t="str">
        <f t="shared" ca="1" si="2"/>
        <v/>
      </c>
      <c r="M17" s="36" t="str" cm="1">
        <f t="array" aca="1" ref="M17" ca="1">IF(LEN($A17)&gt;1,SUMIFS(AssetDRev,AssetClass,$A17),"")</f>
        <v/>
      </c>
      <c r="N17" s="36" t="str" cm="1">
        <f t="array" aca="1" ref="N17" ca="1">IF(LEN($A17)&gt;1,SUMIFS(AssetDDis,AssetClass,$A17),"")</f>
        <v/>
      </c>
      <c r="O17" s="36" t="str">
        <f t="shared" ca="1" si="3"/>
        <v/>
      </c>
      <c r="P17" s="36" t="str">
        <f t="shared" ca="1" si="4"/>
        <v/>
      </c>
      <c r="Q17" s="36" t="str" cm="1">
        <f t="array" aca="1" ref="Q17" ca="1">IF(LEN($A17)&gt;1,SUMIFS(AssetROB,AssetClass,$A17),"")</f>
        <v/>
      </c>
      <c r="R17" s="36" t="str" cm="1">
        <f t="array" aca="1" ref="R17" ca="1">IF(LEN($A17)&gt;1,SUMIFS(AssetRMove,AssetClass,$A17),"")</f>
        <v/>
      </c>
      <c r="S17" s="36" t="str">
        <f t="shared" ca="1" si="5"/>
        <v/>
      </c>
      <c r="T17" s="36" t="str">
        <f t="shared" ca="1" si="6"/>
        <v/>
      </c>
      <c r="U17" s="36" t="str" cm="1">
        <f t="array" aca="1" ref="U17" ca="1">IF(LEN($A17)&gt;1,SUMIFS(AssetIWO,AssetClass,$A17),"")</f>
        <v/>
      </c>
      <c r="V17" s="36" t="str" cm="1">
        <f t="array" aca="1" ref="V17" ca="1">IF(LEN($A17)&gt;1,SUMIFS(AssetPLoss,AssetClass,$A17),"")</f>
        <v/>
      </c>
      <c r="W17" s="36" t="str" cm="1">
        <f t="array" aca="1" ref="W17" ca="1">IF(LEN($A17)&gt;1,SUMIFS(AssetMCost,AssetClass,$A17),"")</f>
        <v/>
      </c>
      <c r="X17" s="36" t="str" cm="1">
        <f t="array" aca="1" ref="X17" ca="1">IF(LEN($A17)&gt;1,SUMIFS(AssetMRev,AssetClass,$A17),"")</f>
        <v/>
      </c>
      <c r="Y17" s="36" t="str">
        <f t="shared" ca="1" si="7"/>
        <v/>
      </c>
    </row>
    <row r="18" spans="1:25" ht="16" customHeight="1" x14ac:dyDescent="0.25">
      <c r="A18" s="3" t="str" cm="1">
        <f t="array" aca="1" ref="A18" ca="1">IF(ROW($B18)-ROW($B$5)&gt;ClassCount,"",OFFSET('Set-up'!$A$12,ROW($B18)-ROW($B$5),0,1,1))</f>
        <v/>
      </c>
      <c r="B18" s="3" t="str">
        <f t="shared" ca="1" si="0"/>
        <v/>
      </c>
      <c r="C18" s="36" t="str" cm="1">
        <f t="array" aca="1" ref="C18" ca="1">IF(LEN($A18)&gt;1,SUMIFS(AssetCOB,AssetClass,$A18),"")</f>
        <v/>
      </c>
      <c r="D18" s="36" t="str" cm="1">
        <f t="array" aca="1" ref="D18" ca="1">IF(LEN($A18)&gt;1,SUMIFS(AssetCAdd,AssetClass,$A18),"")</f>
        <v/>
      </c>
      <c r="E18" s="36" t="str" cm="1">
        <f t="array" aca="1" ref="E18" ca="1">IF(LEN($A18)&gt;1,SUMIFS(AssetCRev,AssetClass,$A18),"")</f>
        <v/>
      </c>
      <c r="F18" s="36" t="str" cm="1">
        <f t="array" aca="1" ref="F18" ca="1">IF(LEN($A18)&gt;1,SUMIFS(AssetCDis,AssetClass,$A18),"")</f>
        <v/>
      </c>
      <c r="G18" s="36" t="str" cm="1">
        <f t="array" aca="1" ref="G18" ca="1">IF(LEN($A18)&gt;1,SUMIFS(AssetCImp,AssetClass,$A18),"")</f>
        <v/>
      </c>
      <c r="H18" s="36" t="str">
        <f t="shared" ca="1" si="1"/>
        <v/>
      </c>
      <c r="I18" s="36" t="str" cm="1">
        <f t="array" aca="1" ref="I18" ca="1">IF(LEN($A18)&gt;1,SUMIFS(AssetDOB,AssetClass,$A18),"")</f>
        <v/>
      </c>
      <c r="J18" s="36" t="str" cm="1">
        <f t="array" aca="1" ref="J18" ca="1">IF(LEN($A18)&gt;1,SUMIFS(AssetDDepC,AssetClass,$A18),"")</f>
        <v/>
      </c>
      <c r="K18" s="36" t="str" cm="1">
        <f t="array" aca="1" ref="K18" ca="1">IF(LEN($A18)&gt;1,SUMIFS(AssetDDepR,AssetClass,$A18),"")</f>
        <v/>
      </c>
      <c r="L18" s="36" t="str">
        <f t="shared" ca="1" si="2"/>
        <v/>
      </c>
      <c r="M18" s="36" t="str" cm="1">
        <f t="array" aca="1" ref="M18" ca="1">IF(LEN($A18)&gt;1,SUMIFS(AssetDRev,AssetClass,$A18),"")</f>
        <v/>
      </c>
      <c r="N18" s="36" t="str" cm="1">
        <f t="array" aca="1" ref="N18" ca="1">IF(LEN($A18)&gt;1,SUMIFS(AssetDDis,AssetClass,$A18),"")</f>
        <v/>
      </c>
      <c r="O18" s="36" t="str">
        <f t="shared" ca="1" si="3"/>
        <v/>
      </c>
      <c r="P18" s="36" t="str">
        <f t="shared" ca="1" si="4"/>
        <v/>
      </c>
      <c r="Q18" s="36" t="str" cm="1">
        <f t="array" aca="1" ref="Q18" ca="1">IF(LEN($A18)&gt;1,SUMIFS(AssetROB,AssetClass,$A18),"")</f>
        <v/>
      </c>
      <c r="R18" s="36" t="str" cm="1">
        <f t="array" aca="1" ref="R18" ca="1">IF(LEN($A18)&gt;1,SUMIFS(AssetRMove,AssetClass,$A18),"")</f>
        <v/>
      </c>
      <c r="S18" s="36" t="str">
        <f t="shared" ca="1" si="5"/>
        <v/>
      </c>
      <c r="T18" s="36" t="str">
        <f t="shared" ca="1" si="6"/>
        <v/>
      </c>
      <c r="U18" s="36" t="str" cm="1">
        <f t="array" aca="1" ref="U18" ca="1">IF(LEN($A18)&gt;1,SUMIFS(AssetIWO,AssetClass,$A18),"")</f>
        <v/>
      </c>
      <c r="V18" s="36" t="str" cm="1">
        <f t="array" aca="1" ref="V18" ca="1">IF(LEN($A18)&gt;1,SUMIFS(AssetPLoss,AssetClass,$A18),"")</f>
        <v/>
      </c>
      <c r="W18" s="36" t="str" cm="1">
        <f t="array" aca="1" ref="W18" ca="1">IF(LEN($A18)&gt;1,SUMIFS(AssetMCost,AssetClass,$A18),"")</f>
        <v/>
      </c>
      <c r="X18" s="36" t="str" cm="1">
        <f t="array" aca="1" ref="X18" ca="1">IF(LEN($A18)&gt;1,SUMIFS(AssetMRev,AssetClass,$A18),"")</f>
        <v/>
      </c>
      <c r="Y18" s="36" t="str">
        <f t="shared" ca="1" si="7"/>
        <v/>
      </c>
    </row>
    <row r="19" spans="1:25" ht="16" customHeight="1" x14ac:dyDescent="0.25">
      <c r="A19" s="3" t="str" cm="1">
        <f t="array" aca="1" ref="A19" ca="1">IF(ROW($B19)-ROW($B$5)&gt;ClassCount,"",OFFSET('Set-up'!$A$12,ROW($B19)-ROW($B$5),0,1,1))</f>
        <v/>
      </c>
      <c r="B19" s="3" t="str">
        <f t="shared" ca="1" si="0"/>
        <v/>
      </c>
      <c r="C19" s="36" t="str" cm="1">
        <f t="array" aca="1" ref="C19" ca="1">IF(LEN($A19)&gt;1,SUMIFS(AssetCOB,AssetClass,$A19),"")</f>
        <v/>
      </c>
      <c r="D19" s="36" t="str" cm="1">
        <f t="array" aca="1" ref="D19" ca="1">IF(LEN($A19)&gt;1,SUMIFS(AssetCAdd,AssetClass,$A19),"")</f>
        <v/>
      </c>
      <c r="E19" s="36" t="str" cm="1">
        <f t="array" aca="1" ref="E19" ca="1">IF(LEN($A19)&gt;1,SUMIFS(AssetCRev,AssetClass,$A19),"")</f>
        <v/>
      </c>
      <c r="F19" s="36" t="str" cm="1">
        <f t="array" aca="1" ref="F19" ca="1">IF(LEN($A19)&gt;1,SUMIFS(AssetCDis,AssetClass,$A19),"")</f>
        <v/>
      </c>
      <c r="G19" s="36" t="str" cm="1">
        <f t="array" aca="1" ref="G19" ca="1">IF(LEN($A19)&gt;1,SUMIFS(AssetCImp,AssetClass,$A19),"")</f>
        <v/>
      </c>
      <c r="H19" s="36" t="str">
        <f t="shared" ca="1" si="1"/>
        <v/>
      </c>
      <c r="I19" s="36" t="str" cm="1">
        <f t="array" aca="1" ref="I19" ca="1">IF(LEN($A19)&gt;1,SUMIFS(AssetDOB,AssetClass,$A19),"")</f>
        <v/>
      </c>
      <c r="J19" s="36" t="str" cm="1">
        <f t="array" aca="1" ref="J19" ca="1">IF(LEN($A19)&gt;1,SUMIFS(AssetDDepC,AssetClass,$A19),"")</f>
        <v/>
      </c>
      <c r="K19" s="36" t="str" cm="1">
        <f t="array" aca="1" ref="K19" ca="1">IF(LEN($A19)&gt;1,SUMIFS(AssetDDepR,AssetClass,$A19),"")</f>
        <v/>
      </c>
      <c r="L19" s="36" t="str">
        <f t="shared" ca="1" si="2"/>
        <v/>
      </c>
      <c r="M19" s="36" t="str" cm="1">
        <f t="array" aca="1" ref="M19" ca="1">IF(LEN($A19)&gt;1,SUMIFS(AssetDRev,AssetClass,$A19),"")</f>
        <v/>
      </c>
      <c r="N19" s="36" t="str" cm="1">
        <f t="array" aca="1" ref="N19" ca="1">IF(LEN($A19)&gt;1,SUMIFS(AssetDDis,AssetClass,$A19),"")</f>
        <v/>
      </c>
      <c r="O19" s="36" t="str">
        <f t="shared" ca="1" si="3"/>
        <v/>
      </c>
      <c r="P19" s="36" t="str">
        <f t="shared" ca="1" si="4"/>
        <v/>
      </c>
      <c r="Q19" s="36" t="str" cm="1">
        <f t="array" aca="1" ref="Q19" ca="1">IF(LEN($A19)&gt;1,SUMIFS(AssetROB,AssetClass,$A19),"")</f>
        <v/>
      </c>
      <c r="R19" s="36" t="str" cm="1">
        <f t="array" aca="1" ref="R19" ca="1">IF(LEN($A19)&gt;1,SUMIFS(AssetRMove,AssetClass,$A19),"")</f>
        <v/>
      </c>
      <c r="S19" s="36" t="str">
        <f t="shared" ca="1" si="5"/>
        <v/>
      </c>
      <c r="T19" s="36" t="str">
        <f t="shared" ca="1" si="6"/>
        <v/>
      </c>
      <c r="U19" s="36" t="str" cm="1">
        <f t="array" aca="1" ref="U19" ca="1">IF(LEN($A19)&gt;1,SUMIFS(AssetIWO,AssetClass,$A19),"")</f>
        <v/>
      </c>
      <c r="V19" s="36" t="str" cm="1">
        <f t="array" aca="1" ref="V19" ca="1">IF(LEN($A19)&gt;1,SUMIFS(AssetPLoss,AssetClass,$A19),"")</f>
        <v/>
      </c>
      <c r="W19" s="36" t="str" cm="1">
        <f t="array" aca="1" ref="W19" ca="1">IF(LEN($A19)&gt;1,SUMIFS(AssetMCost,AssetClass,$A19),"")</f>
        <v/>
      </c>
      <c r="X19" s="36" t="str" cm="1">
        <f t="array" aca="1" ref="X19" ca="1">IF(LEN($A19)&gt;1,SUMIFS(AssetMRev,AssetClass,$A19),"")</f>
        <v/>
      </c>
      <c r="Y19" s="36" t="str">
        <f t="shared" ca="1" si="7"/>
        <v/>
      </c>
    </row>
    <row r="20" spans="1:25" ht="16" customHeight="1" x14ac:dyDescent="0.25">
      <c r="A20" s="3" t="str" cm="1">
        <f t="array" aca="1" ref="A20" ca="1">IF(ROW($B20)-ROW($B$5)&gt;ClassCount,"",OFFSET('Set-up'!$A$12,ROW($B20)-ROW($B$5),0,1,1))</f>
        <v/>
      </c>
      <c r="B20" s="3" t="str">
        <f t="shared" ca="1" si="0"/>
        <v/>
      </c>
      <c r="C20" s="36" t="str" cm="1">
        <f t="array" aca="1" ref="C20" ca="1">IF(LEN($A20)&gt;1,SUMIFS(AssetCOB,AssetClass,$A20),"")</f>
        <v/>
      </c>
      <c r="D20" s="36" t="str" cm="1">
        <f t="array" aca="1" ref="D20" ca="1">IF(LEN($A20)&gt;1,SUMIFS(AssetCAdd,AssetClass,$A20),"")</f>
        <v/>
      </c>
      <c r="E20" s="36" t="str" cm="1">
        <f t="array" aca="1" ref="E20" ca="1">IF(LEN($A20)&gt;1,SUMIFS(AssetCRev,AssetClass,$A20),"")</f>
        <v/>
      </c>
      <c r="F20" s="36" t="str" cm="1">
        <f t="array" aca="1" ref="F20" ca="1">IF(LEN($A20)&gt;1,SUMIFS(AssetCDis,AssetClass,$A20),"")</f>
        <v/>
      </c>
      <c r="G20" s="36" t="str" cm="1">
        <f t="array" aca="1" ref="G20" ca="1">IF(LEN($A20)&gt;1,SUMIFS(AssetCImp,AssetClass,$A20),"")</f>
        <v/>
      </c>
      <c r="H20" s="36" t="str">
        <f t="shared" ca="1" si="1"/>
        <v/>
      </c>
      <c r="I20" s="36" t="str" cm="1">
        <f t="array" aca="1" ref="I20" ca="1">IF(LEN($A20)&gt;1,SUMIFS(AssetDOB,AssetClass,$A20),"")</f>
        <v/>
      </c>
      <c r="J20" s="36" t="str" cm="1">
        <f t="array" aca="1" ref="J20" ca="1">IF(LEN($A20)&gt;1,SUMIFS(AssetDDepC,AssetClass,$A20),"")</f>
        <v/>
      </c>
      <c r="K20" s="36" t="str" cm="1">
        <f t="array" aca="1" ref="K20" ca="1">IF(LEN($A20)&gt;1,SUMIFS(AssetDDepR,AssetClass,$A20),"")</f>
        <v/>
      </c>
      <c r="L20" s="36" t="str">
        <f t="shared" ca="1" si="2"/>
        <v/>
      </c>
      <c r="M20" s="36" t="str" cm="1">
        <f t="array" aca="1" ref="M20" ca="1">IF(LEN($A20)&gt;1,SUMIFS(AssetDRev,AssetClass,$A20),"")</f>
        <v/>
      </c>
      <c r="N20" s="36" t="str" cm="1">
        <f t="array" aca="1" ref="N20" ca="1">IF(LEN($A20)&gt;1,SUMIFS(AssetDDis,AssetClass,$A20),"")</f>
        <v/>
      </c>
      <c r="O20" s="36" t="str">
        <f t="shared" ca="1" si="3"/>
        <v/>
      </c>
      <c r="P20" s="36" t="str">
        <f t="shared" ca="1" si="4"/>
        <v/>
      </c>
      <c r="Q20" s="36" t="str" cm="1">
        <f t="array" aca="1" ref="Q20" ca="1">IF(LEN($A20)&gt;1,SUMIFS(AssetROB,AssetClass,$A20),"")</f>
        <v/>
      </c>
      <c r="R20" s="36" t="str" cm="1">
        <f t="array" aca="1" ref="R20" ca="1">IF(LEN($A20)&gt;1,SUMIFS(AssetRMove,AssetClass,$A20),"")</f>
        <v/>
      </c>
      <c r="S20" s="36" t="str">
        <f t="shared" ca="1" si="5"/>
        <v/>
      </c>
      <c r="T20" s="36" t="str">
        <f t="shared" ca="1" si="6"/>
        <v/>
      </c>
      <c r="U20" s="36" t="str" cm="1">
        <f t="array" aca="1" ref="U20" ca="1">IF(LEN($A20)&gt;1,SUMIFS(AssetIWO,AssetClass,$A20),"")</f>
        <v/>
      </c>
      <c r="V20" s="36" t="str" cm="1">
        <f t="array" aca="1" ref="V20" ca="1">IF(LEN($A20)&gt;1,SUMIFS(AssetPLoss,AssetClass,$A20),"")</f>
        <v/>
      </c>
      <c r="W20" s="36" t="str" cm="1">
        <f t="array" aca="1" ref="W20" ca="1">IF(LEN($A20)&gt;1,SUMIFS(AssetMCost,AssetClass,$A20),"")</f>
        <v/>
      </c>
      <c r="X20" s="36" t="str" cm="1">
        <f t="array" aca="1" ref="X20" ca="1">IF(LEN($A20)&gt;1,SUMIFS(AssetMRev,AssetClass,$A20),"")</f>
        <v/>
      </c>
      <c r="Y20" s="36" t="str">
        <f t="shared" ca="1" si="7"/>
        <v/>
      </c>
    </row>
    <row r="21" spans="1:25" ht="16" customHeight="1" x14ac:dyDescent="0.25">
      <c r="A21" s="3" t="str" cm="1">
        <f t="array" aca="1" ref="A21" ca="1">IF(ROW($B21)-ROW($B$5)&gt;ClassCount,"",OFFSET('Set-up'!$A$12,ROW($B21)-ROW($B$5),0,1,1))</f>
        <v/>
      </c>
      <c r="B21" s="3" t="str">
        <f t="shared" ca="1" si="0"/>
        <v/>
      </c>
      <c r="C21" s="36" t="str" cm="1">
        <f t="array" aca="1" ref="C21" ca="1">IF(LEN($A21)&gt;1,SUMIFS(AssetCOB,AssetClass,$A21),"")</f>
        <v/>
      </c>
      <c r="D21" s="36" t="str" cm="1">
        <f t="array" aca="1" ref="D21" ca="1">IF(LEN($A21)&gt;1,SUMIFS(AssetCAdd,AssetClass,$A21),"")</f>
        <v/>
      </c>
      <c r="E21" s="36" t="str" cm="1">
        <f t="array" aca="1" ref="E21" ca="1">IF(LEN($A21)&gt;1,SUMIFS(AssetCRev,AssetClass,$A21),"")</f>
        <v/>
      </c>
      <c r="F21" s="36" t="str" cm="1">
        <f t="array" aca="1" ref="F21" ca="1">IF(LEN($A21)&gt;1,SUMIFS(AssetCDis,AssetClass,$A21),"")</f>
        <v/>
      </c>
      <c r="G21" s="36" t="str" cm="1">
        <f t="array" aca="1" ref="G21" ca="1">IF(LEN($A21)&gt;1,SUMIFS(AssetCImp,AssetClass,$A21),"")</f>
        <v/>
      </c>
      <c r="H21" s="36" t="str">
        <f t="shared" ca="1" si="1"/>
        <v/>
      </c>
      <c r="I21" s="36" t="str" cm="1">
        <f t="array" aca="1" ref="I21" ca="1">IF(LEN($A21)&gt;1,SUMIFS(AssetDOB,AssetClass,$A21),"")</f>
        <v/>
      </c>
      <c r="J21" s="36" t="str" cm="1">
        <f t="array" aca="1" ref="J21" ca="1">IF(LEN($A21)&gt;1,SUMIFS(AssetDDepC,AssetClass,$A21),"")</f>
        <v/>
      </c>
      <c r="K21" s="36" t="str" cm="1">
        <f t="array" aca="1" ref="K21" ca="1">IF(LEN($A21)&gt;1,SUMIFS(AssetDDepR,AssetClass,$A21),"")</f>
        <v/>
      </c>
      <c r="L21" s="36" t="str">
        <f t="shared" ca="1" si="2"/>
        <v/>
      </c>
      <c r="M21" s="36" t="str" cm="1">
        <f t="array" aca="1" ref="M21" ca="1">IF(LEN($A21)&gt;1,SUMIFS(AssetDRev,AssetClass,$A21),"")</f>
        <v/>
      </c>
      <c r="N21" s="36" t="str" cm="1">
        <f t="array" aca="1" ref="N21" ca="1">IF(LEN($A21)&gt;1,SUMIFS(AssetDDis,AssetClass,$A21),"")</f>
        <v/>
      </c>
      <c r="O21" s="36" t="str">
        <f t="shared" ca="1" si="3"/>
        <v/>
      </c>
      <c r="P21" s="36" t="str">
        <f t="shared" ca="1" si="4"/>
        <v/>
      </c>
      <c r="Q21" s="36" t="str" cm="1">
        <f t="array" aca="1" ref="Q21" ca="1">IF(LEN($A21)&gt;1,SUMIFS(AssetROB,AssetClass,$A21),"")</f>
        <v/>
      </c>
      <c r="R21" s="36" t="str" cm="1">
        <f t="array" aca="1" ref="R21" ca="1">IF(LEN($A21)&gt;1,SUMIFS(AssetRMove,AssetClass,$A21),"")</f>
        <v/>
      </c>
      <c r="S21" s="36" t="str">
        <f t="shared" ca="1" si="5"/>
        <v/>
      </c>
      <c r="T21" s="36" t="str">
        <f t="shared" ca="1" si="6"/>
        <v/>
      </c>
      <c r="U21" s="36" t="str" cm="1">
        <f t="array" aca="1" ref="U21" ca="1">IF(LEN($A21)&gt;1,SUMIFS(AssetIWO,AssetClass,$A21),"")</f>
        <v/>
      </c>
      <c r="V21" s="36" t="str" cm="1">
        <f t="array" aca="1" ref="V21" ca="1">IF(LEN($A21)&gt;1,SUMIFS(AssetPLoss,AssetClass,$A21),"")</f>
        <v/>
      </c>
      <c r="W21" s="36" t="str" cm="1">
        <f t="array" aca="1" ref="W21" ca="1">IF(LEN($A21)&gt;1,SUMIFS(AssetMCost,AssetClass,$A21),"")</f>
        <v/>
      </c>
      <c r="X21" s="36" t="str" cm="1">
        <f t="array" aca="1" ref="X21" ca="1">IF(LEN($A21)&gt;1,SUMIFS(AssetMRev,AssetClass,$A21),"")</f>
        <v/>
      </c>
      <c r="Y21" s="36" t="str">
        <f t="shared" ca="1" si="7"/>
        <v/>
      </c>
    </row>
    <row r="22" spans="1:25" ht="16" customHeight="1" x14ac:dyDescent="0.25">
      <c r="A22" s="3" t="str" cm="1">
        <f t="array" aca="1" ref="A22" ca="1">IF(ROW($B22)-ROW($B$5)&gt;ClassCount,"",OFFSET('Set-up'!$A$12,ROW($B22)-ROW($B$5),0,1,1))</f>
        <v/>
      </c>
      <c r="B22" s="3" t="str">
        <f t="shared" ca="1" si="0"/>
        <v/>
      </c>
      <c r="C22" s="36" t="str" cm="1">
        <f t="array" aca="1" ref="C22" ca="1">IF(LEN($A22)&gt;1,SUMIFS(AssetCOB,AssetClass,$A22),"")</f>
        <v/>
      </c>
      <c r="D22" s="36" t="str" cm="1">
        <f t="array" aca="1" ref="D22" ca="1">IF(LEN($A22)&gt;1,SUMIFS(AssetCAdd,AssetClass,$A22),"")</f>
        <v/>
      </c>
      <c r="E22" s="36" t="str" cm="1">
        <f t="array" aca="1" ref="E22" ca="1">IF(LEN($A22)&gt;1,SUMIFS(AssetCRev,AssetClass,$A22),"")</f>
        <v/>
      </c>
      <c r="F22" s="36" t="str" cm="1">
        <f t="array" aca="1" ref="F22" ca="1">IF(LEN($A22)&gt;1,SUMIFS(AssetCDis,AssetClass,$A22),"")</f>
        <v/>
      </c>
      <c r="G22" s="36" t="str" cm="1">
        <f t="array" aca="1" ref="G22" ca="1">IF(LEN($A22)&gt;1,SUMIFS(AssetCImp,AssetClass,$A22),"")</f>
        <v/>
      </c>
      <c r="H22" s="36" t="str">
        <f t="shared" ca="1" si="1"/>
        <v/>
      </c>
      <c r="I22" s="36" t="str" cm="1">
        <f t="array" aca="1" ref="I22" ca="1">IF(LEN($A22)&gt;1,SUMIFS(AssetDOB,AssetClass,$A22),"")</f>
        <v/>
      </c>
      <c r="J22" s="36" t="str" cm="1">
        <f t="array" aca="1" ref="J22" ca="1">IF(LEN($A22)&gt;1,SUMIFS(AssetDDepC,AssetClass,$A22),"")</f>
        <v/>
      </c>
      <c r="K22" s="36" t="str" cm="1">
        <f t="array" aca="1" ref="K22" ca="1">IF(LEN($A22)&gt;1,SUMIFS(AssetDDepR,AssetClass,$A22),"")</f>
        <v/>
      </c>
      <c r="L22" s="36" t="str">
        <f t="shared" ca="1" si="2"/>
        <v/>
      </c>
      <c r="M22" s="36" t="str" cm="1">
        <f t="array" aca="1" ref="M22" ca="1">IF(LEN($A22)&gt;1,SUMIFS(AssetDRev,AssetClass,$A22),"")</f>
        <v/>
      </c>
      <c r="N22" s="36" t="str" cm="1">
        <f t="array" aca="1" ref="N22" ca="1">IF(LEN($A22)&gt;1,SUMIFS(AssetDDis,AssetClass,$A22),"")</f>
        <v/>
      </c>
      <c r="O22" s="36" t="str">
        <f t="shared" ca="1" si="3"/>
        <v/>
      </c>
      <c r="P22" s="36" t="str">
        <f t="shared" ca="1" si="4"/>
        <v/>
      </c>
      <c r="Q22" s="36" t="str" cm="1">
        <f t="array" aca="1" ref="Q22" ca="1">IF(LEN($A22)&gt;1,SUMIFS(AssetROB,AssetClass,$A22),"")</f>
        <v/>
      </c>
      <c r="R22" s="36" t="str" cm="1">
        <f t="array" aca="1" ref="R22" ca="1">IF(LEN($A22)&gt;1,SUMIFS(AssetRMove,AssetClass,$A22),"")</f>
        <v/>
      </c>
      <c r="S22" s="36" t="str">
        <f t="shared" ca="1" si="5"/>
        <v/>
      </c>
      <c r="T22" s="36" t="str">
        <f t="shared" ca="1" si="6"/>
        <v/>
      </c>
      <c r="U22" s="36" t="str" cm="1">
        <f t="array" aca="1" ref="U22" ca="1">IF(LEN($A22)&gt;1,SUMIFS(AssetIWO,AssetClass,$A22),"")</f>
        <v/>
      </c>
      <c r="V22" s="36" t="str" cm="1">
        <f t="array" aca="1" ref="V22" ca="1">IF(LEN($A22)&gt;1,SUMIFS(AssetPLoss,AssetClass,$A22),"")</f>
        <v/>
      </c>
      <c r="W22" s="36" t="str" cm="1">
        <f t="array" aca="1" ref="W22" ca="1">IF(LEN($A22)&gt;1,SUMIFS(AssetMCost,AssetClass,$A22),"")</f>
        <v/>
      </c>
      <c r="X22" s="36" t="str" cm="1">
        <f t="array" aca="1" ref="X22" ca="1">IF(LEN($A22)&gt;1,SUMIFS(AssetMRev,AssetClass,$A22),"")</f>
        <v/>
      </c>
      <c r="Y22" s="36" t="str">
        <f t="shared" ca="1" si="7"/>
        <v/>
      </c>
    </row>
    <row r="23" spans="1:25" ht="16" customHeight="1" x14ac:dyDescent="0.25">
      <c r="A23" s="3" t="str" cm="1">
        <f t="array" aca="1" ref="A23" ca="1">IF(ROW($B23)-ROW($B$5)&gt;ClassCount,"",OFFSET('Set-up'!$A$12,ROW($B23)-ROW($B$5),0,1,1))</f>
        <v/>
      </c>
      <c r="B23" s="3" t="str">
        <f t="shared" ca="1" si="0"/>
        <v/>
      </c>
      <c r="C23" s="36" t="str" cm="1">
        <f t="array" aca="1" ref="C23" ca="1">IF(LEN($A23)&gt;1,SUMIFS(AssetCOB,AssetClass,$A23),"")</f>
        <v/>
      </c>
      <c r="D23" s="36" t="str" cm="1">
        <f t="array" aca="1" ref="D23" ca="1">IF(LEN($A23)&gt;1,SUMIFS(AssetCAdd,AssetClass,$A23),"")</f>
        <v/>
      </c>
      <c r="E23" s="36" t="str" cm="1">
        <f t="array" aca="1" ref="E23" ca="1">IF(LEN($A23)&gt;1,SUMIFS(AssetCRev,AssetClass,$A23),"")</f>
        <v/>
      </c>
      <c r="F23" s="36" t="str" cm="1">
        <f t="array" aca="1" ref="F23" ca="1">IF(LEN($A23)&gt;1,SUMIFS(AssetCDis,AssetClass,$A23),"")</f>
        <v/>
      </c>
      <c r="G23" s="36" t="str" cm="1">
        <f t="array" aca="1" ref="G23" ca="1">IF(LEN($A23)&gt;1,SUMIFS(AssetCImp,AssetClass,$A23),"")</f>
        <v/>
      </c>
      <c r="H23" s="36" t="str">
        <f t="shared" ca="1" si="1"/>
        <v/>
      </c>
      <c r="I23" s="36" t="str" cm="1">
        <f t="array" aca="1" ref="I23" ca="1">IF(LEN($A23)&gt;1,SUMIFS(AssetDOB,AssetClass,$A23),"")</f>
        <v/>
      </c>
      <c r="J23" s="36" t="str" cm="1">
        <f t="array" aca="1" ref="J23" ca="1">IF(LEN($A23)&gt;1,SUMIFS(AssetDDepC,AssetClass,$A23),"")</f>
        <v/>
      </c>
      <c r="K23" s="36" t="str" cm="1">
        <f t="array" aca="1" ref="K23" ca="1">IF(LEN($A23)&gt;1,SUMIFS(AssetDDepR,AssetClass,$A23),"")</f>
        <v/>
      </c>
      <c r="L23" s="36" t="str">
        <f t="shared" ca="1" si="2"/>
        <v/>
      </c>
      <c r="M23" s="36" t="str" cm="1">
        <f t="array" aca="1" ref="M23" ca="1">IF(LEN($A23)&gt;1,SUMIFS(AssetDRev,AssetClass,$A23),"")</f>
        <v/>
      </c>
      <c r="N23" s="36" t="str" cm="1">
        <f t="array" aca="1" ref="N23" ca="1">IF(LEN($A23)&gt;1,SUMIFS(AssetDDis,AssetClass,$A23),"")</f>
        <v/>
      </c>
      <c r="O23" s="36" t="str">
        <f t="shared" ca="1" si="3"/>
        <v/>
      </c>
      <c r="P23" s="36" t="str">
        <f t="shared" ca="1" si="4"/>
        <v/>
      </c>
      <c r="Q23" s="36" t="str" cm="1">
        <f t="array" aca="1" ref="Q23" ca="1">IF(LEN($A23)&gt;1,SUMIFS(AssetROB,AssetClass,$A23),"")</f>
        <v/>
      </c>
      <c r="R23" s="36" t="str" cm="1">
        <f t="array" aca="1" ref="R23" ca="1">IF(LEN($A23)&gt;1,SUMIFS(AssetRMove,AssetClass,$A23),"")</f>
        <v/>
      </c>
      <c r="S23" s="36" t="str">
        <f t="shared" ca="1" si="5"/>
        <v/>
      </c>
      <c r="T23" s="36" t="str">
        <f t="shared" ca="1" si="6"/>
        <v/>
      </c>
      <c r="U23" s="36" t="str" cm="1">
        <f t="array" aca="1" ref="U23" ca="1">IF(LEN($A23)&gt;1,SUMIFS(AssetIWO,AssetClass,$A23),"")</f>
        <v/>
      </c>
      <c r="V23" s="36" t="str" cm="1">
        <f t="array" aca="1" ref="V23" ca="1">IF(LEN($A23)&gt;1,SUMIFS(AssetPLoss,AssetClass,$A23),"")</f>
        <v/>
      </c>
      <c r="W23" s="36" t="str" cm="1">
        <f t="array" aca="1" ref="W23" ca="1">IF(LEN($A23)&gt;1,SUMIFS(AssetMCost,AssetClass,$A23),"")</f>
        <v/>
      </c>
      <c r="X23" s="36" t="str" cm="1">
        <f t="array" aca="1" ref="X23" ca="1">IF(LEN($A23)&gt;1,SUMIFS(AssetMRev,AssetClass,$A23),"")</f>
        <v/>
      </c>
      <c r="Y23" s="36" t="str">
        <f t="shared" ca="1" si="7"/>
        <v/>
      </c>
    </row>
    <row r="24" spans="1:25" ht="16" customHeight="1" x14ac:dyDescent="0.25">
      <c r="A24" s="3" t="str" cm="1">
        <f t="array" aca="1" ref="A24" ca="1">IF(ROW($B24)-ROW($B$5)&gt;ClassCount,"",OFFSET('Set-up'!$A$12,ROW($B24)-ROW($B$5),0,1,1))</f>
        <v/>
      </c>
      <c r="B24" s="3" t="str">
        <f t="shared" ca="1" si="0"/>
        <v/>
      </c>
      <c r="C24" s="36" t="str" cm="1">
        <f t="array" aca="1" ref="C24" ca="1">IF(LEN($A24)&gt;1,SUMIFS(AssetCOB,AssetClass,$A24),"")</f>
        <v/>
      </c>
      <c r="D24" s="36" t="str" cm="1">
        <f t="array" aca="1" ref="D24" ca="1">IF(LEN($A24)&gt;1,SUMIFS(AssetCAdd,AssetClass,$A24),"")</f>
        <v/>
      </c>
      <c r="E24" s="36" t="str" cm="1">
        <f t="array" aca="1" ref="E24" ca="1">IF(LEN($A24)&gt;1,SUMIFS(AssetCRev,AssetClass,$A24),"")</f>
        <v/>
      </c>
      <c r="F24" s="36" t="str" cm="1">
        <f t="array" aca="1" ref="F24" ca="1">IF(LEN($A24)&gt;1,SUMIFS(AssetCDis,AssetClass,$A24),"")</f>
        <v/>
      </c>
      <c r="G24" s="36" t="str" cm="1">
        <f t="array" aca="1" ref="G24" ca="1">IF(LEN($A24)&gt;1,SUMIFS(AssetCImp,AssetClass,$A24),"")</f>
        <v/>
      </c>
      <c r="H24" s="36" t="str">
        <f t="shared" ca="1" si="1"/>
        <v/>
      </c>
      <c r="I24" s="36" t="str" cm="1">
        <f t="array" aca="1" ref="I24" ca="1">IF(LEN($A24)&gt;1,SUMIFS(AssetDOB,AssetClass,$A24),"")</f>
        <v/>
      </c>
      <c r="J24" s="36" t="str" cm="1">
        <f t="array" aca="1" ref="J24" ca="1">IF(LEN($A24)&gt;1,SUMIFS(AssetDDepC,AssetClass,$A24),"")</f>
        <v/>
      </c>
      <c r="K24" s="36" t="str" cm="1">
        <f t="array" aca="1" ref="K24" ca="1">IF(LEN($A24)&gt;1,SUMIFS(AssetDDepR,AssetClass,$A24),"")</f>
        <v/>
      </c>
      <c r="L24" s="36" t="str">
        <f t="shared" ca="1" si="2"/>
        <v/>
      </c>
      <c r="M24" s="36" t="str" cm="1">
        <f t="array" aca="1" ref="M24" ca="1">IF(LEN($A24)&gt;1,SUMIFS(AssetDRev,AssetClass,$A24),"")</f>
        <v/>
      </c>
      <c r="N24" s="36" t="str" cm="1">
        <f t="array" aca="1" ref="N24" ca="1">IF(LEN($A24)&gt;1,SUMIFS(AssetDDis,AssetClass,$A24),"")</f>
        <v/>
      </c>
      <c r="O24" s="36" t="str">
        <f t="shared" ca="1" si="3"/>
        <v/>
      </c>
      <c r="P24" s="36" t="str">
        <f t="shared" ca="1" si="4"/>
        <v/>
      </c>
      <c r="Q24" s="36" t="str" cm="1">
        <f t="array" aca="1" ref="Q24" ca="1">IF(LEN($A24)&gt;1,SUMIFS(AssetROB,AssetClass,$A24),"")</f>
        <v/>
      </c>
      <c r="R24" s="36" t="str" cm="1">
        <f t="array" aca="1" ref="R24" ca="1">IF(LEN($A24)&gt;1,SUMIFS(AssetRMove,AssetClass,$A24),"")</f>
        <v/>
      </c>
      <c r="S24" s="36" t="str">
        <f t="shared" ca="1" si="5"/>
        <v/>
      </c>
      <c r="T24" s="36" t="str">
        <f t="shared" ca="1" si="6"/>
        <v/>
      </c>
      <c r="U24" s="36" t="str" cm="1">
        <f t="array" aca="1" ref="U24" ca="1">IF(LEN($A24)&gt;1,SUMIFS(AssetIWO,AssetClass,$A24),"")</f>
        <v/>
      </c>
      <c r="V24" s="36" t="str" cm="1">
        <f t="array" aca="1" ref="V24" ca="1">IF(LEN($A24)&gt;1,SUMIFS(AssetPLoss,AssetClass,$A24),"")</f>
        <v/>
      </c>
      <c r="W24" s="36" t="str" cm="1">
        <f t="array" aca="1" ref="W24" ca="1">IF(LEN($A24)&gt;1,SUMIFS(AssetMCost,AssetClass,$A24),"")</f>
        <v/>
      </c>
      <c r="X24" s="36" t="str" cm="1">
        <f t="array" aca="1" ref="X24" ca="1">IF(LEN($A24)&gt;1,SUMIFS(AssetMRev,AssetClass,$A24),"")</f>
        <v/>
      </c>
      <c r="Y24" s="36" t="str">
        <f t="shared" ca="1" si="7"/>
        <v/>
      </c>
    </row>
    <row r="25" spans="1:25" ht="16" customHeight="1" x14ac:dyDescent="0.25">
      <c r="A25" s="3" t="str" cm="1">
        <f t="array" aca="1" ref="A25" ca="1">IF(ROW($B25)-ROW($B$5)&gt;ClassCount,"",OFFSET('Set-up'!$A$12,ROW($B25)-ROW($B$5),0,1,1))</f>
        <v/>
      </c>
      <c r="B25" s="3" t="str">
        <f t="shared" ca="1" si="0"/>
        <v/>
      </c>
      <c r="C25" s="36" t="str" cm="1">
        <f t="array" aca="1" ref="C25" ca="1">IF(LEN($A25)&gt;1,SUMIFS(AssetCOB,AssetClass,$A25),"")</f>
        <v/>
      </c>
      <c r="D25" s="36" t="str" cm="1">
        <f t="array" aca="1" ref="D25" ca="1">IF(LEN($A25)&gt;1,SUMIFS(AssetCAdd,AssetClass,$A25),"")</f>
        <v/>
      </c>
      <c r="E25" s="36" t="str" cm="1">
        <f t="array" aca="1" ref="E25" ca="1">IF(LEN($A25)&gt;1,SUMIFS(AssetCRev,AssetClass,$A25),"")</f>
        <v/>
      </c>
      <c r="F25" s="36" t="str" cm="1">
        <f t="array" aca="1" ref="F25" ca="1">IF(LEN($A25)&gt;1,SUMIFS(AssetCDis,AssetClass,$A25),"")</f>
        <v/>
      </c>
      <c r="G25" s="36" t="str" cm="1">
        <f t="array" aca="1" ref="G25" ca="1">IF(LEN($A25)&gt;1,SUMIFS(AssetCImp,AssetClass,$A25),"")</f>
        <v/>
      </c>
      <c r="H25" s="36" t="str">
        <f t="shared" ca="1" si="1"/>
        <v/>
      </c>
      <c r="I25" s="36" t="str" cm="1">
        <f t="array" aca="1" ref="I25" ca="1">IF(LEN($A25)&gt;1,SUMIFS(AssetDOB,AssetClass,$A25),"")</f>
        <v/>
      </c>
      <c r="J25" s="36" t="str" cm="1">
        <f t="array" aca="1" ref="J25" ca="1">IF(LEN($A25)&gt;1,SUMIFS(AssetDDepC,AssetClass,$A25),"")</f>
        <v/>
      </c>
      <c r="K25" s="36" t="str" cm="1">
        <f t="array" aca="1" ref="K25" ca="1">IF(LEN($A25)&gt;1,SUMIFS(AssetDDepR,AssetClass,$A25),"")</f>
        <v/>
      </c>
      <c r="L25" s="36" t="str">
        <f t="shared" ca="1" si="2"/>
        <v/>
      </c>
      <c r="M25" s="36" t="str" cm="1">
        <f t="array" aca="1" ref="M25" ca="1">IF(LEN($A25)&gt;1,SUMIFS(AssetDRev,AssetClass,$A25),"")</f>
        <v/>
      </c>
      <c r="N25" s="36" t="str" cm="1">
        <f t="array" aca="1" ref="N25" ca="1">IF(LEN($A25)&gt;1,SUMIFS(AssetDDis,AssetClass,$A25),"")</f>
        <v/>
      </c>
      <c r="O25" s="36" t="str">
        <f t="shared" ca="1" si="3"/>
        <v/>
      </c>
      <c r="P25" s="36" t="str">
        <f t="shared" ca="1" si="4"/>
        <v/>
      </c>
      <c r="Q25" s="36" t="str" cm="1">
        <f t="array" aca="1" ref="Q25" ca="1">IF(LEN($A25)&gt;1,SUMIFS(AssetROB,AssetClass,$A25),"")</f>
        <v/>
      </c>
      <c r="R25" s="36" t="str" cm="1">
        <f t="array" aca="1" ref="R25" ca="1">IF(LEN($A25)&gt;1,SUMIFS(AssetRMove,AssetClass,$A25),"")</f>
        <v/>
      </c>
      <c r="S25" s="36" t="str">
        <f t="shared" ca="1" si="5"/>
        <v/>
      </c>
      <c r="T25" s="36" t="str">
        <f t="shared" ca="1" si="6"/>
        <v/>
      </c>
      <c r="U25" s="36" t="str" cm="1">
        <f t="array" aca="1" ref="U25" ca="1">IF(LEN($A25)&gt;1,SUMIFS(AssetIWO,AssetClass,$A25),"")</f>
        <v/>
      </c>
      <c r="V25" s="36" t="str" cm="1">
        <f t="array" aca="1" ref="V25" ca="1">IF(LEN($A25)&gt;1,SUMIFS(AssetPLoss,AssetClass,$A25),"")</f>
        <v/>
      </c>
      <c r="W25" s="36" t="str" cm="1">
        <f t="array" aca="1" ref="W25" ca="1">IF(LEN($A25)&gt;1,SUMIFS(AssetMCost,AssetClass,$A25),"")</f>
        <v/>
      </c>
      <c r="X25" s="36" t="str" cm="1">
        <f t="array" aca="1" ref="X25" ca="1">IF(LEN($A25)&gt;1,SUMIFS(AssetMRev,AssetClass,$A25),"")</f>
        <v/>
      </c>
      <c r="Y25" s="36" t="str">
        <f t="shared" ca="1" si="7"/>
        <v/>
      </c>
    </row>
    <row r="26" spans="1:25" ht="16" customHeight="1" x14ac:dyDescent="0.25">
      <c r="A26" s="3" t="str" cm="1">
        <f t="array" aca="1" ref="A26" ca="1">IF(ROW($B26)-ROW($B$5)&gt;ClassCount,"",OFFSET('Set-up'!$A$12,ROW($B26)-ROW($B$5),0,1,1))</f>
        <v/>
      </c>
      <c r="B26" s="3" t="str">
        <f t="shared" ca="1" si="0"/>
        <v/>
      </c>
      <c r="C26" s="36" t="str" cm="1">
        <f t="array" aca="1" ref="C26" ca="1">IF(LEN($A26)&gt;1,SUMIFS(AssetCOB,AssetClass,$A26),"")</f>
        <v/>
      </c>
      <c r="D26" s="36" t="str" cm="1">
        <f t="array" aca="1" ref="D26" ca="1">IF(LEN($A26)&gt;1,SUMIFS(AssetCAdd,AssetClass,$A26),"")</f>
        <v/>
      </c>
      <c r="E26" s="36" t="str" cm="1">
        <f t="array" aca="1" ref="E26" ca="1">IF(LEN($A26)&gt;1,SUMIFS(AssetCRev,AssetClass,$A26),"")</f>
        <v/>
      </c>
      <c r="F26" s="36" t="str" cm="1">
        <f t="array" aca="1" ref="F26" ca="1">IF(LEN($A26)&gt;1,SUMIFS(AssetCDis,AssetClass,$A26),"")</f>
        <v/>
      </c>
      <c r="G26" s="36" t="str" cm="1">
        <f t="array" aca="1" ref="G26" ca="1">IF(LEN($A26)&gt;1,SUMIFS(AssetCImp,AssetClass,$A26),"")</f>
        <v/>
      </c>
      <c r="H26" s="36" t="str">
        <f t="shared" ca="1" si="1"/>
        <v/>
      </c>
      <c r="I26" s="36" t="str" cm="1">
        <f t="array" aca="1" ref="I26" ca="1">IF(LEN($A26)&gt;1,SUMIFS(AssetDOB,AssetClass,$A26),"")</f>
        <v/>
      </c>
      <c r="J26" s="36" t="str" cm="1">
        <f t="array" aca="1" ref="J26" ca="1">IF(LEN($A26)&gt;1,SUMIFS(AssetDDepC,AssetClass,$A26),"")</f>
        <v/>
      </c>
      <c r="K26" s="36" t="str" cm="1">
        <f t="array" aca="1" ref="K26" ca="1">IF(LEN($A26)&gt;1,SUMIFS(AssetDDepR,AssetClass,$A26),"")</f>
        <v/>
      </c>
      <c r="L26" s="36" t="str">
        <f t="shared" ca="1" si="2"/>
        <v/>
      </c>
      <c r="M26" s="36" t="str" cm="1">
        <f t="array" aca="1" ref="M26" ca="1">IF(LEN($A26)&gt;1,SUMIFS(AssetDRev,AssetClass,$A26),"")</f>
        <v/>
      </c>
      <c r="N26" s="36" t="str" cm="1">
        <f t="array" aca="1" ref="N26" ca="1">IF(LEN($A26)&gt;1,SUMIFS(AssetDDis,AssetClass,$A26),"")</f>
        <v/>
      </c>
      <c r="O26" s="36" t="str">
        <f t="shared" ca="1" si="3"/>
        <v/>
      </c>
      <c r="P26" s="36" t="str">
        <f t="shared" ca="1" si="4"/>
        <v/>
      </c>
      <c r="Q26" s="36" t="str" cm="1">
        <f t="array" aca="1" ref="Q26" ca="1">IF(LEN($A26)&gt;1,SUMIFS(AssetROB,AssetClass,$A26),"")</f>
        <v/>
      </c>
      <c r="R26" s="36" t="str" cm="1">
        <f t="array" aca="1" ref="R26" ca="1">IF(LEN($A26)&gt;1,SUMIFS(AssetRMove,AssetClass,$A26),"")</f>
        <v/>
      </c>
      <c r="S26" s="36" t="str">
        <f t="shared" ca="1" si="5"/>
        <v/>
      </c>
      <c r="T26" s="36" t="str">
        <f t="shared" ca="1" si="6"/>
        <v/>
      </c>
      <c r="U26" s="36" t="str" cm="1">
        <f t="array" aca="1" ref="U26" ca="1">IF(LEN($A26)&gt;1,SUMIFS(AssetIWO,AssetClass,$A26),"")</f>
        <v/>
      </c>
      <c r="V26" s="36" t="str" cm="1">
        <f t="array" aca="1" ref="V26" ca="1">IF(LEN($A26)&gt;1,SUMIFS(AssetPLoss,AssetClass,$A26),"")</f>
        <v/>
      </c>
      <c r="W26" s="36" t="str" cm="1">
        <f t="array" aca="1" ref="W26" ca="1">IF(LEN($A26)&gt;1,SUMIFS(AssetMCost,AssetClass,$A26),"")</f>
        <v/>
      </c>
      <c r="X26" s="36" t="str" cm="1">
        <f t="array" aca="1" ref="X26" ca="1">IF(LEN($A26)&gt;1,SUMIFS(AssetMRev,AssetClass,$A26),"")</f>
        <v/>
      </c>
      <c r="Y26" s="36" t="str">
        <f t="shared" ca="1" si="7"/>
        <v/>
      </c>
    </row>
    <row r="27" spans="1:25" ht="16" customHeight="1" x14ac:dyDescent="0.25">
      <c r="A27" s="3" t="str" cm="1">
        <f t="array" aca="1" ref="A27" ca="1">IF(ROW($B27)-ROW($B$5)&gt;ClassCount,"",OFFSET('Set-up'!$A$12,ROW($B27)-ROW($B$5),0,1,1))</f>
        <v/>
      </c>
      <c r="B27" s="3" t="str">
        <f t="shared" ca="1" si="0"/>
        <v/>
      </c>
      <c r="C27" s="36" t="str" cm="1">
        <f t="array" aca="1" ref="C27" ca="1">IF(LEN($A27)&gt;1,SUMIFS(AssetCOB,AssetClass,$A27),"")</f>
        <v/>
      </c>
      <c r="D27" s="36" t="str" cm="1">
        <f t="array" aca="1" ref="D27" ca="1">IF(LEN($A27)&gt;1,SUMIFS(AssetCAdd,AssetClass,$A27),"")</f>
        <v/>
      </c>
      <c r="E27" s="36" t="str" cm="1">
        <f t="array" aca="1" ref="E27" ca="1">IF(LEN($A27)&gt;1,SUMIFS(AssetCRev,AssetClass,$A27),"")</f>
        <v/>
      </c>
      <c r="F27" s="36" t="str" cm="1">
        <f t="array" aca="1" ref="F27" ca="1">IF(LEN($A27)&gt;1,SUMIFS(AssetCDis,AssetClass,$A27),"")</f>
        <v/>
      </c>
      <c r="G27" s="36" t="str" cm="1">
        <f t="array" aca="1" ref="G27" ca="1">IF(LEN($A27)&gt;1,SUMIFS(AssetCImp,AssetClass,$A27),"")</f>
        <v/>
      </c>
      <c r="H27" s="36" t="str">
        <f t="shared" ca="1" si="1"/>
        <v/>
      </c>
      <c r="I27" s="36" t="str" cm="1">
        <f t="array" aca="1" ref="I27" ca="1">IF(LEN($A27)&gt;1,SUMIFS(AssetDOB,AssetClass,$A27),"")</f>
        <v/>
      </c>
      <c r="J27" s="36" t="str" cm="1">
        <f t="array" aca="1" ref="J27" ca="1">IF(LEN($A27)&gt;1,SUMIFS(AssetDDepC,AssetClass,$A27),"")</f>
        <v/>
      </c>
      <c r="K27" s="36" t="str" cm="1">
        <f t="array" aca="1" ref="K27" ca="1">IF(LEN($A27)&gt;1,SUMIFS(AssetDDepR,AssetClass,$A27),"")</f>
        <v/>
      </c>
      <c r="L27" s="36" t="str">
        <f t="shared" ca="1" si="2"/>
        <v/>
      </c>
      <c r="M27" s="36" t="str" cm="1">
        <f t="array" aca="1" ref="M27" ca="1">IF(LEN($A27)&gt;1,SUMIFS(AssetDRev,AssetClass,$A27),"")</f>
        <v/>
      </c>
      <c r="N27" s="36" t="str" cm="1">
        <f t="array" aca="1" ref="N27" ca="1">IF(LEN($A27)&gt;1,SUMIFS(AssetDDis,AssetClass,$A27),"")</f>
        <v/>
      </c>
      <c r="O27" s="36" t="str">
        <f t="shared" ca="1" si="3"/>
        <v/>
      </c>
      <c r="P27" s="36" t="str">
        <f t="shared" ca="1" si="4"/>
        <v/>
      </c>
      <c r="Q27" s="36" t="str" cm="1">
        <f t="array" aca="1" ref="Q27" ca="1">IF(LEN($A27)&gt;1,SUMIFS(AssetROB,AssetClass,$A27),"")</f>
        <v/>
      </c>
      <c r="R27" s="36" t="str" cm="1">
        <f t="array" aca="1" ref="R27" ca="1">IF(LEN($A27)&gt;1,SUMIFS(AssetRMove,AssetClass,$A27),"")</f>
        <v/>
      </c>
      <c r="S27" s="36" t="str">
        <f t="shared" ca="1" si="5"/>
        <v/>
      </c>
      <c r="T27" s="36" t="str">
        <f t="shared" ca="1" si="6"/>
        <v/>
      </c>
      <c r="U27" s="36" t="str" cm="1">
        <f t="array" aca="1" ref="U27" ca="1">IF(LEN($A27)&gt;1,SUMIFS(AssetIWO,AssetClass,$A27),"")</f>
        <v/>
      </c>
      <c r="V27" s="36" t="str" cm="1">
        <f t="array" aca="1" ref="V27" ca="1">IF(LEN($A27)&gt;1,SUMIFS(AssetPLoss,AssetClass,$A27),"")</f>
        <v/>
      </c>
      <c r="W27" s="36" t="str" cm="1">
        <f t="array" aca="1" ref="W27" ca="1">IF(LEN($A27)&gt;1,SUMIFS(AssetMCost,AssetClass,$A27),"")</f>
        <v/>
      </c>
      <c r="X27" s="36" t="str" cm="1">
        <f t="array" aca="1" ref="X27" ca="1">IF(LEN($A27)&gt;1,SUMIFS(AssetMRev,AssetClass,$A27),"")</f>
        <v/>
      </c>
      <c r="Y27" s="36" t="str">
        <f t="shared" ca="1" si="7"/>
        <v/>
      </c>
    </row>
    <row r="28" spans="1:25" ht="16" customHeight="1" x14ac:dyDescent="0.25">
      <c r="A28" s="3" t="str" cm="1">
        <f t="array" aca="1" ref="A28" ca="1">IF(ROW($B28)-ROW($B$5)&gt;ClassCount,"",OFFSET('Set-up'!$A$12,ROW($B28)-ROW($B$5),0,1,1))</f>
        <v/>
      </c>
      <c r="B28" s="3" t="str">
        <f t="shared" ca="1" si="0"/>
        <v/>
      </c>
      <c r="C28" s="36" t="str" cm="1">
        <f t="array" aca="1" ref="C28" ca="1">IF(LEN($A28)&gt;1,SUMIFS(AssetCOB,AssetClass,$A28),"")</f>
        <v/>
      </c>
      <c r="D28" s="36" t="str" cm="1">
        <f t="array" aca="1" ref="D28" ca="1">IF(LEN($A28)&gt;1,SUMIFS(AssetCAdd,AssetClass,$A28),"")</f>
        <v/>
      </c>
      <c r="E28" s="36" t="str" cm="1">
        <f t="array" aca="1" ref="E28" ca="1">IF(LEN($A28)&gt;1,SUMIFS(AssetCRev,AssetClass,$A28),"")</f>
        <v/>
      </c>
      <c r="F28" s="36" t="str" cm="1">
        <f t="array" aca="1" ref="F28" ca="1">IF(LEN($A28)&gt;1,SUMIFS(AssetCDis,AssetClass,$A28),"")</f>
        <v/>
      </c>
      <c r="G28" s="36" t="str" cm="1">
        <f t="array" aca="1" ref="G28" ca="1">IF(LEN($A28)&gt;1,SUMIFS(AssetCImp,AssetClass,$A28),"")</f>
        <v/>
      </c>
      <c r="H28" s="36" t="str">
        <f t="shared" ca="1" si="1"/>
        <v/>
      </c>
      <c r="I28" s="36" t="str" cm="1">
        <f t="array" aca="1" ref="I28" ca="1">IF(LEN($A28)&gt;1,SUMIFS(AssetDOB,AssetClass,$A28),"")</f>
        <v/>
      </c>
      <c r="J28" s="36" t="str" cm="1">
        <f t="array" aca="1" ref="J28" ca="1">IF(LEN($A28)&gt;1,SUMIFS(AssetDDepC,AssetClass,$A28),"")</f>
        <v/>
      </c>
      <c r="K28" s="36" t="str" cm="1">
        <f t="array" aca="1" ref="K28" ca="1">IF(LEN($A28)&gt;1,SUMIFS(AssetDDepR,AssetClass,$A28),"")</f>
        <v/>
      </c>
      <c r="L28" s="36" t="str">
        <f t="shared" ca="1" si="2"/>
        <v/>
      </c>
      <c r="M28" s="36" t="str" cm="1">
        <f t="array" aca="1" ref="M28" ca="1">IF(LEN($A28)&gt;1,SUMIFS(AssetDRev,AssetClass,$A28),"")</f>
        <v/>
      </c>
      <c r="N28" s="36" t="str" cm="1">
        <f t="array" aca="1" ref="N28" ca="1">IF(LEN($A28)&gt;1,SUMIFS(AssetDDis,AssetClass,$A28),"")</f>
        <v/>
      </c>
      <c r="O28" s="36" t="str">
        <f t="shared" ca="1" si="3"/>
        <v/>
      </c>
      <c r="P28" s="36" t="str">
        <f t="shared" ca="1" si="4"/>
        <v/>
      </c>
      <c r="Q28" s="36" t="str" cm="1">
        <f t="array" aca="1" ref="Q28" ca="1">IF(LEN($A28)&gt;1,SUMIFS(AssetROB,AssetClass,$A28),"")</f>
        <v/>
      </c>
      <c r="R28" s="36" t="str" cm="1">
        <f t="array" aca="1" ref="R28" ca="1">IF(LEN($A28)&gt;1,SUMIFS(AssetRMove,AssetClass,$A28),"")</f>
        <v/>
      </c>
      <c r="S28" s="36" t="str">
        <f t="shared" ca="1" si="5"/>
        <v/>
      </c>
      <c r="T28" s="36" t="str">
        <f t="shared" ca="1" si="6"/>
        <v/>
      </c>
      <c r="U28" s="36" t="str" cm="1">
        <f t="array" aca="1" ref="U28" ca="1">IF(LEN($A28)&gt;1,SUMIFS(AssetIWO,AssetClass,$A28),"")</f>
        <v/>
      </c>
      <c r="V28" s="36" t="str" cm="1">
        <f t="array" aca="1" ref="V28" ca="1">IF(LEN($A28)&gt;1,SUMIFS(AssetPLoss,AssetClass,$A28),"")</f>
        <v/>
      </c>
      <c r="W28" s="36" t="str" cm="1">
        <f t="array" aca="1" ref="W28" ca="1">IF(LEN($A28)&gt;1,SUMIFS(AssetMCost,AssetClass,$A28),"")</f>
        <v/>
      </c>
      <c r="X28" s="36" t="str" cm="1">
        <f t="array" aca="1" ref="X28" ca="1">IF(LEN($A28)&gt;1,SUMIFS(AssetMRev,AssetClass,$A28),"")</f>
        <v/>
      </c>
      <c r="Y28" s="36" t="str">
        <f t="shared" ca="1" si="7"/>
        <v/>
      </c>
    </row>
    <row r="29" spans="1:25" ht="16" customHeight="1" x14ac:dyDescent="0.25">
      <c r="A29" s="3" t="str" cm="1">
        <f t="array" aca="1" ref="A29" ca="1">IF(ROW($B29)-ROW($B$5)&gt;ClassCount,"",OFFSET('Set-up'!$A$12,ROW($B29)-ROW($B$5),0,1,1))</f>
        <v/>
      </c>
      <c r="B29" s="3" t="str">
        <f t="shared" ca="1" si="0"/>
        <v/>
      </c>
      <c r="C29" s="36" t="str" cm="1">
        <f t="array" aca="1" ref="C29" ca="1">IF(LEN($A29)&gt;1,SUMIFS(AssetCOB,AssetClass,$A29),"")</f>
        <v/>
      </c>
      <c r="D29" s="36" t="str" cm="1">
        <f t="array" aca="1" ref="D29" ca="1">IF(LEN($A29)&gt;1,SUMIFS(AssetCAdd,AssetClass,$A29),"")</f>
        <v/>
      </c>
      <c r="E29" s="36" t="str" cm="1">
        <f t="array" aca="1" ref="E29" ca="1">IF(LEN($A29)&gt;1,SUMIFS(AssetCRev,AssetClass,$A29),"")</f>
        <v/>
      </c>
      <c r="F29" s="36" t="str" cm="1">
        <f t="array" aca="1" ref="F29" ca="1">IF(LEN($A29)&gt;1,SUMIFS(AssetCDis,AssetClass,$A29),"")</f>
        <v/>
      </c>
      <c r="G29" s="36" t="str" cm="1">
        <f t="array" aca="1" ref="G29" ca="1">IF(LEN($A29)&gt;1,SUMIFS(AssetCImp,AssetClass,$A29),"")</f>
        <v/>
      </c>
      <c r="H29" s="36" t="str">
        <f t="shared" ca="1" si="1"/>
        <v/>
      </c>
      <c r="I29" s="36" t="str" cm="1">
        <f t="array" aca="1" ref="I29" ca="1">IF(LEN($A29)&gt;1,SUMIFS(AssetDOB,AssetClass,$A29),"")</f>
        <v/>
      </c>
      <c r="J29" s="36" t="str" cm="1">
        <f t="array" aca="1" ref="J29" ca="1">IF(LEN($A29)&gt;1,SUMIFS(AssetDDepC,AssetClass,$A29),"")</f>
        <v/>
      </c>
      <c r="K29" s="36" t="str" cm="1">
        <f t="array" aca="1" ref="K29" ca="1">IF(LEN($A29)&gt;1,SUMIFS(AssetDDepR,AssetClass,$A29),"")</f>
        <v/>
      </c>
      <c r="L29" s="36" t="str">
        <f t="shared" ca="1" si="2"/>
        <v/>
      </c>
      <c r="M29" s="36" t="str" cm="1">
        <f t="array" aca="1" ref="M29" ca="1">IF(LEN($A29)&gt;1,SUMIFS(AssetDRev,AssetClass,$A29),"")</f>
        <v/>
      </c>
      <c r="N29" s="36" t="str" cm="1">
        <f t="array" aca="1" ref="N29" ca="1">IF(LEN($A29)&gt;1,SUMIFS(AssetDDis,AssetClass,$A29),"")</f>
        <v/>
      </c>
      <c r="O29" s="36" t="str">
        <f t="shared" ca="1" si="3"/>
        <v/>
      </c>
      <c r="P29" s="36" t="str">
        <f t="shared" ca="1" si="4"/>
        <v/>
      </c>
      <c r="Q29" s="36" t="str" cm="1">
        <f t="array" aca="1" ref="Q29" ca="1">IF(LEN($A29)&gt;1,SUMIFS(AssetROB,AssetClass,$A29),"")</f>
        <v/>
      </c>
      <c r="R29" s="36" t="str" cm="1">
        <f t="array" aca="1" ref="R29" ca="1">IF(LEN($A29)&gt;1,SUMIFS(AssetRMove,AssetClass,$A29),"")</f>
        <v/>
      </c>
      <c r="S29" s="36" t="str">
        <f t="shared" ca="1" si="5"/>
        <v/>
      </c>
      <c r="T29" s="36" t="str">
        <f t="shared" ca="1" si="6"/>
        <v/>
      </c>
      <c r="U29" s="36" t="str" cm="1">
        <f t="array" aca="1" ref="U29" ca="1">IF(LEN($A29)&gt;1,SUMIFS(AssetIWO,AssetClass,$A29),"")</f>
        <v/>
      </c>
      <c r="V29" s="36" t="str" cm="1">
        <f t="array" aca="1" ref="V29" ca="1">IF(LEN($A29)&gt;1,SUMIFS(AssetPLoss,AssetClass,$A29),"")</f>
        <v/>
      </c>
      <c r="W29" s="36" t="str" cm="1">
        <f t="array" aca="1" ref="W29" ca="1">IF(LEN($A29)&gt;1,SUMIFS(AssetMCost,AssetClass,$A29),"")</f>
        <v/>
      </c>
      <c r="X29" s="36" t="str" cm="1">
        <f t="array" aca="1" ref="X29" ca="1">IF(LEN($A29)&gt;1,SUMIFS(AssetMRev,AssetClass,$A29),"")</f>
        <v/>
      </c>
      <c r="Y29" s="36" t="str">
        <f t="shared" ca="1" si="7"/>
        <v/>
      </c>
    </row>
    <row r="30" spans="1:25" ht="16" customHeight="1" x14ac:dyDescent="0.25">
      <c r="A30" s="3" t="str" cm="1">
        <f t="array" aca="1" ref="A30" ca="1">IF(ROW($B30)-ROW($B$5)&gt;ClassCount,"",OFFSET('Set-up'!$A$12,ROW($B30)-ROW($B$5),0,1,1))</f>
        <v/>
      </c>
      <c r="B30" s="3" t="str">
        <f t="shared" ca="1" si="0"/>
        <v/>
      </c>
      <c r="C30" s="36" t="str" cm="1">
        <f t="array" aca="1" ref="C30" ca="1">IF(LEN($A30)&gt;1,SUMIFS(AssetCOB,AssetClass,$A30),"")</f>
        <v/>
      </c>
      <c r="D30" s="36" t="str" cm="1">
        <f t="array" aca="1" ref="D30" ca="1">IF(LEN($A30)&gt;1,SUMIFS(AssetCAdd,AssetClass,$A30),"")</f>
        <v/>
      </c>
      <c r="E30" s="36" t="str" cm="1">
        <f t="array" aca="1" ref="E30" ca="1">IF(LEN($A30)&gt;1,SUMIFS(AssetCRev,AssetClass,$A30),"")</f>
        <v/>
      </c>
      <c r="F30" s="36" t="str" cm="1">
        <f t="array" aca="1" ref="F30" ca="1">IF(LEN($A30)&gt;1,SUMIFS(AssetCDis,AssetClass,$A30),"")</f>
        <v/>
      </c>
      <c r="G30" s="36" t="str" cm="1">
        <f t="array" aca="1" ref="G30" ca="1">IF(LEN($A30)&gt;1,SUMIFS(AssetCImp,AssetClass,$A30),"")</f>
        <v/>
      </c>
      <c r="H30" s="36" t="str">
        <f t="shared" ca="1" si="1"/>
        <v/>
      </c>
      <c r="I30" s="36" t="str" cm="1">
        <f t="array" aca="1" ref="I30" ca="1">IF(LEN($A30)&gt;1,SUMIFS(AssetDOB,AssetClass,$A30),"")</f>
        <v/>
      </c>
      <c r="J30" s="36" t="str" cm="1">
        <f t="array" aca="1" ref="J30" ca="1">IF(LEN($A30)&gt;1,SUMIFS(AssetDDepC,AssetClass,$A30),"")</f>
        <v/>
      </c>
      <c r="K30" s="36" t="str" cm="1">
        <f t="array" aca="1" ref="K30" ca="1">IF(LEN($A30)&gt;1,SUMIFS(AssetDDepR,AssetClass,$A30),"")</f>
        <v/>
      </c>
      <c r="L30" s="36" t="str">
        <f t="shared" ca="1" si="2"/>
        <v/>
      </c>
      <c r="M30" s="36" t="str" cm="1">
        <f t="array" aca="1" ref="M30" ca="1">IF(LEN($A30)&gt;1,SUMIFS(AssetDRev,AssetClass,$A30),"")</f>
        <v/>
      </c>
      <c r="N30" s="36" t="str" cm="1">
        <f t="array" aca="1" ref="N30" ca="1">IF(LEN($A30)&gt;1,SUMIFS(AssetDDis,AssetClass,$A30),"")</f>
        <v/>
      </c>
      <c r="O30" s="36" t="str">
        <f t="shared" ca="1" si="3"/>
        <v/>
      </c>
      <c r="P30" s="36" t="str">
        <f t="shared" ca="1" si="4"/>
        <v/>
      </c>
      <c r="Q30" s="36" t="str" cm="1">
        <f t="array" aca="1" ref="Q30" ca="1">IF(LEN($A30)&gt;1,SUMIFS(AssetROB,AssetClass,$A30),"")</f>
        <v/>
      </c>
      <c r="R30" s="36" t="str" cm="1">
        <f t="array" aca="1" ref="R30" ca="1">IF(LEN($A30)&gt;1,SUMIFS(AssetRMove,AssetClass,$A30),"")</f>
        <v/>
      </c>
      <c r="S30" s="36" t="str">
        <f t="shared" ca="1" si="5"/>
        <v/>
      </c>
      <c r="T30" s="36" t="str">
        <f t="shared" ca="1" si="6"/>
        <v/>
      </c>
      <c r="U30" s="36" t="str" cm="1">
        <f t="array" aca="1" ref="U30" ca="1">IF(LEN($A30)&gt;1,SUMIFS(AssetIWO,AssetClass,$A30),"")</f>
        <v/>
      </c>
      <c r="V30" s="36" t="str" cm="1">
        <f t="array" aca="1" ref="V30" ca="1">IF(LEN($A30)&gt;1,SUMIFS(AssetPLoss,AssetClass,$A30),"")</f>
        <v/>
      </c>
      <c r="W30" s="36" t="str" cm="1">
        <f t="array" aca="1" ref="W30" ca="1">IF(LEN($A30)&gt;1,SUMIFS(AssetMCost,AssetClass,$A30),"")</f>
        <v/>
      </c>
      <c r="X30" s="36" t="str" cm="1">
        <f t="array" aca="1" ref="X30" ca="1">IF(LEN($A30)&gt;1,SUMIFS(AssetMRev,AssetClass,$A30),"")</f>
        <v/>
      </c>
      <c r="Y30" s="36" t="str">
        <f t="shared" ca="1" si="7"/>
        <v/>
      </c>
    </row>
    <row r="31" spans="1:25" ht="16" customHeight="1" x14ac:dyDescent="0.25">
      <c r="A31" s="3" t="str" cm="1">
        <f t="array" aca="1" ref="A31" ca="1">IF(ROW($B31)-ROW($B$5)&gt;ClassCount,"",OFFSET('Set-up'!$A$12,ROW($B31)-ROW($B$5),0,1,1))</f>
        <v/>
      </c>
      <c r="B31" s="3" t="str">
        <f t="shared" ca="1" si="0"/>
        <v/>
      </c>
      <c r="C31" s="36" t="str" cm="1">
        <f t="array" aca="1" ref="C31" ca="1">IF(LEN($A31)&gt;1,SUMIFS(AssetCOB,AssetClass,$A31),"")</f>
        <v/>
      </c>
      <c r="D31" s="36" t="str" cm="1">
        <f t="array" aca="1" ref="D31" ca="1">IF(LEN($A31)&gt;1,SUMIFS(AssetCAdd,AssetClass,$A31),"")</f>
        <v/>
      </c>
      <c r="E31" s="36" t="str" cm="1">
        <f t="array" aca="1" ref="E31" ca="1">IF(LEN($A31)&gt;1,SUMIFS(AssetCRev,AssetClass,$A31),"")</f>
        <v/>
      </c>
      <c r="F31" s="36" t="str" cm="1">
        <f t="array" aca="1" ref="F31" ca="1">IF(LEN($A31)&gt;1,SUMIFS(AssetCDis,AssetClass,$A31),"")</f>
        <v/>
      </c>
      <c r="G31" s="36" t="str" cm="1">
        <f t="array" aca="1" ref="G31" ca="1">IF(LEN($A31)&gt;1,SUMIFS(AssetCImp,AssetClass,$A31),"")</f>
        <v/>
      </c>
      <c r="H31" s="36" t="str">
        <f t="shared" ca="1" si="1"/>
        <v/>
      </c>
      <c r="I31" s="36" t="str" cm="1">
        <f t="array" aca="1" ref="I31" ca="1">IF(LEN($A31)&gt;1,SUMIFS(AssetDOB,AssetClass,$A31),"")</f>
        <v/>
      </c>
      <c r="J31" s="36" t="str" cm="1">
        <f t="array" aca="1" ref="J31" ca="1">IF(LEN($A31)&gt;1,SUMIFS(AssetDDepC,AssetClass,$A31),"")</f>
        <v/>
      </c>
      <c r="K31" s="36" t="str" cm="1">
        <f t="array" aca="1" ref="K31" ca="1">IF(LEN($A31)&gt;1,SUMIFS(AssetDDepR,AssetClass,$A31),"")</f>
        <v/>
      </c>
      <c r="L31" s="36" t="str">
        <f t="shared" ca="1" si="2"/>
        <v/>
      </c>
      <c r="M31" s="36" t="str" cm="1">
        <f t="array" aca="1" ref="M31" ca="1">IF(LEN($A31)&gt;1,SUMIFS(AssetDRev,AssetClass,$A31),"")</f>
        <v/>
      </c>
      <c r="N31" s="36" t="str" cm="1">
        <f t="array" aca="1" ref="N31" ca="1">IF(LEN($A31)&gt;1,SUMIFS(AssetDDis,AssetClass,$A31),"")</f>
        <v/>
      </c>
      <c r="O31" s="36" t="str">
        <f t="shared" ca="1" si="3"/>
        <v/>
      </c>
      <c r="P31" s="36" t="str">
        <f t="shared" ca="1" si="4"/>
        <v/>
      </c>
      <c r="Q31" s="36" t="str" cm="1">
        <f t="array" aca="1" ref="Q31" ca="1">IF(LEN($A31)&gt;1,SUMIFS(AssetROB,AssetClass,$A31),"")</f>
        <v/>
      </c>
      <c r="R31" s="36" t="str" cm="1">
        <f t="array" aca="1" ref="R31" ca="1">IF(LEN($A31)&gt;1,SUMIFS(AssetRMove,AssetClass,$A31),"")</f>
        <v/>
      </c>
      <c r="S31" s="36" t="str">
        <f t="shared" ca="1" si="5"/>
        <v/>
      </c>
      <c r="T31" s="36" t="str">
        <f t="shared" ca="1" si="6"/>
        <v/>
      </c>
      <c r="U31" s="36" t="str" cm="1">
        <f t="array" aca="1" ref="U31" ca="1">IF(LEN($A31)&gt;1,SUMIFS(AssetIWO,AssetClass,$A31),"")</f>
        <v/>
      </c>
      <c r="V31" s="36" t="str" cm="1">
        <f t="array" aca="1" ref="V31" ca="1">IF(LEN($A31)&gt;1,SUMIFS(AssetPLoss,AssetClass,$A31),"")</f>
        <v/>
      </c>
      <c r="W31" s="36" t="str" cm="1">
        <f t="array" aca="1" ref="W31" ca="1">IF(LEN($A31)&gt;1,SUMIFS(AssetMCost,AssetClass,$A31),"")</f>
        <v/>
      </c>
      <c r="X31" s="36" t="str" cm="1">
        <f t="array" aca="1" ref="X31" ca="1">IF(LEN($A31)&gt;1,SUMIFS(AssetMRev,AssetClass,$A31),"")</f>
        <v/>
      </c>
      <c r="Y31" s="36" t="str">
        <f t="shared" ca="1" si="7"/>
        <v/>
      </c>
    </row>
    <row r="32" spans="1:25" ht="16" customHeight="1" x14ac:dyDescent="0.25">
      <c r="A32" s="3" t="str" cm="1">
        <f t="array" aca="1" ref="A32" ca="1">IF(ROW($B32)-ROW($B$5)&gt;ClassCount,"",OFFSET('Set-up'!$A$12,ROW($B32)-ROW($B$5),0,1,1))</f>
        <v/>
      </c>
      <c r="B32" s="3" t="str">
        <f t="shared" ca="1" si="0"/>
        <v/>
      </c>
      <c r="C32" s="36" t="str" cm="1">
        <f t="array" aca="1" ref="C32" ca="1">IF(LEN($A32)&gt;1,SUMIFS(AssetCOB,AssetClass,$A32),"")</f>
        <v/>
      </c>
      <c r="D32" s="36" t="str" cm="1">
        <f t="array" aca="1" ref="D32" ca="1">IF(LEN($A32)&gt;1,SUMIFS(AssetCAdd,AssetClass,$A32),"")</f>
        <v/>
      </c>
      <c r="E32" s="36" t="str" cm="1">
        <f t="array" aca="1" ref="E32" ca="1">IF(LEN($A32)&gt;1,SUMIFS(AssetCRev,AssetClass,$A32),"")</f>
        <v/>
      </c>
      <c r="F32" s="36" t="str" cm="1">
        <f t="array" aca="1" ref="F32" ca="1">IF(LEN($A32)&gt;1,SUMIFS(AssetCDis,AssetClass,$A32),"")</f>
        <v/>
      </c>
      <c r="G32" s="36" t="str" cm="1">
        <f t="array" aca="1" ref="G32" ca="1">IF(LEN($A32)&gt;1,SUMIFS(AssetCImp,AssetClass,$A32),"")</f>
        <v/>
      </c>
      <c r="H32" s="36" t="str">
        <f t="shared" ca="1" si="1"/>
        <v/>
      </c>
      <c r="I32" s="36" t="str" cm="1">
        <f t="array" aca="1" ref="I32" ca="1">IF(LEN($A32)&gt;1,SUMIFS(AssetDOB,AssetClass,$A32),"")</f>
        <v/>
      </c>
      <c r="J32" s="36" t="str" cm="1">
        <f t="array" aca="1" ref="J32" ca="1">IF(LEN($A32)&gt;1,SUMIFS(AssetDDepC,AssetClass,$A32),"")</f>
        <v/>
      </c>
      <c r="K32" s="36" t="str" cm="1">
        <f t="array" aca="1" ref="K32" ca="1">IF(LEN($A32)&gt;1,SUMIFS(AssetDDepR,AssetClass,$A32),"")</f>
        <v/>
      </c>
      <c r="L32" s="36" t="str">
        <f t="shared" ca="1" si="2"/>
        <v/>
      </c>
      <c r="M32" s="36" t="str" cm="1">
        <f t="array" aca="1" ref="M32" ca="1">IF(LEN($A32)&gt;1,SUMIFS(AssetDRev,AssetClass,$A32),"")</f>
        <v/>
      </c>
      <c r="N32" s="36" t="str" cm="1">
        <f t="array" aca="1" ref="N32" ca="1">IF(LEN($A32)&gt;1,SUMIFS(AssetDDis,AssetClass,$A32),"")</f>
        <v/>
      </c>
      <c r="O32" s="36" t="str">
        <f t="shared" ca="1" si="3"/>
        <v/>
      </c>
      <c r="P32" s="36" t="str">
        <f t="shared" ca="1" si="4"/>
        <v/>
      </c>
      <c r="Q32" s="36" t="str" cm="1">
        <f t="array" aca="1" ref="Q32" ca="1">IF(LEN($A32)&gt;1,SUMIFS(AssetROB,AssetClass,$A32),"")</f>
        <v/>
      </c>
      <c r="R32" s="36" t="str" cm="1">
        <f t="array" aca="1" ref="R32" ca="1">IF(LEN($A32)&gt;1,SUMIFS(AssetRMove,AssetClass,$A32),"")</f>
        <v/>
      </c>
      <c r="S32" s="36" t="str">
        <f t="shared" ca="1" si="5"/>
        <v/>
      </c>
      <c r="T32" s="36" t="str">
        <f t="shared" ca="1" si="6"/>
        <v/>
      </c>
      <c r="U32" s="36" t="str" cm="1">
        <f t="array" aca="1" ref="U32" ca="1">IF(LEN($A32)&gt;1,SUMIFS(AssetIWO,AssetClass,$A32),"")</f>
        <v/>
      </c>
      <c r="V32" s="36" t="str" cm="1">
        <f t="array" aca="1" ref="V32" ca="1">IF(LEN($A32)&gt;1,SUMIFS(AssetPLoss,AssetClass,$A32),"")</f>
        <v/>
      </c>
      <c r="W32" s="36" t="str" cm="1">
        <f t="array" aca="1" ref="W32" ca="1">IF(LEN($A32)&gt;1,SUMIFS(AssetMCost,AssetClass,$A32),"")</f>
        <v/>
      </c>
      <c r="X32" s="36" t="str" cm="1">
        <f t="array" aca="1" ref="X32" ca="1">IF(LEN($A32)&gt;1,SUMIFS(AssetMRev,AssetClass,$A32),"")</f>
        <v/>
      </c>
      <c r="Y32" s="36" t="str">
        <f t="shared" ca="1" si="7"/>
        <v/>
      </c>
    </row>
    <row r="33" spans="1:25" ht="16" customHeight="1" x14ac:dyDescent="0.25">
      <c r="A33" s="3" t="str" cm="1">
        <f t="array" aca="1" ref="A33" ca="1">IF(ROW($B33)-ROW($B$5)&gt;ClassCount,"",OFFSET('Set-up'!$A$12,ROW($B33)-ROW($B$5),0,1,1))</f>
        <v/>
      </c>
      <c r="B33" s="3" t="str">
        <f t="shared" ca="1" si="0"/>
        <v/>
      </c>
      <c r="C33" s="36" t="str" cm="1">
        <f t="array" aca="1" ref="C33" ca="1">IF(LEN($A33)&gt;1,SUMIFS(AssetCOB,AssetClass,$A33),"")</f>
        <v/>
      </c>
      <c r="D33" s="36" t="str" cm="1">
        <f t="array" aca="1" ref="D33" ca="1">IF(LEN($A33)&gt;1,SUMIFS(AssetCAdd,AssetClass,$A33),"")</f>
        <v/>
      </c>
      <c r="E33" s="36" t="str" cm="1">
        <f t="array" aca="1" ref="E33" ca="1">IF(LEN($A33)&gt;1,SUMIFS(AssetCRev,AssetClass,$A33),"")</f>
        <v/>
      </c>
      <c r="F33" s="36" t="str" cm="1">
        <f t="array" aca="1" ref="F33" ca="1">IF(LEN($A33)&gt;1,SUMIFS(AssetCDis,AssetClass,$A33),"")</f>
        <v/>
      </c>
      <c r="G33" s="36" t="str" cm="1">
        <f t="array" aca="1" ref="G33" ca="1">IF(LEN($A33)&gt;1,SUMIFS(AssetCImp,AssetClass,$A33),"")</f>
        <v/>
      </c>
      <c r="H33" s="36" t="str">
        <f t="shared" ca="1" si="1"/>
        <v/>
      </c>
      <c r="I33" s="36" t="str" cm="1">
        <f t="array" aca="1" ref="I33" ca="1">IF(LEN($A33)&gt;1,SUMIFS(AssetDOB,AssetClass,$A33),"")</f>
        <v/>
      </c>
      <c r="J33" s="36" t="str" cm="1">
        <f t="array" aca="1" ref="J33" ca="1">IF(LEN($A33)&gt;1,SUMIFS(AssetDDepC,AssetClass,$A33),"")</f>
        <v/>
      </c>
      <c r="K33" s="36" t="str" cm="1">
        <f t="array" aca="1" ref="K33" ca="1">IF(LEN($A33)&gt;1,SUMIFS(AssetDDepR,AssetClass,$A33),"")</f>
        <v/>
      </c>
      <c r="L33" s="36" t="str">
        <f t="shared" ca="1" si="2"/>
        <v/>
      </c>
      <c r="M33" s="36" t="str" cm="1">
        <f t="array" aca="1" ref="M33" ca="1">IF(LEN($A33)&gt;1,SUMIFS(AssetDRev,AssetClass,$A33),"")</f>
        <v/>
      </c>
      <c r="N33" s="36" t="str" cm="1">
        <f t="array" aca="1" ref="N33" ca="1">IF(LEN($A33)&gt;1,SUMIFS(AssetDDis,AssetClass,$A33),"")</f>
        <v/>
      </c>
      <c r="O33" s="36" t="str">
        <f t="shared" ca="1" si="3"/>
        <v/>
      </c>
      <c r="P33" s="36" t="str">
        <f t="shared" ca="1" si="4"/>
        <v/>
      </c>
      <c r="Q33" s="36" t="str" cm="1">
        <f t="array" aca="1" ref="Q33" ca="1">IF(LEN($A33)&gt;1,SUMIFS(AssetROB,AssetClass,$A33),"")</f>
        <v/>
      </c>
      <c r="R33" s="36" t="str" cm="1">
        <f t="array" aca="1" ref="R33" ca="1">IF(LEN($A33)&gt;1,SUMIFS(AssetRMove,AssetClass,$A33),"")</f>
        <v/>
      </c>
      <c r="S33" s="36" t="str">
        <f t="shared" ca="1" si="5"/>
        <v/>
      </c>
      <c r="T33" s="36" t="str">
        <f t="shared" ca="1" si="6"/>
        <v/>
      </c>
      <c r="U33" s="36" t="str" cm="1">
        <f t="array" aca="1" ref="U33" ca="1">IF(LEN($A33)&gt;1,SUMIFS(AssetIWO,AssetClass,$A33),"")</f>
        <v/>
      </c>
      <c r="V33" s="36" t="str" cm="1">
        <f t="array" aca="1" ref="V33" ca="1">IF(LEN($A33)&gt;1,SUMIFS(AssetPLoss,AssetClass,$A33),"")</f>
        <v/>
      </c>
      <c r="W33" s="36" t="str" cm="1">
        <f t="array" aca="1" ref="W33" ca="1">IF(LEN($A33)&gt;1,SUMIFS(AssetMCost,AssetClass,$A33),"")</f>
        <v/>
      </c>
      <c r="X33" s="36" t="str" cm="1">
        <f t="array" aca="1" ref="X33" ca="1">IF(LEN($A33)&gt;1,SUMIFS(AssetMRev,AssetClass,$A33),"")</f>
        <v/>
      </c>
      <c r="Y33" s="36" t="str">
        <f t="shared" ca="1" si="7"/>
        <v/>
      </c>
    </row>
    <row r="34" spans="1:25" ht="16" customHeight="1" x14ac:dyDescent="0.25">
      <c r="A34" s="3" t="str" cm="1">
        <f t="array" aca="1" ref="A34" ca="1">IF(ROW($B34)-ROW($B$5)&gt;ClassCount,"",OFFSET('Set-up'!$A$12,ROW($B34)-ROW($B$5),0,1,1))</f>
        <v/>
      </c>
      <c r="B34" s="3" t="str">
        <f t="shared" ca="1" si="0"/>
        <v/>
      </c>
      <c r="C34" s="36" t="str" cm="1">
        <f t="array" aca="1" ref="C34" ca="1">IF(LEN($A34)&gt;1,SUMIFS(AssetCOB,AssetClass,$A34),"")</f>
        <v/>
      </c>
      <c r="D34" s="36" t="str" cm="1">
        <f t="array" aca="1" ref="D34" ca="1">IF(LEN($A34)&gt;1,SUMIFS(AssetCAdd,AssetClass,$A34),"")</f>
        <v/>
      </c>
      <c r="E34" s="36" t="str" cm="1">
        <f t="array" aca="1" ref="E34" ca="1">IF(LEN($A34)&gt;1,SUMIFS(AssetCRev,AssetClass,$A34),"")</f>
        <v/>
      </c>
      <c r="F34" s="36" t="str" cm="1">
        <f t="array" aca="1" ref="F34" ca="1">IF(LEN($A34)&gt;1,SUMIFS(AssetCDis,AssetClass,$A34),"")</f>
        <v/>
      </c>
      <c r="G34" s="36" t="str" cm="1">
        <f t="array" aca="1" ref="G34" ca="1">IF(LEN($A34)&gt;1,SUMIFS(AssetCImp,AssetClass,$A34),"")</f>
        <v/>
      </c>
      <c r="H34" s="36" t="str">
        <f t="shared" ca="1" si="1"/>
        <v/>
      </c>
      <c r="I34" s="36" t="str" cm="1">
        <f t="array" aca="1" ref="I34" ca="1">IF(LEN($A34)&gt;1,SUMIFS(AssetDOB,AssetClass,$A34),"")</f>
        <v/>
      </c>
      <c r="J34" s="36" t="str" cm="1">
        <f t="array" aca="1" ref="J34" ca="1">IF(LEN($A34)&gt;1,SUMIFS(AssetDDepC,AssetClass,$A34),"")</f>
        <v/>
      </c>
      <c r="K34" s="36" t="str" cm="1">
        <f t="array" aca="1" ref="K34" ca="1">IF(LEN($A34)&gt;1,SUMIFS(AssetDDepR,AssetClass,$A34),"")</f>
        <v/>
      </c>
      <c r="L34" s="36" t="str">
        <f t="shared" ca="1" si="2"/>
        <v/>
      </c>
      <c r="M34" s="36" t="str" cm="1">
        <f t="array" aca="1" ref="M34" ca="1">IF(LEN($A34)&gt;1,SUMIFS(AssetDRev,AssetClass,$A34),"")</f>
        <v/>
      </c>
      <c r="N34" s="36" t="str" cm="1">
        <f t="array" aca="1" ref="N34" ca="1">IF(LEN($A34)&gt;1,SUMIFS(AssetDDis,AssetClass,$A34),"")</f>
        <v/>
      </c>
      <c r="O34" s="36" t="str">
        <f t="shared" ca="1" si="3"/>
        <v/>
      </c>
      <c r="P34" s="36" t="str">
        <f t="shared" ca="1" si="4"/>
        <v/>
      </c>
      <c r="Q34" s="36" t="str" cm="1">
        <f t="array" aca="1" ref="Q34" ca="1">IF(LEN($A34)&gt;1,SUMIFS(AssetROB,AssetClass,$A34),"")</f>
        <v/>
      </c>
      <c r="R34" s="36" t="str" cm="1">
        <f t="array" aca="1" ref="R34" ca="1">IF(LEN($A34)&gt;1,SUMIFS(AssetRMove,AssetClass,$A34),"")</f>
        <v/>
      </c>
      <c r="S34" s="36" t="str">
        <f t="shared" ca="1" si="5"/>
        <v/>
      </c>
      <c r="T34" s="36" t="str">
        <f t="shared" ca="1" si="6"/>
        <v/>
      </c>
      <c r="U34" s="36" t="str" cm="1">
        <f t="array" aca="1" ref="U34" ca="1">IF(LEN($A34)&gt;1,SUMIFS(AssetIWO,AssetClass,$A34),"")</f>
        <v/>
      </c>
      <c r="V34" s="36" t="str" cm="1">
        <f t="array" aca="1" ref="V34" ca="1">IF(LEN($A34)&gt;1,SUMIFS(AssetPLoss,AssetClass,$A34),"")</f>
        <v/>
      </c>
      <c r="W34" s="36" t="str" cm="1">
        <f t="array" aca="1" ref="W34" ca="1">IF(LEN($A34)&gt;1,SUMIFS(AssetMCost,AssetClass,$A34),"")</f>
        <v/>
      </c>
      <c r="X34" s="36" t="str" cm="1">
        <f t="array" aca="1" ref="X34" ca="1">IF(LEN($A34)&gt;1,SUMIFS(AssetMRev,AssetClass,$A34),"")</f>
        <v/>
      </c>
      <c r="Y34" s="36" t="str">
        <f t="shared" ca="1" si="7"/>
        <v/>
      </c>
    </row>
  </sheetData>
  <sheetProtection formatCells="0" formatColumns="0" formatRows="0"/>
  <mergeCells count="7">
    <mergeCell ref="W4:Y4"/>
    <mergeCell ref="C4:H4"/>
    <mergeCell ref="I4:O4"/>
    <mergeCell ref="P4:P5"/>
    <mergeCell ref="Q4:T4"/>
    <mergeCell ref="U4:U5"/>
    <mergeCell ref="V4:V5"/>
  </mergeCells>
  <pageMargins left="0.55118110236220474" right="0.55118110236220474" top="0.59055118110236227" bottom="0.59055118110236227" header="0.39370078740157483" footer="0.39370078740157483"/>
  <pageSetup paperSize="9" scale="55" orientation="landscape" r:id="rId1"/>
  <headerFooter>
    <oddFooter>&amp;C&amp;9Page &amp;P of &amp;N</oddFooter>
  </headerFooter>
  <colBreaks count="1" manualBreakCount="1">
    <brk id="16"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AT35"/>
  <sheetViews>
    <sheetView zoomScale="95" zoomScaleNormal="95" workbookViewId="0">
      <pane xSplit="2" ySplit="5" topLeftCell="C6" activePane="bottomRight" state="frozen"/>
      <selection pane="topRight" activeCell="C1" sqref="C1"/>
      <selection pane="bottomLeft" activeCell="A6" sqref="A6"/>
      <selection pane="bottomRight" activeCell="A5" sqref="A5"/>
    </sheetView>
  </sheetViews>
  <sheetFormatPr defaultColWidth="9.08984375" defaultRowHeight="16" customHeight="1" x14ac:dyDescent="0.25"/>
  <cols>
    <col min="1" max="1" width="10.6328125" style="3" customWidth="1"/>
    <col min="2" max="2" width="33.6328125" style="3" customWidth="1"/>
    <col min="3" max="3" width="12.6328125" style="3" customWidth="1"/>
    <col min="4" max="4" width="15.6328125" style="3" customWidth="1"/>
    <col min="5" max="5" width="12.6328125" style="3" customWidth="1"/>
    <col min="6" max="6" width="15.6328125" style="3" customWidth="1"/>
    <col min="7" max="7" width="12.6328125" style="3" customWidth="1"/>
    <col min="8" max="8" width="15.6328125" style="3" customWidth="1"/>
    <col min="9" max="9" width="12.6328125" style="3" customWidth="1"/>
    <col min="10" max="10" width="15.6328125" style="3" customWidth="1"/>
    <col min="11" max="11" width="12.6328125" style="8" customWidth="1"/>
    <col min="12" max="12" width="15.6328125" style="28" customWidth="1"/>
    <col min="13" max="13" width="10.6328125" style="8" customWidth="1"/>
    <col min="14" max="14" width="15.6328125" style="28" customWidth="1"/>
    <col min="15" max="15" width="12.6328125" style="3" customWidth="1"/>
    <col min="16" max="16" width="15.6328125" style="3" customWidth="1"/>
    <col min="17" max="17" width="12.6328125" style="3" customWidth="1"/>
    <col min="18" max="18" width="15.6328125" style="3" customWidth="1"/>
    <col min="19" max="19" width="12.6328125" style="3" customWidth="1"/>
    <col min="20" max="20" width="15.6328125" style="3" customWidth="1"/>
    <col min="21" max="21" width="12.6328125" style="3" customWidth="1"/>
    <col min="22" max="22" width="15.6328125" style="3" customWidth="1"/>
    <col min="23" max="23" width="12.6328125" style="3" customWidth="1"/>
    <col min="24" max="24" width="15.6328125" style="3" customWidth="1"/>
    <col min="25" max="25" width="12.6328125" style="3" customWidth="1"/>
    <col min="26" max="26" width="15.6328125" style="3" customWidth="1"/>
    <col min="27" max="27" width="12.6328125" style="3" customWidth="1"/>
    <col min="28" max="28" width="15.6328125" style="3" customWidth="1"/>
    <col min="29" max="29" width="12.6328125" style="3" customWidth="1"/>
    <col min="30" max="30" width="15.6328125" style="3" customWidth="1"/>
    <col min="31" max="31" width="12.6328125" style="3" customWidth="1"/>
    <col min="32" max="32" width="15.6328125" style="3" customWidth="1"/>
    <col min="33" max="33" width="12.6328125" style="3" customWidth="1"/>
    <col min="34" max="34" width="15.6328125" style="3" customWidth="1"/>
    <col min="35" max="35" width="12.6328125" style="3" customWidth="1"/>
    <col min="36" max="36" width="15.6328125" style="3" customWidth="1"/>
    <col min="37" max="37" width="12.6328125" style="3" customWidth="1"/>
    <col min="38" max="38" width="15.6328125" style="3" customWidth="1"/>
    <col min="39" max="39" width="12.6328125" style="3" customWidth="1"/>
    <col min="40" max="40" width="15.6328125" style="3" customWidth="1"/>
    <col min="41" max="41" width="12.6328125" style="3" customWidth="1"/>
    <col min="42" max="42" width="15.6328125" style="3" customWidth="1"/>
    <col min="43" max="43" width="12.6328125" style="3" customWidth="1"/>
    <col min="44" max="44" width="15.6328125" style="3" customWidth="1"/>
    <col min="45" max="45" width="12.6328125" style="3" customWidth="1"/>
    <col min="46" max="46" width="15.6328125" style="3" customWidth="1"/>
    <col min="47" max="16384" width="9.08984375" style="3"/>
  </cols>
  <sheetData>
    <row r="1" spans="1:46" ht="16" customHeight="1" x14ac:dyDescent="0.3">
      <c r="A1" s="88" t="str">
        <f>'Set-up'!$C$5</f>
        <v>Example (Pty) Ltd</v>
      </c>
      <c r="L1" s="81"/>
      <c r="N1" s="81"/>
    </row>
    <row r="2" spans="1:46" ht="16" customHeight="1" x14ac:dyDescent="0.25">
      <c r="A2" s="18" t="s">
        <v>166</v>
      </c>
      <c r="D2" s="82" t="s">
        <v>170</v>
      </c>
      <c r="E2" s="17" t="s">
        <v>258</v>
      </c>
      <c r="L2" s="3"/>
      <c r="M2" s="3"/>
      <c r="N2" s="81"/>
    </row>
    <row r="3" spans="1:46" s="5" customFormat="1" ht="16" customHeight="1" x14ac:dyDescent="0.25">
      <c r="A3" s="18" t="str">
        <f ca="1">IF($E$2="MTD","From "&amp;TEXT(Assets!$J$2,"d mmmm yyyy")&amp;" to "&amp;TEXT(Assets!$I$2,"d mmmm yyyy"),"From "&amp;TEXT(Assets!$H$2,"d mmmm yyyy")&amp;" to "&amp;TEXT(Assets!$I$2,"d mmmm yyyy"))</f>
        <v>From 1 March 2020 to 28 February 2021</v>
      </c>
      <c r="D3" s="83" cm="1">
        <f t="array" aca="1" ref="D3" ca="1">SUBTOTAL(109,OFFSET(D$5,1,0,JnlCount,1))</f>
        <v>391165.11666666664</v>
      </c>
      <c r="F3" s="83" cm="1">
        <f t="array" aca="1" ref="F3" ca="1">SUBTOTAL(109,OFFSET(F$5,1,0,JnlCount,1))</f>
        <v>-391165.11666666664</v>
      </c>
      <c r="H3" s="83" cm="1">
        <f t="array" aca="1" ref="H3" ca="1">SUBTOTAL(109,OFFSET(H$5,1,0,JnlCount,1))</f>
        <v>8654.5000000000055</v>
      </c>
      <c r="J3" s="83" cm="1">
        <f t="array" aca="1" ref="J3" ca="1">SUBTOTAL(109,OFFSET(J$5,1,0,JnlCount,1))</f>
        <v>-8654.5000000000055</v>
      </c>
      <c r="K3" s="18"/>
      <c r="L3" s="83" cm="1">
        <f t="array" aca="1" ref="L3" ca="1">SUBTOTAL(109,OFFSET(L$5,1,0,JnlCount,1))</f>
        <v>375919</v>
      </c>
      <c r="M3" s="18"/>
      <c r="N3" s="83" cm="1">
        <f t="array" aca="1" ref="N3" ca="1">SUBTOTAL(109,OFFSET(N$5,1,0,JnlCount,1))</f>
        <v>-375919</v>
      </c>
      <c r="P3" s="83" cm="1">
        <f t="array" aca="1" ref="P3" ca="1">SUBTOTAL(109,OFFSET(P$5,1,0,JnlCount,1))</f>
        <v>-4076950</v>
      </c>
      <c r="R3" s="83" cm="1">
        <f t="array" aca="1" ref="R3" ca="1">SUBTOTAL(109,OFFSET(R$5,1,0,JnlCount,1))</f>
        <v>4076950</v>
      </c>
      <c r="T3" s="83" cm="1">
        <f t="array" aca="1" ref="T3" ca="1">SUBTOTAL(109,OFFSET(T$5,1,0,JnlCount,1))</f>
        <v>-5397789.3611111119</v>
      </c>
      <c r="V3" s="83" cm="1">
        <f t="array" aca="1" ref="V3" ca="1">SUBTOTAL(109,OFFSET(V$5,1,0,JnlCount,1))</f>
        <v>5397789.3611111119</v>
      </c>
      <c r="X3" s="83" cm="1">
        <f t="array" aca="1" ref="X3" ca="1">SUBTOTAL(109,OFFSET(X$5,1,0,JnlCount,1))</f>
        <v>200000</v>
      </c>
      <c r="Z3" s="83" cm="1">
        <f t="array" aca="1" ref="Z3" ca="1">SUBTOTAL(109,OFFSET(Z$5,1,0,JnlCount,1))</f>
        <v>-200000</v>
      </c>
      <c r="AB3" s="83" cm="1">
        <f t="array" aca="1" ref="AB3" ca="1">SUBTOTAL(109,OFFSET(AB$5,1,0,JnlCount,1))</f>
        <v>191000</v>
      </c>
      <c r="AD3" s="83" cm="1">
        <f t="array" aca="1" ref="AD3" ca="1">SUBTOTAL(109,OFFSET(AD$5,1,0,JnlCount,1))</f>
        <v>-191000</v>
      </c>
      <c r="AF3" s="83" cm="1">
        <f t="array" aca="1" ref="AF3" ca="1">SUBTOTAL(109,OFFSET(AF$5,1,0,JnlCount,1))</f>
        <v>235000</v>
      </c>
      <c r="AH3" s="83" cm="1">
        <f t="array" aca="1" ref="AH3" ca="1">SUBTOTAL(109,OFFSET(AH$5,1,0,JnlCount,1))</f>
        <v>-235000</v>
      </c>
      <c r="AJ3" s="83" cm="1">
        <f t="array" aca="1" ref="AJ3" ca="1">SUBTOTAL(109,OFFSET(AJ$5,1,0,JnlCount,1))</f>
        <v>35833.333333333328</v>
      </c>
      <c r="AL3" s="83" cm="1">
        <f t="array" aca="1" ref="AL3" ca="1">SUBTOTAL(109,OFFSET(AL$5,1,0,JnlCount,1))</f>
        <v>-35833.333333333328</v>
      </c>
      <c r="AN3" s="83" cm="1">
        <f t="array" aca="1" ref="AN3" ca="1">SUBTOTAL(109,OFFSET(AN$5,1,0,JnlCount,1))</f>
        <v>160156.66666666669</v>
      </c>
      <c r="AP3" s="83" cm="1">
        <f t="array" aca="1" ref="AP3" ca="1">SUBTOTAL(109,OFFSET(AP$5,1,0,JnlCount,1))</f>
        <v>-160156.66666666669</v>
      </c>
      <c r="AR3" s="83" cm="1">
        <f t="array" aca="1" ref="AR3" ca="1">SUBTOTAL(109,OFFSET(AR$5,1,0,JnlCount,1))</f>
        <v>-78707.819999999992</v>
      </c>
      <c r="AT3" s="83" cm="1">
        <f t="array" aca="1" ref="AT3" ca="1">SUBTOTAL(109,OFFSET(AT$5,1,0,JnlCount,1))</f>
        <v>78707.819999999992</v>
      </c>
    </row>
    <row r="4" spans="1:46" s="50" customFormat="1" ht="18" customHeight="1" x14ac:dyDescent="0.25">
      <c r="A4" s="62" t="s">
        <v>363</v>
      </c>
      <c r="C4" s="123" t="s">
        <v>180</v>
      </c>
      <c r="D4" s="124"/>
      <c r="E4" s="124"/>
      <c r="F4" s="125"/>
      <c r="G4" s="123" t="s">
        <v>181</v>
      </c>
      <c r="H4" s="124"/>
      <c r="I4" s="124"/>
      <c r="J4" s="125"/>
      <c r="K4" s="123" t="s">
        <v>114</v>
      </c>
      <c r="L4" s="124"/>
      <c r="M4" s="124"/>
      <c r="N4" s="125"/>
      <c r="O4" s="123" t="s">
        <v>171</v>
      </c>
      <c r="P4" s="124"/>
      <c r="Q4" s="124"/>
      <c r="R4" s="125"/>
      <c r="S4" s="123" t="s">
        <v>173</v>
      </c>
      <c r="T4" s="124"/>
      <c r="U4" s="124"/>
      <c r="V4" s="125"/>
      <c r="W4" s="123" t="s">
        <v>174</v>
      </c>
      <c r="X4" s="124"/>
      <c r="Y4" s="124"/>
      <c r="Z4" s="125"/>
      <c r="AA4" s="123" t="s">
        <v>178</v>
      </c>
      <c r="AB4" s="124"/>
      <c r="AC4" s="124"/>
      <c r="AD4" s="125"/>
      <c r="AE4" s="123" t="s">
        <v>177</v>
      </c>
      <c r="AF4" s="124"/>
      <c r="AG4" s="124"/>
      <c r="AH4" s="125"/>
      <c r="AI4" s="123" t="s">
        <v>179</v>
      </c>
      <c r="AJ4" s="124"/>
      <c r="AK4" s="124"/>
      <c r="AL4" s="125"/>
      <c r="AM4" s="123" t="s">
        <v>185</v>
      </c>
      <c r="AN4" s="124"/>
      <c r="AO4" s="124"/>
      <c r="AP4" s="125"/>
      <c r="AQ4" s="123" t="s">
        <v>245</v>
      </c>
      <c r="AR4" s="124"/>
      <c r="AS4" s="124"/>
      <c r="AT4" s="125"/>
    </row>
    <row r="5" spans="1:46" s="86" customFormat="1" ht="18" customHeight="1" x14ac:dyDescent="0.25">
      <c r="A5" s="84" t="s">
        <v>21</v>
      </c>
      <c r="B5" s="84" t="s">
        <v>5</v>
      </c>
      <c r="C5" s="84" t="s">
        <v>182</v>
      </c>
      <c r="D5" s="85" t="s">
        <v>84</v>
      </c>
      <c r="E5" s="84" t="s">
        <v>182</v>
      </c>
      <c r="F5" s="85" t="s">
        <v>84</v>
      </c>
      <c r="G5" s="84" t="s">
        <v>182</v>
      </c>
      <c r="H5" s="85" t="s">
        <v>84</v>
      </c>
      <c r="I5" s="84" t="s">
        <v>182</v>
      </c>
      <c r="J5" s="85" t="s">
        <v>84</v>
      </c>
      <c r="K5" s="84" t="s">
        <v>182</v>
      </c>
      <c r="L5" s="85" t="s">
        <v>84</v>
      </c>
      <c r="M5" s="84" t="s">
        <v>182</v>
      </c>
      <c r="N5" s="85" t="s">
        <v>84</v>
      </c>
      <c r="O5" s="84" t="s">
        <v>182</v>
      </c>
      <c r="P5" s="85" t="s">
        <v>84</v>
      </c>
      <c r="Q5" s="84" t="s">
        <v>182</v>
      </c>
      <c r="R5" s="85" t="s">
        <v>84</v>
      </c>
      <c r="S5" s="84" t="s">
        <v>182</v>
      </c>
      <c r="T5" s="85" t="s">
        <v>84</v>
      </c>
      <c r="U5" s="84" t="s">
        <v>182</v>
      </c>
      <c r="V5" s="85" t="s">
        <v>84</v>
      </c>
      <c r="W5" s="84" t="s">
        <v>182</v>
      </c>
      <c r="X5" s="85" t="s">
        <v>84</v>
      </c>
      <c r="Y5" s="84" t="s">
        <v>182</v>
      </c>
      <c r="Z5" s="85" t="s">
        <v>84</v>
      </c>
      <c r="AA5" s="84" t="s">
        <v>182</v>
      </c>
      <c r="AB5" s="85" t="s">
        <v>84</v>
      </c>
      <c r="AC5" s="84" t="s">
        <v>182</v>
      </c>
      <c r="AD5" s="85" t="s">
        <v>84</v>
      </c>
      <c r="AE5" s="84" t="s">
        <v>182</v>
      </c>
      <c r="AF5" s="85" t="s">
        <v>84</v>
      </c>
      <c r="AG5" s="84" t="s">
        <v>182</v>
      </c>
      <c r="AH5" s="85" t="s">
        <v>84</v>
      </c>
      <c r="AI5" s="84" t="s">
        <v>182</v>
      </c>
      <c r="AJ5" s="85" t="s">
        <v>84</v>
      </c>
      <c r="AK5" s="84" t="s">
        <v>182</v>
      </c>
      <c r="AL5" s="85" t="s">
        <v>84</v>
      </c>
      <c r="AM5" s="84" t="s">
        <v>182</v>
      </c>
      <c r="AN5" s="85" t="s">
        <v>84</v>
      </c>
      <c r="AO5" s="84" t="s">
        <v>182</v>
      </c>
      <c r="AP5" s="85" t="s">
        <v>84</v>
      </c>
      <c r="AQ5" s="84" t="s">
        <v>182</v>
      </c>
      <c r="AR5" s="85" t="s">
        <v>84</v>
      </c>
      <c r="AS5" s="84" t="s">
        <v>182</v>
      </c>
      <c r="AT5" s="85" t="s">
        <v>84</v>
      </c>
    </row>
    <row r="6" spans="1:46" ht="16" customHeight="1" x14ac:dyDescent="0.25">
      <c r="A6" s="3" t="str" cm="1">
        <f t="array" aca="1" ref="A6" ca="1">IF(ROW($B6)-ROW($B$5)&gt;CatCount,"",OFFSET('Set-up'!$A$22,ROW($B6)-ROW($B$5),0,1,1))</f>
        <v>LBU01</v>
      </c>
      <c r="B6" s="3" t="str">
        <f t="shared" ref="B6:B35" ca="1" si="0">IF(ISNA(VLOOKUP($A6,CatAll,3,0))=TRUE,"",VLOOKUP($A6,CatAll,3,0))</f>
        <v>Land &amp; Buildings</v>
      </c>
      <c r="C6" s="8" t="str" cm="1">
        <f t="array" aca="1" ref="C6" ca="1">IF(ROW($B6)-ROW($B$5)&gt;CatCount,"",OFFSET('Set-up'!$A$22,ROW($B6)-ROW($B$5),COLUMN('Set-up'!$F$22)-1,1,1))</f>
        <v>IS-401</v>
      </c>
      <c r="D6" s="28">
        <f t="shared" ref="D6:D35" ca="1" si="1">IF(LEN($A6)&gt;1,IF($E$2="MTD",SUMPRODUCT((TransCat=$A6)*(TransCCMDep)),SUMPRODUCT((TransCat=$A6)*(TransCCYDep))),"")</f>
        <v>0</v>
      </c>
      <c r="E6" s="8" t="str" cm="1">
        <f t="array" aca="1" ref="E6" ca="1">IF(ROW($B6)-ROW($B$5)&gt;CatCount,"",OFFSET('Set-up'!$A$22,ROW($B6)-ROW($B$5),COLUMN('Set-up'!$E$22)-1,1,1))</f>
        <v>BS-151</v>
      </c>
      <c r="F6" s="28">
        <f t="shared" ref="F6:F35" ca="1" si="2">IF(LEN($A6)&gt;1,-D6,"")</f>
        <v>0</v>
      </c>
      <c r="G6" s="8" t="str" cm="1">
        <f t="array" aca="1" ref="G6" ca="1">IF(ROW($B6)-ROW($B$5)&gt;CatCount,"",OFFSET('Set-up'!$A$22,ROW($B6)-ROW($B$5),COLUMN('Set-up'!$G$22)-1,1,1))</f>
        <v>BS-801</v>
      </c>
      <c r="H6" s="28">
        <f t="shared" ref="H6:H35" ca="1" si="3">IF(LEN($A6)&gt;1,IF($E$2="MTD",SUMPRODUCT((TransCat=$A6)*(TransCTMDep))-SUMPRODUCT((TransCat=$A6)*(TransCCMDep)),SUMPRODUCT((TransCat=$A6)*(TransCTYDep))-SUMPRODUCT((TransCat=$A6)*(TransCCYDep))),"")</f>
        <v>0</v>
      </c>
      <c r="I6" s="8" t="str" cm="1">
        <f t="array" aca="1" ref="I6" ca="1">IF(ROW($B6)-ROW($B$5)&gt;CatCount,"",OFFSET('Set-up'!$A$22,ROW($B6)-ROW($B$5),COLUMN('Set-up'!$E$22)-1,1,1))</f>
        <v>BS-151</v>
      </c>
      <c r="J6" s="28">
        <f t="shared" ref="J6:J35" ca="1" si="4">IF(LEN($A6)&gt;1,-H6,"")</f>
        <v>0</v>
      </c>
      <c r="K6" s="8" t="str" cm="1">
        <f t="array" aca="1" ref="K6" ca="1">IF(ROW($B6)-ROW($B$5)&gt;CatCount,"",OFFSET('Set-up'!$A$22,ROW($B6)-ROW($B$5),COLUMN('Set-up'!$D$22)-1,1,1))</f>
        <v>BS-101</v>
      </c>
      <c r="L6" s="28">
        <f ca="1">IF(LEN($A6)&gt;1,IF($E$2="MTD",SUMPRODUCT((TransCat=$A6)*(TransIDDate&gt;=Assets!$J$2)*(TransIDDate&lt;(Assets!$I$2+1))*(TransType="ACQ")*(TransAmount)),SUMPRODUCT((TransCat=$A6)*(TransIDDate&gt;=Assets!$H$2)*(TransIDDate&lt;(Assets!$I$2+1))*(TransType="ACQ")*(TransAmount))),"")</f>
        <v>0</v>
      </c>
      <c r="M6" s="8" t="str" cm="1">
        <f t="array" aca="1" ref="M6" ca="1">IF(ROW($B6)-ROW($B$5)&gt;CatCount,"","BANK")</f>
        <v>BANK</v>
      </c>
      <c r="N6" s="28">
        <f ca="1">IF(LEN($A6)&gt;1,-L6,"")</f>
        <v>0</v>
      </c>
      <c r="O6" s="8" t="str" cm="1">
        <f t="array" aca="1" ref="O6" ca="1">IF(ROW($B6)-ROW($B$5)&gt;CatCount,"",OFFSET('Set-up'!$A$22,ROW($B6)-ROW($B$5),COLUMN('Set-up'!$D$22)-1,1,1))</f>
        <v>BS-101</v>
      </c>
      <c r="P6" s="28">
        <f ca="1">IF(LEN($A6)&gt;1,IF($E$2="MTD",SUMPRODUCT((TransCat=$A6)*(TransIDDate&gt;=Assets!$J$2)*(TransIDDate&lt;(Assets!$I$2+1))*(TransType="REV")*(TransAmount))+SUMPRODUCT((TransCat=$A6)*(TransIDDate&gt;=Assets!$J$2)*(TransIDDate&lt;(Assets!$I$2+1))*(TransType="REV")*(TransImpair))-SUMPRODUCT((TransCat=$A6)*(TransIDDate&gt;=Assets!$J$2)*(TransIDDate&lt;(Assets!$I$2+1))*(TransType="REV")*(TransPCost)),SUMPRODUCT((TransCat=$A6)*(TransIDDate&gt;=Assets!$H$2)*(TransIDDate&lt;(Assets!$I$2+1))*(TransType="REV")*(TransAmount))+SUMPRODUCT((TransCat=$A6)*(TransIDDate&gt;=Assets!$H$2)*(TransIDDate&lt;(Assets!$I$2+1))*(TransType="REV")*(TransImpair))-SUMPRODUCT((TransCat=$A6)*(TransIDDate&gt;=Assets!$H$2)*(TransIDDate&lt;(Assets!$I$2+1))*(TransType="REV")*(TransPCost))),"")</f>
        <v>0</v>
      </c>
      <c r="Q6" s="8" t="str" cm="1">
        <f t="array" aca="1" ref="Q6" ca="1">IF(ROW($B6)-ROW($B$5)&gt;CatCount,"",OFFSET('Set-up'!$A$22,ROW($B6)-ROW($B$5),COLUMN('Set-up'!$G$22)-1,1,1))</f>
        <v>BS-801</v>
      </c>
      <c r="R6" s="28">
        <f t="shared" ref="R6:R35" ca="1" si="5">IF(LEN($A6)&gt;1,-P6,"")</f>
        <v>0</v>
      </c>
      <c r="S6" s="8" t="str" cm="1">
        <f t="array" aca="1" ref="S6" ca="1">IF(ROW($B6)-ROW($B$5)&gt;CatCount,"",OFFSET('Set-up'!$A$22,ROW($B6)-ROW($B$5),COLUMN('Set-up'!$G$22)-1,1,1))</f>
        <v>BS-801</v>
      </c>
      <c r="T6" s="28">
        <f ca="1">IF(LEN($A6)&gt;1,IF($E$2="MTD",-SUMPRODUCT((TransCat=$A6)*(TransIDDate&gt;=Assets!$J$2)*(TransIDDate&lt;(Assets!$I$2+1))*(TransType="REV")*(TransCAccDep)),-SUMPRODUCT((TransCat=$A6)*(TransIDDate&gt;=Assets!$H$2)*(TransIDDate&lt;(Assets!$I$2+1))*(TransType="REV")*(TransCAccDep))),"")</f>
        <v>0</v>
      </c>
      <c r="U6" s="8" t="str" cm="1">
        <f t="array" aca="1" ref="U6" ca="1">IF(ROW($B6)-ROW($B$5)&gt;CatCount,"",OFFSET('Set-up'!$A$22,ROW($B6)-ROW($B$5),COLUMN('Set-up'!$E$22)-1,1,1))</f>
        <v>BS-151</v>
      </c>
      <c r="V6" s="28">
        <f t="shared" ref="V6:V35" ca="1" si="6">IF(LEN($A6)&gt;1,-T6,"")</f>
        <v>0</v>
      </c>
      <c r="W6" s="8" t="str" cm="1">
        <f t="array" aca="1" ref="W6" ca="1">IF(ROW($B6)-ROW($B$5)&gt;CatCount,"",OFFSET('Set-up'!$A$22,ROW($B6)-ROW($B$5),COLUMN('Set-up'!$H$22)-1,1,1))</f>
        <v>IS-457</v>
      </c>
      <c r="X6" s="28">
        <f ca="1">IF(LEN($A6)&gt;1,IF($E$2="MTD",SUMPRODUCT((TransCat=$A6)*(TransIDDate&gt;=Assets!$J$2)*(TransIDDate&lt;(Assets!$I$2+1))*(TransType="REV")*(TransImpair)),SUMPRODUCT((TransCat=$A6)*(TransIDDate&gt;=Assets!$H$2)*(TransIDDate&lt;(Assets!$I$2+1))*(TransType="REV")*(TransImpair))),"")</f>
        <v>200000</v>
      </c>
      <c r="Y6" s="8" t="str" cm="1">
        <f t="array" aca="1" ref="Y6" ca="1">IF(ROW($B6)-ROW($B$5)&gt;CatCount,"",OFFSET('Set-up'!$A$22,ROW($B6)-ROW($B$5),COLUMN('Set-up'!$D$22)-1,1,1))</f>
        <v>BS-101</v>
      </c>
      <c r="Z6" s="28">
        <f t="shared" ref="Z6:Z35" ca="1" si="7">IF(LEN($A6)&gt;1,-X6,"")</f>
        <v>-200000</v>
      </c>
      <c r="AA6" s="8" t="str" cm="1">
        <f t="array" aca="1" ref="AA6" ca="1">IF(ROW($B6)-ROW($B$5)&gt;CatCount,"","BANK")</f>
        <v>BANK</v>
      </c>
      <c r="AB6" s="28">
        <f ca="1">IF(LEN($A6)&gt;1,IF($E$2="MTD",SUMPRODUCT((TransCat=$A6)*(TransIDDate&gt;=Assets!$J$2)*(TransIDDate&lt;(Assets!$I$2+1))*(TransType="DIS")*(TransProceeds)),SUMPRODUCT((TransCat=$A6)*(TransIDDate&gt;=Assets!$H$2)*(TransIDDate&lt;(Assets!$I$2+1))*(TransType="DIS")*(TransProceeds))),"")</f>
        <v>0</v>
      </c>
      <c r="AC6" s="8" t="str" cm="1">
        <f t="array" aca="1" ref="AC6" ca="1">IF(ROW($B6)-ROW($B$5)&gt;CatCount,"",OFFSET('Set-up'!$A$22,ROW($B6)-ROW($B$5),COLUMN('Set-up'!$I$22)-1,1,1))</f>
        <v>IS-408</v>
      </c>
      <c r="AD6" s="28">
        <f t="shared" ref="AD6:AD35" ca="1" si="8">IF(LEN($A6)&gt;1,-AB6,"")</f>
        <v>0</v>
      </c>
      <c r="AE6" s="8" t="str" cm="1">
        <f t="array" aca="1" ref="AE6" ca="1">IF(ROW($B6)-ROW($B$5)&gt;CatCount,"",OFFSET('Set-up'!$A$22,ROW($B6)-ROW($B$5),COLUMN('Set-up'!$I$22)-1,1,1))</f>
        <v>IS-408</v>
      </c>
      <c r="AF6" s="28">
        <f ca="1">IF(LEN($A6)&gt;1,IF($E$2="MTD",SUMPRODUCT((TransCat=$A6)*(TransIDDate&gt;=Assets!$J$2)*(TransIDDate&lt;(Assets!$I$2+1))*(TransType="DIS")*(TransPCost)),SUMPRODUCT((TransCat=$A6)*(TransIDDate&gt;=Assets!$H$2)*(TransIDDate&lt;(Assets!$I$2+1))*(TransType="DIS")*(TransPCost))),"")</f>
        <v>0</v>
      </c>
      <c r="AG6" s="8" t="str" cm="1">
        <f t="array" aca="1" ref="AG6" ca="1">IF(ROW($B6)-ROW($B$5)&gt;CatCount,"",OFFSET('Set-up'!$A$22,ROW($B6)-ROW($B$5),COLUMN('Set-up'!$D$22)-1,1,1))</f>
        <v>BS-101</v>
      </c>
      <c r="AH6" s="28">
        <f t="shared" ref="AH6:AH35" ca="1" si="9">IF(LEN($A6)&gt;1,-AF6,"")</f>
        <v>0</v>
      </c>
      <c r="AI6" s="8" t="str" cm="1">
        <f t="array" aca="1" ref="AI6" ca="1">IF(ROW($B6)-ROW($B$5)&gt;CatCount,"",OFFSET('Set-up'!$A$22,ROW($B6)-ROW($B$5),COLUMN('Set-up'!$E$22)-1,1,1))</f>
        <v>BS-151</v>
      </c>
      <c r="AJ6" s="28">
        <f ca="1">IF(LEN($A6)&gt;1,IF($E$2="MTD",SUMPRODUCT((TransCat=$A6)*(TransIDDate&gt;=Assets!$J$2)*(TransIDDate&lt;(Assets!$I$2+1))*(TransType="DIS")*(TransCAccDep)),SUMPRODUCT((TransCat=$A6)*(TransIDDate&gt;=Assets!$H$2)*(TransIDDate&lt;(Assets!$I$2+1))*(TransType="DIS")*(TransCAccDep))),"")</f>
        <v>0</v>
      </c>
      <c r="AK6" s="8" t="str" cm="1">
        <f t="array" aca="1" ref="AK6" ca="1">IF(ROW($B6)-ROW($B$5)&gt;CatCount,"",OFFSET('Set-up'!$A$22,ROW($B6)-ROW($B$5),COLUMN('Set-up'!$I$22)-1,1,1))</f>
        <v>IS-408</v>
      </c>
      <c r="AL6" s="28">
        <f t="shared" ref="AL6:AL35" ca="1" si="10">IF(LEN($A6)&gt;1,-AJ6,"")</f>
        <v>0</v>
      </c>
      <c r="AM6" s="8" t="str" cm="1">
        <f t="array" aca="1" ref="AM6" ca="1">IF(ROW($B6)-ROW($B$5)&gt;CatCount,"",OFFSET('Set-up'!$A$22,ROW($B6)-ROW($B$5),COLUMN('Set-up'!$G$22)-1,1,1))</f>
        <v>BS-801</v>
      </c>
      <c r="AN6" s="28">
        <f ca="1">IF(LEN($A6)&gt;1,IF($E$2="MTD",SUMPRODUCT((TransCat=$A6)*(TransIDDate&gt;=Assets!$J$2)*(TransIDDate&lt;(Assets!$I$2+1))*(TransType="DIS")*(TransRPrev)),SUMPRODUCT((TransCat=$A6)*(TransIDDate&gt;=Assets!$H$2)*(TransIDDate&lt;(Assets!$I$2+1))*(TransType="DIS")*(TransRPrev))),"")</f>
        <v>0</v>
      </c>
      <c r="AO6" s="8" t="str" cm="1">
        <f t="array" aca="1" ref="AO6" ca="1">IF(ROW($B6)-ROW($B$5)&gt;CatCount,"",OFFSET('Set-up'!$A$22,ROW($B6)-ROW($B$5),COLUMN('Set-up'!$I$22)-1,1,1))</f>
        <v>IS-408</v>
      </c>
      <c r="AP6" s="28">
        <f t="shared" ref="AP6:AP35" ca="1" si="11">IF(LEN($A6)&gt;1,-AN6,"")</f>
        <v>0</v>
      </c>
      <c r="AQ6" s="8" t="str" cm="1">
        <f t="array" aca="1" ref="AQ6" ca="1">IF(ROW($B6)-ROW($B$5)&gt;CatCount,"",OFFSET('Set-up'!$A$22,ROW($B6)-ROW($B$5),COLUMN('Set-up'!$J$22)-1,1,1))</f>
        <v>BS-750</v>
      </c>
      <c r="AR6" s="28">
        <f t="shared" ref="AR6:AR35" ca="1" si="12">IF(LEN($A6)&gt;1,IF($E$2="MTD",SUMPRODUCT((AssetCat=$A6)*(AssetMDTax)),SUMPRODUCT((AssetCat=$A6)*(AssetYDTax))),"")</f>
        <v>0</v>
      </c>
      <c r="AS6" s="8" t="str" cm="1">
        <f t="array" aca="1" ref="AS6" ca="1">IF(ROW($B6)-ROW($B$5)&gt;CatCount,"",OFFSET('Set-up'!$A$22,ROW($B6)-ROW($B$5),COLUMN('Set-up'!$K$22)-1,1,1))</f>
        <v>IS-610</v>
      </c>
      <c r="AT6" s="28">
        <f ca="1">IF(LEN($A6)&gt;1,-AR6,"")</f>
        <v>0</v>
      </c>
    </row>
    <row r="7" spans="1:46" ht="16" customHeight="1" x14ac:dyDescent="0.25">
      <c r="A7" s="3" t="str" cm="1">
        <f t="array" aca="1" ref="A7" ca="1">IF(ROW($B7)-ROW($B$5)&gt;CatCount,"",OFFSET('Set-up'!$A$22,ROW($B7)-ROW($B$5),0,1,1))</f>
        <v>PPM01</v>
      </c>
      <c r="B7" s="3" t="str">
        <f t="shared" ca="1" si="0"/>
        <v>Main Production Plant</v>
      </c>
      <c r="C7" s="8" t="str" cm="1">
        <f t="array" aca="1" ref="C7" ca="1">IF(ROW($B7)-ROW($B$5)&gt;CatCount,"",OFFSET('Set-up'!$A$22,ROW($B7)-ROW($B$5),COLUMN('Set-up'!$F$22)-1,1,1))</f>
        <v>IS-402</v>
      </c>
      <c r="D7" s="28">
        <f t="shared" ca="1" si="1"/>
        <v>312726.33333333331</v>
      </c>
      <c r="E7" s="8" t="str" cm="1">
        <f t="array" aca="1" ref="E7" ca="1">IF(ROW($B7)-ROW($B$5)&gt;CatCount,"",OFFSET('Set-up'!$A$22,ROW($B7)-ROW($B$5),COLUMN('Set-up'!$E$22)-1,1,1))</f>
        <v>BS-152</v>
      </c>
      <c r="F7" s="28">
        <f t="shared" ca="1" si="2"/>
        <v>-312726.33333333331</v>
      </c>
      <c r="G7" s="8" t="str" cm="1">
        <f t="array" aca="1" ref="G7" ca="1">IF(ROW($B7)-ROW($B$5)&gt;CatCount,"",OFFSET('Set-up'!$A$22,ROW($B7)-ROW($B$5),COLUMN('Set-up'!$G$22)-1,1,1))</f>
        <v>BS-801</v>
      </c>
      <c r="H7" s="28">
        <f t="shared" ca="1" si="3"/>
        <v>1000</v>
      </c>
      <c r="I7" s="8" t="str" cm="1">
        <f t="array" aca="1" ref="I7" ca="1">IF(ROW($B7)-ROW($B$5)&gt;CatCount,"",OFFSET('Set-up'!$A$22,ROW($B7)-ROW($B$5),COLUMN('Set-up'!$E$22)-1,1,1))</f>
        <v>BS-152</v>
      </c>
      <c r="J7" s="28">
        <f t="shared" ca="1" si="4"/>
        <v>-1000</v>
      </c>
      <c r="K7" s="8" t="str" cm="1">
        <f t="array" aca="1" ref="K7" ca="1">IF(ROW($B7)-ROW($B$5)&gt;CatCount,"",OFFSET('Set-up'!$A$22,ROW($B7)-ROW($B$5),COLUMN('Set-up'!$D$22)-1,1,1))</f>
        <v>BS-102</v>
      </c>
      <c r="L7" s="28">
        <f ca="1">IF(LEN($A7)&gt;1,IF($E$2="MTD",SUMPRODUCT((TransCat=$A7)*(TransIDDate&gt;=Assets!$J$2)*(TransIDDate&lt;(Assets!$I$2+1))*(TransType="ACQ")*(TransAmount)),SUMPRODUCT((TransCat=$A7)*(TransIDDate&gt;=Assets!$H$2)*(TransIDDate&lt;(Assets!$I$2+1))*(TransType="ACQ")*(TransAmount))),"")</f>
        <v>68420</v>
      </c>
      <c r="M7" s="8" t="str" cm="1">
        <f t="array" aca="1" ref="M7" ca="1">IF(ROW($B7)-ROW($B$5)&gt;CatCount,"","BANK")</f>
        <v>BANK</v>
      </c>
      <c r="N7" s="28">
        <f t="shared" ref="N7:N35" ca="1" si="13">IF(LEN($A7)&gt;1,-L7,"")</f>
        <v>-68420</v>
      </c>
      <c r="O7" s="8" t="str" cm="1">
        <f t="array" aca="1" ref="O7" ca="1">IF(ROW($B7)-ROW($B$5)&gt;CatCount,"",OFFSET('Set-up'!$A$22,ROW($B7)-ROW($B$5),COLUMN('Set-up'!$D$22)-1,1,1))</f>
        <v>BS-102</v>
      </c>
      <c r="P7" s="28">
        <f ca="1">IF(LEN($A7)&gt;1,IF($E$2="MTD",SUMPRODUCT((TransCat=$A7)*(TransIDDate&gt;=Assets!$J$2)*(TransIDDate&lt;(Assets!$I$2+1))*(TransType="REV")*(TransAmount))+SUMPRODUCT((TransCat=$A7)*(TransIDDate&gt;=Assets!$J$2)*(TransIDDate&lt;(Assets!$I$2+1))*(TransType="REV")*(TransImpair))-SUMPRODUCT((TransCat=$A7)*(TransIDDate&gt;=Assets!$J$2)*(TransIDDate&lt;(Assets!$I$2+1))*(TransType="REV")*(TransPCost)),SUMPRODUCT((TransCat=$A7)*(TransIDDate&gt;=Assets!$H$2)*(TransIDDate&lt;(Assets!$I$2+1))*(TransType="REV")*(TransAmount))+SUMPRODUCT((TransCat=$A7)*(TransIDDate&gt;=Assets!$H$2)*(TransIDDate&lt;(Assets!$I$2+1))*(TransType="REV")*(TransImpair))-SUMPRODUCT((TransCat=$A7)*(TransIDDate&gt;=Assets!$H$2)*(TransIDDate&lt;(Assets!$I$2+1))*(TransType="REV")*(TransPCost))),"")</f>
        <v>-3652280</v>
      </c>
      <c r="Q7" s="8" t="str" cm="1">
        <f t="array" aca="1" ref="Q7" ca="1">IF(ROW($B7)-ROW($B$5)&gt;CatCount,"",OFFSET('Set-up'!$A$22,ROW($B7)-ROW($B$5),COLUMN('Set-up'!$G$22)-1,1,1))</f>
        <v>BS-801</v>
      </c>
      <c r="R7" s="28">
        <f t="shared" ca="1" si="5"/>
        <v>3652280</v>
      </c>
      <c r="S7" s="8" t="str" cm="1">
        <f t="array" aca="1" ref="S7" ca="1">IF(ROW($B7)-ROW($B$5)&gt;CatCount,"",OFFSET('Set-up'!$A$22,ROW($B7)-ROW($B$5),COLUMN('Set-up'!$G$22)-1,1,1))</f>
        <v>BS-801</v>
      </c>
      <c r="T7" s="28">
        <f ca="1">IF(LEN($A7)&gt;1,IF($E$2="MTD",-SUMPRODUCT((TransCat=$A7)*(TransIDDate&gt;=Assets!$J$2)*(TransIDDate&lt;(Assets!$I$2+1))*(TransType="REV")*(TransCAccDep)),-SUMPRODUCT((TransCat=$A7)*(TransIDDate&gt;=Assets!$H$2)*(TransIDDate&lt;(Assets!$I$2+1))*(TransType="REV")*(TransCAccDep))),"")</f>
        <v>-4841433.333333334</v>
      </c>
      <c r="U7" s="8" t="str" cm="1">
        <f t="array" aca="1" ref="U7" ca="1">IF(ROW($B7)-ROW($B$5)&gt;CatCount,"",OFFSET('Set-up'!$A$22,ROW($B7)-ROW($B$5),COLUMN('Set-up'!$E$22)-1,1,1))</f>
        <v>BS-152</v>
      </c>
      <c r="V7" s="28">
        <f t="shared" ca="1" si="6"/>
        <v>4841433.333333334</v>
      </c>
      <c r="W7" s="8" t="str" cm="1">
        <f t="array" aca="1" ref="W7" ca="1">IF(ROW($B7)-ROW($B$5)&gt;CatCount,"",OFFSET('Set-up'!$A$22,ROW($B7)-ROW($B$5),COLUMN('Set-up'!$H$22)-1,1,1))</f>
        <v>IS-457</v>
      </c>
      <c r="X7" s="28">
        <f ca="1">IF(LEN($A7)&gt;1,IF($E$2="MTD",SUMPRODUCT((TransCat=$A7)*(TransIDDate&gt;=Assets!$J$2)*(TransIDDate&lt;(Assets!$I$2+1))*(TransType="REV")*(TransImpair)),SUMPRODUCT((TransCat=$A7)*(TransIDDate&gt;=Assets!$H$2)*(TransIDDate&lt;(Assets!$I$2+1))*(TransType="REV")*(TransImpair))),"")</f>
        <v>0</v>
      </c>
      <c r="Y7" s="8" t="str" cm="1">
        <f t="array" aca="1" ref="Y7" ca="1">IF(ROW($B7)-ROW($B$5)&gt;CatCount,"",OFFSET('Set-up'!$A$22,ROW($B7)-ROW($B$5),COLUMN('Set-up'!$D$22)-1,1,1))</f>
        <v>BS-102</v>
      </c>
      <c r="Z7" s="28">
        <f t="shared" ca="1" si="7"/>
        <v>0</v>
      </c>
      <c r="AA7" s="8" t="str" cm="1">
        <f t="array" aca="1" ref="AA7" ca="1">IF(ROW($B7)-ROW($B$5)&gt;CatCount,"","BANK")</f>
        <v>BANK</v>
      </c>
      <c r="AB7" s="28">
        <f ca="1">IF(LEN($A7)&gt;1,IF($E$2="MTD",SUMPRODUCT((TransCat=$A7)*(TransIDDate&gt;=Assets!$J$2)*(TransIDDate&lt;(Assets!$I$2+1))*(TransType="DIS")*(TransProceeds)),SUMPRODUCT((TransCat=$A7)*(TransIDDate&gt;=Assets!$H$2)*(TransIDDate&lt;(Assets!$I$2+1))*(TransType="DIS")*(TransProceeds))),"")</f>
        <v>150000</v>
      </c>
      <c r="AC7" s="8" t="str" cm="1">
        <f t="array" aca="1" ref="AC7" ca="1">IF(ROW($B7)-ROW($B$5)&gt;CatCount,"",OFFSET('Set-up'!$A$22,ROW($B7)-ROW($B$5),COLUMN('Set-up'!$I$22)-1,1,1))</f>
        <v>IS-408</v>
      </c>
      <c r="AD7" s="28">
        <f t="shared" ca="1" si="8"/>
        <v>-150000</v>
      </c>
      <c r="AE7" s="8" t="str" cm="1">
        <f t="array" aca="1" ref="AE7" ca="1">IF(ROW($B7)-ROW($B$5)&gt;CatCount,"",OFFSET('Set-up'!$A$22,ROW($B7)-ROW($B$5),COLUMN('Set-up'!$I$22)-1,1,1))</f>
        <v>IS-408</v>
      </c>
      <c r="AF7" s="28">
        <f ca="1">IF(LEN($A7)&gt;1,IF($E$2="MTD",SUMPRODUCT((TransCat=$A7)*(TransIDDate&gt;=Assets!$J$2)*(TransIDDate&lt;(Assets!$I$2+1))*(TransType="DIS")*(TransPCost)),SUMPRODUCT((TransCat=$A7)*(TransIDDate&gt;=Assets!$H$2)*(TransIDDate&lt;(Assets!$I$2+1))*(TransType="DIS")*(TransPCost))),"")</f>
        <v>190000</v>
      </c>
      <c r="AG7" s="8" t="str" cm="1">
        <f t="array" aca="1" ref="AG7" ca="1">IF(ROW($B7)-ROW($B$5)&gt;CatCount,"",OFFSET('Set-up'!$A$22,ROW($B7)-ROW($B$5),COLUMN('Set-up'!$D$22)-1,1,1))</f>
        <v>BS-102</v>
      </c>
      <c r="AH7" s="28">
        <f t="shared" ca="1" si="9"/>
        <v>-190000</v>
      </c>
      <c r="AI7" s="8" t="str" cm="1">
        <f t="array" aca="1" ref="AI7" ca="1">IF(ROW($B7)-ROW($B$5)&gt;CatCount,"",OFFSET('Set-up'!$A$22,ROW($B7)-ROW($B$5),COLUMN('Set-up'!$E$22)-1,1,1))</f>
        <v>BS-152</v>
      </c>
      <c r="AJ7" s="28">
        <f ca="1">IF(LEN($A7)&gt;1,IF($E$2="MTD",SUMPRODUCT((TransCat=$A7)*(TransIDDate&gt;=Assets!$J$2)*(TransIDDate&lt;(Assets!$I$2+1))*(TransType="DIS")*(TransCAccDep)),SUMPRODUCT((TransCat=$A7)*(TransIDDate&gt;=Assets!$H$2)*(TransIDDate&lt;(Assets!$I$2+1))*(TransType="DIS")*(TransCAccDep))),"")</f>
        <v>34833.333333333328</v>
      </c>
      <c r="AK7" s="8" t="str" cm="1">
        <f t="array" aca="1" ref="AK7" ca="1">IF(ROW($B7)-ROW($B$5)&gt;CatCount,"",OFFSET('Set-up'!$A$22,ROW($B7)-ROW($B$5),COLUMN('Set-up'!$I$22)-1,1,1))</f>
        <v>IS-408</v>
      </c>
      <c r="AL7" s="28">
        <f t="shared" ca="1" si="10"/>
        <v>-34833.333333333328</v>
      </c>
      <c r="AM7" s="8" t="str" cm="1">
        <f t="array" aca="1" ref="AM7" ca="1">IF(ROW($B7)-ROW($B$5)&gt;CatCount,"",OFFSET('Set-up'!$A$22,ROW($B7)-ROW($B$5),COLUMN('Set-up'!$G$22)-1,1,1))</f>
        <v>BS-801</v>
      </c>
      <c r="AN7" s="28">
        <f ca="1">IF(LEN($A7)&gt;1,IF($E$2="MTD",SUMPRODUCT((TransCat=$A7)*(TransIDDate&gt;=Assets!$J$2)*(TransIDDate&lt;(Assets!$I$2+1))*(TransType="DIS")*(TransRPrev)),SUMPRODUCT((TransCat=$A7)*(TransIDDate&gt;=Assets!$H$2)*(TransIDDate&lt;(Assets!$I$2+1))*(TransType="DIS")*(TransRPrev))),"")</f>
        <v>145970</v>
      </c>
      <c r="AO7" s="8" t="str" cm="1">
        <f t="array" aca="1" ref="AO7" ca="1">IF(ROW($B7)-ROW($B$5)&gt;CatCount,"",OFFSET('Set-up'!$A$22,ROW($B7)-ROW($B$5),COLUMN('Set-up'!$I$22)-1,1,1))</f>
        <v>IS-408</v>
      </c>
      <c r="AP7" s="28">
        <f t="shared" ca="1" si="11"/>
        <v>-145970</v>
      </c>
      <c r="AQ7" s="8" t="str" cm="1">
        <f t="array" aca="1" ref="AQ7" ca="1">IF(ROW($B7)-ROW($B$5)&gt;CatCount,"",OFFSET('Set-up'!$A$22,ROW($B7)-ROW($B$5),COLUMN('Set-up'!$J$22)-1,1,1))</f>
        <v>BS-750</v>
      </c>
      <c r="AR7" s="28">
        <f t="shared" ca="1" si="12"/>
        <v>-80419.64</v>
      </c>
      <c r="AS7" s="8" t="str" cm="1">
        <f t="array" aca="1" ref="AS7" ca="1">IF(ROW($B7)-ROW($B$5)&gt;CatCount,"",OFFSET('Set-up'!$A$22,ROW($B7)-ROW($B$5),COLUMN('Set-up'!$K$22)-1,1,1))</f>
        <v>IS-610</v>
      </c>
      <c r="AT7" s="28">
        <f t="shared" ref="AT7:AT35" ca="1" si="14">IF(LEN($A7)&gt;1,-AR7,"")</f>
        <v>80419.64</v>
      </c>
    </row>
    <row r="8" spans="1:46" ht="16" customHeight="1" x14ac:dyDescent="0.25">
      <c r="A8" s="3" t="str" cm="1">
        <f t="array" aca="1" ref="A8" ca="1">IF(ROW($B8)-ROW($B$5)&gt;CatCount,"",OFFSET('Set-up'!$A$22,ROW($B8)-ROW($B$5),0,1,1))</f>
        <v>PPS02</v>
      </c>
      <c r="B8" s="3" t="str">
        <f t="shared" ca="1" si="0"/>
        <v>Secondary Plant</v>
      </c>
      <c r="C8" s="8" t="str" cm="1">
        <f t="array" aca="1" ref="C8" ca="1">IF(ROW($B8)-ROW($B$5)&gt;CatCount,"",OFFSET('Set-up'!$A$22,ROW($B8)-ROW($B$5),COLUMN('Set-up'!$F$22)-1,1,1))</f>
        <v>IS-403</v>
      </c>
      <c r="D8" s="28">
        <f t="shared" ca="1" si="1"/>
        <v>0</v>
      </c>
      <c r="E8" s="8" t="str" cm="1">
        <f t="array" aca="1" ref="E8" ca="1">IF(ROW($B8)-ROW($B$5)&gt;CatCount,"",OFFSET('Set-up'!$A$22,ROW($B8)-ROW($B$5),COLUMN('Set-up'!$E$22)-1,1,1))</f>
        <v>BS-153</v>
      </c>
      <c r="F8" s="28">
        <f t="shared" ca="1" si="2"/>
        <v>0</v>
      </c>
      <c r="G8" s="8" t="str" cm="1">
        <f t="array" aca="1" ref="G8" ca="1">IF(ROW($B8)-ROW($B$5)&gt;CatCount,"",OFFSET('Set-up'!$A$22,ROW($B8)-ROW($B$5),COLUMN('Set-up'!$G$22)-1,1,1))</f>
        <v>BS-801</v>
      </c>
      <c r="H8" s="28">
        <f t="shared" ca="1" si="3"/>
        <v>0</v>
      </c>
      <c r="I8" s="8" t="str" cm="1">
        <f t="array" aca="1" ref="I8" ca="1">IF(ROW($B8)-ROW($B$5)&gt;CatCount,"",OFFSET('Set-up'!$A$22,ROW($B8)-ROW($B$5),COLUMN('Set-up'!$E$22)-1,1,1))</f>
        <v>BS-153</v>
      </c>
      <c r="J8" s="28">
        <f t="shared" ca="1" si="4"/>
        <v>0</v>
      </c>
      <c r="K8" s="8" t="str" cm="1">
        <f t="array" aca="1" ref="K8" ca="1">IF(ROW($B8)-ROW($B$5)&gt;CatCount,"",OFFSET('Set-up'!$A$22,ROW($B8)-ROW($B$5),COLUMN('Set-up'!$D$22)-1,1,1))</f>
        <v>BS-103</v>
      </c>
      <c r="L8" s="28">
        <f ca="1">IF(LEN($A8)&gt;1,IF($E$2="MTD",SUMPRODUCT((TransCat=$A8)*(TransIDDate&gt;=Assets!$J$2)*(TransIDDate&lt;(Assets!$I$2+1))*(TransType="ACQ")*(TransAmount)),SUMPRODUCT((TransCat=$A8)*(TransIDDate&gt;=Assets!$H$2)*(TransIDDate&lt;(Assets!$I$2+1))*(TransType="ACQ")*(TransAmount))),"")</f>
        <v>0</v>
      </c>
      <c r="M8" s="8" t="str" cm="1">
        <f t="array" aca="1" ref="M8" ca="1">IF(ROW($B8)-ROW($B$5)&gt;CatCount,"","BANK")</f>
        <v>BANK</v>
      </c>
      <c r="N8" s="28">
        <f t="shared" ca="1" si="13"/>
        <v>0</v>
      </c>
      <c r="O8" s="8" t="str" cm="1">
        <f t="array" aca="1" ref="O8" ca="1">IF(ROW($B8)-ROW($B$5)&gt;CatCount,"",OFFSET('Set-up'!$A$22,ROW($B8)-ROW($B$5),COLUMN('Set-up'!$D$22)-1,1,1))</f>
        <v>BS-103</v>
      </c>
      <c r="P8" s="28">
        <f ca="1">IF(LEN($A8)&gt;1,IF($E$2="MTD",SUMPRODUCT((TransCat=$A8)*(TransIDDate&gt;=Assets!$J$2)*(TransIDDate&lt;(Assets!$I$2+1))*(TransType="REV")*(TransAmount))+SUMPRODUCT((TransCat=$A8)*(TransIDDate&gt;=Assets!$J$2)*(TransIDDate&lt;(Assets!$I$2+1))*(TransType="REV")*(TransImpair))-SUMPRODUCT((TransCat=$A8)*(TransIDDate&gt;=Assets!$J$2)*(TransIDDate&lt;(Assets!$I$2+1))*(TransType="REV")*(TransPCost)),SUMPRODUCT((TransCat=$A8)*(TransIDDate&gt;=Assets!$H$2)*(TransIDDate&lt;(Assets!$I$2+1))*(TransType="REV")*(TransAmount))+SUMPRODUCT((TransCat=$A8)*(TransIDDate&gt;=Assets!$H$2)*(TransIDDate&lt;(Assets!$I$2+1))*(TransType="REV")*(TransImpair))-SUMPRODUCT((TransCat=$A8)*(TransIDDate&gt;=Assets!$H$2)*(TransIDDate&lt;(Assets!$I$2+1))*(TransType="REV")*(TransPCost))),"")</f>
        <v>0</v>
      </c>
      <c r="Q8" s="8" t="str" cm="1">
        <f t="array" aca="1" ref="Q8" ca="1">IF(ROW($B8)-ROW($B$5)&gt;CatCount,"",OFFSET('Set-up'!$A$22,ROW($B8)-ROW($B$5),COLUMN('Set-up'!$G$22)-1,1,1))</f>
        <v>BS-801</v>
      </c>
      <c r="R8" s="28">
        <f t="shared" ca="1" si="5"/>
        <v>0</v>
      </c>
      <c r="S8" s="8" t="str" cm="1">
        <f t="array" aca="1" ref="S8" ca="1">IF(ROW($B8)-ROW($B$5)&gt;CatCount,"",OFFSET('Set-up'!$A$22,ROW($B8)-ROW($B$5),COLUMN('Set-up'!$G$22)-1,1,1))</f>
        <v>BS-801</v>
      </c>
      <c r="T8" s="28">
        <f ca="1">IF(LEN($A8)&gt;1,IF($E$2="MTD",-SUMPRODUCT((TransCat=$A8)*(TransIDDate&gt;=Assets!$J$2)*(TransIDDate&lt;(Assets!$I$2+1))*(TransType="REV")*(TransCAccDep)),-SUMPRODUCT((TransCat=$A8)*(TransIDDate&gt;=Assets!$H$2)*(TransIDDate&lt;(Assets!$I$2+1))*(TransType="REV")*(TransCAccDep))),"")</f>
        <v>0</v>
      </c>
      <c r="U8" s="8" t="str" cm="1">
        <f t="array" aca="1" ref="U8" ca="1">IF(ROW($B8)-ROW($B$5)&gt;CatCount,"",OFFSET('Set-up'!$A$22,ROW($B8)-ROW($B$5),COLUMN('Set-up'!$E$22)-1,1,1))</f>
        <v>BS-153</v>
      </c>
      <c r="V8" s="28">
        <f t="shared" ca="1" si="6"/>
        <v>0</v>
      </c>
      <c r="W8" s="8" t="str" cm="1">
        <f t="array" aca="1" ref="W8" ca="1">IF(ROW($B8)-ROW($B$5)&gt;CatCount,"",OFFSET('Set-up'!$A$22,ROW($B8)-ROW($B$5),COLUMN('Set-up'!$H$22)-1,1,1))</f>
        <v>IS-457</v>
      </c>
      <c r="X8" s="28">
        <f ca="1">IF(LEN($A8)&gt;1,IF($E$2="MTD",SUMPRODUCT((TransCat=$A8)*(TransIDDate&gt;=Assets!$J$2)*(TransIDDate&lt;(Assets!$I$2+1))*(TransType="REV")*(TransImpair)),SUMPRODUCT((TransCat=$A8)*(TransIDDate&gt;=Assets!$H$2)*(TransIDDate&lt;(Assets!$I$2+1))*(TransType="REV")*(TransImpair))),"")</f>
        <v>0</v>
      </c>
      <c r="Y8" s="8" t="str" cm="1">
        <f t="array" aca="1" ref="Y8" ca="1">IF(ROW($B8)-ROW($B$5)&gt;CatCount,"",OFFSET('Set-up'!$A$22,ROW($B8)-ROW($B$5),COLUMN('Set-up'!$D$22)-1,1,1))</f>
        <v>BS-103</v>
      </c>
      <c r="Z8" s="28">
        <f t="shared" ca="1" si="7"/>
        <v>0</v>
      </c>
      <c r="AA8" s="8" t="str" cm="1">
        <f t="array" aca="1" ref="AA8" ca="1">IF(ROW($B8)-ROW($B$5)&gt;CatCount,"","BANK")</f>
        <v>BANK</v>
      </c>
      <c r="AB8" s="28">
        <f ca="1">IF(LEN($A8)&gt;1,IF($E$2="MTD",SUMPRODUCT((TransCat=$A8)*(TransIDDate&gt;=Assets!$J$2)*(TransIDDate&lt;(Assets!$I$2+1))*(TransType="DIS")*(TransProceeds)),SUMPRODUCT((TransCat=$A8)*(TransIDDate&gt;=Assets!$H$2)*(TransIDDate&lt;(Assets!$I$2+1))*(TransType="DIS")*(TransProceeds))),"")</f>
        <v>0</v>
      </c>
      <c r="AC8" s="8" t="str" cm="1">
        <f t="array" aca="1" ref="AC8" ca="1">IF(ROW($B8)-ROW($B$5)&gt;CatCount,"",OFFSET('Set-up'!$A$22,ROW($B8)-ROW($B$5),COLUMN('Set-up'!$I$22)-1,1,1))</f>
        <v>IS-408</v>
      </c>
      <c r="AD8" s="28">
        <f t="shared" ca="1" si="8"/>
        <v>0</v>
      </c>
      <c r="AE8" s="8" t="str" cm="1">
        <f t="array" aca="1" ref="AE8" ca="1">IF(ROW($B8)-ROW($B$5)&gt;CatCount,"",OFFSET('Set-up'!$A$22,ROW($B8)-ROW($B$5),COLUMN('Set-up'!$I$22)-1,1,1))</f>
        <v>IS-408</v>
      </c>
      <c r="AF8" s="28">
        <f ca="1">IF(LEN($A8)&gt;1,IF($E$2="MTD",SUMPRODUCT((TransCat=$A8)*(TransIDDate&gt;=Assets!$J$2)*(TransIDDate&lt;(Assets!$I$2+1))*(TransType="DIS")*(TransPCost)),SUMPRODUCT((TransCat=$A8)*(TransIDDate&gt;=Assets!$H$2)*(TransIDDate&lt;(Assets!$I$2+1))*(TransType="DIS")*(TransPCost))),"")</f>
        <v>0</v>
      </c>
      <c r="AG8" s="8" t="str" cm="1">
        <f t="array" aca="1" ref="AG8" ca="1">IF(ROW($B8)-ROW($B$5)&gt;CatCount,"",OFFSET('Set-up'!$A$22,ROW($B8)-ROW($B$5),COLUMN('Set-up'!$D$22)-1,1,1))</f>
        <v>BS-103</v>
      </c>
      <c r="AH8" s="28">
        <f t="shared" ca="1" si="9"/>
        <v>0</v>
      </c>
      <c r="AI8" s="8" t="str" cm="1">
        <f t="array" aca="1" ref="AI8" ca="1">IF(ROW($B8)-ROW($B$5)&gt;CatCount,"",OFFSET('Set-up'!$A$22,ROW($B8)-ROW($B$5),COLUMN('Set-up'!$E$22)-1,1,1))</f>
        <v>BS-153</v>
      </c>
      <c r="AJ8" s="28">
        <f ca="1">IF(LEN($A8)&gt;1,IF($E$2="MTD",SUMPRODUCT((TransCat=$A8)*(TransIDDate&gt;=Assets!$J$2)*(TransIDDate&lt;(Assets!$I$2+1))*(TransType="DIS")*(TransCAccDep)),SUMPRODUCT((TransCat=$A8)*(TransIDDate&gt;=Assets!$H$2)*(TransIDDate&lt;(Assets!$I$2+1))*(TransType="DIS")*(TransCAccDep))),"")</f>
        <v>0</v>
      </c>
      <c r="AK8" s="8" t="str" cm="1">
        <f t="array" aca="1" ref="AK8" ca="1">IF(ROW($B8)-ROW($B$5)&gt;CatCount,"",OFFSET('Set-up'!$A$22,ROW($B8)-ROW($B$5),COLUMN('Set-up'!$I$22)-1,1,1))</f>
        <v>IS-408</v>
      </c>
      <c r="AL8" s="28">
        <f t="shared" ca="1" si="10"/>
        <v>0</v>
      </c>
      <c r="AM8" s="8" t="str" cm="1">
        <f t="array" aca="1" ref="AM8" ca="1">IF(ROW($B8)-ROW($B$5)&gt;CatCount,"",OFFSET('Set-up'!$A$22,ROW($B8)-ROW($B$5),COLUMN('Set-up'!$G$22)-1,1,1))</f>
        <v>BS-801</v>
      </c>
      <c r="AN8" s="28">
        <f ca="1">IF(LEN($A8)&gt;1,IF($E$2="MTD",SUMPRODUCT((TransCat=$A8)*(TransIDDate&gt;=Assets!$J$2)*(TransIDDate&lt;(Assets!$I$2+1))*(TransType="DIS")*(TransRPrev)),SUMPRODUCT((TransCat=$A8)*(TransIDDate&gt;=Assets!$H$2)*(TransIDDate&lt;(Assets!$I$2+1))*(TransType="DIS")*(TransRPrev))),"")</f>
        <v>0</v>
      </c>
      <c r="AO8" s="8" t="str" cm="1">
        <f t="array" aca="1" ref="AO8" ca="1">IF(ROW($B8)-ROW($B$5)&gt;CatCount,"",OFFSET('Set-up'!$A$22,ROW($B8)-ROW($B$5),COLUMN('Set-up'!$I$22)-1,1,1))</f>
        <v>IS-408</v>
      </c>
      <c r="AP8" s="28">
        <f t="shared" ca="1" si="11"/>
        <v>0</v>
      </c>
      <c r="AQ8" s="8" t="str" cm="1">
        <f t="array" aca="1" ref="AQ8" ca="1">IF(ROW($B8)-ROW($B$5)&gt;CatCount,"",OFFSET('Set-up'!$A$22,ROW($B8)-ROW($B$5),COLUMN('Set-up'!$J$22)-1,1,1))</f>
        <v>BS-750</v>
      </c>
      <c r="AR8" s="28">
        <f t="shared" ca="1" si="12"/>
        <v>0</v>
      </c>
      <c r="AS8" s="8" t="str" cm="1">
        <f t="array" aca="1" ref="AS8" ca="1">IF(ROW($B8)-ROW($B$5)&gt;CatCount,"",OFFSET('Set-up'!$A$22,ROW($B8)-ROW($B$5),COLUMN('Set-up'!$K$22)-1,1,1))</f>
        <v>IS-610</v>
      </c>
      <c r="AT8" s="28">
        <f t="shared" ca="1" si="14"/>
        <v>0</v>
      </c>
    </row>
    <row r="9" spans="1:46" ht="16" customHeight="1" x14ac:dyDescent="0.25">
      <c r="A9" s="3" t="str" cm="1">
        <f t="array" aca="1" ref="A9" ca="1">IF(ROW($B9)-ROW($B$5)&gt;CatCount,"",OFFSET('Set-up'!$A$22,ROW($B9)-ROW($B$5),0,1,1))</f>
        <v>EQP01</v>
      </c>
      <c r="B9" s="3" t="str">
        <f t="shared" ca="1" si="0"/>
        <v>Primary Equipment</v>
      </c>
      <c r="C9" s="8" t="str" cm="1">
        <f t="array" aca="1" ref="C9" ca="1">IF(ROW($B9)-ROW($B$5)&gt;CatCount,"",OFFSET('Set-up'!$A$22,ROW($B9)-ROW($B$5),COLUMN('Set-up'!$F$22)-1,1,1))</f>
        <v>IS-404</v>
      </c>
      <c r="D9" s="28">
        <f t="shared" ca="1" si="1"/>
        <v>34601.283333333326</v>
      </c>
      <c r="E9" s="8" t="str" cm="1">
        <f t="array" aca="1" ref="E9" ca="1">IF(ROW($B9)-ROW($B$5)&gt;CatCount,"",OFFSET('Set-up'!$A$22,ROW($B9)-ROW($B$5),COLUMN('Set-up'!$E$22)-1,1,1))</f>
        <v>BS-154</v>
      </c>
      <c r="F9" s="28">
        <f t="shared" ca="1" si="2"/>
        <v>-34601.283333333326</v>
      </c>
      <c r="G9" s="8" t="str" cm="1">
        <f t="array" aca="1" ref="G9" ca="1">IF(ROW($B9)-ROW($B$5)&gt;CatCount,"",OFFSET('Set-up'!$A$22,ROW($B9)-ROW($B$5),COLUMN('Set-up'!$G$22)-1,1,1))</f>
        <v>BS-801</v>
      </c>
      <c r="H9" s="28">
        <f t="shared" ca="1" si="3"/>
        <v>608.66666666667152</v>
      </c>
      <c r="I9" s="8" t="str" cm="1">
        <f t="array" aca="1" ref="I9" ca="1">IF(ROW($B9)-ROW($B$5)&gt;CatCount,"",OFFSET('Set-up'!$A$22,ROW($B9)-ROW($B$5),COLUMN('Set-up'!$E$22)-1,1,1))</f>
        <v>BS-154</v>
      </c>
      <c r="J9" s="28">
        <f t="shared" ca="1" si="4"/>
        <v>-608.66666666667152</v>
      </c>
      <c r="K9" s="8" t="str" cm="1">
        <f t="array" aca="1" ref="K9" ca="1">IF(ROW($B9)-ROW($B$5)&gt;CatCount,"",OFFSET('Set-up'!$A$22,ROW($B9)-ROW($B$5),COLUMN('Set-up'!$D$22)-1,1,1))</f>
        <v>BS-104</v>
      </c>
      <c r="L9" s="28">
        <f ca="1">IF(LEN($A9)&gt;1,IF($E$2="MTD",SUMPRODUCT((TransCat=$A9)*(TransIDDate&gt;=Assets!$J$2)*(TransIDDate&lt;(Assets!$I$2+1))*(TransType="ACQ")*(TransAmount)),SUMPRODUCT((TransCat=$A9)*(TransIDDate&gt;=Assets!$H$2)*(TransIDDate&lt;(Assets!$I$2+1))*(TransType="ACQ")*(TransAmount))),"")</f>
        <v>18999</v>
      </c>
      <c r="M9" s="8" t="str" cm="1">
        <f t="array" aca="1" ref="M9" ca="1">IF(ROW($B9)-ROW($B$5)&gt;CatCount,"","BANK")</f>
        <v>BANK</v>
      </c>
      <c r="N9" s="28">
        <f t="shared" ca="1" si="13"/>
        <v>-18999</v>
      </c>
      <c r="O9" s="8" t="str" cm="1">
        <f t="array" aca="1" ref="O9" ca="1">IF(ROW($B9)-ROW($B$5)&gt;CatCount,"",OFFSET('Set-up'!$A$22,ROW($B9)-ROW($B$5),COLUMN('Set-up'!$D$22)-1,1,1))</f>
        <v>BS-104</v>
      </c>
      <c r="P9" s="28">
        <f ca="1">IF(LEN($A9)&gt;1,IF($E$2="MTD",SUMPRODUCT((TransCat=$A9)*(TransIDDate&gt;=Assets!$J$2)*(TransIDDate&lt;(Assets!$I$2+1))*(TransType="REV")*(TransAmount))+SUMPRODUCT((TransCat=$A9)*(TransIDDate&gt;=Assets!$J$2)*(TransIDDate&lt;(Assets!$I$2+1))*(TransType="REV")*(TransImpair))-SUMPRODUCT((TransCat=$A9)*(TransIDDate&gt;=Assets!$J$2)*(TransIDDate&lt;(Assets!$I$2+1))*(TransType="REV")*(TransPCost)),SUMPRODUCT((TransCat=$A9)*(TransIDDate&gt;=Assets!$H$2)*(TransIDDate&lt;(Assets!$I$2+1))*(TransType="REV")*(TransAmount))+SUMPRODUCT((TransCat=$A9)*(TransIDDate&gt;=Assets!$H$2)*(TransIDDate&lt;(Assets!$I$2+1))*(TransType="REV")*(TransImpair))-SUMPRODUCT((TransCat=$A9)*(TransIDDate&gt;=Assets!$H$2)*(TransIDDate&lt;(Assets!$I$2+1))*(TransType="REV")*(TransPCost))),"")</f>
        <v>-190270</v>
      </c>
      <c r="Q9" s="8" t="str" cm="1">
        <f t="array" aca="1" ref="Q9" ca="1">IF(ROW($B9)-ROW($B$5)&gt;CatCount,"",OFFSET('Set-up'!$A$22,ROW($B9)-ROW($B$5),COLUMN('Set-up'!$G$22)-1,1,1))</f>
        <v>BS-801</v>
      </c>
      <c r="R9" s="28">
        <f t="shared" ca="1" si="5"/>
        <v>190270</v>
      </c>
      <c r="S9" s="8" t="str" cm="1">
        <f t="array" aca="1" ref="S9" ca="1">IF(ROW($B9)-ROW($B$5)&gt;CatCount,"",OFFSET('Set-up'!$A$22,ROW($B9)-ROW($B$5),COLUMN('Set-up'!$G$22)-1,1,1))</f>
        <v>BS-801</v>
      </c>
      <c r="T9" s="28">
        <f ca="1">IF(LEN($A9)&gt;1,IF($E$2="MTD",-SUMPRODUCT((TransCat=$A9)*(TransIDDate&gt;=Assets!$J$2)*(TransIDDate&lt;(Assets!$I$2+1))*(TransType="REV")*(TransCAccDep)),-SUMPRODUCT((TransCat=$A9)*(TransIDDate&gt;=Assets!$H$2)*(TransIDDate&lt;(Assets!$I$2+1))*(TransType="REV")*(TransCAccDep))),"")</f>
        <v>-283097.83333333337</v>
      </c>
      <c r="U9" s="8" t="str" cm="1">
        <f t="array" aca="1" ref="U9" ca="1">IF(ROW($B9)-ROW($B$5)&gt;CatCount,"",OFFSET('Set-up'!$A$22,ROW($B9)-ROW($B$5),COLUMN('Set-up'!$E$22)-1,1,1))</f>
        <v>BS-154</v>
      </c>
      <c r="V9" s="28">
        <f t="shared" ca="1" si="6"/>
        <v>283097.83333333337</v>
      </c>
      <c r="W9" s="8" t="str" cm="1">
        <f t="array" aca="1" ref="W9" ca="1">IF(ROW($B9)-ROW($B$5)&gt;CatCount,"",OFFSET('Set-up'!$A$22,ROW($B9)-ROW($B$5),COLUMN('Set-up'!$H$22)-1,1,1))</f>
        <v>IS-457</v>
      </c>
      <c r="X9" s="28">
        <f ca="1">IF(LEN($A9)&gt;1,IF($E$2="MTD",SUMPRODUCT((TransCat=$A9)*(TransIDDate&gt;=Assets!$J$2)*(TransIDDate&lt;(Assets!$I$2+1))*(TransType="REV")*(TransImpair)),SUMPRODUCT((TransCat=$A9)*(TransIDDate&gt;=Assets!$H$2)*(TransIDDate&lt;(Assets!$I$2+1))*(TransType="REV")*(TransImpair))),"")</f>
        <v>0</v>
      </c>
      <c r="Y9" s="8" t="str" cm="1">
        <f t="array" aca="1" ref="Y9" ca="1">IF(ROW($B9)-ROW($B$5)&gt;CatCount,"",OFFSET('Set-up'!$A$22,ROW($B9)-ROW($B$5),COLUMN('Set-up'!$D$22)-1,1,1))</f>
        <v>BS-104</v>
      </c>
      <c r="Z9" s="28">
        <f t="shared" ca="1" si="7"/>
        <v>0</v>
      </c>
      <c r="AA9" s="8" t="str" cm="1">
        <f t="array" aca="1" ref="AA9" ca="1">IF(ROW($B9)-ROW($B$5)&gt;CatCount,"","BANK")</f>
        <v>BANK</v>
      </c>
      <c r="AB9" s="28">
        <f ca="1">IF(LEN($A9)&gt;1,IF($E$2="MTD",SUMPRODUCT((TransCat=$A9)*(TransIDDate&gt;=Assets!$J$2)*(TransIDDate&lt;(Assets!$I$2+1))*(TransType="DIS")*(TransProceeds)),SUMPRODUCT((TransCat=$A9)*(TransIDDate&gt;=Assets!$H$2)*(TransIDDate&lt;(Assets!$I$2+1))*(TransType="DIS")*(TransProceeds))),"")</f>
        <v>0</v>
      </c>
      <c r="AC9" s="8" t="str" cm="1">
        <f t="array" aca="1" ref="AC9" ca="1">IF(ROW($B9)-ROW($B$5)&gt;CatCount,"",OFFSET('Set-up'!$A$22,ROW($B9)-ROW($B$5),COLUMN('Set-up'!$I$22)-1,1,1))</f>
        <v>IS-408</v>
      </c>
      <c r="AD9" s="28">
        <f t="shared" ca="1" si="8"/>
        <v>0</v>
      </c>
      <c r="AE9" s="8" t="str" cm="1">
        <f t="array" aca="1" ref="AE9" ca="1">IF(ROW($B9)-ROW($B$5)&gt;CatCount,"",OFFSET('Set-up'!$A$22,ROW($B9)-ROW($B$5),COLUMN('Set-up'!$I$22)-1,1,1))</f>
        <v>IS-408</v>
      </c>
      <c r="AF9" s="28">
        <f ca="1">IF(LEN($A9)&gt;1,IF($E$2="MTD",SUMPRODUCT((TransCat=$A9)*(TransIDDate&gt;=Assets!$J$2)*(TransIDDate&lt;(Assets!$I$2+1))*(TransType="DIS")*(TransPCost)),SUMPRODUCT((TransCat=$A9)*(TransIDDate&gt;=Assets!$H$2)*(TransIDDate&lt;(Assets!$I$2+1))*(TransType="DIS")*(TransPCost))),"")</f>
        <v>0</v>
      </c>
      <c r="AG9" s="8" t="str" cm="1">
        <f t="array" aca="1" ref="AG9" ca="1">IF(ROW($B9)-ROW($B$5)&gt;CatCount,"",OFFSET('Set-up'!$A$22,ROW($B9)-ROW($B$5),COLUMN('Set-up'!$D$22)-1,1,1))</f>
        <v>BS-104</v>
      </c>
      <c r="AH9" s="28">
        <f t="shared" ca="1" si="9"/>
        <v>0</v>
      </c>
      <c r="AI9" s="8" t="str" cm="1">
        <f t="array" aca="1" ref="AI9" ca="1">IF(ROW($B9)-ROW($B$5)&gt;CatCount,"",OFFSET('Set-up'!$A$22,ROW($B9)-ROW($B$5),COLUMN('Set-up'!$E$22)-1,1,1))</f>
        <v>BS-154</v>
      </c>
      <c r="AJ9" s="28">
        <f ca="1">IF(LEN($A9)&gt;1,IF($E$2="MTD",SUMPRODUCT((TransCat=$A9)*(TransIDDate&gt;=Assets!$J$2)*(TransIDDate&lt;(Assets!$I$2+1))*(TransType="DIS")*(TransCAccDep)),SUMPRODUCT((TransCat=$A9)*(TransIDDate&gt;=Assets!$H$2)*(TransIDDate&lt;(Assets!$I$2+1))*(TransType="DIS")*(TransCAccDep))),"")</f>
        <v>0</v>
      </c>
      <c r="AK9" s="8" t="str" cm="1">
        <f t="array" aca="1" ref="AK9" ca="1">IF(ROW($B9)-ROW($B$5)&gt;CatCount,"",OFFSET('Set-up'!$A$22,ROW($B9)-ROW($B$5),COLUMN('Set-up'!$I$22)-1,1,1))</f>
        <v>IS-408</v>
      </c>
      <c r="AL9" s="28">
        <f t="shared" ca="1" si="10"/>
        <v>0</v>
      </c>
      <c r="AM9" s="8" t="str" cm="1">
        <f t="array" aca="1" ref="AM9" ca="1">IF(ROW($B9)-ROW($B$5)&gt;CatCount,"",OFFSET('Set-up'!$A$22,ROW($B9)-ROW($B$5),COLUMN('Set-up'!$G$22)-1,1,1))</f>
        <v>BS-801</v>
      </c>
      <c r="AN9" s="28">
        <f ca="1">IF(LEN($A9)&gt;1,IF($E$2="MTD",SUMPRODUCT((TransCat=$A9)*(TransIDDate&gt;=Assets!$J$2)*(TransIDDate&lt;(Assets!$I$2+1))*(TransType="DIS")*(TransRPrev)),SUMPRODUCT((TransCat=$A9)*(TransIDDate&gt;=Assets!$H$2)*(TransIDDate&lt;(Assets!$I$2+1))*(TransType="DIS")*(TransRPrev))),"")</f>
        <v>0</v>
      </c>
      <c r="AO9" s="8" t="str" cm="1">
        <f t="array" aca="1" ref="AO9" ca="1">IF(ROW($B9)-ROW($B$5)&gt;CatCount,"",OFFSET('Set-up'!$A$22,ROW($B9)-ROW($B$5),COLUMN('Set-up'!$I$22)-1,1,1))</f>
        <v>IS-408</v>
      </c>
      <c r="AP9" s="28">
        <f t="shared" ca="1" si="11"/>
        <v>0</v>
      </c>
      <c r="AQ9" s="8" t="str" cm="1">
        <f t="array" aca="1" ref="AQ9" ca="1">IF(ROW($B9)-ROW($B$5)&gt;CatCount,"",OFFSET('Set-up'!$A$22,ROW($B9)-ROW($B$5),COLUMN('Set-up'!$J$22)-1,1,1))</f>
        <v>BS-750</v>
      </c>
      <c r="AR9" s="28">
        <f t="shared" ca="1" si="12"/>
        <v>1168.1599999999999</v>
      </c>
      <c r="AS9" s="8" t="str" cm="1">
        <f t="array" aca="1" ref="AS9" ca="1">IF(ROW($B9)-ROW($B$5)&gt;CatCount,"",OFFSET('Set-up'!$A$22,ROW($B9)-ROW($B$5),COLUMN('Set-up'!$K$22)-1,1,1))</f>
        <v>IS-610</v>
      </c>
      <c r="AT9" s="28">
        <f t="shared" ca="1" si="14"/>
        <v>-1168.1599999999999</v>
      </c>
    </row>
    <row r="10" spans="1:46" ht="16" customHeight="1" x14ac:dyDescent="0.25">
      <c r="A10" s="3" t="str" cm="1">
        <f t="array" aca="1" ref="A10" ca="1">IF(ROW($B10)-ROW($B$5)&gt;CatCount,"",OFFSET('Set-up'!$A$22,ROW($B10)-ROW($B$5),0,1,1))</f>
        <v>EQS01</v>
      </c>
      <c r="B10" s="3" t="str">
        <f t="shared" ca="1" si="0"/>
        <v>Secondary Equipment</v>
      </c>
      <c r="C10" s="8" t="str" cm="1">
        <f t="array" aca="1" ref="C10" ca="1">IF(ROW($B10)-ROW($B$5)&gt;CatCount,"",OFFSET('Set-up'!$A$22,ROW($B10)-ROW($B$5),COLUMN('Set-up'!$F$22)-1,1,1))</f>
        <v>IS-405</v>
      </c>
      <c r="D10" s="28">
        <f t="shared" ca="1" si="1"/>
        <v>0</v>
      </c>
      <c r="E10" s="8" t="str" cm="1">
        <f t="array" aca="1" ref="E10" ca="1">IF(ROW($B10)-ROW($B$5)&gt;CatCount,"",OFFSET('Set-up'!$A$22,ROW($B10)-ROW($B$5),COLUMN('Set-up'!$E$22)-1,1,1))</f>
        <v>BS-155</v>
      </c>
      <c r="F10" s="28">
        <f t="shared" ca="1" si="2"/>
        <v>0</v>
      </c>
      <c r="G10" s="8" t="str" cm="1">
        <f t="array" aca="1" ref="G10" ca="1">IF(ROW($B10)-ROW($B$5)&gt;CatCount,"",OFFSET('Set-up'!$A$22,ROW($B10)-ROW($B$5),COLUMN('Set-up'!$G$22)-1,1,1))</f>
        <v>BS-801</v>
      </c>
      <c r="H10" s="28">
        <f t="shared" ca="1" si="3"/>
        <v>0</v>
      </c>
      <c r="I10" s="8" t="str" cm="1">
        <f t="array" aca="1" ref="I10" ca="1">IF(ROW($B10)-ROW($B$5)&gt;CatCount,"",OFFSET('Set-up'!$A$22,ROW($B10)-ROW($B$5),COLUMN('Set-up'!$E$22)-1,1,1))</f>
        <v>BS-155</v>
      </c>
      <c r="J10" s="28">
        <f t="shared" ca="1" si="4"/>
        <v>0</v>
      </c>
      <c r="K10" s="8" t="str" cm="1">
        <f t="array" aca="1" ref="K10" ca="1">IF(ROW($B10)-ROW($B$5)&gt;CatCount,"",OFFSET('Set-up'!$A$22,ROW($B10)-ROW($B$5),COLUMN('Set-up'!$D$22)-1,1,1))</f>
        <v>BS-105</v>
      </c>
      <c r="L10" s="28">
        <f ca="1">IF(LEN($A10)&gt;1,IF($E$2="MTD",SUMPRODUCT((TransCat=$A10)*(TransIDDate&gt;=Assets!$J$2)*(TransIDDate&lt;(Assets!$I$2+1))*(TransType="ACQ")*(TransAmount)),SUMPRODUCT((TransCat=$A10)*(TransIDDate&gt;=Assets!$H$2)*(TransIDDate&lt;(Assets!$I$2+1))*(TransType="ACQ")*(TransAmount))),"")</f>
        <v>0</v>
      </c>
      <c r="M10" s="8" t="str" cm="1">
        <f t="array" aca="1" ref="M10" ca="1">IF(ROW($B10)-ROW($B$5)&gt;CatCount,"","BANK")</f>
        <v>BANK</v>
      </c>
      <c r="N10" s="28">
        <f t="shared" ca="1" si="13"/>
        <v>0</v>
      </c>
      <c r="O10" s="8" t="str" cm="1">
        <f t="array" aca="1" ref="O10" ca="1">IF(ROW($B10)-ROW($B$5)&gt;CatCount,"",OFFSET('Set-up'!$A$22,ROW($B10)-ROW($B$5),COLUMN('Set-up'!$D$22)-1,1,1))</f>
        <v>BS-105</v>
      </c>
      <c r="P10" s="28">
        <f ca="1">IF(LEN($A10)&gt;1,IF($E$2="MTD",SUMPRODUCT((TransCat=$A10)*(TransIDDate&gt;=Assets!$J$2)*(TransIDDate&lt;(Assets!$I$2+1))*(TransType="REV")*(TransAmount))+SUMPRODUCT((TransCat=$A10)*(TransIDDate&gt;=Assets!$J$2)*(TransIDDate&lt;(Assets!$I$2+1))*(TransType="REV")*(TransImpair))-SUMPRODUCT((TransCat=$A10)*(TransIDDate&gt;=Assets!$J$2)*(TransIDDate&lt;(Assets!$I$2+1))*(TransType="REV")*(TransPCost)),SUMPRODUCT((TransCat=$A10)*(TransIDDate&gt;=Assets!$H$2)*(TransIDDate&lt;(Assets!$I$2+1))*(TransType="REV")*(TransAmount))+SUMPRODUCT((TransCat=$A10)*(TransIDDate&gt;=Assets!$H$2)*(TransIDDate&lt;(Assets!$I$2+1))*(TransType="REV")*(TransImpair))-SUMPRODUCT((TransCat=$A10)*(TransIDDate&gt;=Assets!$H$2)*(TransIDDate&lt;(Assets!$I$2+1))*(TransType="REV")*(TransPCost))),"")</f>
        <v>0</v>
      </c>
      <c r="Q10" s="8" t="str" cm="1">
        <f t="array" aca="1" ref="Q10" ca="1">IF(ROW($B10)-ROW($B$5)&gt;CatCount,"",OFFSET('Set-up'!$A$22,ROW($B10)-ROW($B$5),COLUMN('Set-up'!$G$22)-1,1,1))</f>
        <v>BS-801</v>
      </c>
      <c r="R10" s="28">
        <f t="shared" ca="1" si="5"/>
        <v>0</v>
      </c>
      <c r="S10" s="8" t="str" cm="1">
        <f t="array" aca="1" ref="S10" ca="1">IF(ROW($B10)-ROW($B$5)&gt;CatCount,"",OFFSET('Set-up'!$A$22,ROW($B10)-ROW($B$5),COLUMN('Set-up'!$G$22)-1,1,1))</f>
        <v>BS-801</v>
      </c>
      <c r="T10" s="28">
        <f ca="1">IF(LEN($A10)&gt;1,IF($E$2="MTD",-SUMPRODUCT((TransCat=$A10)*(TransIDDate&gt;=Assets!$J$2)*(TransIDDate&lt;(Assets!$I$2+1))*(TransType="REV")*(TransCAccDep)),-SUMPRODUCT((TransCat=$A10)*(TransIDDate&gt;=Assets!$H$2)*(TransIDDate&lt;(Assets!$I$2+1))*(TransType="REV")*(TransCAccDep))),"")</f>
        <v>0</v>
      </c>
      <c r="U10" s="8" t="str" cm="1">
        <f t="array" aca="1" ref="U10" ca="1">IF(ROW($B10)-ROW($B$5)&gt;CatCount,"",OFFSET('Set-up'!$A$22,ROW($B10)-ROW($B$5),COLUMN('Set-up'!$E$22)-1,1,1))</f>
        <v>BS-155</v>
      </c>
      <c r="V10" s="28">
        <f t="shared" ca="1" si="6"/>
        <v>0</v>
      </c>
      <c r="W10" s="8" t="str" cm="1">
        <f t="array" aca="1" ref="W10" ca="1">IF(ROW($B10)-ROW($B$5)&gt;CatCount,"",OFFSET('Set-up'!$A$22,ROW($B10)-ROW($B$5),COLUMN('Set-up'!$H$22)-1,1,1))</f>
        <v>IS-457</v>
      </c>
      <c r="X10" s="28">
        <f ca="1">IF(LEN($A10)&gt;1,IF($E$2="MTD",SUMPRODUCT((TransCat=$A10)*(TransIDDate&gt;=Assets!$J$2)*(TransIDDate&lt;(Assets!$I$2+1))*(TransType="REV")*(TransImpair)),SUMPRODUCT((TransCat=$A10)*(TransIDDate&gt;=Assets!$H$2)*(TransIDDate&lt;(Assets!$I$2+1))*(TransType="REV")*(TransImpair))),"")</f>
        <v>0</v>
      </c>
      <c r="Y10" s="8" t="str" cm="1">
        <f t="array" aca="1" ref="Y10" ca="1">IF(ROW($B10)-ROW($B$5)&gt;CatCount,"",OFFSET('Set-up'!$A$22,ROW($B10)-ROW($B$5),COLUMN('Set-up'!$D$22)-1,1,1))</f>
        <v>BS-105</v>
      </c>
      <c r="Z10" s="28">
        <f t="shared" ca="1" si="7"/>
        <v>0</v>
      </c>
      <c r="AA10" s="8" t="str" cm="1">
        <f t="array" aca="1" ref="AA10" ca="1">IF(ROW($B10)-ROW($B$5)&gt;CatCount,"","BANK")</f>
        <v>BANK</v>
      </c>
      <c r="AB10" s="28">
        <f ca="1">IF(LEN($A10)&gt;1,IF($E$2="MTD",SUMPRODUCT((TransCat=$A10)*(TransIDDate&gt;=Assets!$J$2)*(TransIDDate&lt;(Assets!$I$2+1))*(TransType="DIS")*(TransProceeds)),SUMPRODUCT((TransCat=$A10)*(TransIDDate&gt;=Assets!$H$2)*(TransIDDate&lt;(Assets!$I$2+1))*(TransType="DIS")*(TransProceeds))),"")</f>
        <v>0</v>
      </c>
      <c r="AC10" s="8" t="str" cm="1">
        <f t="array" aca="1" ref="AC10" ca="1">IF(ROW($B10)-ROW($B$5)&gt;CatCount,"",OFFSET('Set-up'!$A$22,ROW($B10)-ROW($B$5),COLUMN('Set-up'!$I$22)-1,1,1))</f>
        <v>IS-408</v>
      </c>
      <c r="AD10" s="28">
        <f t="shared" ca="1" si="8"/>
        <v>0</v>
      </c>
      <c r="AE10" s="8" t="str" cm="1">
        <f t="array" aca="1" ref="AE10" ca="1">IF(ROW($B10)-ROW($B$5)&gt;CatCount,"",OFFSET('Set-up'!$A$22,ROW($B10)-ROW($B$5),COLUMN('Set-up'!$I$22)-1,1,1))</f>
        <v>IS-408</v>
      </c>
      <c r="AF10" s="28">
        <f ca="1">IF(LEN($A10)&gt;1,IF($E$2="MTD",SUMPRODUCT((TransCat=$A10)*(TransIDDate&gt;=Assets!$J$2)*(TransIDDate&lt;(Assets!$I$2+1))*(TransType="DIS")*(TransPCost)),SUMPRODUCT((TransCat=$A10)*(TransIDDate&gt;=Assets!$H$2)*(TransIDDate&lt;(Assets!$I$2+1))*(TransType="DIS")*(TransPCost))),"")</f>
        <v>0</v>
      </c>
      <c r="AG10" s="8" t="str" cm="1">
        <f t="array" aca="1" ref="AG10" ca="1">IF(ROW($B10)-ROW($B$5)&gt;CatCount,"",OFFSET('Set-up'!$A$22,ROW($B10)-ROW($B$5),COLUMN('Set-up'!$D$22)-1,1,1))</f>
        <v>BS-105</v>
      </c>
      <c r="AH10" s="28">
        <f t="shared" ca="1" si="9"/>
        <v>0</v>
      </c>
      <c r="AI10" s="8" t="str" cm="1">
        <f t="array" aca="1" ref="AI10" ca="1">IF(ROW($B10)-ROW($B$5)&gt;CatCount,"",OFFSET('Set-up'!$A$22,ROW($B10)-ROW($B$5),COLUMN('Set-up'!$E$22)-1,1,1))</f>
        <v>BS-155</v>
      </c>
      <c r="AJ10" s="28">
        <f ca="1">IF(LEN($A10)&gt;1,IF($E$2="MTD",SUMPRODUCT((TransCat=$A10)*(TransIDDate&gt;=Assets!$J$2)*(TransIDDate&lt;(Assets!$I$2+1))*(TransType="DIS")*(TransCAccDep)),SUMPRODUCT((TransCat=$A10)*(TransIDDate&gt;=Assets!$H$2)*(TransIDDate&lt;(Assets!$I$2+1))*(TransType="DIS")*(TransCAccDep))),"")</f>
        <v>0</v>
      </c>
      <c r="AK10" s="8" t="str" cm="1">
        <f t="array" aca="1" ref="AK10" ca="1">IF(ROW($B10)-ROW($B$5)&gt;CatCount,"",OFFSET('Set-up'!$A$22,ROW($B10)-ROW($B$5),COLUMN('Set-up'!$I$22)-1,1,1))</f>
        <v>IS-408</v>
      </c>
      <c r="AL10" s="28">
        <f t="shared" ca="1" si="10"/>
        <v>0</v>
      </c>
      <c r="AM10" s="8" t="str" cm="1">
        <f t="array" aca="1" ref="AM10" ca="1">IF(ROW($B10)-ROW($B$5)&gt;CatCount,"",OFFSET('Set-up'!$A$22,ROW($B10)-ROW($B$5),COLUMN('Set-up'!$G$22)-1,1,1))</f>
        <v>BS-801</v>
      </c>
      <c r="AN10" s="28">
        <f ca="1">IF(LEN($A10)&gt;1,IF($E$2="MTD",SUMPRODUCT((TransCat=$A10)*(TransIDDate&gt;=Assets!$J$2)*(TransIDDate&lt;(Assets!$I$2+1))*(TransType="DIS")*(TransRPrev)),SUMPRODUCT((TransCat=$A10)*(TransIDDate&gt;=Assets!$H$2)*(TransIDDate&lt;(Assets!$I$2+1))*(TransType="DIS")*(TransRPrev))),"")</f>
        <v>0</v>
      </c>
      <c r="AO10" s="8" t="str" cm="1">
        <f t="array" aca="1" ref="AO10" ca="1">IF(ROW($B10)-ROW($B$5)&gt;CatCount,"",OFFSET('Set-up'!$A$22,ROW($B10)-ROW($B$5),COLUMN('Set-up'!$I$22)-1,1,1))</f>
        <v>IS-408</v>
      </c>
      <c r="AP10" s="28">
        <f t="shared" ca="1" si="11"/>
        <v>0</v>
      </c>
      <c r="AQ10" s="8" t="str" cm="1">
        <f t="array" aca="1" ref="AQ10" ca="1">IF(ROW($B10)-ROW($B$5)&gt;CatCount,"",OFFSET('Set-up'!$A$22,ROW($B10)-ROW($B$5),COLUMN('Set-up'!$J$22)-1,1,1))</f>
        <v>BS-750</v>
      </c>
      <c r="AR10" s="28">
        <f t="shared" ca="1" si="12"/>
        <v>0</v>
      </c>
      <c r="AS10" s="8" t="str" cm="1">
        <f t="array" aca="1" ref="AS10" ca="1">IF(ROW($B10)-ROW($B$5)&gt;CatCount,"",OFFSET('Set-up'!$A$22,ROW($B10)-ROW($B$5),COLUMN('Set-up'!$K$22)-1,1,1))</f>
        <v>IS-610</v>
      </c>
      <c r="AT10" s="28">
        <f t="shared" ca="1" si="14"/>
        <v>0</v>
      </c>
    </row>
    <row r="11" spans="1:46" ht="16" customHeight="1" x14ac:dyDescent="0.25">
      <c r="A11" s="3" t="str" cm="1">
        <f t="array" aca="1" ref="A11" ca="1">IF(ROW($B11)-ROW($B$5)&gt;CatCount,"",OFFSET('Set-up'!$A$22,ROW($B11)-ROW($B$5),0,1,1))</f>
        <v>SMA01</v>
      </c>
      <c r="B11" s="3" t="str">
        <f t="shared" ca="1" si="0"/>
        <v>Small Assets</v>
      </c>
      <c r="C11" s="8" t="str" cm="1">
        <f t="array" aca="1" ref="C11" ca="1">IF(ROW($B11)-ROW($B$5)&gt;CatCount,"",OFFSET('Set-up'!$A$22,ROW($B11)-ROW($B$5),COLUMN('Set-up'!$F$22)-1,1,1))</f>
        <v>IS-406</v>
      </c>
      <c r="D11" s="28">
        <f t="shared" ca="1" si="1"/>
        <v>0</v>
      </c>
      <c r="E11" s="8" t="str" cm="1">
        <f t="array" aca="1" ref="E11" ca="1">IF(ROW($B11)-ROW($B$5)&gt;CatCount,"",OFFSET('Set-up'!$A$22,ROW($B11)-ROW($B$5),COLUMN('Set-up'!$E$22)-1,1,1))</f>
        <v>BS-156</v>
      </c>
      <c r="F11" s="28">
        <f t="shared" ca="1" si="2"/>
        <v>0</v>
      </c>
      <c r="G11" s="8" t="str" cm="1">
        <f t="array" aca="1" ref="G11" ca="1">IF(ROW($B11)-ROW($B$5)&gt;CatCount,"",OFFSET('Set-up'!$A$22,ROW($B11)-ROW($B$5),COLUMN('Set-up'!$G$22)-1,1,1))</f>
        <v>BS-801</v>
      </c>
      <c r="H11" s="28">
        <f t="shared" ca="1" si="3"/>
        <v>0</v>
      </c>
      <c r="I11" s="8" t="str" cm="1">
        <f t="array" aca="1" ref="I11" ca="1">IF(ROW($B11)-ROW($B$5)&gt;CatCount,"",OFFSET('Set-up'!$A$22,ROW($B11)-ROW($B$5),COLUMN('Set-up'!$E$22)-1,1,1))</f>
        <v>BS-156</v>
      </c>
      <c r="J11" s="28">
        <f t="shared" ca="1" si="4"/>
        <v>0</v>
      </c>
      <c r="K11" s="8" t="str" cm="1">
        <f t="array" aca="1" ref="K11" ca="1">IF(ROW($B11)-ROW($B$5)&gt;CatCount,"",OFFSET('Set-up'!$A$22,ROW($B11)-ROW($B$5),COLUMN('Set-up'!$D$22)-1,1,1))</f>
        <v>BS-106</v>
      </c>
      <c r="L11" s="28">
        <f ca="1">IF(LEN($A11)&gt;1,IF($E$2="MTD",SUMPRODUCT((TransCat=$A11)*(TransIDDate&gt;=Assets!$J$2)*(TransIDDate&lt;(Assets!$I$2+1))*(TransType="ACQ")*(TransAmount)),SUMPRODUCT((TransCat=$A11)*(TransIDDate&gt;=Assets!$H$2)*(TransIDDate&lt;(Assets!$I$2+1))*(TransType="ACQ")*(TransAmount))),"")</f>
        <v>0</v>
      </c>
      <c r="M11" s="8" t="str" cm="1">
        <f t="array" aca="1" ref="M11" ca="1">IF(ROW($B11)-ROW($B$5)&gt;CatCount,"","BANK")</f>
        <v>BANK</v>
      </c>
      <c r="N11" s="28">
        <f t="shared" ca="1" si="13"/>
        <v>0</v>
      </c>
      <c r="O11" s="8" t="str" cm="1">
        <f t="array" aca="1" ref="O11" ca="1">IF(ROW($B11)-ROW($B$5)&gt;CatCount,"",OFFSET('Set-up'!$A$22,ROW($B11)-ROW($B$5),COLUMN('Set-up'!$D$22)-1,1,1))</f>
        <v>BS-106</v>
      </c>
      <c r="P11" s="28">
        <f ca="1">IF(LEN($A11)&gt;1,IF($E$2="MTD",SUMPRODUCT((TransCat=$A11)*(TransIDDate&gt;=Assets!$J$2)*(TransIDDate&lt;(Assets!$I$2+1))*(TransType="REV")*(TransAmount))+SUMPRODUCT((TransCat=$A11)*(TransIDDate&gt;=Assets!$J$2)*(TransIDDate&lt;(Assets!$I$2+1))*(TransType="REV")*(TransImpair))-SUMPRODUCT((TransCat=$A11)*(TransIDDate&gt;=Assets!$J$2)*(TransIDDate&lt;(Assets!$I$2+1))*(TransType="REV")*(TransPCost)),SUMPRODUCT((TransCat=$A11)*(TransIDDate&gt;=Assets!$H$2)*(TransIDDate&lt;(Assets!$I$2+1))*(TransType="REV")*(TransAmount))+SUMPRODUCT((TransCat=$A11)*(TransIDDate&gt;=Assets!$H$2)*(TransIDDate&lt;(Assets!$I$2+1))*(TransType="REV")*(TransImpair))-SUMPRODUCT((TransCat=$A11)*(TransIDDate&gt;=Assets!$H$2)*(TransIDDate&lt;(Assets!$I$2+1))*(TransType="REV")*(TransPCost))),"")</f>
        <v>0</v>
      </c>
      <c r="Q11" s="8" t="str" cm="1">
        <f t="array" aca="1" ref="Q11" ca="1">IF(ROW($B11)-ROW($B$5)&gt;CatCount,"",OFFSET('Set-up'!$A$22,ROW($B11)-ROW($B$5),COLUMN('Set-up'!$G$22)-1,1,1))</f>
        <v>BS-801</v>
      </c>
      <c r="R11" s="28">
        <f t="shared" ca="1" si="5"/>
        <v>0</v>
      </c>
      <c r="S11" s="8" t="str" cm="1">
        <f t="array" aca="1" ref="S11" ca="1">IF(ROW($B11)-ROW($B$5)&gt;CatCount,"",OFFSET('Set-up'!$A$22,ROW($B11)-ROW($B$5),COLUMN('Set-up'!$G$22)-1,1,1))</f>
        <v>BS-801</v>
      </c>
      <c r="T11" s="28">
        <f ca="1">IF(LEN($A11)&gt;1,IF($E$2="MTD",-SUMPRODUCT((TransCat=$A11)*(TransIDDate&gt;=Assets!$J$2)*(TransIDDate&lt;(Assets!$I$2+1))*(TransType="REV")*(TransCAccDep)),-SUMPRODUCT((TransCat=$A11)*(TransIDDate&gt;=Assets!$H$2)*(TransIDDate&lt;(Assets!$I$2+1))*(TransType="REV")*(TransCAccDep))),"")</f>
        <v>0</v>
      </c>
      <c r="U11" s="8" t="str" cm="1">
        <f t="array" aca="1" ref="U11" ca="1">IF(ROW($B11)-ROW($B$5)&gt;CatCount,"",OFFSET('Set-up'!$A$22,ROW($B11)-ROW($B$5),COLUMN('Set-up'!$E$22)-1,1,1))</f>
        <v>BS-156</v>
      </c>
      <c r="V11" s="28">
        <f t="shared" ca="1" si="6"/>
        <v>0</v>
      </c>
      <c r="W11" s="8" t="str" cm="1">
        <f t="array" aca="1" ref="W11" ca="1">IF(ROW($B11)-ROW($B$5)&gt;CatCount,"",OFFSET('Set-up'!$A$22,ROW($B11)-ROW($B$5),COLUMN('Set-up'!$H$22)-1,1,1))</f>
        <v>IS-457</v>
      </c>
      <c r="X11" s="28">
        <f ca="1">IF(LEN($A11)&gt;1,IF($E$2="MTD",SUMPRODUCT((TransCat=$A11)*(TransIDDate&gt;=Assets!$J$2)*(TransIDDate&lt;(Assets!$I$2+1))*(TransType="REV")*(TransImpair)),SUMPRODUCT((TransCat=$A11)*(TransIDDate&gt;=Assets!$H$2)*(TransIDDate&lt;(Assets!$I$2+1))*(TransType="REV")*(TransImpair))),"")</f>
        <v>0</v>
      </c>
      <c r="Y11" s="8" t="str" cm="1">
        <f t="array" aca="1" ref="Y11" ca="1">IF(ROW($B11)-ROW($B$5)&gt;CatCount,"",OFFSET('Set-up'!$A$22,ROW($B11)-ROW($B$5),COLUMN('Set-up'!$D$22)-1,1,1))</f>
        <v>BS-106</v>
      </c>
      <c r="Z11" s="28">
        <f t="shared" ca="1" si="7"/>
        <v>0</v>
      </c>
      <c r="AA11" s="8" t="str" cm="1">
        <f t="array" aca="1" ref="AA11" ca="1">IF(ROW($B11)-ROW($B$5)&gt;CatCount,"","BANK")</f>
        <v>BANK</v>
      </c>
      <c r="AB11" s="28">
        <f ca="1">IF(LEN($A11)&gt;1,IF($E$2="MTD",SUMPRODUCT((TransCat=$A11)*(TransIDDate&gt;=Assets!$J$2)*(TransIDDate&lt;(Assets!$I$2+1))*(TransType="DIS")*(TransProceeds)),SUMPRODUCT((TransCat=$A11)*(TransIDDate&gt;=Assets!$H$2)*(TransIDDate&lt;(Assets!$I$2+1))*(TransType="DIS")*(TransProceeds))),"")</f>
        <v>0</v>
      </c>
      <c r="AC11" s="8" t="str" cm="1">
        <f t="array" aca="1" ref="AC11" ca="1">IF(ROW($B11)-ROW($B$5)&gt;CatCount,"",OFFSET('Set-up'!$A$22,ROW($B11)-ROW($B$5),COLUMN('Set-up'!$I$22)-1,1,1))</f>
        <v>IS-408</v>
      </c>
      <c r="AD11" s="28">
        <f t="shared" ca="1" si="8"/>
        <v>0</v>
      </c>
      <c r="AE11" s="8" t="str" cm="1">
        <f t="array" aca="1" ref="AE11" ca="1">IF(ROW($B11)-ROW($B$5)&gt;CatCount,"",OFFSET('Set-up'!$A$22,ROW($B11)-ROW($B$5),COLUMN('Set-up'!$I$22)-1,1,1))</f>
        <v>IS-408</v>
      </c>
      <c r="AF11" s="28">
        <f ca="1">IF(LEN($A11)&gt;1,IF($E$2="MTD",SUMPRODUCT((TransCat=$A11)*(TransIDDate&gt;=Assets!$J$2)*(TransIDDate&lt;(Assets!$I$2+1))*(TransType="DIS")*(TransPCost)),SUMPRODUCT((TransCat=$A11)*(TransIDDate&gt;=Assets!$H$2)*(TransIDDate&lt;(Assets!$I$2+1))*(TransType="DIS")*(TransPCost))),"")</f>
        <v>0</v>
      </c>
      <c r="AG11" s="8" t="str" cm="1">
        <f t="array" aca="1" ref="AG11" ca="1">IF(ROW($B11)-ROW($B$5)&gt;CatCount,"",OFFSET('Set-up'!$A$22,ROW($B11)-ROW($B$5),COLUMN('Set-up'!$D$22)-1,1,1))</f>
        <v>BS-106</v>
      </c>
      <c r="AH11" s="28">
        <f t="shared" ca="1" si="9"/>
        <v>0</v>
      </c>
      <c r="AI11" s="8" t="str" cm="1">
        <f t="array" aca="1" ref="AI11" ca="1">IF(ROW($B11)-ROW($B$5)&gt;CatCount,"",OFFSET('Set-up'!$A$22,ROW($B11)-ROW($B$5),COLUMN('Set-up'!$E$22)-1,1,1))</f>
        <v>BS-156</v>
      </c>
      <c r="AJ11" s="28">
        <f ca="1">IF(LEN($A11)&gt;1,IF($E$2="MTD",SUMPRODUCT((TransCat=$A11)*(TransIDDate&gt;=Assets!$J$2)*(TransIDDate&lt;(Assets!$I$2+1))*(TransType="DIS")*(TransCAccDep)),SUMPRODUCT((TransCat=$A11)*(TransIDDate&gt;=Assets!$H$2)*(TransIDDate&lt;(Assets!$I$2+1))*(TransType="DIS")*(TransCAccDep))),"")</f>
        <v>0</v>
      </c>
      <c r="AK11" s="8" t="str" cm="1">
        <f t="array" aca="1" ref="AK11" ca="1">IF(ROW($B11)-ROW($B$5)&gt;CatCount,"",OFFSET('Set-up'!$A$22,ROW($B11)-ROW($B$5),COLUMN('Set-up'!$I$22)-1,1,1))</f>
        <v>IS-408</v>
      </c>
      <c r="AL11" s="28">
        <f t="shared" ca="1" si="10"/>
        <v>0</v>
      </c>
      <c r="AM11" s="8" t="str" cm="1">
        <f t="array" aca="1" ref="AM11" ca="1">IF(ROW($B11)-ROW($B$5)&gt;CatCount,"",OFFSET('Set-up'!$A$22,ROW($B11)-ROW($B$5),COLUMN('Set-up'!$G$22)-1,1,1))</f>
        <v>BS-801</v>
      </c>
      <c r="AN11" s="28">
        <f ca="1">IF(LEN($A11)&gt;1,IF($E$2="MTD",SUMPRODUCT((TransCat=$A11)*(TransIDDate&gt;=Assets!$J$2)*(TransIDDate&lt;(Assets!$I$2+1))*(TransType="DIS")*(TransRPrev)),SUMPRODUCT((TransCat=$A11)*(TransIDDate&gt;=Assets!$H$2)*(TransIDDate&lt;(Assets!$I$2+1))*(TransType="DIS")*(TransRPrev))),"")</f>
        <v>0</v>
      </c>
      <c r="AO11" s="8" t="str" cm="1">
        <f t="array" aca="1" ref="AO11" ca="1">IF(ROW($B11)-ROW($B$5)&gt;CatCount,"",OFFSET('Set-up'!$A$22,ROW($B11)-ROW($B$5),COLUMN('Set-up'!$I$22)-1,1,1))</f>
        <v>IS-408</v>
      </c>
      <c r="AP11" s="28">
        <f t="shared" ca="1" si="11"/>
        <v>0</v>
      </c>
      <c r="AQ11" s="8" t="str" cm="1">
        <f t="array" aca="1" ref="AQ11" ca="1">IF(ROW($B11)-ROW($B$5)&gt;CatCount,"",OFFSET('Set-up'!$A$22,ROW($B11)-ROW($B$5),COLUMN('Set-up'!$J$22)-1,1,1))</f>
        <v>BS-750</v>
      </c>
      <c r="AR11" s="28">
        <f t="shared" ca="1" si="12"/>
        <v>0</v>
      </c>
      <c r="AS11" s="8" t="str" cm="1">
        <f t="array" aca="1" ref="AS11" ca="1">IF(ROW($B11)-ROW($B$5)&gt;CatCount,"",OFFSET('Set-up'!$A$22,ROW($B11)-ROW($B$5),COLUMN('Set-up'!$K$22)-1,1,1))</f>
        <v>IS-610</v>
      </c>
      <c r="AT11" s="28">
        <f t="shared" ca="1" si="14"/>
        <v>0</v>
      </c>
    </row>
    <row r="12" spans="1:46" ht="16" customHeight="1" x14ac:dyDescent="0.25">
      <c r="A12" s="3" t="str" cm="1">
        <f t="array" aca="1" ref="A12" ca="1">IF(ROW($B12)-ROW($B$5)&gt;CatCount,"",OFFSET('Set-up'!$A$22,ROW($B12)-ROW($B$5),0,1,1))</f>
        <v>CHW01</v>
      </c>
      <c r="B12" s="3" t="str">
        <f t="shared" ca="1" si="0"/>
        <v>Computer Hardware</v>
      </c>
      <c r="C12" s="8" t="str" cm="1">
        <f t="array" aca="1" ref="C12" ca="1">IF(ROW($B12)-ROW($B$5)&gt;CatCount,"",OFFSET('Set-up'!$A$22,ROW($B12)-ROW($B$5),COLUMN('Set-up'!$F$22)-1,1,1))</f>
        <v>IS-411</v>
      </c>
      <c r="D12" s="28">
        <f t="shared" ca="1" si="1"/>
        <v>0</v>
      </c>
      <c r="E12" s="8" t="str" cm="1">
        <f t="array" aca="1" ref="E12" ca="1">IF(ROW($B12)-ROW($B$5)&gt;CatCount,"",OFFSET('Set-up'!$A$22,ROW($B12)-ROW($B$5),COLUMN('Set-up'!$E$22)-1,1,1))</f>
        <v>BS-161</v>
      </c>
      <c r="F12" s="28">
        <f t="shared" ca="1" si="2"/>
        <v>0</v>
      </c>
      <c r="G12" s="8" t="str" cm="1">
        <f t="array" aca="1" ref="G12" ca="1">IF(ROW($B12)-ROW($B$5)&gt;CatCount,"",OFFSET('Set-up'!$A$22,ROW($B12)-ROW($B$5),COLUMN('Set-up'!$G$22)-1,1,1))</f>
        <v>BS-801</v>
      </c>
      <c r="H12" s="28">
        <f t="shared" ca="1" si="3"/>
        <v>2433.3333333333335</v>
      </c>
      <c r="I12" s="8" t="str" cm="1">
        <f t="array" aca="1" ref="I12" ca="1">IF(ROW($B12)-ROW($B$5)&gt;CatCount,"",OFFSET('Set-up'!$A$22,ROW($B12)-ROW($B$5),COLUMN('Set-up'!$E$22)-1,1,1))</f>
        <v>BS-161</v>
      </c>
      <c r="J12" s="28">
        <f t="shared" ca="1" si="4"/>
        <v>-2433.3333333333335</v>
      </c>
      <c r="K12" s="8" t="str" cm="1">
        <f t="array" aca="1" ref="K12" ca="1">IF(ROW($B12)-ROW($B$5)&gt;CatCount,"",OFFSET('Set-up'!$A$22,ROW($B12)-ROW($B$5),COLUMN('Set-up'!$D$22)-1,1,1))</f>
        <v>BS-111</v>
      </c>
      <c r="L12" s="28">
        <f ca="1">IF(LEN($A12)&gt;1,IF($E$2="MTD",SUMPRODUCT((TransCat=$A12)*(TransIDDate&gt;=Assets!$J$2)*(TransIDDate&lt;(Assets!$I$2+1))*(TransType="ACQ")*(TransAmount)),SUMPRODUCT((TransCat=$A12)*(TransIDDate&gt;=Assets!$H$2)*(TransIDDate&lt;(Assets!$I$2+1))*(TransType="ACQ")*(TransAmount))),"")</f>
        <v>0</v>
      </c>
      <c r="M12" s="8" t="str" cm="1">
        <f t="array" aca="1" ref="M12" ca="1">IF(ROW($B12)-ROW($B$5)&gt;CatCount,"","BANK")</f>
        <v>BANK</v>
      </c>
      <c r="N12" s="28">
        <f t="shared" ca="1" si="13"/>
        <v>0</v>
      </c>
      <c r="O12" s="8" t="str" cm="1">
        <f t="array" aca="1" ref="O12" ca="1">IF(ROW($B12)-ROW($B$5)&gt;CatCount,"",OFFSET('Set-up'!$A$22,ROW($B12)-ROW($B$5),COLUMN('Set-up'!$D$22)-1,1,1))</f>
        <v>BS-111</v>
      </c>
      <c r="P12" s="28">
        <f ca="1">IF(LEN($A12)&gt;1,IF($E$2="MTD",SUMPRODUCT((TransCat=$A12)*(TransIDDate&gt;=Assets!$J$2)*(TransIDDate&lt;(Assets!$I$2+1))*(TransType="REV")*(TransAmount))+SUMPRODUCT((TransCat=$A12)*(TransIDDate&gt;=Assets!$J$2)*(TransIDDate&lt;(Assets!$I$2+1))*(TransType="REV")*(TransImpair))-SUMPRODUCT((TransCat=$A12)*(TransIDDate&gt;=Assets!$J$2)*(TransIDDate&lt;(Assets!$I$2+1))*(TransType="REV")*(TransPCost)),SUMPRODUCT((TransCat=$A12)*(TransIDDate&gt;=Assets!$H$2)*(TransIDDate&lt;(Assets!$I$2+1))*(TransType="REV")*(TransAmount))+SUMPRODUCT((TransCat=$A12)*(TransIDDate&gt;=Assets!$H$2)*(TransIDDate&lt;(Assets!$I$2+1))*(TransType="REV")*(TransImpair))-SUMPRODUCT((TransCat=$A12)*(TransIDDate&gt;=Assets!$H$2)*(TransIDDate&lt;(Assets!$I$2+1))*(TransType="REV")*(TransPCost))),"")</f>
        <v>-9600</v>
      </c>
      <c r="Q12" s="8" t="str" cm="1">
        <f t="array" aca="1" ref="Q12" ca="1">IF(ROW($B12)-ROW($B$5)&gt;CatCount,"",OFFSET('Set-up'!$A$22,ROW($B12)-ROW($B$5),COLUMN('Set-up'!$G$22)-1,1,1))</f>
        <v>BS-801</v>
      </c>
      <c r="R12" s="28">
        <f t="shared" ca="1" si="5"/>
        <v>9600</v>
      </c>
      <c r="S12" s="8" t="str" cm="1">
        <f t="array" aca="1" ref="S12" ca="1">IF(ROW($B12)-ROW($B$5)&gt;CatCount,"",OFFSET('Set-up'!$A$22,ROW($B12)-ROW($B$5),COLUMN('Set-up'!$G$22)-1,1,1))</f>
        <v>BS-801</v>
      </c>
      <c r="T12" s="28">
        <f ca="1">IF(LEN($A12)&gt;1,IF($E$2="MTD",-SUMPRODUCT((TransCat=$A12)*(TransIDDate&gt;=Assets!$J$2)*(TransIDDate&lt;(Assets!$I$2+1))*(TransType="REV")*(TransCAccDep)),-SUMPRODUCT((TransCat=$A12)*(TransIDDate&gt;=Assets!$H$2)*(TransIDDate&lt;(Assets!$I$2+1))*(TransType="REV")*(TransCAccDep))),"")</f>
        <v>-16900</v>
      </c>
      <c r="U12" s="8" t="str" cm="1">
        <f t="array" aca="1" ref="U12" ca="1">IF(ROW($B12)-ROW($B$5)&gt;CatCount,"",OFFSET('Set-up'!$A$22,ROW($B12)-ROW($B$5),COLUMN('Set-up'!$E$22)-1,1,1))</f>
        <v>BS-161</v>
      </c>
      <c r="V12" s="28">
        <f t="shared" ca="1" si="6"/>
        <v>16900</v>
      </c>
      <c r="W12" s="8" t="str" cm="1">
        <f t="array" aca="1" ref="W12" ca="1">IF(ROW($B12)-ROW($B$5)&gt;CatCount,"",OFFSET('Set-up'!$A$22,ROW($B12)-ROW($B$5),COLUMN('Set-up'!$H$22)-1,1,1))</f>
        <v>IS-457</v>
      </c>
      <c r="X12" s="28">
        <f ca="1">IF(LEN($A12)&gt;1,IF($E$2="MTD",SUMPRODUCT((TransCat=$A12)*(TransIDDate&gt;=Assets!$J$2)*(TransIDDate&lt;(Assets!$I$2+1))*(TransType="REV")*(TransImpair)),SUMPRODUCT((TransCat=$A12)*(TransIDDate&gt;=Assets!$H$2)*(TransIDDate&lt;(Assets!$I$2+1))*(TransType="REV")*(TransImpair))),"")</f>
        <v>0</v>
      </c>
      <c r="Y12" s="8" t="str" cm="1">
        <f t="array" aca="1" ref="Y12" ca="1">IF(ROW($B12)-ROW($B$5)&gt;CatCount,"",OFFSET('Set-up'!$A$22,ROW($B12)-ROW($B$5),COLUMN('Set-up'!$D$22)-1,1,1))</f>
        <v>BS-111</v>
      </c>
      <c r="Z12" s="28">
        <f t="shared" ca="1" si="7"/>
        <v>0</v>
      </c>
      <c r="AA12" s="8" t="str" cm="1">
        <f t="array" aca="1" ref="AA12" ca="1">IF(ROW($B12)-ROW($B$5)&gt;CatCount,"","BANK")</f>
        <v>BANK</v>
      </c>
      <c r="AB12" s="28">
        <f ca="1">IF(LEN($A12)&gt;1,IF($E$2="MTD",SUMPRODUCT((TransCat=$A12)*(TransIDDate&gt;=Assets!$J$2)*(TransIDDate&lt;(Assets!$I$2+1))*(TransType="DIS")*(TransProceeds)),SUMPRODUCT((TransCat=$A12)*(TransIDDate&gt;=Assets!$H$2)*(TransIDDate&lt;(Assets!$I$2+1))*(TransType="DIS")*(TransProceeds))),"")</f>
        <v>0</v>
      </c>
      <c r="AC12" s="8" t="str" cm="1">
        <f t="array" aca="1" ref="AC12" ca="1">IF(ROW($B12)-ROW($B$5)&gt;CatCount,"",OFFSET('Set-up'!$A$22,ROW($B12)-ROW($B$5),COLUMN('Set-up'!$I$22)-1,1,1))</f>
        <v>IS-408</v>
      </c>
      <c r="AD12" s="28">
        <f t="shared" ca="1" si="8"/>
        <v>0</v>
      </c>
      <c r="AE12" s="8" t="str" cm="1">
        <f t="array" aca="1" ref="AE12" ca="1">IF(ROW($B12)-ROW($B$5)&gt;CatCount,"",OFFSET('Set-up'!$A$22,ROW($B12)-ROW($B$5),COLUMN('Set-up'!$I$22)-1,1,1))</f>
        <v>IS-408</v>
      </c>
      <c r="AF12" s="28">
        <f ca="1">IF(LEN($A12)&gt;1,IF($E$2="MTD",SUMPRODUCT((TransCat=$A12)*(TransIDDate&gt;=Assets!$J$2)*(TransIDDate&lt;(Assets!$I$2+1))*(TransType="DIS")*(TransPCost)),SUMPRODUCT((TransCat=$A12)*(TransIDDate&gt;=Assets!$H$2)*(TransIDDate&lt;(Assets!$I$2+1))*(TransType="DIS")*(TransPCost))),"")</f>
        <v>0</v>
      </c>
      <c r="AG12" s="8" t="str" cm="1">
        <f t="array" aca="1" ref="AG12" ca="1">IF(ROW($B12)-ROW($B$5)&gt;CatCount,"",OFFSET('Set-up'!$A$22,ROW($B12)-ROW($B$5),COLUMN('Set-up'!$D$22)-1,1,1))</f>
        <v>BS-111</v>
      </c>
      <c r="AH12" s="28">
        <f t="shared" ca="1" si="9"/>
        <v>0</v>
      </c>
      <c r="AI12" s="8" t="str" cm="1">
        <f t="array" aca="1" ref="AI12" ca="1">IF(ROW($B12)-ROW($B$5)&gt;CatCount,"",OFFSET('Set-up'!$A$22,ROW($B12)-ROW($B$5),COLUMN('Set-up'!$E$22)-1,1,1))</f>
        <v>BS-161</v>
      </c>
      <c r="AJ12" s="28">
        <f ca="1">IF(LEN($A12)&gt;1,IF($E$2="MTD",SUMPRODUCT((TransCat=$A12)*(TransIDDate&gt;=Assets!$J$2)*(TransIDDate&lt;(Assets!$I$2+1))*(TransType="DIS")*(TransCAccDep)),SUMPRODUCT((TransCat=$A12)*(TransIDDate&gt;=Assets!$H$2)*(TransIDDate&lt;(Assets!$I$2+1))*(TransType="DIS")*(TransCAccDep))),"")</f>
        <v>0</v>
      </c>
      <c r="AK12" s="8" t="str" cm="1">
        <f t="array" aca="1" ref="AK12" ca="1">IF(ROW($B12)-ROW($B$5)&gt;CatCount,"",OFFSET('Set-up'!$A$22,ROW($B12)-ROW($B$5),COLUMN('Set-up'!$I$22)-1,1,1))</f>
        <v>IS-408</v>
      </c>
      <c r="AL12" s="28">
        <f t="shared" ca="1" si="10"/>
        <v>0</v>
      </c>
      <c r="AM12" s="8" t="str" cm="1">
        <f t="array" aca="1" ref="AM12" ca="1">IF(ROW($B12)-ROW($B$5)&gt;CatCount,"",OFFSET('Set-up'!$A$22,ROW($B12)-ROW($B$5),COLUMN('Set-up'!$G$22)-1,1,1))</f>
        <v>BS-801</v>
      </c>
      <c r="AN12" s="28">
        <f ca="1">IF(LEN($A12)&gt;1,IF($E$2="MTD",SUMPRODUCT((TransCat=$A12)*(TransIDDate&gt;=Assets!$J$2)*(TransIDDate&lt;(Assets!$I$2+1))*(TransType="DIS")*(TransRPrev)),SUMPRODUCT((TransCat=$A12)*(TransIDDate&gt;=Assets!$H$2)*(TransIDDate&lt;(Assets!$I$2+1))*(TransType="DIS")*(TransRPrev))),"")</f>
        <v>0</v>
      </c>
      <c r="AO12" s="8" t="str" cm="1">
        <f t="array" aca="1" ref="AO12" ca="1">IF(ROW($B12)-ROW($B$5)&gt;CatCount,"",OFFSET('Set-up'!$A$22,ROW($B12)-ROW($B$5),COLUMN('Set-up'!$I$22)-1,1,1))</f>
        <v>IS-408</v>
      </c>
      <c r="AP12" s="28">
        <f t="shared" ca="1" si="11"/>
        <v>0</v>
      </c>
      <c r="AQ12" s="8" t="str" cm="1">
        <f t="array" aca="1" ref="AQ12" ca="1">IF(ROW($B12)-ROW($B$5)&gt;CatCount,"",OFFSET('Set-up'!$A$22,ROW($B12)-ROW($B$5),COLUMN('Set-up'!$J$22)-1,1,1))</f>
        <v>BS-750</v>
      </c>
      <c r="AR12" s="28">
        <f t="shared" ca="1" si="12"/>
        <v>0</v>
      </c>
      <c r="AS12" s="8" t="str" cm="1">
        <f t="array" aca="1" ref="AS12" ca="1">IF(ROW($B12)-ROW($B$5)&gt;CatCount,"",OFFSET('Set-up'!$A$22,ROW($B12)-ROW($B$5),COLUMN('Set-up'!$K$22)-1,1,1))</f>
        <v>IS-610</v>
      </c>
      <c r="AT12" s="28">
        <f t="shared" ca="1" si="14"/>
        <v>0</v>
      </c>
    </row>
    <row r="13" spans="1:46" ht="16" customHeight="1" x14ac:dyDescent="0.25">
      <c r="A13" s="3" t="str" cm="1">
        <f t="array" aca="1" ref="A13" ca="1">IF(ROW($B13)-ROW($B$5)&gt;CatCount,"",OFFSET('Set-up'!$A$22,ROW($B13)-ROW($B$5),0,1,1))</f>
        <v>CSW01</v>
      </c>
      <c r="B13" s="3" t="str">
        <f t="shared" ca="1" si="0"/>
        <v>Computer Software</v>
      </c>
      <c r="C13" s="8" t="str" cm="1">
        <f t="array" aca="1" ref="C13" ca="1">IF(ROW($B13)-ROW($B$5)&gt;CatCount,"",OFFSET('Set-up'!$A$22,ROW($B13)-ROW($B$5),COLUMN('Set-up'!$F$22)-1,1,1))</f>
        <v>IS-412</v>
      </c>
      <c r="D13" s="28">
        <f t="shared" ca="1" si="1"/>
        <v>0</v>
      </c>
      <c r="E13" s="8" t="str" cm="1">
        <f t="array" aca="1" ref="E13" ca="1">IF(ROW($B13)-ROW($B$5)&gt;CatCount,"",OFFSET('Set-up'!$A$22,ROW($B13)-ROW($B$5),COLUMN('Set-up'!$E$22)-1,1,1))</f>
        <v>BS-162</v>
      </c>
      <c r="F13" s="28">
        <f t="shared" ca="1" si="2"/>
        <v>0</v>
      </c>
      <c r="G13" s="8" t="str" cm="1">
        <f t="array" aca="1" ref="G13" ca="1">IF(ROW($B13)-ROW($B$5)&gt;CatCount,"",OFFSET('Set-up'!$A$22,ROW($B13)-ROW($B$5),COLUMN('Set-up'!$G$22)-1,1,1))</f>
        <v>BS-801</v>
      </c>
      <c r="H13" s="28">
        <f t="shared" ca="1" si="3"/>
        <v>4100</v>
      </c>
      <c r="I13" s="8" t="str" cm="1">
        <f t="array" aca="1" ref="I13" ca="1">IF(ROW($B13)-ROW($B$5)&gt;CatCount,"",OFFSET('Set-up'!$A$22,ROW($B13)-ROW($B$5),COLUMN('Set-up'!$E$22)-1,1,1))</f>
        <v>BS-162</v>
      </c>
      <c r="J13" s="28">
        <f t="shared" ca="1" si="4"/>
        <v>-4100</v>
      </c>
      <c r="K13" s="8" t="str" cm="1">
        <f t="array" aca="1" ref="K13" ca="1">IF(ROW($B13)-ROW($B$5)&gt;CatCount,"",OFFSET('Set-up'!$A$22,ROW($B13)-ROW($B$5),COLUMN('Set-up'!$D$22)-1,1,1))</f>
        <v>BS-112</v>
      </c>
      <c r="L13" s="28">
        <f ca="1">IF(LEN($A13)&gt;1,IF($E$2="MTD",SUMPRODUCT((TransCat=$A13)*(TransIDDate&gt;=Assets!$J$2)*(TransIDDate&lt;(Assets!$I$2+1))*(TransType="ACQ")*(TransAmount)),SUMPRODUCT((TransCat=$A13)*(TransIDDate&gt;=Assets!$H$2)*(TransIDDate&lt;(Assets!$I$2+1))*(TransType="ACQ")*(TransAmount))),"")</f>
        <v>0</v>
      </c>
      <c r="M13" s="8" t="str" cm="1">
        <f t="array" aca="1" ref="M13" ca="1">IF(ROW($B13)-ROW($B$5)&gt;CatCount,"","BANK")</f>
        <v>BANK</v>
      </c>
      <c r="N13" s="28">
        <f t="shared" ca="1" si="13"/>
        <v>0</v>
      </c>
      <c r="O13" s="8" t="str" cm="1">
        <f t="array" aca="1" ref="O13" ca="1">IF(ROW($B13)-ROW($B$5)&gt;CatCount,"",OFFSET('Set-up'!$A$22,ROW($B13)-ROW($B$5),COLUMN('Set-up'!$D$22)-1,1,1))</f>
        <v>BS-112</v>
      </c>
      <c r="P13" s="28">
        <f ca="1">IF(LEN($A13)&gt;1,IF($E$2="MTD",SUMPRODUCT((TransCat=$A13)*(TransIDDate&gt;=Assets!$J$2)*(TransIDDate&lt;(Assets!$I$2+1))*(TransType="REV")*(TransAmount))+SUMPRODUCT((TransCat=$A13)*(TransIDDate&gt;=Assets!$J$2)*(TransIDDate&lt;(Assets!$I$2+1))*(TransType="REV")*(TransImpair))-SUMPRODUCT((TransCat=$A13)*(TransIDDate&gt;=Assets!$J$2)*(TransIDDate&lt;(Assets!$I$2+1))*(TransType="REV")*(TransPCost)),SUMPRODUCT((TransCat=$A13)*(TransIDDate&gt;=Assets!$H$2)*(TransIDDate&lt;(Assets!$I$2+1))*(TransType="REV")*(TransAmount))+SUMPRODUCT((TransCat=$A13)*(TransIDDate&gt;=Assets!$H$2)*(TransIDDate&lt;(Assets!$I$2+1))*(TransType="REV")*(TransImpair))-SUMPRODUCT((TransCat=$A13)*(TransIDDate&gt;=Assets!$H$2)*(TransIDDate&lt;(Assets!$I$2+1))*(TransType="REV")*(TransPCost))),"")</f>
        <v>-4600</v>
      </c>
      <c r="Q13" s="8" t="str" cm="1">
        <f t="array" aca="1" ref="Q13" ca="1">IF(ROW($B13)-ROW($B$5)&gt;CatCount,"",OFFSET('Set-up'!$A$22,ROW($B13)-ROW($B$5),COLUMN('Set-up'!$G$22)-1,1,1))</f>
        <v>BS-801</v>
      </c>
      <c r="R13" s="28">
        <f t="shared" ca="1" si="5"/>
        <v>4600</v>
      </c>
      <c r="S13" s="8" t="str" cm="1">
        <f t="array" aca="1" ref="S13" ca="1">IF(ROW($B13)-ROW($B$5)&gt;CatCount,"",OFFSET('Set-up'!$A$22,ROW($B13)-ROW($B$5),COLUMN('Set-up'!$G$22)-1,1,1))</f>
        <v>BS-801</v>
      </c>
      <c r="T13" s="28">
        <f ca="1">IF(LEN($A13)&gt;1,IF($E$2="MTD",-SUMPRODUCT((TransCat=$A13)*(TransIDDate&gt;=Assets!$J$2)*(TransIDDate&lt;(Assets!$I$2+1))*(TransType="REV")*(TransCAccDep)),-SUMPRODUCT((TransCat=$A13)*(TransIDDate&gt;=Assets!$H$2)*(TransIDDate&lt;(Assets!$I$2+1))*(TransType="REV")*(TransCAccDep))),"")</f>
        <v>-12800</v>
      </c>
      <c r="U13" s="8" t="str" cm="1">
        <f t="array" aca="1" ref="U13" ca="1">IF(ROW($B13)-ROW($B$5)&gt;CatCount,"",OFFSET('Set-up'!$A$22,ROW($B13)-ROW($B$5),COLUMN('Set-up'!$E$22)-1,1,1))</f>
        <v>BS-162</v>
      </c>
      <c r="V13" s="28">
        <f t="shared" ca="1" si="6"/>
        <v>12800</v>
      </c>
      <c r="W13" s="8" t="str" cm="1">
        <f t="array" aca="1" ref="W13" ca="1">IF(ROW($B13)-ROW($B$5)&gt;CatCount,"",OFFSET('Set-up'!$A$22,ROW($B13)-ROW($B$5),COLUMN('Set-up'!$H$22)-1,1,1))</f>
        <v>IS-457</v>
      </c>
      <c r="X13" s="28">
        <f ca="1">IF(LEN($A13)&gt;1,IF($E$2="MTD",SUMPRODUCT((TransCat=$A13)*(TransIDDate&gt;=Assets!$J$2)*(TransIDDate&lt;(Assets!$I$2+1))*(TransType="REV")*(TransImpair)),SUMPRODUCT((TransCat=$A13)*(TransIDDate&gt;=Assets!$H$2)*(TransIDDate&lt;(Assets!$I$2+1))*(TransType="REV")*(TransImpair))),"")</f>
        <v>0</v>
      </c>
      <c r="Y13" s="8" t="str" cm="1">
        <f t="array" aca="1" ref="Y13" ca="1">IF(ROW($B13)-ROW($B$5)&gt;CatCount,"",OFFSET('Set-up'!$A$22,ROW($B13)-ROW($B$5),COLUMN('Set-up'!$D$22)-1,1,1))</f>
        <v>BS-112</v>
      </c>
      <c r="Z13" s="28">
        <f t="shared" ca="1" si="7"/>
        <v>0</v>
      </c>
      <c r="AA13" s="8" t="str" cm="1">
        <f t="array" aca="1" ref="AA13" ca="1">IF(ROW($B13)-ROW($B$5)&gt;CatCount,"","BANK")</f>
        <v>BANK</v>
      </c>
      <c r="AB13" s="28">
        <f ca="1">IF(LEN($A13)&gt;1,IF($E$2="MTD",SUMPRODUCT((TransCat=$A13)*(TransIDDate&gt;=Assets!$J$2)*(TransIDDate&lt;(Assets!$I$2+1))*(TransType="DIS")*(TransProceeds)),SUMPRODUCT((TransCat=$A13)*(TransIDDate&gt;=Assets!$H$2)*(TransIDDate&lt;(Assets!$I$2+1))*(TransType="DIS")*(TransProceeds))),"")</f>
        <v>0</v>
      </c>
      <c r="AC13" s="8" t="str" cm="1">
        <f t="array" aca="1" ref="AC13" ca="1">IF(ROW($B13)-ROW($B$5)&gt;CatCount,"",OFFSET('Set-up'!$A$22,ROW($B13)-ROW($B$5),COLUMN('Set-up'!$I$22)-1,1,1))</f>
        <v>IS-408</v>
      </c>
      <c r="AD13" s="28">
        <f t="shared" ca="1" si="8"/>
        <v>0</v>
      </c>
      <c r="AE13" s="8" t="str" cm="1">
        <f t="array" aca="1" ref="AE13" ca="1">IF(ROW($B13)-ROW($B$5)&gt;CatCount,"",OFFSET('Set-up'!$A$22,ROW($B13)-ROW($B$5),COLUMN('Set-up'!$I$22)-1,1,1))</f>
        <v>IS-408</v>
      </c>
      <c r="AF13" s="28">
        <f ca="1">IF(LEN($A13)&gt;1,IF($E$2="MTD",SUMPRODUCT((TransCat=$A13)*(TransIDDate&gt;=Assets!$J$2)*(TransIDDate&lt;(Assets!$I$2+1))*(TransType="DIS")*(TransPCost)),SUMPRODUCT((TransCat=$A13)*(TransIDDate&gt;=Assets!$H$2)*(TransIDDate&lt;(Assets!$I$2+1))*(TransType="DIS")*(TransPCost))),"")</f>
        <v>0</v>
      </c>
      <c r="AG13" s="8" t="str" cm="1">
        <f t="array" aca="1" ref="AG13" ca="1">IF(ROW($B13)-ROW($B$5)&gt;CatCount,"",OFFSET('Set-up'!$A$22,ROW($B13)-ROW($B$5),COLUMN('Set-up'!$D$22)-1,1,1))</f>
        <v>BS-112</v>
      </c>
      <c r="AH13" s="28">
        <f t="shared" ca="1" si="9"/>
        <v>0</v>
      </c>
      <c r="AI13" s="8" t="str" cm="1">
        <f t="array" aca="1" ref="AI13" ca="1">IF(ROW($B13)-ROW($B$5)&gt;CatCount,"",OFFSET('Set-up'!$A$22,ROW($B13)-ROW($B$5),COLUMN('Set-up'!$E$22)-1,1,1))</f>
        <v>BS-162</v>
      </c>
      <c r="AJ13" s="28">
        <f ca="1">IF(LEN($A13)&gt;1,IF($E$2="MTD",SUMPRODUCT((TransCat=$A13)*(TransIDDate&gt;=Assets!$J$2)*(TransIDDate&lt;(Assets!$I$2+1))*(TransType="DIS")*(TransCAccDep)),SUMPRODUCT((TransCat=$A13)*(TransIDDate&gt;=Assets!$H$2)*(TransIDDate&lt;(Assets!$I$2+1))*(TransType="DIS")*(TransCAccDep))),"")</f>
        <v>0</v>
      </c>
      <c r="AK13" s="8" t="str" cm="1">
        <f t="array" aca="1" ref="AK13" ca="1">IF(ROW($B13)-ROW($B$5)&gt;CatCount,"",OFFSET('Set-up'!$A$22,ROW($B13)-ROW($B$5),COLUMN('Set-up'!$I$22)-1,1,1))</f>
        <v>IS-408</v>
      </c>
      <c r="AL13" s="28">
        <f t="shared" ca="1" si="10"/>
        <v>0</v>
      </c>
      <c r="AM13" s="8" t="str" cm="1">
        <f t="array" aca="1" ref="AM13" ca="1">IF(ROW($B13)-ROW($B$5)&gt;CatCount,"",OFFSET('Set-up'!$A$22,ROW($B13)-ROW($B$5),COLUMN('Set-up'!$G$22)-1,1,1))</f>
        <v>BS-801</v>
      </c>
      <c r="AN13" s="28">
        <f ca="1">IF(LEN($A13)&gt;1,IF($E$2="MTD",SUMPRODUCT((TransCat=$A13)*(TransIDDate&gt;=Assets!$J$2)*(TransIDDate&lt;(Assets!$I$2+1))*(TransType="DIS")*(TransRPrev)),SUMPRODUCT((TransCat=$A13)*(TransIDDate&gt;=Assets!$H$2)*(TransIDDate&lt;(Assets!$I$2+1))*(TransType="DIS")*(TransRPrev))),"")</f>
        <v>0</v>
      </c>
      <c r="AO13" s="8" t="str" cm="1">
        <f t="array" aca="1" ref="AO13" ca="1">IF(ROW($B13)-ROW($B$5)&gt;CatCount,"",OFFSET('Set-up'!$A$22,ROW($B13)-ROW($B$5),COLUMN('Set-up'!$I$22)-1,1,1))</f>
        <v>IS-408</v>
      </c>
      <c r="AP13" s="28">
        <f t="shared" ca="1" si="11"/>
        <v>0</v>
      </c>
      <c r="AQ13" s="8" t="str" cm="1">
        <f t="array" aca="1" ref="AQ13" ca="1">IF(ROW($B13)-ROW($B$5)&gt;CatCount,"",OFFSET('Set-up'!$A$22,ROW($B13)-ROW($B$5),COLUMN('Set-up'!$J$22)-1,1,1))</f>
        <v>BS-750</v>
      </c>
      <c r="AR13" s="28">
        <f t="shared" ca="1" si="12"/>
        <v>0</v>
      </c>
      <c r="AS13" s="8" t="str" cm="1">
        <f t="array" aca="1" ref="AS13" ca="1">IF(ROW($B13)-ROW($B$5)&gt;CatCount,"",OFFSET('Set-up'!$A$22,ROW($B13)-ROW($B$5),COLUMN('Set-up'!$K$22)-1,1,1))</f>
        <v>IS-610</v>
      </c>
      <c r="AT13" s="28">
        <f t="shared" ca="1" si="14"/>
        <v>0</v>
      </c>
    </row>
    <row r="14" spans="1:46" ht="16" customHeight="1" x14ac:dyDescent="0.25">
      <c r="A14" s="3" t="str" cm="1">
        <f t="array" aca="1" ref="A14" ca="1">IF(ROW($B14)-ROW($B$5)&gt;CatCount,"",OFFSET('Set-up'!$A$22,ROW($B14)-ROW($B$5),0,1,1))</f>
        <v>OFE01</v>
      </c>
      <c r="B14" s="3" t="str">
        <f t="shared" ca="1" si="0"/>
        <v>Office Equipment</v>
      </c>
      <c r="C14" s="8" t="str" cm="1">
        <f t="array" aca="1" ref="C14" ca="1">IF(ROW($B14)-ROW($B$5)&gt;CatCount,"",OFFSET('Set-up'!$A$22,ROW($B14)-ROW($B$5),COLUMN('Set-up'!$F$22)-1,1,1))</f>
        <v>IS-421</v>
      </c>
      <c r="D14" s="28">
        <f t="shared" ca="1" si="1"/>
        <v>1287.5</v>
      </c>
      <c r="E14" s="8" t="str" cm="1">
        <f t="array" aca="1" ref="E14" ca="1">IF(ROW($B14)-ROW($B$5)&gt;CatCount,"",OFFSET('Set-up'!$A$22,ROW($B14)-ROW($B$5),COLUMN('Set-up'!$E$22)-1,1,1))</f>
        <v>BS-171</v>
      </c>
      <c r="F14" s="28">
        <f t="shared" ca="1" si="2"/>
        <v>-1287.5</v>
      </c>
      <c r="G14" s="8" t="str" cm="1">
        <f t="array" aca="1" ref="G14" ca="1">IF(ROW($B14)-ROW($B$5)&gt;CatCount,"",OFFSET('Set-up'!$A$22,ROW($B14)-ROW($B$5),COLUMN('Set-up'!$G$22)-1,1,1))</f>
        <v>BS-801</v>
      </c>
      <c r="H14" s="28">
        <f t="shared" ca="1" si="3"/>
        <v>512.5</v>
      </c>
      <c r="I14" s="8" t="str" cm="1">
        <f t="array" aca="1" ref="I14" ca="1">IF(ROW($B14)-ROW($B$5)&gt;CatCount,"",OFFSET('Set-up'!$A$22,ROW($B14)-ROW($B$5),COLUMN('Set-up'!$E$22)-1,1,1))</f>
        <v>BS-171</v>
      </c>
      <c r="J14" s="28">
        <f t="shared" ca="1" si="4"/>
        <v>-512.5</v>
      </c>
      <c r="K14" s="8" t="str" cm="1">
        <f t="array" aca="1" ref="K14" ca="1">IF(ROW($B14)-ROW($B$5)&gt;CatCount,"",OFFSET('Set-up'!$A$22,ROW($B14)-ROW($B$5),COLUMN('Set-up'!$D$22)-1,1,1))</f>
        <v>BS-121</v>
      </c>
      <c r="L14" s="28">
        <f ca="1">IF(LEN($A14)&gt;1,IF($E$2="MTD",SUMPRODUCT((TransCat=$A14)*(TransIDDate&gt;=Assets!$J$2)*(TransIDDate&lt;(Assets!$I$2+1))*(TransType="ACQ")*(TransAmount)),SUMPRODUCT((TransCat=$A14)*(TransIDDate&gt;=Assets!$H$2)*(TransIDDate&lt;(Assets!$I$2+1))*(TransType="ACQ")*(TransAmount))),"")</f>
        <v>0</v>
      </c>
      <c r="M14" s="8" t="str" cm="1">
        <f t="array" aca="1" ref="M14" ca="1">IF(ROW($B14)-ROW($B$5)&gt;CatCount,"","BANK")</f>
        <v>BANK</v>
      </c>
      <c r="N14" s="28">
        <f t="shared" ca="1" si="13"/>
        <v>0</v>
      </c>
      <c r="O14" s="8" t="str" cm="1">
        <f t="array" aca="1" ref="O14" ca="1">IF(ROW($B14)-ROW($B$5)&gt;CatCount,"",OFFSET('Set-up'!$A$22,ROW($B14)-ROW($B$5),COLUMN('Set-up'!$D$22)-1,1,1))</f>
        <v>BS-121</v>
      </c>
      <c r="P14" s="28">
        <f ca="1">IF(LEN($A14)&gt;1,IF($E$2="MTD",SUMPRODUCT((TransCat=$A14)*(TransIDDate&gt;=Assets!$J$2)*(TransIDDate&lt;(Assets!$I$2+1))*(TransType="REV")*(TransAmount))+SUMPRODUCT((TransCat=$A14)*(TransIDDate&gt;=Assets!$J$2)*(TransIDDate&lt;(Assets!$I$2+1))*(TransType="REV")*(TransImpair))-SUMPRODUCT((TransCat=$A14)*(TransIDDate&gt;=Assets!$J$2)*(TransIDDate&lt;(Assets!$I$2+1))*(TransType="REV")*(TransPCost)),SUMPRODUCT((TransCat=$A14)*(TransIDDate&gt;=Assets!$H$2)*(TransIDDate&lt;(Assets!$I$2+1))*(TransType="REV")*(TransAmount))+SUMPRODUCT((TransCat=$A14)*(TransIDDate&gt;=Assets!$H$2)*(TransIDDate&lt;(Assets!$I$2+1))*(TransType="REV")*(TransImpair))-SUMPRODUCT((TransCat=$A14)*(TransIDDate&gt;=Assets!$H$2)*(TransIDDate&lt;(Assets!$I$2+1))*(TransType="REV")*(TransPCost))),"")</f>
        <v>-1350</v>
      </c>
      <c r="Q14" s="8" t="str" cm="1">
        <f t="array" aca="1" ref="Q14" ca="1">IF(ROW($B14)-ROW($B$5)&gt;CatCount,"",OFFSET('Set-up'!$A$22,ROW($B14)-ROW($B$5),COLUMN('Set-up'!$G$22)-1,1,1))</f>
        <v>BS-801</v>
      </c>
      <c r="R14" s="28">
        <f t="shared" ca="1" si="5"/>
        <v>1350</v>
      </c>
      <c r="S14" s="8" t="str" cm="1">
        <f t="array" aca="1" ref="S14" ca="1">IF(ROW($B14)-ROW($B$5)&gt;CatCount,"",OFFSET('Set-up'!$A$22,ROW($B14)-ROW($B$5),COLUMN('Set-up'!$G$22)-1,1,1))</f>
        <v>BS-801</v>
      </c>
      <c r="T14" s="28">
        <f ca="1">IF(LEN($A14)&gt;1,IF($E$2="MTD",-SUMPRODUCT((TransCat=$A14)*(TransIDDate&gt;=Assets!$J$2)*(TransIDDate&lt;(Assets!$I$2+1))*(TransType="REV")*(TransCAccDep)),-SUMPRODUCT((TransCat=$A14)*(TransIDDate&gt;=Assets!$H$2)*(TransIDDate&lt;(Assets!$I$2+1))*(TransType="REV")*(TransCAccDep))),"")</f>
        <v>-5760.416666666667</v>
      </c>
      <c r="U14" s="8" t="str" cm="1">
        <f t="array" aca="1" ref="U14" ca="1">IF(ROW($B14)-ROW($B$5)&gt;CatCount,"",OFFSET('Set-up'!$A$22,ROW($B14)-ROW($B$5),COLUMN('Set-up'!$E$22)-1,1,1))</f>
        <v>BS-171</v>
      </c>
      <c r="V14" s="28">
        <f t="shared" ca="1" si="6"/>
        <v>5760.416666666667</v>
      </c>
      <c r="W14" s="8" t="str" cm="1">
        <f t="array" aca="1" ref="W14" ca="1">IF(ROW($B14)-ROW($B$5)&gt;CatCount,"",OFFSET('Set-up'!$A$22,ROW($B14)-ROW($B$5),COLUMN('Set-up'!$H$22)-1,1,1))</f>
        <v>IS-457</v>
      </c>
      <c r="X14" s="28">
        <f ca="1">IF(LEN($A14)&gt;1,IF($E$2="MTD",SUMPRODUCT((TransCat=$A14)*(TransIDDate&gt;=Assets!$J$2)*(TransIDDate&lt;(Assets!$I$2+1))*(TransType="REV")*(TransImpair)),SUMPRODUCT((TransCat=$A14)*(TransIDDate&gt;=Assets!$H$2)*(TransIDDate&lt;(Assets!$I$2+1))*(TransType="REV")*(TransImpair))),"")</f>
        <v>0</v>
      </c>
      <c r="Y14" s="8" t="str" cm="1">
        <f t="array" aca="1" ref="Y14" ca="1">IF(ROW($B14)-ROW($B$5)&gt;CatCount,"",OFFSET('Set-up'!$A$22,ROW($B14)-ROW($B$5),COLUMN('Set-up'!$D$22)-1,1,1))</f>
        <v>BS-121</v>
      </c>
      <c r="Z14" s="28">
        <f t="shared" ca="1" si="7"/>
        <v>0</v>
      </c>
      <c r="AA14" s="8" t="str" cm="1">
        <f t="array" aca="1" ref="AA14" ca="1">IF(ROW($B14)-ROW($B$5)&gt;CatCount,"","BANK")</f>
        <v>BANK</v>
      </c>
      <c r="AB14" s="28">
        <f ca="1">IF(LEN($A14)&gt;1,IF($E$2="MTD",SUMPRODUCT((TransCat=$A14)*(TransIDDate&gt;=Assets!$J$2)*(TransIDDate&lt;(Assets!$I$2+1))*(TransType="DIS")*(TransProceeds)),SUMPRODUCT((TransCat=$A14)*(TransIDDate&gt;=Assets!$H$2)*(TransIDDate&lt;(Assets!$I$2+1))*(TransType="DIS")*(TransProceeds))),"")</f>
        <v>0</v>
      </c>
      <c r="AC14" s="8" t="str" cm="1">
        <f t="array" aca="1" ref="AC14" ca="1">IF(ROW($B14)-ROW($B$5)&gt;CatCount,"",OFFSET('Set-up'!$A$22,ROW($B14)-ROW($B$5),COLUMN('Set-up'!$I$22)-1,1,1))</f>
        <v>IS-408</v>
      </c>
      <c r="AD14" s="28">
        <f t="shared" ca="1" si="8"/>
        <v>0</v>
      </c>
      <c r="AE14" s="8" t="str" cm="1">
        <f t="array" aca="1" ref="AE14" ca="1">IF(ROW($B14)-ROW($B$5)&gt;CatCount,"",OFFSET('Set-up'!$A$22,ROW($B14)-ROW($B$5),COLUMN('Set-up'!$I$22)-1,1,1))</f>
        <v>IS-408</v>
      </c>
      <c r="AF14" s="28">
        <f ca="1">IF(LEN($A14)&gt;1,IF($E$2="MTD",SUMPRODUCT((TransCat=$A14)*(TransIDDate&gt;=Assets!$J$2)*(TransIDDate&lt;(Assets!$I$2+1))*(TransType="DIS")*(TransPCost)),SUMPRODUCT((TransCat=$A14)*(TransIDDate&gt;=Assets!$H$2)*(TransIDDate&lt;(Assets!$I$2+1))*(TransType="DIS")*(TransPCost))),"")</f>
        <v>0</v>
      </c>
      <c r="AG14" s="8" t="str" cm="1">
        <f t="array" aca="1" ref="AG14" ca="1">IF(ROW($B14)-ROW($B$5)&gt;CatCount,"",OFFSET('Set-up'!$A$22,ROW($B14)-ROW($B$5),COLUMN('Set-up'!$D$22)-1,1,1))</f>
        <v>BS-121</v>
      </c>
      <c r="AH14" s="28">
        <f t="shared" ca="1" si="9"/>
        <v>0</v>
      </c>
      <c r="AI14" s="8" t="str" cm="1">
        <f t="array" aca="1" ref="AI14" ca="1">IF(ROW($B14)-ROW($B$5)&gt;CatCount,"",OFFSET('Set-up'!$A$22,ROW($B14)-ROW($B$5),COLUMN('Set-up'!$E$22)-1,1,1))</f>
        <v>BS-171</v>
      </c>
      <c r="AJ14" s="28">
        <f ca="1">IF(LEN($A14)&gt;1,IF($E$2="MTD",SUMPRODUCT((TransCat=$A14)*(TransIDDate&gt;=Assets!$J$2)*(TransIDDate&lt;(Assets!$I$2+1))*(TransType="DIS")*(TransCAccDep)),SUMPRODUCT((TransCat=$A14)*(TransIDDate&gt;=Assets!$H$2)*(TransIDDate&lt;(Assets!$I$2+1))*(TransType="DIS")*(TransCAccDep))),"")</f>
        <v>0</v>
      </c>
      <c r="AK14" s="8" t="str" cm="1">
        <f t="array" aca="1" ref="AK14" ca="1">IF(ROW($B14)-ROW($B$5)&gt;CatCount,"",OFFSET('Set-up'!$A$22,ROW($B14)-ROW($B$5),COLUMN('Set-up'!$I$22)-1,1,1))</f>
        <v>IS-408</v>
      </c>
      <c r="AL14" s="28">
        <f t="shared" ca="1" si="10"/>
        <v>0</v>
      </c>
      <c r="AM14" s="8" t="str" cm="1">
        <f t="array" aca="1" ref="AM14" ca="1">IF(ROW($B14)-ROW($B$5)&gt;CatCount,"",OFFSET('Set-up'!$A$22,ROW($B14)-ROW($B$5),COLUMN('Set-up'!$G$22)-1,1,1))</f>
        <v>BS-801</v>
      </c>
      <c r="AN14" s="28">
        <f ca="1">IF(LEN($A14)&gt;1,IF($E$2="MTD",SUMPRODUCT((TransCat=$A14)*(TransIDDate&gt;=Assets!$J$2)*(TransIDDate&lt;(Assets!$I$2+1))*(TransType="DIS")*(TransRPrev)),SUMPRODUCT((TransCat=$A14)*(TransIDDate&gt;=Assets!$H$2)*(TransIDDate&lt;(Assets!$I$2+1))*(TransType="DIS")*(TransRPrev))),"")</f>
        <v>0</v>
      </c>
      <c r="AO14" s="8" t="str" cm="1">
        <f t="array" aca="1" ref="AO14" ca="1">IF(ROW($B14)-ROW($B$5)&gt;CatCount,"",OFFSET('Set-up'!$A$22,ROW($B14)-ROW($B$5),COLUMN('Set-up'!$I$22)-1,1,1))</f>
        <v>IS-408</v>
      </c>
      <c r="AP14" s="28">
        <f t="shared" ca="1" si="11"/>
        <v>0</v>
      </c>
      <c r="AQ14" s="8" t="str" cm="1">
        <f t="array" aca="1" ref="AQ14" ca="1">IF(ROW($B14)-ROW($B$5)&gt;CatCount,"",OFFSET('Set-up'!$A$22,ROW($B14)-ROW($B$5),COLUMN('Set-up'!$J$22)-1,1,1))</f>
        <v>BS-750</v>
      </c>
      <c r="AR14" s="28">
        <f t="shared" ca="1" si="12"/>
        <v>0</v>
      </c>
      <c r="AS14" s="8" t="str" cm="1">
        <f t="array" aca="1" ref="AS14" ca="1">IF(ROW($B14)-ROW($B$5)&gt;CatCount,"",OFFSET('Set-up'!$A$22,ROW($B14)-ROW($B$5),COLUMN('Set-up'!$K$22)-1,1,1))</f>
        <v>IS-610</v>
      </c>
      <c r="AT14" s="28">
        <f t="shared" ca="1" si="14"/>
        <v>0</v>
      </c>
    </row>
    <row r="15" spans="1:46" ht="16" customHeight="1" x14ac:dyDescent="0.25">
      <c r="A15" s="3" t="str" cm="1">
        <f t="array" aca="1" ref="A15" ca="1">IF(ROW($B15)-ROW($B$5)&gt;CatCount,"",OFFSET('Set-up'!$A$22,ROW($B15)-ROW($B$5),0,1,1))</f>
        <v>FFX01</v>
      </c>
      <c r="B15" s="3" t="str">
        <f t="shared" ca="1" si="0"/>
        <v>Furniture &amp; Fixtures</v>
      </c>
      <c r="C15" s="8" t="str" cm="1">
        <f t="array" aca="1" ref="C15" ca="1">IF(ROW($B15)-ROW($B$5)&gt;CatCount,"",OFFSET('Set-up'!$A$22,ROW($B15)-ROW($B$5),COLUMN('Set-up'!$F$22)-1,1,1))</f>
        <v>IS-431</v>
      </c>
      <c r="D15" s="28">
        <f t="shared" ca="1" si="1"/>
        <v>1575</v>
      </c>
      <c r="E15" s="8" t="str" cm="1">
        <f t="array" aca="1" ref="E15" ca="1">IF(ROW($B15)-ROW($B$5)&gt;CatCount,"",OFFSET('Set-up'!$A$22,ROW($B15)-ROW($B$5),COLUMN('Set-up'!$E$22)-1,1,1))</f>
        <v>BS-181</v>
      </c>
      <c r="F15" s="28">
        <f t="shared" ca="1" si="2"/>
        <v>-1575</v>
      </c>
      <c r="G15" s="8" t="str" cm="1">
        <f t="array" aca="1" ref="G15" ca="1">IF(ROW($B15)-ROW($B$5)&gt;CatCount,"",OFFSET('Set-up'!$A$22,ROW($B15)-ROW($B$5),COLUMN('Set-up'!$G$22)-1,1,1))</f>
        <v>BS-801</v>
      </c>
      <c r="H15" s="28">
        <f t="shared" ca="1" si="3"/>
        <v>0</v>
      </c>
      <c r="I15" s="8" t="str" cm="1">
        <f t="array" aca="1" ref="I15" ca="1">IF(ROW($B15)-ROW($B$5)&gt;CatCount,"",OFFSET('Set-up'!$A$22,ROW($B15)-ROW($B$5),COLUMN('Set-up'!$E$22)-1,1,1))</f>
        <v>BS-181</v>
      </c>
      <c r="J15" s="28">
        <f t="shared" ca="1" si="4"/>
        <v>0</v>
      </c>
      <c r="K15" s="8" t="str" cm="1">
        <f t="array" aca="1" ref="K15" ca="1">IF(ROW($B15)-ROW($B$5)&gt;CatCount,"",OFFSET('Set-up'!$A$22,ROW($B15)-ROW($B$5),COLUMN('Set-up'!$D$22)-1,1,1))</f>
        <v>BS-131</v>
      </c>
      <c r="L15" s="28">
        <f ca="1">IF(LEN($A15)&gt;1,IF($E$2="MTD",SUMPRODUCT((TransCat=$A15)*(TransIDDate&gt;=Assets!$J$2)*(TransIDDate&lt;(Assets!$I$2+1))*(TransType="ACQ")*(TransAmount)),SUMPRODUCT((TransCat=$A15)*(TransIDDate&gt;=Assets!$H$2)*(TransIDDate&lt;(Assets!$I$2+1))*(TransType="ACQ")*(TransAmount))),"")</f>
        <v>0</v>
      </c>
      <c r="M15" s="8" t="str" cm="1">
        <f t="array" aca="1" ref="M15" ca="1">IF(ROW($B15)-ROW($B$5)&gt;CatCount,"","BANK")</f>
        <v>BANK</v>
      </c>
      <c r="N15" s="28">
        <f t="shared" ca="1" si="13"/>
        <v>0</v>
      </c>
      <c r="O15" s="8" t="str" cm="1">
        <f t="array" aca="1" ref="O15" ca="1">IF(ROW($B15)-ROW($B$5)&gt;CatCount,"",OFFSET('Set-up'!$A$22,ROW($B15)-ROW($B$5),COLUMN('Set-up'!$D$22)-1,1,1))</f>
        <v>BS-131</v>
      </c>
      <c r="P15" s="28">
        <f ca="1">IF(LEN($A15)&gt;1,IF($E$2="MTD",SUMPRODUCT((TransCat=$A15)*(TransIDDate&gt;=Assets!$J$2)*(TransIDDate&lt;(Assets!$I$2+1))*(TransType="REV")*(TransAmount))+SUMPRODUCT((TransCat=$A15)*(TransIDDate&gt;=Assets!$J$2)*(TransIDDate&lt;(Assets!$I$2+1))*(TransType="REV")*(TransImpair))-SUMPRODUCT((TransCat=$A15)*(TransIDDate&gt;=Assets!$J$2)*(TransIDDate&lt;(Assets!$I$2+1))*(TransType="REV")*(TransPCost)),SUMPRODUCT((TransCat=$A15)*(TransIDDate&gt;=Assets!$H$2)*(TransIDDate&lt;(Assets!$I$2+1))*(TransType="REV")*(TransAmount))+SUMPRODUCT((TransCat=$A15)*(TransIDDate&gt;=Assets!$H$2)*(TransIDDate&lt;(Assets!$I$2+1))*(TransType="REV")*(TransImpair))-SUMPRODUCT((TransCat=$A15)*(TransIDDate&gt;=Assets!$H$2)*(TransIDDate&lt;(Assets!$I$2+1))*(TransType="REV")*(TransPCost))),"")</f>
        <v>-11650</v>
      </c>
      <c r="Q15" s="8" t="str" cm="1">
        <f t="array" aca="1" ref="Q15" ca="1">IF(ROW($B15)-ROW($B$5)&gt;CatCount,"",OFFSET('Set-up'!$A$22,ROW($B15)-ROW($B$5),COLUMN('Set-up'!$G$22)-1,1,1))</f>
        <v>BS-801</v>
      </c>
      <c r="R15" s="28">
        <f t="shared" ca="1" si="5"/>
        <v>11650</v>
      </c>
      <c r="S15" s="8" t="str" cm="1">
        <f t="array" aca="1" ref="S15" ca="1">IF(ROW($B15)-ROW($B$5)&gt;CatCount,"",OFFSET('Set-up'!$A$22,ROW($B15)-ROW($B$5),COLUMN('Set-up'!$G$22)-1,1,1))</f>
        <v>BS-801</v>
      </c>
      <c r="T15" s="28">
        <f ca="1">IF(LEN($A15)&gt;1,IF($E$2="MTD",-SUMPRODUCT((TransCat=$A15)*(TransIDDate&gt;=Assets!$J$2)*(TransIDDate&lt;(Assets!$I$2+1))*(TransType="REV")*(TransCAccDep)),-SUMPRODUCT((TransCat=$A15)*(TransIDDate&gt;=Assets!$H$2)*(TransIDDate&lt;(Assets!$I$2+1))*(TransType="REV")*(TransCAccDep))),"")</f>
        <v>-16411.111111111113</v>
      </c>
      <c r="U15" s="8" t="str" cm="1">
        <f t="array" aca="1" ref="U15" ca="1">IF(ROW($B15)-ROW($B$5)&gt;CatCount,"",OFFSET('Set-up'!$A$22,ROW($B15)-ROW($B$5),COLUMN('Set-up'!$E$22)-1,1,1))</f>
        <v>BS-181</v>
      </c>
      <c r="V15" s="28">
        <f t="shared" ca="1" si="6"/>
        <v>16411.111111111113</v>
      </c>
      <c r="W15" s="8" t="str" cm="1">
        <f t="array" aca="1" ref="W15" ca="1">IF(ROW($B15)-ROW($B$5)&gt;CatCount,"",OFFSET('Set-up'!$A$22,ROW($B15)-ROW($B$5),COLUMN('Set-up'!$H$22)-1,1,1))</f>
        <v>IS-457</v>
      </c>
      <c r="X15" s="28">
        <f ca="1">IF(LEN($A15)&gt;1,IF($E$2="MTD",SUMPRODUCT((TransCat=$A15)*(TransIDDate&gt;=Assets!$J$2)*(TransIDDate&lt;(Assets!$I$2+1))*(TransType="REV")*(TransImpair)),SUMPRODUCT((TransCat=$A15)*(TransIDDate&gt;=Assets!$H$2)*(TransIDDate&lt;(Assets!$I$2+1))*(TransType="REV")*(TransImpair))),"")</f>
        <v>0</v>
      </c>
      <c r="Y15" s="8" t="str" cm="1">
        <f t="array" aca="1" ref="Y15" ca="1">IF(ROW($B15)-ROW($B$5)&gt;CatCount,"",OFFSET('Set-up'!$A$22,ROW($B15)-ROW($B$5),COLUMN('Set-up'!$D$22)-1,1,1))</f>
        <v>BS-131</v>
      </c>
      <c r="Z15" s="28">
        <f t="shared" ca="1" si="7"/>
        <v>0</v>
      </c>
      <c r="AA15" s="8" t="str" cm="1">
        <f t="array" aca="1" ref="AA15" ca="1">IF(ROW($B15)-ROW($B$5)&gt;CatCount,"","BANK")</f>
        <v>BANK</v>
      </c>
      <c r="AB15" s="28">
        <f ca="1">IF(LEN($A15)&gt;1,IF($E$2="MTD",SUMPRODUCT((TransCat=$A15)*(TransIDDate&gt;=Assets!$J$2)*(TransIDDate&lt;(Assets!$I$2+1))*(TransType="DIS")*(TransProceeds)),SUMPRODUCT((TransCat=$A15)*(TransIDDate&gt;=Assets!$H$2)*(TransIDDate&lt;(Assets!$I$2+1))*(TransType="DIS")*(TransProceeds))),"")</f>
        <v>0</v>
      </c>
      <c r="AC15" s="8" t="str" cm="1">
        <f t="array" aca="1" ref="AC15" ca="1">IF(ROW($B15)-ROW($B$5)&gt;CatCount,"",OFFSET('Set-up'!$A$22,ROW($B15)-ROW($B$5),COLUMN('Set-up'!$I$22)-1,1,1))</f>
        <v>IS-408</v>
      </c>
      <c r="AD15" s="28">
        <f t="shared" ca="1" si="8"/>
        <v>0</v>
      </c>
      <c r="AE15" s="8" t="str" cm="1">
        <f t="array" aca="1" ref="AE15" ca="1">IF(ROW($B15)-ROW($B$5)&gt;CatCount,"",OFFSET('Set-up'!$A$22,ROW($B15)-ROW($B$5),COLUMN('Set-up'!$I$22)-1,1,1))</f>
        <v>IS-408</v>
      </c>
      <c r="AF15" s="28">
        <f ca="1">IF(LEN($A15)&gt;1,IF($E$2="MTD",SUMPRODUCT((TransCat=$A15)*(TransIDDate&gt;=Assets!$J$2)*(TransIDDate&lt;(Assets!$I$2+1))*(TransType="DIS")*(TransPCost)),SUMPRODUCT((TransCat=$A15)*(TransIDDate&gt;=Assets!$H$2)*(TransIDDate&lt;(Assets!$I$2+1))*(TransType="DIS")*(TransPCost))),"")</f>
        <v>0</v>
      </c>
      <c r="AG15" s="8" t="str" cm="1">
        <f t="array" aca="1" ref="AG15" ca="1">IF(ROW($B15)-ROW($B$5)&gt;CatCount,"",OFFSET('Set-up'!$A$22,ROW($B15)-ROW($B$5),COLUMN('Set-up'!$D$22)-1,1,1))</f>
        <v>BS-131</v>
      </c>
      <c r="AH15" s="28">
        <f t="shared" ca="1" si="9"/>
        <v>0</v>
      </c>
      <c r="AI15" s="8" t="str" cm="1">
        <f t="array" aca="1" ref="AI15" ca="1">IF(ROW($B15)-ROW($B$5)&gt;CatCount,"",OFFSET('Set-up'!$A$22,ROW($B15)-ROW($B$5),COLUMN('Set-up'!$E$22)-1,1,1))</f>
        <v>BS-181</v>
      </c>
      <c r="AJ15" s="28">
        <f ca="1">IF(LEN($A15)&gt;1,IF($E$2="MTD",SUMPRODUCT((TransCat=$A15)*(TransIDDate&gt;=Assets!$J$2)*(TransIDDate&lt;(Assets!$I$2+1))*(TransType="DIS")*(TransCAccDep)),SUMPRODUCT((TransCat=$A15)*(TransIDDate&gt;=Assets!$H$2)*(TransIDDate&lt;(Assets!$I$2+1))*(TransType="DIS")*(TransCAccDep))),"")</f>
        <v>0</v>
      </c>
      <c r="AK15" s="8" t="str" cm="1">
        <f t="array" aca="1" ref="AK15" ca="1">IF(ROW($B15)-ROW($B$5)&gt;CatCount,"",OFFSET('Set-up'!$A$22,ROW($B15)-ROW($B$5),COLUMN('Set-up'!$I$22)-1,1,1))</f>
        <v>IS-408</v>
      </c>
      <c r="AL15" s="28">
        <f t="shared" ca="1" si="10"/>
        <v>0</v>
      </c>
      <c r="AM15" s="8" t="str" cm="1">
        <f t="array" aca="1" ref="AM15" ca="1">IF(ROW($B15)-ROW($B$5)&gt;CatCount,"",OFFSET('Set-up'!$A$22,ROW($B15)-ROW($B$5),COLUMN('Set-up'!$G$22)-1,1,1))</f>
        <v>BS-801</v>
      </c>
      <c r="AN15" s="28">
        <f ca="1">IF(LEN($A15)&gt;1,IF($E$2="MTD",SUMPRODUCT((TransCat=$A15)*(TransIDDate&gt;=Assets!$J$2)*(TransIDDate&lt;(Assets!$I$2+1))*(TransType="DIS")*(TransRPrev)),SUMPRODUCT((TransCat=$A15)*(TransIDDate&gt;=Assets!$H$2)*(TransIDDate&lt;(Assets!$I$2+1))*(TransType="DIS")*(TransRPrev))),"")</f>
        <v>0</v>
      </c>
      <c r="AO15" s="8" t="str" cm="1">
        <f t="array" aca="1" ref="AO15" ca="1">IF(ROW($B15)-ROW($B$5)&gt;CatCount,"",OFFSET('Set-up'!$A$22,ROW($B15)-ROW($B$5),COLUMN('Set-up'!$I$22)-1,1,1))</f>
        <v>IS-408</v>
      </c>
      <c r="AP15" s="28">
        <f t="shared" ca="1" si="11"/>
        <v>0</v>
      </c>
      <c r="AQ15" s="8" t="str" cm="1">
        <f t="array" aca="1" ref="AQ15" ca="1">IF(ROW($B15)-ROW($B$5)&gt;CatCount,"",OFFSET('Set-up'!$A$22,ROW($B15)-ROW($B$5),COLUMN('Set-up'!$J$22)-1,1,1))</f>
        <v>BS-750</v>
      </c>
      <c r="AR15" s="28">
        <f t="shared" ca="1" si="12"/>
        <v>543.66</v>
      </c>
      <c r="AS15" s="8" t="str" cm="1">
        <f t="array" aca="1" ref="AS15" ca="1">IF(ROW($B15)-ROW($B$5)&gt;CatCount,"",OFFSET('Set-up'!$A$22,ROW($B15)-ROW($B$5),COLUMN('Set-up'!$K$22)-1,1,1))</f>
        <v>IS-610</v>
      </c>
      <c r="AT15" s="28">
        <f t="shared" ca="1" si="14"/>
        <v>-543.66</v>
      </c>
    </row>
    <row r="16" spans="1:46" ht="16" customHeight="1" x14ac:dyDescent="0.25">
      <c r="A16" s="3" t="str" cm="1">
        <f t="array" aca="1" ref="A16" ca="1">IF(ROW($B16)-ROW($B$5)&gt;CatCount,"",OFFSET('Set-up'!$A$22,ROW($B16)-ROW($B$5),0,1,1))</f>
        <v>MVH01</v>
      </c>
      <c r="B16" s="3" t="str">
        <f t="shared" ca="1" si="0"/>
        <v>Motor Vehicles</v>
      </c>
      <c r="C16" s="8" t="str" cm="1">
        <f t="array" aca="1" ref="C16" ca="1">IF(ROW($B16)-ROW($B$5)&gt;CatCount,"",OFFSET('Set-up'!$A$22,ROW($B16)-ROW($B$5),COLUMN('Set-up'!$F$22)-1,1,1))</f>
        <v>IS-442</v>
      </c>
      <c r="D16" s="28">
        <f t="shared" ca="1" si="1"/>
        <v>40975</v>
      </c>
      <c r="E16" s="8" t="str" cm="1">
        <f t="array" aca="1" ref="E16" ca="1">IF(ROW($B16)-ROW($B$5)&gt;CatCount,"",OFFSET('Set-up'!$A$22,ROW($B16)-ROW($B$5),COLUMN('Set-up'!$E$22)-1,1,1))</f>
        <v>BS-192</v>
      </c>
      <c r="F16" s="28">
        <f t="shared" ca="1" si="2"/>
        <v>-40975</v>
      </c>
      <c r="G16" s="8" t="str" cm="1">
        <f t="array" aca="1" ref="G16" ca="1">IF(ROW($B16)-ROW($B$5)&gt;CatCount,"",OFFSET('Set-up'!$A$22,ROW($B16)-ROW($B$5),COLUMN('Set-up'!$G$22)-1,1,1))</f>
        <v>BS-801</v>
      </c>
      <c r="H16" s="28">
        <f t="shared" ca="1" si="3"/>
        <v>0</v>
      </c>
      <c r="I16" s="8" t="str" cm="1">
        <f t="array" aca="1" ref="I16" ca="1">IF(ROW($B16)-ROW($B$5)&gt;CatCount,"",OFFSET('Set-up'!$A$22,ROW($B16)-ROW($B$5),COLUMN('Set-up'!$E$22)-1,1,1))</f>
        <v>BS-192</v>
      </c>
      <c r="J16" s="28">
        <f t="shared" ca="1" si="4"/>
        <v>0</v>
      </c>
      <c r="K16" s="8" t="str" cm="1">
        <f t="array" aca="1" ref="K16" ca="1">IF(ROW($B16)-ROW($B$5)&gt;CatCount,"",OFFSET('Set-up'!$A$22,ROW($B16)-ROW($B$5),COLUMN('Set-up'!$D$22)-1,1,1))</f>
        <v>BS-142</v>
      </c>
      <c r="L16" s="28">
        <f ca="1">IF(LEN($A16)&gt;1,IF($E$2="MTD",SUMPRODUCT((TransCat=$A16)*(TransIDDate&gt;=Assets!$J$2)*(TransIDDate&lt;(Assets!$I$2+1))*(TransType="ACQ")*(TransAmount)),SUMPRODUCT((TransCat=$A16)*(TransIDDate&gt;=Assets!$H$2)*(TransIDDate&lt;(Assets!$I$2+1))*(TransType="ACQ")*(TransAmount))),"")</f>
        <v>288500</v>
      </c>
      <c r="M16" s="8" t="str" cm="1">
        <f t="array" aca="1" ref="M16" ca="1">IF(ROW($B16)-ROW($B$5)&gt;CatCount,"","BANK")</f>
        <v>BANK</v>
      </c>
      <c r="N16" s="28">
        <f t="shared" ca="1" si="13"/>
        <v>-288500</v>
      </c>
      <c r="O16" s="8" t="str" cm="1">
        <f t="array" aca="1" ref="O16" ca="1">IF(ROW($B16)-ROW($B$5)&gt;CatCount,"",OFFSET('Set-up'!$A$22,ROW($B16)-ROW($B$5),COLUMN('Set-up'!$D$22)-1,1,1))</f>
        <v>BS-142</v>
      </c>
      <c r="P16" s="28">
        <f ca="1">IF(LEN($A16)&gt;1,IF($E$2="MTD",SUMPRODUCT((TransCat=$A16)*(TransIDDate&gt;=Assets!$J$2)*(TransIDDate&lt;(Assets!$I$2+1))*(TransType="REV")*(TransAmount))+SUMPRODUCT((TransCat=$A16)*(TransIDDate&gt;=Assets!$J$2)*(TransIDDate&lt;(Assets!$I$2+1))*(TransType="REV")*(TransImpair))-SUMPRODUCT((TransCat=$A16)*(TransIDDate&gt;=Assets!$J$2)*(TransIDDate&lt;(Assets!$I$2+1))*(TransType="REV")*(TransPCost)),SUMPRODUCT((TransCat=$A16)*(TransIDDate&gt;=Assets!$H$2)*(TransIDDate&lt;(Assets!$I$2+1))*(TransType="REV")*(TransAmount))+SUMPRODUCT((TransCat=$A16)*(TransIDDate&gt;=Assets!$H$2)*(TransIDDate&lt;(Assets!$I$2+1))*(TransType="REV")*(TransImpair))-SUMPRODUCT((TransCat=$A16)*(TransIDDate&gt;=Assets!$H$2)*(TransIDDate&lt;(Assets!$I$2+1))*(TransType="REV")*(TransPCost))),"")</f>
        <v>-207200</v>
      </c>
      <c r="Q16" s="8" t="str" cm="1">
        <f t="array" aca="1" ref="Q16" ca="1">IF(ROW($B16)-ROW($B$5)&gt;CatCount,"",OFFSET('Set-up'!$A$22,ROW($B16)-ROW($B$5),COLUMN('Set-up'!$G$22)-1,1,1))</f>
        <v>BS-801</v>
      </c>
      <c r="R16" s="28">
        <f t="shared" ca="1" si="5"/>
        <v>207200</v>
      </c>
      <c r="S16" s="8" t="str" cm="1">
        <f t="array" aca="1" ref="S16" ca="1">IF(ROW($B16)-ROW($B$5)&gt;CatCount,"",OFFSET('Set-up'!$A$22,ROW($B16)-ROW($B$5),COLUMN('Set-up'!$G$22)-1,1,1))</f>
        <v>BS-801</v>
      </c>
      <c r="T16" s="28">
        <f ca="1">IF(LEN($A16)&gt;1,IF($E$2="MTD",-SUMPRODUCT((TransCat=$A16)*(TransIDDate&gt;=Assets!$J$2)*(TransIDDate&lt;(Assets!$I$2+1))*(TransType="REV")*(TransCAccDep)),-SUMPRODUCT((TransCat=$A16)*(TransIDDate&gt;=Assets!$H$2)*(TransIDDate&lt;(Assets!$I$2+1))*(TransType="REV")*(TransCAccDep))),"")</f>
        <v>-221386.66666666669</v>
      </c>
      <c r="U16" s="8" t="str" cm="1">
        <f t="array" aca="1" ref="U16" ca="1">IF(ROW($B16)-ROW($B$5)&gt;CatCount,"",OFFSET('Set-up'!$A$22,ROW($B16)-ROW($B$5),COLUMN('Set-up'!$E$22)-1,1,1))</f>
        <v>BS-192</v>
      </c>
      <c r="V16" s="28">
        <f t="shared" ca="1" si="6"/>
        <v>221386.66666666669</v>
      </c>
      <c r="W16" s="8" t="str" cm="1">
        <f t="array" aca="1" ref="W16" ca="1">IF(ROW($B16)-ROW($B$5)&gt;CatCount,"",OFFSET('Set-up'!$A$22,ROW($B16)-ROW($B$5),COLUMN('Set-up'!$H$22)-1,1,1))</f>
        <v>IS-457</v>
      </c>
      <c r="X16" s="28">
        <f ca="1">IF(LEN($A16)&gt;1,IF($E$2="MTD",SUMPRODUCT((TransCat=$A16)*(TransIDDate&gt;=Assets!$J$2)*(TransIDDate&lt;(Assets!$I$2+1))*(TransType="REV")*(TransImpair)),SUMPRODUCT((TransCat=$A16)*(TransIDDate&gt;=Assets!$H$2)*(TransIDDate&lt;(Assets!$I$2+1))*(TransType="REV")*(TransImpair))),"")</f>
        <v>0</v>
      </c>
      <c r="Y16" s="8" t="str" cm="1">
        <f t="array" aca="1" ref="Y16" ca="1">IF(ROW($B16)-ROW($B$5)&gt;CatCount,"",OFFSET('Set-up'!$A$22,ROW($B16)-ROW($B$5),COLUMN('Set-up'!$D$22)-1,1,1))</f>
        <v>BS-142</v>
      </c>
      <c r="Z16" s="28">
        <f t="shared" ca="1" si="7"/>
        <v>0</v>
      </c>
      <c r="AA16" s="8" t="str" cm="1">
        <f t="array" aca="1" ref="AA16" ca="1">IF(ROW($B16)-ROW($B$5)&gt;CatCount,"","BANK")</f>
        <v>BANK</v>
      </c>
      <c r="AB16" s="28">
        <f ca="1">IF(LEN($A16)&gt;1,IF($E$2="MTD",SUMPRODUCT((TransCat=$A16)*(TransIDDate&gt;=Assets!$J$2)*(TransIDDate&lt;(Assets!$I$2+1))*(TransType="DIS")*(TransProceeds)),SUMPRODUCT((TransCat=$A16)*(TransIDDate&gt;=Assets!$H$2)*(TransIDDate&lt;(Assets!$I$2+1))*(TransType="DIS")*(TransProceeds))),"")</f>
        <v>41000</v>
      </c>
      <c r="AC16" s="8" t="str" cm="1">
        <f t="array" aca="1" ref="AC16" ca="1">IF(ROW($B16)-ROW($B$5)&gt;CatCount,"",OFFSET('Set-up'!$A$22,ROW($B16)-ROW($B$5),COLUMN('Set-up'!$I$22)-1,1,1))</f>
        <v>IS-408</v>
      </c>
      <c r="AD16" s="28">
        <f t="shared" ca="1" si="8"/>
        <v>-41000</v>
      </c>
      <c r="AE16" s="8" t="str" cm="1">
        <f t="array" aca="1" ref="AE16" ca="1">IF(ROW($B16)-ROW($B$5)&gt;CatCount,"",OFFSET('Set-up'!$A$22,ROW($B16)-ROW($B$5),COLUMN('Set-up'!$I$22)-1,1,1))</f>
        <v>IS-408</v>
      </c>
      <c r="AF16" s="28">
        <f ca="1">IF(LEN($A16)&gt;1,IF($E$2="MTD",SUMPRODUCT((TransCat=$A16)*(TransIDDate&gt;=Assets!$J$2)*(TransIDDate&lt;(Assets!$I$2+1))*(TransType="DIS")*(TransPCost)),SUMPRODUCT((TransCat=$A16)*(TransIDDate&gt;=Assets!$H$2)*(TransIDDate&lt;(Assets!$I$2+1))*(TransType="DIS")*(TransPCost))),"")</f>
        <v>45000</v>
      </c>
      <c r="AG16" s="8" t="str" cm="1">
        <f t="array" aca="1" ref="AG16" ca="1">IF(ROW($B16)-ROW($B$5)&gt;CatCount,"",OFFSET('Set-up'!$A$22,ROW($B16)-ROW($B$5),COLUMN('Set-up'!$D$22)-1,1,1))</f>
        <v>BS-142</v>
      </c>
      <c r="AH16" s="28">
        <f t="shared" ca="1" si="9"/>
        <v>-45000</v>
      </c>
      <c r="AI16" s="8" t="str" cm="1">
        <f t="array" aca="1" ref="AI16" ca="1">IF(ROW($B16)-ROW($B$5)&gt;CatCount,"",OFFSET('Set-up'!$A$22,ROW($B16)-ROW($B$5),COLUMN('Set-up'!$E$22)-1,1,1))</f>
        <v>BS-192</v>
      </c>
      <c r="AJ16" s="28">
        <f ca="1">IF(LEN($A16)&gt;1,IF($E$2="MTD",SUMPRODUCT((TransCat=$A16)*(TransIDDate&gt;=Assets!$J$2)*(TransIDDate&lt;(Assets!$I$2+1))*(TransType="DIS")*(TransCAccDep)),SUMPRODUCT((TransCat=$A16)*(TransIDDate&gt;=Assets!$H$2)*(TransIDDate&lt;(Assets!$I$2+1))*(TransType="DIS")*(TransCAccDep))),"")</f>
        <v>1000</v>
      </c>
      <c r="AK16" s="8" t="str" cm="1">
        <f t="array" aca="1" ref="AK16" ca="1">IF(ROW($B16)-ROW($B$5)&gt;CatCount,"",OFFSET('Set-up'!$A$22,ROW($B16)-ROW($B$5),COLUMN('Set-up'!$I$22)-1,1,1))</f>
        <v>IS-408</v>
      </c>
      <c r="AL16" s="28">
        <f t="shared" ca="1" si="10"/>
        <v>-1000</v>
      </c>
      <c r="AM16" s="8" t="str" cm="1">
        <f t="array" aca="1" ref="AM16" ca="1">IF(ROW($B16)-ROW($B$5)&gt;CatCount,"",OFFSET('Set-up'!$A$22,ROW($B16)-ROW($B$5),COLUMN('Set-up'!$G$22)-1,1,1))</f>
        <v>BS-801</v>
      </c>
      <c r="AN16" s="28">
        <f ca="1">IF(LEN($A16)&gt;1,IF($E$2="MTD",SUMPRODUCT((TransCat=$A16)*(TransIDDate&gt;=Assets!$J$2)*(TransIDDate&lt;(Assets!$I$2+1))*(TransType="DIS")*(TransRPrev)),SUMPRODUCT((TransCat=$A16)*(TransIDDate&gt;=Assets!$H$2)*(TransIDDate&lt;(Assets!$I$2+1))*(TransType="DIS")*(TransRPrev))),"")</f>
        <v>14186.666666666686</v>
      </c>
      <c r="AO16" s="8" t="str" cm="1">
        <f t="array" aca="1" ref="AO16" ca="1">IF(ROW($B16)-ROW($B$5)&gt;CatCount,"",OFFSET('Set-up'!$A$22,ROW($B16)-ROW($B$5),COLUMN('Set-up'!$I$22)-1,1,1))</f>
        <v>IS-408</v>
      </c>
      <c r="AP16" s="28">
        <f t="shared" ca="1" si="11"/>
        <v>-14186.666666666686</v>
      </c>
      <c r="AQ16" s="8" t="str" cm="1">
        <f t="array" aca="1" ref="AQ16" ca="1">IF(ROW($B16)-ROW($B$5)&gt;CatCount,"",OFFSET('Set-up'!$A$22,ROW($B16)-ROW($B$5),COLUMN('Set-up'!$J$22)-1,1,1))</f>
        <v>BS-750</v>
      </c>
      <c r="AR16" s="28">
        <f t="shared" ca="1" si="12"/>
        <v>0</v>
      </c>
      <c r="AS16" s="8" t="str" cm="1">
        <f t="array" aca="1" ref="AS16" ca="1">IF(ROW($B16)-ROW($B$5)&gt;CatCount,"",OFFSET('Set-up'!$A$22,ROW($B16)-ROW($B$5),COLUMN('Set-up'!$K$22)-1,1,1))</f>
        <v>IS-610</v>
      </c>
      <c r="AT16" s="28">
        <f t="shared" ca="1" si="14"/>
        <v>0</v>
      </c>
    </row>
    <row r="17" spans="1:46" ht="16" customHeight="1" x14ac:dyDescent="0.25">
      <c r="A17" s="3" t="str" cm="1">
        <f t="array" aca="1" ref="A17" ca="1">IF(ROW($B17)-ROW($B$5)&gt;CatCount,"",OFFSET('Set-up'!$A$22,ROW($B17)-ROW($B$5),0,1,1))</f>
        <v/>
      </c>
      <c r="B17" s="3" t="str">
        <f t="shared" ca="1" si="0"/>
        <v/>
      </c>
      <c r="C17" s="8" t="str" cm="1">
        <f t="array" aca="1" ref="C17" ca="1">IF(ROW($B17)-ROW($B$5)&gt;CatCount,"",OFFSET('Set-up'!$A$22,ROW($B17)-ROW($B$5),COLUMN('Set-up'!$F$22)-1,1,1))</f>
        <v/>
      </c>
      <c r="D17" s="28" t="str">
        <f t="shared" ca="1" si="1"/>
        <v/>
      </c>
      <c r="E17" s="8" t="str" cm="1">
        <f t="array" aca="1" ref="E17" ca="1">IF(ROW($B17)-ROW($B$5)&gt;CatCount,"",OFFSET('Set-up'!$A$22,ROW($B17)-ROW($B$5),COLUMN('Set-up'!$E$22)-1,1,1))</f>
        <v/>
      </c>
      <c r="F17" s="28" t="str">
        <f t="shared" ca="1" si="2"/>
        <v/>
      </c>
      <c r="G17" s="8" t="str" cm="1">
        <f t="array" aca="1" ref="G17" ca="1">IF(ROW($B17)-ROW($B$5)&gt;CatCount,"",OFFSET('Set-up'!$A$22,ROW($B17)-ROW($B$5),COLUMN('Set-up'!$G$22)-1,1,1))</f>
        <v/>
      </c>
      <c r="H17" s="28" t="str">
        <f t="shared" ca="1" si="3"/>
        <v/>
      </c>
      <c r="I17" s="8" t="str" cm="1">
        <f t="array" aca="1" ref="I17" ca="1">IF(ROW($B17)-ROW($B$5)&gt;CatCount,"",OFFSET('Set-up'!$A$22,ROW($B17)-ROW($B$5),COLUMN('Set-up'!$E$22)-1,1,1))</f>
        <v/>
      </c>
      <c r="J17" s="28" t="str">
        <f t="shared" ca="1" si="4"/>
        <v/>
      </c>
      <c r="K17" s="8" t="str" cm="1">
        <f t="array" aca="1" ref="K17" ca="1">IF(ROW($B17)-ROW($B$5)&gt;CatCount,"",OFFSET('Set-up'!$A$22,ROW($B17)-ROW($B$5),COLUMN('Set-up'!$D$22)-1,1,1))</f>
        <v/>
      </c>
      <c r="L17" s="28" t="str">
        <f ca="1">IF(LEN($A17)&gt;1,IF($E$2="MTD",SUMPRODUCT((TransCat=$A17)*(TransIDDate&gt;=Assets!$J$2)*(TransIDDate&lt;(Assets!$I$2+1))*(TransType="ACQ")*(TransAmount)),SUMPRODUCT((TransCat=$A17)*(TransIDDate&gt;=Assets!$H$2)*(TransIDDate&lt;(Assets!$I$2+1))*(TransType="ACQ")*(TransAmount))),"")</f>
        <v/>
      </c>
      <c r="M17" s="8" t="str" cm="1">
        <f t="array" aca="1" ref="M17" ca="1">IF(ROW($B17)-ROW($B$5)&gt;CatCount,"","BANK")</f>
        <v/>
      </c>
      <c r="N17" s="28" t="str">
        <f t="shared" ca="1" si="13"/>
        <v/>
      </c>
      <c r="O17" s="8" t="str" cm="1">
        <f t="array" aca="1" ref="O17" ca="1">IF(ROW($B17)-ROW($B$5)&gt;CatCount,"",OFFSET('Set-up'!$A$22,ROW($B17)-ROW($B$5),COLUMN('Set-up'!$D$22)-1,1,1))</f>
        <v/>
      </c>
      <c r="P17" s="28" t="str">
        <f ca="1">IF(LEN($A17)&gt;1,IF($E$2="MTD",SUMPRODUCT((TransCat=$A17)*(TransIDDate&gt;=Assets!$J$2)*(TransIDDate&lt;(Assets!$I$2+1))*(TransType="REV")*(TransAmount))+SUMPRODUCT((TransCat=$A17)*(TransIDDate&gt;=Assets!$J$2)*(TransIDDate&lt;(Assets!$I$2+1))*(TransType="REV")*(TransImpair))-SUMPRODUCT((TransCat=$A17)*(TransIDDate&gt;=Assets!$J$2)*(TransIDDate&lt;(Assets!$I$2+1))*(TransType="REV")*(TransPCost)),SUMPRODUCT((TransCat=$A17)*(TransIDDate&gt;=Assets!$H$2)*(TransIDDate&lt;(Assets!$I$2+1))*(TransType="REV")*(TransAmount))+SUMPRODUCT((TransCat=$A17)*(TransIDDate&gt;=Assets!$H$2)*(TransIDDate&lt;(Assets!$I$2+1))*(TransType="REV")*(TransImpair))-SUMPRODUCT((TransCat=$A17)*(TransIDDate&gt;=Assets!$H$2)*(TransIDDate&lt;(Assets!$I$2+1))*(TransType="REV")*(TransPCost))),"")</f>
        <v/>
      </c>
      <c r="Q17" s="8" t="str" cm="1">
        <f t="array" aca="1" ref="Q17" ca="1">IF(ROW($B17)-ROW($B$5)&gt;CatCount,"",OFFSET('Set-up'!$A$22,ROW($B17)-ROW($B$5),COLUMN('Set-up'!$G$22)-1,1,1))</f>
        <v/>
      </c>
      <c r="R17" s="28" t="str">
        <f t="shared" ca="1" si="5"/>
        <v/>
      </c>
      <c r="S17" s="8" t="str" cm="1">
        <f t="array" aca="1" ref="S17" ca="1">IF(ROW($B17)-ROW($B$5)&gt;CatCount,"",OFFSET('Set-up'!$A$22,ROW($B17)-ROW($B$5),COLUMN('Set-up'!$G$22)-1,1,1))</f>
        <v/>
      </c>
      <c r="T17" s="28" t="str">
        <f ca="1">IF(LEN($A17)&gt;1,IF($E$2="MTD",-SUMPRODUCT((TransCat=$A17)*(TransIDDate&gt;=Assets!$J$2)*(TransIDDate&lt;(Assets!$I$2+1))*(TransType="REV")*(TransCAccDep)),-SUMPRODUCT((TransCat=$A17)*(TransIDDate&gt;=Assets!$H$2)*(TransIDDate&lt;(Assets!$I$2+1))*(TransType="REV")*(TransCAccDep))),"")</f>
        <v/>
      </c>
      <c r="U17" s="8" t="str" cm="1">
        <f t="array" aca="1" ref="U17" ca="1">IF(ROW($B17)-ROW($B$5)&gt;CatCount,"",OFFSET('Set-up'!$A$22,ROW($B17)-ROW($B$5),COLUMN('Set-up'!$E$22)-1,1,1))</f>
        <v/>
      </c>
      <c r="V17" s="28" t="str">
        <f t="shared" ca="1" si="6"/>
        <v/>
      </c>
      <c r="W17" s="8" t="str" cm="1">
        <f t="array" aca="1" ref="W17" ca="1">IF(ROW($B17)-ROW($B$5)&gt;CatCount,"",OFFSET('Set-up'!$A$22,ROW($B17)-ROW($B$5),COLUMN('Set-up'!$H$22)-1,1,1))</f>
        <v/>
      </c>
      <c r="X17" s="28" t="str">
        <f ca="1">IF(LEN($A17)&gt;1,IF($E$2="MTD",SUMPRODUCT((TransCat=$A17)*(TransIDDate&gt;=Assets!$J$2)*(TransIDDate&lt;(Assets!$I$2+1))*(TransType="REV")*(TransImpair)),SUMPRODUCT((TransCat=$A17)*(TransIDDate&gt;=Assets!$H$2)*(TransIDDate&lt;(Assets!$I$2+1))*(TransType="REV")*(TransImpair))),"")</f>
        <v/>
      </c>
      <c r="Y17" s="8" t="str" cm="1">
        <f t="array" aca="1" ref="Y17" ca="1">IF(ROW($B17)-ROW($B$5)&gt;CatCount,"",OFFSET('Set-up'!$A$22,ROW($B17)-ROW($B$5),COLUMN('Set-up'!$D$22)-1,1,1))</f>
        <v/>
      </c>
      <c r="Z17" s="28" t="str">
        <f t="shared" ca="1" si="7"/>
        <v/>
      </c>
      <c r="AA17" s="8" t="str" cm="1">
        <f t="array" aca="1" ref="AA17" ca="1">IF(ROW($B17)-ROW($B$5)&gt;CatCount,"","BANK")</f>
        <v/>
      </c>
      <c r="AB17" s="28" t="str">
        <f ca="1">IF(LEN($A17)&gt;1,IF($E$2="MTD",SUMPRODUCT((TransCat=$A17)*(TransIDDate&gt;=Assets!$J$2)*(TransIDDate&lt;(Assets!$I$2+1))*(TransType="DIS")*(TransProceeds)),SUMPRODUCT((TransCat=$A17)*(TransIDDate&gt;=Assets!$H$2)*(TransIDDate&lt;(Assets!$I$2+1))*(TransType="DIS")*(TransProceeds))),"")</f>
        <v/>
      </c>
      <c r="AC17" s="8" t="str" cm="1">
        <f t="array" aca="1" ref="AC17" ca="1">IF(ROW($B17)-ROW($B$5)&gt;CatCount,"",OFFSET('Set-up'!$A$22,ROW($B17)-ROW($B$5),COLUMN('Set-up'!$I$22)-1,1,1))</f>
        <v/>
      </c>
      <c r="AD17" s="28" t="str">
        <f t="shared" ca="1" si="8"/>
        <v/>
      </c>
      <c r="AE17" s="8" t="str" cm="1">
        <f t="array" aca="1" ref="AE17" ca="1">IF(ROW($B17)-ROW($B$5)&gt;CatCount,"",OFFSET('Set-up'!$A$22,ROW($B17)-ROW($B$5),COLUMN('Set-up'!$I$22)-1,1,1))</f>
        <v/>
      </c>
      <c r="AF17" s="28" t="str">
        <f ca="1">IF(LEN($A17)&gt;1,IF($E$2="MTD",SUMPRODUCT((TransCat=$A17)*(TransIDDate&gt;=Assets!$J$2)*(TransIDDate&lt;(Assets!$I$2+1))*(TransType="DIS")*(TransPCost)),SUMPRODUCT((TransCat=$A17)*(TransIDDate&gt;=Assets!$H$2)*(TransIDDate&lt;(Assets!$I$2+1))*(TransType="DIS")*(TransPCost))),"")</f>
        <v/>
      </c>
      <c r="AG17" s="8" t="str" cm="1">
        <f t="array" aca="1" ref="AG17" ca="1">IF(ROW($B17)-ROW($B$5)&gt;CatCount,"",OFFSET('Set-up'!$A$22,ROW($B17)-ROW($B$5),COLUMN('Set-up'!$D$22)-1,1,1))</f>
        <v/>
      </c>
      <c r="AH17" s="28" t="str">
        <f t="shared" ca="1" si="9"/>
        <v/>
      </c>
      <c r="AI17" s="8" t="str" cm="1">
        <f t="array" aca="1" ref="AI17" ca="1">IF(ROW($B17)-ROW($B$5)&gt;CatCount,"",OFFSET('Set-up'!$A$22,ROW($B17)-ROW($B$5),COLUMN('Set-up'!$E$22)-1,1,1))</f>
        <v/>
      </c>
      <c r="AJ17" s="28" t="str">
        <f ca="1">IF(LEN($A17)&gt;1,IF($E$2="MTD",SUMPRODUCT((TransCat=$A17)*(TransIDDate&gt;=Assets!$J$2)*(TransIDDate&lt;(Assets!$I$2+1))*(TransType="DIS")*(TransCAccDep)),SUMPRODUCT((TransCat=$A17)*(TransIDDate&gt;=Assets!$H$2)*(TransIDDate&lt;(Assets!$I$2+1))*(TransType="DIS")*(TransCAccDep))),"")</f>
        <v/>
      </c>
      <c r="AK17" s="8" t="str" cm="1">
        <f t="array" aca="1" ref="AK17" ca="1">IF(ROW($B17)-ROW($B$5)&gt;CatCount,"",OFFSET('Set-up'!$A$22,ROW($B17)-ROW($B$5),COLUMN('Set-up'!$I$22)-1,1,1))</f>
        <v/>
      </c>
      <c r="AL17" s="28" t="str">
        <f t="shared" ca="1" si="10"/>
        <v/>
      </c>
      <c r="AM17" s="8" t="str" cm="1">
        <f t="array" aca="1" ref="AM17" ca="1">IF(ROW($B17)-ROW($B$5)&gt;CatCount,"",OFFSET('Set-up'!$A$22,ROW($B17)-ROW($B$5),COLUMN('Set-up'!$G$22)-1,1,1))</f>
        <v/>
      </c>
      <c r="AN17" s="28" t="str">
        <f ca="1">IF(LEN($A17)&gt;1,IF($E$2="MTD",SUMPRODUCT((TransCat=$A17)*(TransIDDate&gt;=Assets!$J$2)*(TransIDDate&lt;(Assets!$I$2+1))*(TransType="DIS")*(TransRPrev)),SUMPRODUCT((TransCat=$A17)*(TransIDDate&gt;=Assets!$H$2)*(TransIDDate&lt;(Assets!$I$2+1))*(TransType="DIS")*(TransRPrev))),"")</f>
        <v/>
      </c>
      <c r="AO17" s="8" t="str" cm="1">
        <f t="array" aca="1" ref="AO17" ca="1">IF(ROW($B17)-ROW($B$5)&gt;CatCount,"",OFFSET('Set-up'!$A$22,ROW($B17)-ROW($B$5),COLUMN('Set-up'!$I$22)-1,1,1))</f>
        <v/>
      </c>
      <c r="AP17" s="28" t="str">
        <f t="shared" ca="1" si="11"/>
        <v/>
      </c>
      <c r="AQ17" s="8" t="str" cm="1">
        <f t="array" aca="1" ref="AQ17" ca="1">IF(ROW($B17)-ROW($B$5)&gt;CatCount,"",OFFSET('Set-up'!$A$22,ROW($B17)-ROW($B$5),COLUMN('Set-up'!$J$22)-1,1,1))</f>
        <v/>
      </c>
      <c r="AR17" s="28" t="str">
        <f t="shared" ca="1" si="12"/>
        <v/>
      </c>
      <c r="AS17" s="8" t="str" cm="1">
        <f t="array" aca="1" ref="AS17" ca="1">IF(ROW($B17)-ROW($B$5)&gt;CatCount,"",OFFSET('Set-up'!$A$22,ROW($B17)-ROW($B$5),COLUMN('Set-up'!$K$22)-1,1,1))</f>
        <v/>
      </c>
      <c r="AT17" s="28" t="str">
        <f t="shared" ca="1" si="14"/>
        <v/>
      </c>
    </row>
    <row r="18" spans="1:46" ht="16" customHeight="1" x14ac:dyDescent="0.25">
      <c r="A18" s="3" t="str" cm="1">
        <f t="array" aca="1" ref="A18" ca="1">IF(ROW($B18)-ROW($B$5)&gt;CatCount,"",OFFSET('Set-up'!$A$22,ROW($B18)-ROW($B$5),0,1,1))</f>
        <v/>
      </c>
      <c r="B18" s="3" t="str">
        <f t="shared" ca="1" si="0"/>
        <v/>
      </c>
      <c r="C18" s="8" t="str" cm="1">
        <f t="array" aca="1" ref="C18" ca="1">IF(ROW($B18)-ROW($B$5)&gt;CatCount,"",OFFSET('Set-up'!$A$22,ROW($B18)-ROW($B$5),COLUMN('Set-up'!$F$22)-1,1,1))</f>
        <v/>
      </c>
      <c r="D18" s="28" t="str">
        <f t="shared" ca="1" si="1"/>
        <v/>
      </c>
      <c r="E18" s="8" t="str" cm="1">
        <f t="array" aca="1" ref="E18" ca="1">IF(ROW($B18)-ROW($B$5)&gt;CatCount,"",OFFSET('Set-up'!$A$22,ROW($B18)-ROW($B$5),COLUMN('Set-up'!$E$22)-1,1,1))</f>
        <v/>
      </c>
      <c r="F18" s="28" t="str">
        <f t="shared" ca="1" si="2"/>
        <v/>
      </c>
      <c r="G18" s="8" t="str" cm="1">
        <f t="array" aca="1" ref="G18" ca="1">IF(ROW($B18)-ROW($B$5)&gt;CatCount,"",OFFSET('Set-up'!$A$22,ROW($B18)-ROW($B$5),COLUMN('Set-up'!$G$22)-1,1,1))</f>
        <v/>
      </c>
      <c r="H18" s="28" t="str">
        <f t="shared" ca="1" si="3"/>
        <v/>
      </c>
      <c r="I18" s="8" t="str" cm="1">
        <f t="array" aca="1" ref="I18" ca="1">IF(ROW($B18)-ROW($B$5)&gt;CatCount,"",OFFSET('Set-up'!$A$22,ROW($B18)-ROW($B$5),COLUMN('Set-up'!$E$22)-1,1,1))</f>
        <v/>
      </c>
      <c r="J18" s="28" t="str">
        <f t="shared" ca="1" si="4"/>
        <v/>
      </c>
      <c r="K18" s="8" t="str" cm="1">
        <f t="array" aca="1" ref="K18" ca="1">IF(ROW($B18)-ROW($B$5)&gt;CatCount,"",OFFSET('Set-up'!$A$22,ROW($B18)-ROW($B$5),COLUMN('Set-up'!$D$22)-1,1,1))</f>
        <v/>
      </c>
      <c r="L18" s="28" t="str">
        <f ca="1">IF(LEN($A18)&gt;1,IF($E$2="MTD",SUMPRODUCT((TransCat=$A18)*(TransIDDate&gt;=Assets!$J$2)*(TransIDDate&lt;(Assets!$I$2+1))*(TransType="ACQ")*(TransAmount)),SUMPRODUCT((TransCat=$A18)*(TransIDDate&gt;=Assets!$H$2)*(TransIDDate&lt;(Assets!$I$2+1))*(TransType="ACQ")*(TransAmount))),"")</f>
        <v/>
      </c>
      <c r="M18" s="8" t="str" cm="1">
        <f t="array" aca="1" ref="M18" ca="1">IF(ROW($B18)-ROW($B$5)&gt;CatCount,"","BANK")</f>
        <v/>
      </c>
      <c r="N18" s="28" t="str">
        <f t="shared" ca="1" si="13"/>
        <v/>
      </c>
      <c r="O18" s="8" t="str" cm="1">
        <f t="array" aca="1" ref="O18" ca="1">IF(ROW($B18)-ROW($B$5)&gt;CatCount,"",OFFSET('Set-up'!$A$22,ROW($B18)-ROW($B$5),COLUMN('Set-up'!$D$22)-1,1,1))</f>
        <v/>
      </c>
      <c r="P18" s="28" t="str">
        <f ca="1">IF(LEN($A18)&gt;1,IF($E$2="MTD",SUMPRODUCT((TransCat=$A18)*(TransIDDate&gt;=Assets!$J$2)*(TransIDDate&lt;(Assets!$I$2+1))*(TransType="REV")*(TransAmount))+SUMPRODUCT((TransCat=$A18)*(TransIDDate&gt;=Assets!$J$2)*(TransIDDate&lt;(Assets!$I$2+1))*(TransType="REV")*(TransImpair))-SUMPRODUCT((TransCat=$A18)*(TransIDDate&gt;=Assets!$J$2)*(TransIDDate&lt;(Assets!$I$2+1))*(TransType="REV")*(TransPCost)),SUMPRODUCT((TransCat=$A18)*(TransIDDate&gt;=Assets!$H$2)*(TransIDDate&lt;(Assets!$I$2+1))*(TransType="REV")*(TransAmount))+SUMPRODUCT((TransCat=$A18)*(TransIDDate&gt;=Assets!$H$2)*(TransIDDate&lt;(Assets!$I$2+1))*(TransType="REV")*(TransImpair))-SUMPRODUCT((TransCat=$A18)*(TransIDDate&gt;=Assets!$H$2)*(TransIDDate&lt;(Assets!$I$2+1))*(TransType="REV")*(TransPCost))),"")</f>
        <v/>
      </c>
      <c r="Q18" s="8" t="str" cm="1">
        <f t="array" aca="1" ref="Q18" ca="1">IF(ROW($B18)-ROW($B$5)&gt;CatCount,"",OFFSET('Set-up'!$A$22,ROW($B18)-ROW($B$5),COLUMN('Set-up'!$G$22)-1,1,1))</f>
        <v/>
      </c>
      <c r="R18" s="28" t="str">
        <f t="shared" ca="1" si="5"/>
        <v/>
      </c>
      <c r="S18" s="8" t="str" cm="1">
        <f t="array" aca="1" ref="S18" ca="1">IF(ROW($B18)-ROW($B$5)&gt;CatCount,"",OFFSET('Set-up'!$A$22,ROW($B18)-ROW($B$5),COLUMN('Set-up'!$G$22)-1,1,1))</f>
        <v/>
      </c>
      <c r="T18" s="28" t="str">
        <f ca="1">IF(LEN($A18)&gt;1,IF($E$2="MTD",-SUMPRODUCT((TransCat=$A18)*(TransIDDate&gt;=Assets!$J$2)*(TransIDDate&lt;(Assets!$I$2+1))*(TransType="REV")*(TransCAccDep)),-SUMPRODUCT((TransCat=$A18)*(TransIDDate&gt;=Assets!$H$2)*(TransIDDate&lt;(Assets!$I$2+1))*(TransType="REV")*(TransCAccDep))),"")</f>
        <v/>
      </c>
      <c r="U18" s="8" t="str" cm="1">
        <f t="array" aca="1" ref="U18" ca="1">IF(ROW($B18)-ROW($B$5)&gt;CatCount,"",OFFSET('Set-up'!$A$22,ROW($B18)-ROW($B$5),COLUMN('Set-up'!$E$22)-1,1,1))</f>
        <v/>
      </c>
      <c r="V18" s="28" t="str">
        <f t="shared" ca="1" si="6"/>
        <v/>
      </c>
      <c r="W18" s="8" t="str" cm="1">
        <f t="array" aca="1" ref="W18" ca="1">IF(ROW($B18)-ROW($B$5)&gt;CatCount,"",OFFSET('Set-up'!$A$22,ROW($B18)-ROW($B$5),COLUMN('Set-up'!$H$22)-1,1,1))</f>
        <v/>
      </c>
      <c r="X18" s="28" t="str">
        <f ca="1">IF(LEN($A18)&gt;1,IF($E$2="MTD",SUMPRODUCT((TransCat=$A18)*(TransIDDate&gt;=Assets!$J$2)*(TransIDDate&lt;(Assets!$I$2+1))*(TransType="REV")*(TransImpair)),SUMPRODUCT((TransCat=$A18)*(TransIDDate&gt;=Assets!$H$2)*(TransIDDate&lt;(Assets!$I$2+1))*(TransType="REV")*(TransImpair))),"")</f>
        <v/>
      </c>
      <c r="Y18" s="8" t="str" cm="1">
        <f t="array" aca="1" ref="Y18" ca="1">IF(ROW($B18)-ROW($B$5)&gt;CatCount,"",OFFSET('Set-up'!$A$22,ROW($B18)-ROW($B$5),COLUMN('Set-up'!$D$22)-1,1,1))</f>
        <v/>
      </c>
      <c r="Z18" s="28" t="str">
        <f t="shared" ca="1" si="7"/>
        <v/>
      </c>
      <c r="AA18" s="8" t="str" cm="1">
        <f t="array" aca="1" ref="AA18" ca="1">IF(ROW($B18)-ROW($B$5)&gt;CatCount,"","BANK")</f>
        <v/>
      </c>
      <c r="AB18" s="28" t="str">
        <f ca="1">IF(LEN($A18)&gt;1,IF($E$2="MTD",SUMPRODUCT((TransCat=$A18)*(TransIDDate&gt;=Assets!$J$2)*(TransIDDate&lt;(Assets!$I$2+1))*(TransType="DIS")*(TransProceeds)),SUMPRODUCT((TransCat=$A18)*(TransIDDate&gt;=Assets!$H$2)*(TransIDDate&lt;(Assets!$I$2+1))*(TransType="DIS")*(TransProceeds))),"")</f>
        <v/>
      </c>
      <c r="AC18" s="8" t="str" cm="1">
        <f t="array" aca="1" ref="AC18" ca="1">IF(ROW($B18)-ROW($B$5)&gt;CatCount,"",OFFSET('Set-up'!$A$22,ROW($B18)-ROW($B$5),COLUMN('Set-up'!$I$22)-1,1,1))</f>
        <v/>
      </c>
      <c r="AD18" s="28" t="str">
        <f t="shared" ca="1" si="8"/>
        <v/>
      </c>
      <c r="AE18" s="8" t="str" cm="1">
        <f t="array" aca="1" ref="AE18" ca="1">IF(ROW($B18)-ROW($B$5)&gt;CatCount,"",OFFSET('Set-up'!$A$22,ROW($B18)-ROW($B$5),COLUMN('Set-up'!$I$22)-1,1,1))</f>
        <v/>
      </c>
      <c r="AF18" s="28" t="str">
        <f ca="1">IF(LEN($A18)&gt;1,IF($E$2="MTD",SUMPRODUCT((TransCat=$A18)*(TransIDDate&gt;=Assets!$J$2)*(TransIDDate&lt;(Assets!$I$2+1))*(TransType="DIS")*(TransPCost)),SUMPRODUCT((TransCat=$A18)*(TransIDDate&gt;=Assets!$H$2)*(TransIDDate&lt;(Assets!$I$2+1))*(TransType="DIS")*(TransPCost))),"")</f>
        <v/>
      </c>
      <c r="AG18" s="8" t="str" cm="1">
        <f t="array" aca="1" ref="AG18" ca="1">IF(ROW($B18)-ROW($B$5)&gt;CatCount,"",OFFSET('Set-up'!$A$22,ROW($B18)-ROW($B$5),COLUMN('Set-up'!$D$22)-1,1,1))</f>
        <v/>
      </c>
      <c r="AH18" s="28" t="str">
        <f t="shared" ca="1" si="9"/>
        <v/>
      </c>
      <c r="AI18" s="8" t="str" cm="1">
        <f t="array" aca="1" ref="AI18" ca="1">IF(ROW($B18)-ROW($B$5)&gt;CatCount,"",OFFSET('Set-up'!$A$22,ROW($B18)-ROW($B$5),COLUMN('Set-up'!$E$22)-1,1,1))</f>
        <v/>
      </c>
      <c r="AJ18" s="28" t="str">
        <f ca="1">IF(LEN($A18)&gt;1,IF($E$2="MTD",SUMPRODUCT((TransCat=$A18)*(TransIDDate&gt;=Assets!$J$2)*(TransIDDate&lt;(Assets!$I$2+1))*(TransType="DIS")*(TransCAccDep)),SUMPRODUCT((TransCat=$A18)*(TransIDDate&gt;=Assets!$H$2)*(TransIDDate&lt;(Assets!$I$2+1))*(TransType="DIS")*(TransCAccDep))),"")</f>
        <v/>
      </c>
      <c r="AK18" s="8" t="str" cm="1">
        <f t="array" aca="1" ref="AK18" ca="1">IF(ROW($B18)-ROW($B$5)&gt;CatCount,"",OFFSET('Set-up'!$A$22,ROW($B18)-ROW($B$5),COLUMN('Set-up'!$I$22)-1,1,1))</f>
        <v/>
      </c>
      <c r="AL18" s="28" t="str">
        <f t="shared" ca="1" si="10"/>
        <v/>
      </c>
      <c r="AM18" s="8" t="str" cm="1">
        <f t="array" aca="1" ref="AM18" ca="1">IF(ROW($B18)-ROW($B$5)&gt;CatCount,"",OFFSET('Set-up'!$A$22,ROW($B18)-ROW($B$5),COLUMN('Set-up'!$G$22)-1,1,1))</f>
        <v/>
      </c>
      <c r="AN18" s="28" t="str">
        <f ca="1">IF(LEN($A18)&gt;1,IF($E$2="MTD",SUMPRODUCT((TransCat=$A18)*(TransIDDate&gt;=Assets!$J$2)*(TransIDDate&lt;(Assets!$I$2+1))*(TransType="DIS")*(TransRPrev)),SUMPRODUCT((TransCat=$A18)*(TransIDDate&gt;=Assets!$H$2)*(TransIDDate&lt;(Assets!$I$2+1))*(TransType="DIS")*(TransRPrev))),"")</f>
        <v/>
      </c>
      <c r="AO18" s="8" t="str" cm="1">
        <f t="array" aca="1" ref="AO18" ca="1">IF(ROW($B18)-ROW($B$5)&gt;CatCount,"",OFFSET('Set-up'!$A$22,ROW($B18)-ROW($B$5),COLUMN('Set-up'!$I$22)-1,1,1))</f>
        <v/>
      </c>
      <c r="AP18" s="28" t="str">
        <f t="shared" ca="1" si="11"/>
        <v/>
      </c>
      <c r="AQ18" s="8" t="str" cm="1">
        <f t="array" aca="1" ref="AQ18" ca="1">IF(ROW($B18)-ROW($B$5)&gt;CatCount,"",OFFSET('Set-up'!$A$22,ROW($B18)-ROW($B$5),COLUMN('Set-up'!$J$22)-1,1,1))</f>
        <v/>
      </c>
      <c r="AR18" s="28" t="str">
        <f t="shared" ca="1" si="12"/>
        <v/>
      </c>
      <c r="AS18" s="8" t="str" cm="1">
        <f t="array" aca="1" ref="AS18" ca="1">IF(ROW($B18)-ROW($B$5)&gt;CatCount,"",OFFSET('Set-up'!$A$22,ROW($B18)-ROW($B$5),COLUMN('Set-up'!$K$22)-1,1,1))</f>
        <v/>
      </c>
      <c r="AT18" s="28" t="str">
        <f t="shared" ca="1" si="14"/>
        <v/>
      </c>
    </row>
    <row r="19" spans="1:46" ht="16" customHeight="1" x14ac:dyDescent="0.25">
      <c r="A19" s="3" t="str" cm="1">
        <f t="array" aca="1" ref="A19" ca="1">IF(ROW($B19)-ROW($B$5)&gt;CatCount,"",OFFSET('Set-up'!$A$22,ROW($B19)-ROW($B$5),0,1,1))</f>
        <v/>
      </c>
      <c r="B19" s="3" t="str">
        <f t="shared" ca="1" si="0"/>
        <v/>
      </c>
      <c r="C19" s="8" t="str" cm="1">
        <f t="array" aca="1" ref="C19" ca="1">IF(ROW($B19)-ROW($B$5)&gt;CatCount,"",OFFSET('Set-up'!$A$22,ROW($B19)-ROW($B$5),COLUMN('Set-up'!$F$22)-1,1,1))</f>
        <v/>
      </c>
      <c r="D19" s="28" t="str">
        <f t="shared" ca="1" si="1"/>
        <v/>
      </c>
      <c r="E19" s="8" t="str" cm="1">
        <f t="array" aca="1" ref="E19" ca="1">IF(ROW($B19)-ROW($B$5)&gt;CatCount,"",OFFSET('Set-up'!$A$22,ROW($B19)-ROW($B$5),COLUMN('Set-up'!$E$22)-1,1,1))</f>
        <v/>
      </c>
      <c r="F19" s="28" t="str">
        <f t="shared" ca="1" si="2"/>
        <v/>
      </c>
      <c r="G19" s="8" t="str" cm="1">
        <f t="array" aca="1" ref="G19" ca="1">IF(ROW($B19)-ROW($B$5)&gt;CatCount,"",OFFSET('Set-up'!$A$22,ROW($B19)-ROW($B$5),COLUMN('Set-up'!$G$22)-1,1,1))</f>
        <v/>
      </c>
      <c r="H19" s="28" t="str">
        <f t="shared" ca="1" si="3"/>
        <v/>
      </c>
      <c r="I19" s="8" t="str" cm="1">
        <f t="array" aca="1" ref="I19" ca="1">IF(ROW($B19)-ROW($B$5)&gt;CatCount,"",OFFSET('Set-up'!$A$22,ROW($B19)-ROW($B$5),COLUMN('Set-up'!$E$22)-1,1,1))</f>
        <v/>
      </c>
      <c r="J19" s="28" t="str">
        <f t="shared" ca="1" si="4"/>
        <v/>
      </c>
      <c r="K19" s="8" t="str" cm="1">
        <f t="array" aca="1" ref="K19" ca="1">IF(ROW($B19)-ROW($B$5)&gt;CatCount,"",OFFSET('Set-up'!$A$22,ROW($B19)-ROW($B$5),COLUMN('Set-up'!$D$22)-1,1,1))</f>
        <v/>
      </c>
      <c r="L19" s="28" t="str">
        <f ca="1">IF(LEN($A19)&gt;1,IF($E$2="MTD",SUMPRODUCT((TransCat=$A19)*(TransIDDate&gt;=Assets!$J$2)*(TransIDDate&lt;(Assets!$I$2+1))*(TransType="ACQ")*(TransAmount)),SUMPRODUCT((TransCat=$A19)*(TransIDDate&gt;=Assets!$H$2)*(TransIDDate&lt;(Assets!$I$2+1))*(TransType="ACQ")*(TransAmount))),"")</f>
        <v/>
      </c>
      <c r="M19" s="8" t="str" cm="1">
        <f t="array" aca="1" ref="M19" ca="1">IF(ROW($B19)-ROW($B$5)&gt;CatCount,"","BANK")</f>
        <v/>
      </c>
      <c r="N19" s="28" t="str">
        <f t="shared" ca="1" si="13"/>
        <v/>
      </c>
      <c r="O19" s="8" t="str" cm="1">
        <f t="array" aca="1" ref="O19" ca="1">IF(ROW($B19)-ROW($B$5)&gt;CatCount,"",OFFSET('Set-up'!$A$22,ROW($B19)-ROW($B$5),COLUMN('Set-up'!$D$22)-1,1,1))</f>
        <v/>
      </c>
      <c r="P19" s="28" t="str">
        <f ca="1">IF(LEN($A19)&gt;1,IF($E$2="MTD",SUMPRODUCT((TransCat=$A19)*(TransIDDate&gt;=Assets!$J$2)*(TransIDDate&lt;(Assets!$I$2+1))*(TransType="REV")*(TransAmount))+SUMPRODUCT((TransCat=$A19)*(TransIDDate&gt;=Assets!$J$2)*(TransIDDate&lt;(Assets!$I$2+1))*(TransType="REV")*(TransImpair))-SUMPRODUCT((TransCat=$A19)*(TransIDDate&gt;=Assets!$J$2)*(TransIDDate&lt;(Assets!$I$2+1))*(TransType="REV")*(TransPCost)),SUMPRODUCT((TransCat=$A19)*(TransIDDate&gt;=Assets!$H$2)*(TransIDDate&lt;(Assets!$I$2+1))*(TransType="REV")*(TransAmount))+SUMPRODUCT((TransCat=$A19)*(TransIDDate&gt;=Assets!$H$2)*(TransIDDate&lt;(Assets!$I$2+1))*(TransType="REV")*(TransImpair))-SUMPRODUCT((TransCat=$A19)*(TransIDDate&gt;=Assets!$H$2)*(TransIDDate&lt;(Assets!$I$2+1))*(TransType="REV")*(TransPCost))),"")</f>
        <v/>
      </c>
      <c r="Q19" s="8" t="str" cm="1">
        <f t="array" aca="1" ref="Q19" ca="1">IF(ROW($B19)-ROW($B$5)&gt;CatCount,"",OFFSET('Set-up'!$A$22,ROW($B19)-ROW($B$5),COLUMN('Set-up'!$G$22)-1,1,1))</f>
        <v/>
      </c>
      <c r="R19" s="28" t="str">
        <f t="shared" ca="1" si="5"/>
        <v/>
      </c>
      <c r="S19" s="8" t="str" cm="1">
        <f t="array" aca="1" ref="S19" ca="1">IF(ROW($B19)-ROW($B$5)&gt;CatCount,"",OFFSET('Set-up'!$A$22,ROW($B19)-ROW($B$5),COLUMN('Set-up'!$G$22)-1,1,1))</f>
        <v/>
      </c>
      <c r="T19" s="28" t="str">
        <f ca="1">IF(LEN($A19)&gt;1,IF($E$2="MTD",-SUMPRODUCT((TransCat=$A19)*(TransIDDate&gt;=Assets!$J$2)*(TransIDDate&lt;(Assets!$I$2+1))*(TransType="REV")*(TransCAccDep)),-SUMPRODUCT((TransCat=$A19)*(TransIDDate&gt;=Assets!$H$2)*(TransIDDate&lt;(Assets!$I$2+1))*(TransType="REV")*(TransCAccDep))),"")</f>
        <v/>
      </c>
      <c r="U19" s="8" t="str" cm="1">
        <f t="array" aca="1" ref="U19" ca="1">IF(ROW($B19)-ROW($B$5)&gt;CatCount,"",OFFSET('Set-up'!$A$22,ROW($B19)-ROW($B$5),COLUMN('Set-up'!$E$22)-1,1,1))</f>
        <v/>
      </c>
      <c r="V19" s="28" t="str">
        <f t="shared" ca="1" si="6"/>
        <v/>
      </c>
      <c r="W19" s="8" t="str" cm="1">
        <f t="array" aca="1" ref="W19" ca="1">IF(ROW($B19)-ROW($B$5)&gt;CatCount,"",OFFSET('Set-up'!$A$22,ROW($B19)-ROW($B$5),COLUMN('Set-up'!$H$22)-1,1,1))</f>
        <v/>
      </c>
      <c r="X19" s="28" t="str">
        <f ca="1">IF(LEN($A19)&gt;1,IF($E$2="MTD",SUMPRODUCT((TransCat=$A19)*(TransIDDate&gt;=Assets!$J$2)*(TransIDDate&lt;(Assets!$I$2+1))*(TransType="REV")*(TransImpair)),SUMPRODUCT((TransCat=$A19)*(TransIDDate&gt;=Assets!$H$2)*(TransIDDate&lt;(Assets!$I$2+1))*(TransType="REV")*(TransImpair))),"")</f>
        <v/>
      </c>
      <c r="Y19" s="8" t="str" cm="1">
        <f t="array" aca="1" ref="Y19" ca="1">IF(ROW($B19)-ROW($B$5)&gt;CatCount,"",OFFSET('Set-up'!$A$22,ROW($B19)-ROW($B$5),COLUMN('Set-up'!$D$22)-1,1,1))</f>
        <v/>
      </c>
      <c r="Z19" s="28" t="str">
        <f t="shared" ca="1" si="7"/>
        <v/>
      </c>
      <c r="AA19" s="8" t="str" cm="1">
        <f t="array" aca="1" ref="AA19" ca="1">IF(ROW($B19)-ROW($B$5)&gt;CatCount,"","BANK")</f>
        <v/>
      </c>
      <c r="AB19" s="28" t="str">
        <f ca="1">IF(LEN($A19)&gt;1,IF($E$2="MTD",SUMPRODUCT((TransCat=$A19)*(TransIDDate&gt;=Assets!$J$2)*(TransIDDate&lt;(Assets!$I$2+1))*(TransType="DIS")*(TransProceeds)),SUMPRODUCT((TransCat=$A19)*(TransIDDate&gt;=Assets!$H$2)*(TransIDDate&lt;(Assets!$I$2+1))*(TransType="DIS")*(TransProceeds))),"")</f>
        <v/>
      </c>
      <c r="AC19" s="8" t="str" cm="1">
        <f t="array" aca="1" ref="AC19" ca="1">IF(ROW($B19)-ROW($B$5)&gt;CatCount,"",OFFSET('Set-up'!$A$22,ROW($B19)-ROW($B$5),COLUMN('Set-up'!$I$22)-1,1,1))</f>
        <v/>
      </c>
      <c r="AD19" s="28" t="str">
        <f t="shared" ca="1" si="8"/>
        <v/>
      </c>
      <c r="AE19" s="8" t="str" cm="1">
        <f t="array" aca="1" ref="AE19" ca="1">IF(ROW($B19)-ROW($B$5)&gt;CatCount,"",OFFSET('Set-up'!$A$22,ROW($B19)-ROW($B$5),COLUMN('Set-up'!$I$22)-1,1,1))</f>
        <v/>
      </c>
      <c r="AF19" s="28" t="str">
        <f ca="1">IF(LEN($A19)&gt;1,IF($E$2="MTD",SUMPRODUCT((TransCat=$A19)*(TransIDDate&gt;=Assets!$J$2)*(TransIDDate&lt;(Assets!$I$2+1))*(TransType="DIS")*(TransPCost)),SUMPRODUCT((TransCat=$A19)*(TransIDDate&gt;=Assets!$H$2)*(TransIDDate&lt;(Assets!$I$2+1))*(TransType="DIS")*(TransPCost))),"")</f>
        <v/>
      </c>
      <c r="AG19" s="8" t="str" cm="1">
        <f t="array" aca="1" ref="AG19" ca="1">IF(ROW($B19)-ROW($B$5)&gt;CatCount,"",OFFSET('Set-up'!$A$22,ROW($B19)-ROW($B$5),COLUMN('Set-up'!$D$22)-1,1,1))</f>
        <v/>
      </c>
      <c r="AH19" s="28" t="str">
        <f t="shared" ca="1" si="9"/>
        <v/>
      </c>
      <c r="AI19" s="8" t="str" cm="1">
        <f t="array" aca="1" ref="AI19" ca="1">IF(ROW($B19)-ROW($B$5)&gt;CatCount,"",OFFSET('Set-up'!$A$22,ROW($B19)-ROW($B$5),COLUMN('Set-up'!$E$22)-1,1,1))</f>
        <v/>
      </c>
      <c r="AJ19" s="28" t="str">
        <f ca="1">IF(LEN($A19)&gt;1,IF($E$2="MTD",SUMPRODUCT((TransCat=$A19)*(TransIDDate&gt;=Assets!$J$2)*(TransIDDate&lt;(Assets!$I$2+1))*(TransType="DIS")*(TransCAccDep)),SUMPRODUCT((TransCat=$A19)*(TransIDDate&gt;=Assets!$H$2)*(TransIDDate&lt;(Assets!$I$2+1))*(TransType="DIS")*(TransCAccDep))),"")</f>
        <v/>
      </c>
      <c r="AK19" s="8" t="str" cm="1">
        <f t="array" aca="1" ref="AK19" ca="1">IF(ROW($B19)-ROW($B$5)&gt;CatCount,"",OFFSET('Set-up'!$A$22,ROW($B19)-ROW($B$5),COLUMN('Set-up'!$I$22)-1,1,1))</f>
        <v/>
      </c>
      <c r="AL19" s="28" t="str">
        <f t="shared" ca="1" si="10"/>
        <v/>
      </c>
      <c r="AM19" s="8" t="str" cm="1">
        <f t="array" aca="1" ref="AM19" ca="1">IF(ROW($B19)-ROW($B$5)&gt;CatCount,"",OFFSET('Set-up'!$A$22,ROW($B19)-ROW($B$5),COLUMN('Set-up'!$G$22)-1,1,1))</f>
        <v/>
      </c>
      <c r="AN19" s="28" t="str">
        <f ca="1">IF(LEN($A19)&gt;1,IF($E$2="MTD",SUMPRODUCT((TransCat=$A19)*(TransIDDate&gt;=Assets!$J$2)*(TransIDDate&lt;(Assets!$I$2+1))*(TransType="DIS")*(TransRPrev)),SUMPRODUCT((TransCat=$A19)*(TransIDDate&gt;=Assets!$H$2)*(TransIDDate&lt;(Assets!$I$2+1))*(TransType="DIS")*(TransRPrev))),"")</f>
        <v/>
      </c>
      <c r="AO19" s="8" t="str" cm="1">
        <f t="array" aca="1" ref="AO19" ca="1">IF(ROW($B19)-ROW($B$5)&gt;CatCount,"",OFFSET('Set-up'!$A$22,ROW($B19)-ROW($B$5),COLUMN('Set-up'!$I$22)-1,1,1))</f>
        <v/>
      </c>
      <c r="AP19" s="28" t="str">
        <f t="shared" ca="1" si="11"/>
        <v/>
      </c>
      <c r="AQ19" s="8" t="str" cm="1">
        <f t="array" aca="1" ref="AQ19" ca="1">IF(ROW($B19)-ROW($B$5)&gt;CatCount,"",OFFSET('Set-up'!$A$22,ROW($B19)-ROW($B$5),COLUMN('Set-up'!$J$22)-1,1,1))</f>
        <v/>
      </c>
      <c r="AR19" s="28" t="str">
        <f t="shared" ca="1" si="12"/>
        <v/>
      </c>
      <c r="AS19" s="8" t="str" cm="1">
        <f t="array" aca="1" ref="AS19" ca="1">IF(ROW($B19)-ROW($B$5)&gt;CatCount,"",OFFSET('Set-up'!$A$22,ROW($B19)-ROW($B$5),COLUMN('Set-up'!$K$22)-1,1,1))</f>
        <v/>
      </c>
      <c r="AT19" s="28" t="str">
        <f t="shared" ca="1" si="14"/>
        <v/>
      </c>
    </row>
    <row r="20" spans="1:46" ht="16" customHeight="1" x14ac:dyDescent="0.25">
      <c r="A20" s="3" t="str" cm="1">
        <f t="array" aca="1" ref="A20" ca="1">IF(ROW($B20)-ROW($B$5)&gt;CatCount,"",OFFSET('Set-up'!$A$22,ROW($B20)-ROW($B$5),0,1,1))</f>
        <v/>
      </c>
      <c r="B20" s="3" t="str">
        <f t="shared" ca="1" si="0"/>
        <v/>
      </c>
      <c r="C20" s="8" t="str" cm="1">
        <f t="array" aca="1" ref="C20" ca="1">IF(ROW($B20)-ROW($B$5)&gt;CatCount,"",OFFSET('Set-up'!$A$22,ROW($B20)-ROW($B$5),COLUMN('Set-up'!$F$22)-1,1,1))</f>
        <v/>
      </c>
      <c r="D20" s="28" t="str">
        <f t="shared" ca="1" si="1"/>
        <v/>
      </c>
      <c r="E20" s="8" t="str" cm="1">
        <f t="array" aca="1" ref="E20" ca="1">IF(ROW($B20)-ROW($B$5)&gt;CatCount,"",OFFSET('Set-up'!$A$22,ROW($B20)-ROW($B$5),COLUMN('Set-up'!$E$22)-1,1,1))</f>
        <v/>
      </c>
      <c r="F20" s="28" t="str">
        <f t="shared" ca="1" si="2"/>
        <v/>
      </c>
      <c r="G20" s="8" t="str" cm="1">
        <f t="array" aca="1" ref="G20" ca="1">IF(ROW($B20)-ROW($B$5)&gt;CatCount,"",OFFSET('Set-up'!$A$22,ROW($B20)-ROW($B$5),COLUMN('Set-up'!$G$22)-1,1,1))</f>
        <v/>
      </c>
      <c r="H20" s="28" t="str">
        <f t="shared" ca="1" si="3"/>
        <v/>
      </c>
      <c r="I20" s="8" t="str" cm="1">
        <f t="array" aca="1" ref="I20" ca="1">IF(ROW($B20)-ROW($B$5)&gt;CatCount,"",OFFSET('Set-up'!$A$22,ROW($B20)-ROW($B$5),COLUMN('Set-up'!$E$22)-1,1,1))</f>
        <v/>
      </c>
      <c r="J20" s="28" t="str">
        <f t="shared" ca="1" si="4"/>
        <v/>
      </c>
      <c r="K20" s="8" t="str" cm="1">
        <f t="array" aca="1" ref="K20" ca="1">IF(ROW($B20)-ROW($B$5)&gt;CatCount,"",OFFSET('Set-up'!$A$22,ROW($B20)-ROW($B$5),COLUMN('Set-up'!$D$22)-1,1,1))</f>
        <v/>
      </c>
      <c r="L20" s="28" t="str">
        <f ca="1">IF(LEN($A20)&gt;1,IF($E$2="MTD",SUMPRODUCT((TransCat=$A20)*(TransIDDate&gt;=Assets!$J$2)*(TransIDDate&lt;(Assets!$I$2+1))*(TransType="ACQ")*(TransAmount)),SUMPRODUCT((TransCat=$A20)*(TransIDDate&gt;=Assets!$H$2)*(TransIDDate&lt;(Assets!$I$2+1))*(TransType="ACQ")*(TransAmount))),"")</f>
        <v/>
      </c>
      <c r="M20" s="8" t="str" cm="1">
        <f t="array" aca="1" ref="M20" ca="1">IF(ROW($B20)-ROW($B$5)&gt;CatCount,"","BANK")</f>
        <v/>
      </c>
      <c r="N20" s="28" t="str">
        <f t="shared" ca="1" si="13"/>
        <v/>
      </c>
      <c r="O20" s="8" t="str" cm="1">
        <f t="array" aca="1" ref="O20" ca="1">IF(ROW($B20)-ROW($B$5)&gt;CatCount,"",OFFSET('Set-up'!$A$22,ROW($B20)-ROW($B$5),COLUMN('Set-up'!$D$22)-1,1,1))</f>
        <v/>
      </c>
      <c r="P20" s="28" t="str">
        <f ca="1">IF(LEN($A20)&gt;1,IF($E$2="MTD",SUMPRODUCT((TransCat=$A20)*(TransIDDate&gt;=Assets!$J$2)*(TransIDDate&lt;(Assets!$I$2+1))*(TransType="REV")*(TransAmount))+SUMPRODUCT((TransCat=$A20)*(TransIDDate&gt;=Assets!$J$2)*(TransIDDate&lt;(Assets!$I$2+1))*(TransType="REV")*(TransImpair))-SUMPRODUCT((TransCat=$A20)*(TransIDDate&gt;=Assets!$J$2)*(TransIDDate&lt;(Assets!$I$2+1))*(TransType="REV")*(TransPCost)),SUMPRODUCT((TransCat=$A20)*(TransIDDate&gt;=Assets!$H$2)*(TransIDDate&lt;(Assets!$I$2+1))*(TransType="REV")*(TransAmount))+SUMPRODUCT((TransCat=$A20)*(TransIDDate&gt;=Assets!$H$2)*(TransIDDate&lt;(Assets!$I$2+1))*(TransType="REV")*(TransImpair))-SUMPRODUCT((TransCat=$A20)*(TransIDDate&gt;=Assets!$H$2)*(TransIDDate&lt;(Assets!$I$2+1))*(TransType="REV")*(TransPCost))),"")</f>
        <v/>
      </c>
      <c r="Q20" s="8" t="str" cm="1">
        <f t="array" aca="1" ref="Q20" ca="1">IF(ROW($B20)-ROW($B$5)&gt;CatCount,"",OFFSET('Set-up'!$A$22,ROW($B20)-ROW($B$5),COLUMN('Set-up'!$G$22)-1,1,1))</f>
        <v/>
      </c>
      <c r="R20" s="28" t="str">
        <f t="shared" ca="1" si="5"/>
        <v/>
      </c>
      <c r="S20" s="8" t="str" cm="1">
        <f t="array" aca="1" ref="S20" ca="1">IF(ROW($B20)-ROW($B$5)&gt;CatCount,"",OFFSET('Set-up'!$A$22,ROW($B20)-ROW($B$5),COLUMN('Set-up'!$G$22)-1,1,1))</f>
        <v/>
      </c>
      <c r="T20" s="28" t="str">
        <f ca="1">IF(LEN($A20)&gt;1,IF($E$2="MTD",-SUMPRODUCT((TransCat=$A20)*(TransIDDate&gt;=Assets!$J$2)*(TransIDDate&lt;(Assets!$I$2+1))*(TransType="REV")*(TransCAccDep)),-SUMPRODUCT((TransCat=$A20)*(TransIDDate&gt;=Assets!$H$2)*(TransIDDate&lt;(Assets!$I$2+1))*(TransType="REV")*(TransCAccDep))),"")</f>
        <v/>
      </c>
      <c r="U20" s="8" t="str" cm="1">
        <f t="array" aca="1" ref="U20" ca="1">IF(ROW($B20)-ROW($B$5)&gt;CatCount,"",OFFSET('Set-up'!$A$22,ROW($B20)-ROW($B$5),COLUMN('Set-up'!$E$22)-1,1,1))</f>
        <v/>
      </c>
      <c r="V20" s="28" t="str">
        <f t="shared" ca="1" si="6"/>
        <v/>
      </c>
      <c r="W20" s="8" t="str" cm="1">
        <f t="array" aca="1" ref="W20" ca="1">IF(ROW($B20)-ROW($B$5)&gt;CatCount,"",OFFSET('Set-up'!$A$22,ROW($B20)-ROW($B$5),COLUMN('Set-up'!$H$22)-1,1,1))</f>
        <v/>
      </c>
      <c r="X20" s="28" t="str">
        <f ca="1">IF(LEN($A20)&gt;1,IF($E$2="MTD",SUMPRODUCT((TransCat=$A20)*(TransIDDate&gt;=Assets!$J$2)*(TransIDDate&lt;(Assets!$I$2+1))*(TransType="REV")*(TransImpair)),SUMPRODUCT((TransCat=$A20)*(TransIDDate&gt;=Assets!$H$2)*(TransIDDate&lt;(Assets!$I$2+1))*(TransType="REV")*(TransImpair))),"")</f>
        <v/>
      </c>
      <c r="Y20" s="8" t="str" cm="1">
        <f t="array" aca="1" ref="Y20" ca="1">IF(ROW($B20)-ROW($B$5)&gt;CatCount,"",OFFSET('Set-up'!$A$22,ROW($B20)-ROW($B$5),COLUMN('Set-up'!$D$22)-1,1,1))</f>
        <v/>
      </c>
      <c r="Z20" s="28" t="str">
        <f t="shared" ca="1" si="7"/>
        <v/>
      </c>
      <c r="AA20" s="8" t="str" cm="1">
        <f t="array" aca="1" ref="AA20" ca="1">IF(ROW($B20)-ROW($B$5)&gt;CatCount,"","BANK")</f>
        <v/>
      </c>
      <c r="AB20" s="28" t="str">
        <f ca="1">IF(LEN($A20)&gt;1,IF($E$2="MTD",SUMPRODUCT((TransCat=$A20)*(TransIDDate&gt;=Assets!$J$2)*(TransIDDate&lt;(Assets!$I$2+1))*(TransType="DIS")*(TransProceeds)),SUMPRODUCT((TransCat=$A20)*(TransIDDate&gt;=Assets!$H$2)*(TransIDDate&lt;(Assets!$I$2+1))*(TransType="DIS")*(TransProceeds))),"")</f>
        <v/>
      </c>
      <c r="AC20" s="8" t="str" cm="1">
        <f t="array" aca="1" ref="AC20" ca="1">IF(ROW($B20)-ROW($B$5)&gt;CatCount,"",OFFSET('Set-up'!$A$22,ROW($B20)-ROW($B$5),COLUMN('Set-up'!$I$22)-1,1,1))</f>
        <v/>
      </c>
      <c r="AD20" s="28" t="str">
        <f t="shared" ca="1" si="8"/>
        <v/>
      </c>
      <c r="AE20" s="8" t="str" cm="1">
        <f t="array" aca="1" ref="AE20" ca="1">IF(ROW($B20)-ROW($B$5)&gt;CatCount,"",OFFSET('Set-up'!$A$22,ROW($B20)-ROW($B$5),COLUMN('Set-up'!$I$22)-1,1,1))</f>
        <v/>
      </c>
      <c r="AF20" s="28" t="str">
        <f ca="1">IF(LEN($A20)&gt;1,IF($E$2="MTD",SUMPRODUCT((TransCat=$A20)*(TransIDDate&gt;=Assets!$J$2)*(TransIDDate&lt;(Assets!$I$2+1))*(TransType="DIS")*(TransPCost)),SUMPRODUCT((TransCat=$A20)*(TransIDDate&gt;=Assets!$H$2)*(TransIDDate&lt;(Assets!$I$2+1))*(TransType="DIS")*(TransPCost))),"")</f>
        <v/>
      </c>
      <c r="AG20" s="8" t="str" cm="1">
        <f t="array" aca="1" ref="AG20" ca="1">IF(ROW($B20)-ROW($B$5)&gt;CatCount,"",OFFSET('Set-up'!$A$22,ROW($B20)-ROW($B$5),COLUMN('Set-up'!$D$22)-1,1,1))</f>
        <v/>
      </c>
      <c r="AH20" s="28" t="str">
        <f t="shared" ca="1" si="9"/>
        <v/>
      </c>
      <c r="AI20" s="8" t="str" cm="1">
        <f t="array" aca="1" ref="AI20" ca="1">IF(ROW($B20)-ROW($B$5)&gt;CatCount,"",OFFSET('Set-up'!$A$22,ROW($B20)-ROW($B$5),COLUMN('Set-up'!$E$22)-1,1,1))</f>
        <v/>
      </c>
      <c r="AJ20" s="28" t="str">
        <f ca="1">IF(LEN($A20)&gt;1,IF($E$2="MTD",SUMPRODUCT((TransCat=$A20)*(TransIDDate&gt;=Assets!$J$2)*(TransIDDate&lt;(Assets!$I$2+1))*(TransType="DIS")*(TransCAccDep)),SUMPRODUCT((TransCat=$A20)*(TransIDDate&gt;=Assets!$H$2)*(TransIDDate&lt;(Assets!$I$2+1))*(TransType="DIS")*(TransCAccDep))),"")</f>
        <v/>
      </c>
      <c r="AK20" s="8" t="str" cm="1">
        <f t="array" aca="1" ref="AK20" ca="1">IF(ROW($B20)-ROW($B$5)&gt;CatCount,"",OFFSET('Set-up'!$A$22,ROW($B20)-ROW($B$5),COLUMN('Set-up'!$I$22)-1,1,1))</f>
        <v/>
      </c>
      <c r="AL20" s="28" t="str">
        <f t="shared" ca="1" si="10"/>
        <v/>
      </c>
      <c r="AM20" s="8" t="str" cm="1">
        <f t="array" aca="1" ref="AM20" ca="1">IF(ROW($B20)-ROW($B$5)&gt;CatCount,"",OFFSET('Set-up'!$A$22,ROW($B20)-ROW($B$5),COLUMN('Set-up'!$G$22)-1,1,1))</f>
        <v/>
      </c>
      <c r="AN20" s="28" t="str">
        <f ca="1">IF(LEN($A20)&gt;1,IF($E$2="MTD",SUMPRODUCT((TransCat=$A20)*(TransIDDate&gt;=Assets!$J$2)*(TransIDDate&lt;(Assets!$I$2+1))*(TransType="DIS")*(TransRPrev)),SUMPRODUCT((TransCat=$A20)*(TransIDDate&gt;=Assets!$H$2)*(TransIDDate&lt;(Assets!$I$2+1))*(TransType="DIS")*(TransRPrev))),"")</f>
        <v/>
      </c>
      <c r="AO20" s="8" t="str" cm="1">
        <f t="array" aca="1" ref="AO20" ca="1">IF(ROW($B20)-ROW($B$5)&gt;CatCount,"",OFFSET('Set-up'!$A$22,ROW($B20)-ROW($B$5),COLUMN('Set-up'!$I$22)-1,1,1))</f>
        <v/>
      </c>
      <c r="AP20" s="28" t="str">
        <f t="shared" ca="1" si="11"/>
        <v/>
      </c>
      <c r="AQ20" s="8" t="str" cm="1">
        <f t="array" aca="1" ref="AQ20" ca="1">IF(ROW($B20)-ROW($B$5)&gt;CatCount,"",OFFSET('Set-up'!$A$22,ROW($B20)-ROW($B$5),COLUMN('Set-up'!$J$22)-1,1,1))</f>
        <v/>
      </c>
      <c r="AR20" s="28" t="str">
        <f t="shared" ca="1" si="12"/>
        <v/>
      </c>
      <c r="AS20" s="8" t="str" cm="1">
        <f t="array" aca="1" ref="AS20" ca="1">IF(ROW($B20)-ROW($B$5)&gt;CatCount,"",OFFSET('Set-up'!$A$22,ROW($B20)-ROW($B$5),COLUMN('Set-up'!$K$22)-1,1,1))</f>
        <v/>
      </c>
      <c r="AT20" s="28" t="str">
        <f t="shared" ca="1" si="14"/>
        <v/>
      </c>
    </row>
    <row r="21" spans="1:46" ht="16" customHeight="1" x14ac:dyDescent="0.25">
      <c r="A21" s="3" t="str" cm="1">
        <f t="array" aca="1" ref="A21" ca="1">IF(ROW($B21)-ROW($B$5)&gt;CatCount,"",OFFSET('Set-up'!$A$22,ROW($B21)-ROW($B$5),0,1,1))</f>
        <v/>
      </c>
      <c r="B21" s="3" t="str">
        <f t="shared" ca="1" si="0"/>
        <v/>
      </c>
      <c r="C21" s="8" t="str" cm="1">
        <f t="array" aca="1" ref="C21" ca="1">IF(ROW($B21)-ROW($B$5)&gt;CatCount,"",OFFSET('Set-up'!$A$22,ROW($B21)-ROW($B$5),COLUMN('Set-up'!$F$22)-1,1,1))</f>
        <v/>
      </c>
      <c r="D21" s="28" t="str">
        <f t="shared" ca="1" si="1"/>
        <v/>
      </c>
      <c r="E21" s="8" t="str" cm="1">
        <f t="array" aca="1" ref="E21" ca="1">IF(ROW($B21)-ROW($B$5)&gt;CatCount,"",OFFSET('Set-up'!$A$22,ROW($B21)-ROW($B$5),COLUMN('Set-up'!$E$22)-1,1,1))</f>
        <v/>
      </c>
      <c r="F21" s="28" t="str">
        <f t="shared" ca="1" si="2"/>
        <v/>
      </c>
      <c r="G21" s="8" t="str" cm="1">
        <f t="array" aca="1" ref="G21" ca="1">IF(ROW($B21)-ROW($B$5)&gt;CatCount,"",OFFSET('Set-up'!$A$22,ROW($B21)-ROW($B$5),COLUMN('Set-up'!$G$22)-1,1,1))</f>
        <v/>
      </c>
      <c r="H21" s="28" t="str">
        <f t="shared" ca="1" si="3"/>
        <v/>
      </c>
      <c r="I21" s="8" t="str" cm="1">
        <f t="array" aca="1" ref="I21" ca="1">IF(ROW($B21)-ROW($B$5)&gt;CatCount,"",OFFSET('Set-up'!$A$22,ROW($B21)-ROW($B$5),COLUMN('Set-up'!$E$22)-1,1,1))</f>
        <v/>
      </c>
      <c r="J21" s="28" t="str">
        <f t="shared" ca="1" si="4"/>
        <v/>
      </c>
      <c r="K21" s="8" t="str" cm="1">
        <f t="array" aca="1" ref="K21" ca="1">IF(ROW($B21)-ROW($B$5)&gt;CatCount,"",OFFSET('Set-up'!$A$22,ROW($B21)-ROW($B$5),COLUMN('Set-up'!$D$22)-1,1,1))</f>
        <v/>
      </c>
      <c r="L21" s="28" t="str">
        <f ca="1">IF(LEN($A21)&gt;1,IF($E$2="MTD",SUMPRODUCT((TransCat=$A21)*(TransIDDate&gt;=Assets!$J$2)*(TransIDDate&lt;(Assets!$I$2+1))*(TransType="ACQ")*(TransAmount)),SUMPRODUCT((TransCat=$A21)*(TransIDDate&gt;=Assets!$H$2)*(TransIDDate&lt;(Assets!$I$2+1))*(TransType="ACQ")*(TransAmount))),"")</f>
        <v/>
      </c>
      <c r="M21" s="8" t="str" cm="1">
        <f t="array" aca="1" ref="M21" ca="1">IF(ROW($B21)-ROW($B$5)&gt;CatCount,"","BANK")</f>
        <v/>
      </c>
      <c r="N21" s="28" t="str">
        <f t="shared" ca="1" si="13"/>
        <v/>
      </c>
      <c r="O21" s="8" t="str" cm="1">
        <f t="array" aca="1" ref="O21" ca="1">IF(ROW($B21)-ROW($B$5)&gt;CatCount,"",OFFSET('Set-up'!$A$22,ROW($B21)-ROW($B$5),COLUMN('Set-up'!$D$22)-1,1,1))</f>
        <v/>
      </c>
      <c r="P21" s="28" t="str">
        <f ca="1">IF(LEN($A21)&gt;1,IF($E$2="MTD",SUMPRODUCT((TransCat=$A21)*(TransIDDate&gt;=Assets!$J$2)*(TransIDDate&lt;(Assets!$I$2+1))*(TransType="REV")*(TransAmount))+SUMPRODUCT((TransCat=$A21)*(TransIDDate&gt;=Assets!$J$2)*(TransIDDate&lt;(Assets!$I$2+1))*(TransType="REV")*(TransImpair))-SUMPRODUCT((TransCat=$A21)*(TransIDDate&gt;=Assets!$J$2)*(TransIDDate&lt;(Assets!$I$2+1))*(TransType="REV")*(TransPCost)),SUMPRODUCT((TransCat=$A21)*(TransIDDate&gt;=Assets!$H$2)*(TransIDDate&lt;(Assets!$I$2+1))*(TransType="REV")*(TransAmount))+SUMPRODUCT((TransCat=$A21)*(TransIDDate&gt;=Assets!$H$2)*(TransIDDate&lt;(Assets!$I$2+1))*(TransType="REV")*(TransImpair))-SUMPRODUCT((TransCat=$A21)*(TransIDDate&gt;=Assets!$H$2)*(TransIDDate&lt;(Assets!$I$2+1))*(TransType="REV")*(TransPCost))),"")</f>
        <v/>
      </c>
      <c r="Q21" s="8" t="str" cm="1">
        <f t="array" aca="1" ref="Q21" ca="1">IF(ROW($B21)-ROW($B$5)&gt;CatCount,"",OFFSET('Set-up'!$A$22,ROW($B21)-ROW($B$5),COLUMN('Set-up'!$G$22)-1,1,1))</f>
        <v/>
      </c>
      <c r="R21" s="28" t="str">
        <f t="shared" ca="1" si="5"/>
        <v/>
      </c>
      <c r="S21" s="8" t="str" cm="1">
        <f t="array" aca="1" ref="S21" ca="1">IF(ROW($B21)-ROW($B$5)&gt;CatCount,"",OFFSET('Set-up'!$A$22,ROW($B21)-ROW($B$5),COLUMN('Set-up'!$G$22)-1,1,1))</f>
        <v/>
      </c>
      <c r="T21" s="28" t="str">
        <f ca="1">IF(LEN($A21)&gt;1,IF($E$2="MTD",-SUMPRODUCT((TransCat=$A21)*(TransIDDate&gt;=Assets!$J$2)*(TransIDDate&lt;(Assets!$I$2+1))*(TransType="REV")*(TransCAccDep)),-SUMPRODUCT((TransCat=$A21)*(TransIDDate&gt;=Assets!$H$2)*(TransIDDate&lt;(Assets!$I$2+1))*(TransType="REV")*(TransCAccDep))),"")</f>
        <v/>
      </c>
      <c r="U21" s="8" t="str" cm="1">
        <f t="array" aca="1" ref="U21" ca="1">IF(ROW($B21)-ROW($B$5)&gt;CatCount,"",OFFSET('Set-up'!$A$22,ROW($B21)-ROW($B$5),COLUMN('Set-up'!$E$22)-1,1,1))</f>
        <v/>
      </c>
      <c r="V21" s="28" t="str">
        <f t="shared" ca="1" si="6"/>
        <v/>
      </c>
      <c r="W21" s="8" t="str" cm="1">
        <f t="array" aca="1" ref="W21" ca="1">IF(ROW($B21)-ROW($B$5)&gt;CatCount,"",OFFSET('Set-up'!$A$22,ROW($B21)-ROW($B$5),COLUMN('Set-up'!$H$22)-1,1,1))</f>
        <v/>
      </c>
      <c r="X21" s="28" t="str">
        <f ca="1">IF(LEN($A21)&gt;1,IF($E$2="MTD",SUMPRODUCT((TransCat=$A21)*(TransIDDate&gt;=Assets!$J$2)*(TransIDDate&lt;(Assets!$I$2+1))*(TransType="REV")*(TransImpair)),SUMPRODUCT((TransCat=$A21)*(TransIDDate&gt;=Assets!$H$2)*(TransIDDate&lt;(Assets!$I$2+1))*(TransType="REV")*(TransImpair))),"")</f>
        <v/>
      </c>
      <c r="Y21" s="8" t="str" cm="1">
        <f t="array" aca="1" ref="Y21" ca="1">IF(ROW($B21)-ROW($B$5)&gt;CatCount,"",OFFSET('Set-up'!$A$22,ROW($B21)-ROW($B$5),COLUMN('Set-up'!$D$22)-1,1,1))</f>
        <v/>
      </c>
      <c r="Z21" s="28" t="str">
        <f t="shared" ca="1" si="7"/>
        <v/>
      </c>
      <c r="AA21" s="8" t="str" cm="1">
        <f t="array" aca="1" ref="AA21" ca="1">IF(ROW($B21)-ROW($B$5)&gt;CatCount,"","BANK")</f>
        <v/>
      </c>
      <c r="AB21" s="28" t="str">
        <f ca="1">IF(LEN($A21)&gt;1,IF($E$2="MTD",SUMPRODUCT((TransCat=$A21)*(TransIDDate&gt;=Assets!$J$2)*(TransIDDate&lt;(Assets!$I$2+1))*(TransType="DIS")*(TransProceeds)),SUMPRODUCT((TransCat=$A21)*(TransIDDate&gt;=Assets!$H$2)*(TransIDDate&lt;(Assets!$I$2+1))*(TransType="DIS")*(TransProceeds))),"")</f>
        <v/>
      </c>
      <c r="AC21" s="8" t="str" cm="1">
        <f t="array" aca="1" ref="AC21" ca="1">IF(ROW($B21)-ROW($B$5)&gt;CatCount,"",OFFSET('Set-up'!$A$22,ROW($B21)-ROW($B$5),COLUMN('Set-up'!$I$22)-1,1,1))</f>
        <v/>
      </c>
      <c r="AD21" s="28" t="str">
        <f t="shared" ca="1" si="8"/>
        <v/>
      </c>
      <c r="AE21" s="8" t="str" cm="1">
        <f t="array" aca="1" ref="AE21" ca="1">IF(ROW($B21)-ROW($B$5)&gt;CatCount,"",OFFSET('Set-up'!$A$22,ROW($B21)-ROW($B$5),COLUMN('Set-up'!$I$22)-1,1,1))</f>
        <v/>
      </c>
      <c r="AF21" s="28" t="str">
        <f ca="1">IF(LEN($A21)&gt;1,IF($E$2="MTD",SUMPRODUCT((TransCat=$A21)*(TransIDDate&gt;=Assets!$J$2)*(TransIDDate&lt;(Assets!$I$2+1))*(TransType="DIS")*(TransPCost)),SUMPRODUCT((TransCat=$A21)*(TransIDDate&gt;=Assets!$H$2)*(TransIDDate&lt;(Assets!$I$2+1))*(TransType="DIS")*(TransPCost))),"")</f>
        <v/>
      </c>
      <c r="AG21" s="8" t="str" cm="1">
        <f t="array" aca="1" ref="AG21" ca="1">IF(ROW($B21)-ROW($B$5)&gt;CatCount,"",OFFSET('Set-up'!$A$22,ROW($B21)-ROW($B$5),COLUMN('Set-up'!$D$22)-1,1,1))</f>
        <v/>
      </c>
      <c r="AH21" s="28" t="str">
        <f t="shared" ca="1" si="9"/>
        <v/>
      </c>
      <c r="AI21" s="8" t="str" cm="1">
        <f t="array" aca="1" ref="AI21" ca="1">IF(ROW($B21)-ROW($B$5)&gt;CatCount,"",OFFSET('Set-up'!$A$22,ROW($B21)-ROW($B$5),COLUMN('Set-up'!$E$22)-1,1,1))</f>
        <v/>
      </c>
      <c r="AJ21" s="28" t="str">
        <f ca="1">IF(LEN($A21)&gt;1,IF($E$2="MTD",SUMPRODUCT((TransCat=$A21)*(TransIDDate&gt;=Assets!$J$2)*(TransIDDate&lt;(Assets!$I$2+1))*(TransType="DIS")*(TransCAccDep)),SUMPRODUCT((TransCat=$A21)*(TransIDDate&gt;=Assets!$H$2)*(TransIDDate&lt;(Assets!$I$2+1))*(TransType="DIS")*(TransCAccDep))),"")</f>
        <v/>
      </c>
      <c r="AK21" s="8" t="str" cm="1">
        <f t="array" aca="1" ref="AK21" ca="1">IF(ROW($B21)-ROW($B$5)&gt;CatCount,"",OFFSET('Set-up'!$A$22,ROW($B21)-ROW($B$5),COLUMN('Set-up'!$I$22)-1,1,1))</f>
        <v/>
      </c>
      <c r="AL21" s="28" t="str">
        <f t="shared" ca="1" si="10"/>
        <v/>
      </c>
      <c r="AM21" s="8" t="str" cm="1">
        <f t="array" aca="1" ref="AM21" ca="1">IF(ROW($B21)-ROW($B$5)&gt;CatCount,"",OFFSET('Set-up'!$A$22,ROW($B21)-ROW($B$5),COLUMN('Set-up'!$G$22)-1,1,1))</f>
        <v/>
      </c>
      <c r="AN21" s="28" t="str">
        <f ca="1">IF(LEN($A21)&gt;1,IF($E$2="MTD",SUMPRODUCT((TransCat=$A21)*(TransIDDate&gt;=Assets!$J$2)*(TransIDDate&lt;(Assets!$I$2+1))*(TransType="DIS")*(TransRPrev)),SUMPRODUCT((TransCat=$A21)*(TransIDDate&gt;=Assets!$H$2)*(TransIDDate&lt;(Assets!$I$2+1))*(TransType="DIS")*(TransRPrev))),"")</f>
        <v/>
      </c>
      <c r="AO21" s="8" t="str" cm="1">
        <f t="array" aca="1" ref="AO21" ca="1">IF(ROW($B21)-ROW($B$5)&gt;CatCount,"",OFFSET('Set-up'!$A$22,ROW($B21)-ROW($B$5),COLUMN('Set-up'!$I$22)-1,1,1))</f>
        <v/>
      </c>
      <c r="AP21" s="28" t="str">
        <f t="shared" ca="1" si="11"/>
        <v/>
      </c>
      <c r="AQ21" s="8" t="str" cm="1">
        <f t="array" aca="1" ref="AQ21" ca="1">IF(ROW($B21)-ROW($B$5)&gt;CatCount,"",OFFSET('Set-up'!$A$22,ROW($B21)-ROW($B$5),COLUMN('Set-up'!$J$22)-1,1,1))</f>
        <v/>
      </c>
      <c r="AR21" s="28" t="str">
        <f t="shared" ca="1" si="12"/>
        <v/>
      </c>
      <c r="AS21" s="8" t="str" cm="1">
        <f t="array" aca="1" ref="AS21" ca="1">IF(ROW($B21)-ROW($B$5)&gt;CatCount,"",OFFSET('Set-up'!$A$22,ROW($B21)-ROW($B$5),COLUMN('Set-up'!$K$22)-1,1,1))</f>
        <v/>
      </c>
      <c r="AT21" s="28" t="str">
        <f t="shared" ca="1" si="14"/>
        <v/>
      </c>
    </row>
    <row r="22" spans="1:46" ht="16" customHeight="1" x14ac:dyDescent="0.25">
      <c r="A22" s="3" t="str" cm="1">
        <f t="array" aca="1" ref="A22" ca="1">IF(ROW($B22)-ROW($B$5)&gt;CatCount,"",OFFSET('Set-up'!$A$22,ROW($B22)-ROW($B$5),0,1,1))</f>
        <v/>
      </c>
      <c r="B22" s="3" t="str">
        <f t="shared" ca="1" si="0"/>
        <v/>
      </c>
      <c r="C22" s="8" t="str" cm="1">
        <f t="array" aca="1" ref="C22" ca="1">IF(ROW($B22)-ROW($B$5)&gt;CatCount,"",OFFSET('Set-up'!$A$22,ROW($B22)-ROW($B$5),COLUMN('Set-up'!$F$22)-1,1,1))</f>
        <v/>
      </c>
      <c r="D22" s="28" t="str">
        <f t="shared" ca="1" si="1"/>
        <v/>
      </c>
      <c r="E22" s="8" t="str" cm="1">
        <f t="array" aca="1" ref="E22" ca="1">IF(ROW($B22)-ROW($B$5)&gt;CatCount,"",OFFSET('Set-up'!$A$22,ROW($B22)-ROW($B$5),COLUMN('Set-up'!$E$22)-1,1,1))</f>
        <v/>
      </c>
      <c r="F22" s="28" t="str">
        <f t="shared" ca="1" si="2"/>
        <v/>
      </c>
      <c r="G22" s="8" t="str" cm="1">
        <f t="array" aca="1" ref="G22" ca="1">IF(ROW($B22)-ROW($B$5)&gt;CatCount,"",OFFSET('Set-up'!$A$22,ROW($B22)-ROW($B$5),COLUMN('Set-up'!$G$22)-1,1,1))</f>
        <v/>
      </c>
      <c r="H22" s="28" t="str">
        <f t="shared" ca="1" si="3"/>
        <v/>
      </c>
      <c r="I22" s="8" t="str" cm="1">
        <f t="array" aca="1" ref="I22" ca="1">IF(ROW($B22)-ROW($B$5)&gt;CatCount,"",OFFSET('Set-up'!$A$22,ROW($B22)-ROW($B$5),COLUMN('Set-up'!$E$22)-1,1,1))</f>
        <v/>
      </c>
      <c r="J22" s="28" t="str">
        <f t="shared" ca="1" si="4"/>
        <v/>
      </c>
      <c r="K22" s="8" t="str" cm="1">
        <f t="array" aca="1" ref="K22" ca="1">IF(ROW($B22)-ROW($B$5)&gt;CatCount,"",OFFSET('Set-up'!$A$22,ROW($B22)-ROW($B$5),COLUMN('Set-up'!$D$22)-1,1,1))</f>
        <v/>
      </c>
      <c r="L22" s="28" t="str">
        <f ca="1">IF(LEN($A22)&gt;1,IF($E$2="MTD",SUMPRODUCT((TransCat=$A22)*(TransIDDate&gt;=Assets!$J$2)*(TransIDDate&lt;(Assets!$I$2+1))*(TransType="ACQ")*(TransAmount)),SUMPRODUCT((TransCat=$A22)*(TransIDDate&gt;=Assets!$H$2)*(TransIDDate&lt;(Assets!$I$2+1))*(TransType="ACQ")*(TransAmount))),"")</f>
        <v/>
      </c>
      <c r="M22" s="8" t="str" cm="1">
        <f t="array" aca="1" ref="M22" ca="1">IF(ROW($B22)-ROW($B$5)&gt;CatCount,"","BANK")</f>
        <v/>
      </c>
      <c r="N22" s="28" t="str">
        <f t="shared" ca="1" si="13"/>
        <v/>
      </c>
      <c r="O22" s="8" t="str" cm="1">
        <f t="array" aca="1" ref="O22" ca="1">IF(ROW($B22)-ROW($B$5)&gt;CatCount,"",OFFSET('Set-up'!$A$22,ROW($B22)-ROW($B$5),COLUMN('Set-up'!$D$22)-1,1,1))</f>
        <v/>
      </c>
      <c r="P22" s="28" t="str">
        <f ca="1">IF(LEN($A22)&gt;1,IF($E$2="MTD",SUMPRODUCT((TransCat=$A22)*(TransIDDate&gt;=Assets!$J$2)*(TransIDDate&lt;(Assets!$I$2+1))*(TransType="REV")*(TransAmount))+SUMPRODUCT((TransCat=$A22)*(TransIDDate&gt;=Assets!$J$2)*(TransIDDate&lt;(Assets!$I$2+1))*(TransType="REV")*(TransImpair))-SUMPRODUCT((TransCat=$A22)*(TransIDDate&gt;=Assets!$J$2)*(TransIDDate&lt;(Assets!$I$2+1))*(TransType="REV")*(TransPCost)),SUMPRODUCT((TransCat=$A22)*(TransIDDate&gt;=Assets!$H$2)*(TransIDDate&lt;(Assets!$I$2+1))*(TransType="REV")*(TransAmount))+SUMPRODUCT((TransCat=$A22)*(TransIDDate&gt;=Assets!$H$2)*(TransIDDate&lt;(Assets!$I$2+1))*(TransType="REV")*(TransImpair))-SUMPRODUCT((TransCat=$A22)*(TransIDDate&gt;=Assets!$H$2)*(TransIDDate&lt;(Assets!$I$2+1))*(TransType="REV")*(TransPCost))),"")</f>
        <v/>
      </c>
      <c r="Q22" s="8" t="str" cm="1">
        <f t="array" aca="1" ref="Q22" ca="1">IF(ROW($B22)-ROW($B$5)&gt;CatCount,"",OFFSET('Set-up'!$A$22,ROW($B22)-ROW($B$5),COLUMN('Set-up'!$G$22)-1,1,1))</f>
        <v/>
      </c>
      <c r="R22" s="28" t="str">
        <f t="shared" ca="1" si="5"/>
        <v/>
      </c>
      <c r="S22" s="8" t="str" cm="1">
        <f t="array" aca="1" ref="S22" ca="1">IF(ROW($B22)-ROW($B$5)&gt;CatCount,"",OFFSET('Set-up'!$A$22,ROW($B22)-ROW($B$5),COLUMN('Set-up'!$G$22)-1,1,1))</f>
        <v/>
      </c>
      <c r="T22" s="28" t="str">
        <f ca="1">IF(LEN($A22)&gt;1,IF($E$2="MTD",-SUMPRODUCT((TransCat=$A22)*(TransIDDate&gt;=Assets!$J$2)*(TransIDDate&lt;(Assets!$I$2+1))*(TransType="REV")*(TransCAccDep)),-SUMPRODUCT((TransCat=$A22)*(TransIDDate&gt;=Assets!$H$2)*(TransIDDate&lt;(Assets!$I$2+1))*(TransType="REV")*(TransCAccDep))),"")</f>
        <v/>
      </c>
      <c r="U22" s="8" t="str" cm="1">
        <f t="array" aca="1" ref="U22" ca="1">IF(ROW($B22)-ROW($B$5)&gt;CatCount,"",OFFSET('Set-up'!$A$22,ROW($B22)-ROW($B$5),COLUMN('Set-up'!$E$22)-1,1,1))</f>
        <v/>
      </c>
      <c r="V22" s="28" t="str">
        <f t="shared" ca="1" si="6"/>
        <v/>
      </c>
      <c r="W22" s="8" t="str" cm="1">
        <f t="array" aca="1" ref="W22" ca="1">IF(ROW($B22)-ROW($B$5)&gt;CatCount,"",OFFSET('Set-up'!$A$22,ROW($B22)-ROW($B$5),COLUMN('Set-up'!$H$22)-1,1,1))</f>
        <v/>
      </c>
      <c r="X22" s="28" t="str">
        <f ca="1">IF(LEN($A22)&gt;1,IF($E$2="MTD",SUMPRODUCT((TransCat=$A22)*(TransIDDate&gt;=Assets!$J$2)*(TransIDDate&lt;(Assets!$I$2+1))*(TransType="REV")*(TransImpair)),SUMPRODUCT((TransCat=$A22)*(TransIDDate&gt;=Assets!$H$2)*(TransIDDate&lt;(Assets!$I$2+1))*(TransType="REV")*(TransImpair))),"")</f>
        <v/>
      </c>
      <c r="Y22" s="8" t="str" cm="1">
        <f t="array" aca="1" ref="Y22" ca="1">IF(ROW($B22)-ROW($B$5)&gt;CatCount,"",OFFSET('Set-up'!$A$22,ROW($B22)-ROW($B$5),COLUMN('Set-up'!$D$22)-1,1,1))</f>
        <v/>
      </c>
      <c r="Z22" s="28" t="str">
        <f t="shared" ca="1" si="7"/>
        <v/>
      </c>
      <c r="AA22" s="8" t="str" cm="1">
        <f t="array" aca="1" ref="AA22" ca="1">IF(ROW($B22)-ROW($B$5)&gt;CatCount,"","BANK")</f>
        <v/>
      </c>
      <c r="AB22" s="28" t="str">
        <f ca="1">IF(LEN($A22)&gt;1,IF($E$2="MTD",SUMPRODUCT((TransCat=$A22)*(TransIDDate&gt;=Assets!$J$2)*(TransIDDate&lt;(Assets!$I$2+1))*(TransType="DIS")*(TransProceeds)),SUMPRODUCT((TransCat=$A22)*(TransIDDate&gt;=Assets!$H$2)*(TransIDDate&lt;(Assets!$I$2+1))*(TransType="DIS")*(TransProceeds))),"")</f>
        <v/>
      </c>
      <c r="AC22" s="8" t="str" cm="1">
        <f t="array" aca="1" ref="AC22" ca="1">IF(ROW($B22)-ROW($B$5)&gt;CatCount,"",OFFSET('Set-up'!$A$22,ROW($B22)-ROW($B$5),COLUMN('Set-up'!$I$22)-1,1,1))</f>
        <v/>
      </c>
      <c r="AD22" s="28" t="str">
        <f t="shared" ca="1" si="8"/>
        <v/>
      </c>
      <c r="AE22" s="8" t="str" cm="1">
        <f t="array" aca="1" ref="AE22" ca="1">IF(ROW($B22)-ROW($B$5)&gt;CatCount,"",OFFSET('Set-up'!$A$22,ROW($B22)-ROW($B$5),COLUMN('Set-up'!$I$22)-1,1,1))</f>
        <v/>
      </c>
      <c r="AF22" s="28" t="str">
        <f ca="1">IF(LEN($A22)&gt;1,IF($E$2="MTD",SUMPRODUCT((TransCat=$A22)*(TransIDDate&gt;=Assets!$J$2)*(TransIDDate&lt;(Assets!$I$2+1))*(TransType="DIS")*(TransPCost)),SUMPRODUCT((TransCat=$A22)*(TransIDDate&gt;=Assets!$H$2)*(TransIDDate&lt;(Assets!$I$2+1))*(TransType="DIS")*(TransPCost))),"")</f>
        <v/>
      </c>
      <c r="AG22" s="8" t="str" cm="1">
        <f t="array" aca="1" ref="AG22" ca="1">IF(ROW($B22)-ROW($B$5)&gt;CatCount,"",OFFSET('Set-up'!$A$22,ROW($B22)-ROW($B$5),COLUMN('Set-up'!$D$22)-1,1,1))</f>
        <v/>
      </c>
      <c r="AH22" s="28" t="str">
        <f t="shared" ca="1" si="9"/>
        <v/>
      </c>
      <c r="AI22" s="8" t="str" cm="1">
        <f t="array" aca="1" ref="AI22" ca="1">IF(ROW($B22)-ROW($B$5)&gt;CatCount,"",OFFSET('Set-up'!$A$22,ROW($B22)-ROW($B$5),COLUMN('Set-up'!$E$22)-1,1,1))</f>
        <v/>
      </c>
      <c r="AJ22" s="28" t="str">
        <f ca="1">IF(LEN($A22)&gt;1,IF($E$2="MTD",SUMPRODUCT((TransCat=$A22)*(TransIDDate&gt;=Assets!$J$2)*(TransIDDate&lt;(Assets!$I$2+1))*(TransType="DIS")*(TransCAccDep)),SUMPRODUCT((TransCat=$A22)*(TransIDDate&gt;=Assets!$H$2)*(TransIDDate&lt;(Assets!$I$2+1))*(TransType="DIS")*(TransCAccDep))),"")</f>
        <v/>
      </c>
      <c r="AK22" s="8" t="str" cm="1">
        <f t="array" aca="1" ref="AK22" ca="1">IF(ROW($B22)-ROW($B$5)&gt;CatCount,"",OFFSET('Set-up'!$A$22,ROW($B22)-ROW($B$5),COLUMN('Set-up'!$I$22)-1,1,1))</f>
        <v/>
      </c>
      <c r="AL22" s="28" t="str">
        <f t="shared" ca="1" si="10"/>
        <v/>
      </c>
      <c r="AM22" s="8" t="str" cm="1">
        <f t="array" aca="1" ref="AM22" ca="1">IF(ROW($B22)-ROW($B$5)&gt;CatCount,"",OFFSET('Set-up'!$A$22,ROW($B22)-ROW($B$5),COLUMN('Set-up'!$G$22)-1,1,1))</f>
        <v/>
      </c>
      <c r="AN22" s="28" t="str">
        <f ca="1">IF(LEN($A22)&gt;1,IF($E$2="MTD",SUMPRODUCT((TransCat=$A22)*(TransIDDate&gt;=Assets!$J$2)*(TransIDDate&lt;(Assets!$I$2+1))*(TransType="DIS")*(TransRPrev)),SUMPRODUCT((TransCat=$A22)*(TransIDDate&gt;=Assets!$H$2)*(TransIDDate&lt;(Assets!$I$2+1))*(TransType="DIS")*(TransRPrev))),"")</f>
        <v/>
      </c>
      <c r="AO22" s="8" t="str" cm="1">
        <f t="array" aca="1" ref="AO22" ca="1">IF(ROW($B22)-ROW($B$5)&gt;CatCount,"",OFFSET('Set-up'!$A$22,ROW($B22)-ROW($B$5),COLUMN('Set-up'!$I$22)-1,1,1))</f>
        <v/>
      </c>
      <c r="AP22" s="28" t="str">
        <f t="shared" ca="1" si="11"/>
        <v/>
      </c>
      <c r="AQ22" s="8" t="str" cm="1">
        <f t="array" aca="1" ref="AQ22" ca="1">IF(ROW($B22)-ROW($B$5)&gt;CatCount,"",OFFSET('Set-up'!$A$22,ROW($B22)-ROW($B$5),COLUMN('Set-up'!$J$22)-1,1,1))</f>
        <v/>
      </c>
      <c r="AR22" s="28" t="str">
        <f t="shared" ca="1" si="12"/>
        <v/>
      </c>
      <c r="AS22" s="8" t="str" cm="1">
        <f t="array" aca="1" ref="AS22" ca="1">IF(ROW($B22)-ROW($B$5)&gt;CatCount,"",OFFSET('Set-up'!$A$22,ROW($B22)-ROW($B$5),COLUMN('Set-up'!$K$22)-1,1,1))</f>
        <v/>
      </c>
      <c r="AT22" s="28" t="str">
        <f t="shared" ca="1" si="14"/>
        <v/>
      </c>
    </row>
    <row r="23" spans="1:46" ht="16" customHeight="1" x14ac:dyDescent="0.25">
      <c r="A23" s="3" t="str" cm="1">
        <f t="array" aca="1" ref="A23" ca="1">IF(ROW($B23)-ROW($B$5)&gt;CatCount,"",OFFSET('Set-up'!$A$22,ROW($B23)-ROW($B$5),0,1,1))</f>
        <v/>
      </c>
      <c r="B23" s="3" t="str">
        <f t="shared" ca="1" si="0"/>
        <v/>
      </c>
      <c r="C23" s="8" t="str" cm="1">
        <f t="array" aca="1" ref="C23" ca="1">IF(ROW($B23)-ROW($B$5)&gt;CatCount,"",OFFSET('Set-up'!$A$22,ROW($B23)-ROW($B$5),COLUMN('Set-up'!$F$22)-1,1,1))</f>
        <v/>
      </c>
      <c r="D23" s="28" t="str">
        <f t="shared" ca="1" si="1"/>
        <v/>
      </c>
      <c r="E23" s="8" t="str" cm="1">
        <f t="array" aca="1" ref="E23" ca="1">IF(ROW($B23)-ROW($B$5)&gt;CatCount,"",OFFSET('Set-up'!$A$22,ROW($B23)-ROW($B$5),COLUMN('Set-up'!$E$22)-1,1,1))</f>
        <v/>
      </c>
      <c r="F23" s="28" t="str">
        <f t="shared" ca="1" si="2"/>
        <v/>
      </c>
      <c r="G23" s="8" t="str" cm="1">
        <f t="array" aca="1" ref="G23" ca="1">IF(ROW($B23)-ROW($B$5)&gt;CatCount,"",OFFSET('Set-up'!$A$22,ROW($B23)-ROW($B$5),COLUMN('Set-up'!$G$22)-1,1,1))</f>
        <v/>
      </c>
      <c r="H23" s="28" t="str">
        <f t="shared" ca="1" si="3"/>
        <v/>
      </c>
      <c r="I23" s="8" t="str" cm="1">
        <f t="array" aca="1" ref="I23" ca="1">IF(ROW($B23)-ROW($B$5)&gt;CatCount,"",OFFSET('Set-up'!$A$22,ROW($B23)-ROW($B$5),COLUMN('Set-up'!$E$22)-1,1,1))</f>
        <v/>
      </c>
      <c r="J23" s="28" t="str">
        <f t="shared" ca="1" si="4"/>
        <v/>
      </c>
      <c r="K23" s="8" t="str" cm="1">
        <f t="array" aca="1" ref="K23" ca="1">IF(ROW($B23)-ROW($B$5)&gt;CatCount,"",OFFSET('Set-up'!$A$22,ROW($B23)-ROW($B$5),COLUMN('Set-up'!$D$22)-1,1,1))</f>
        <v/>
      </c>
      <c r="L23" s="28" t="str">
        <f ca="1">IF(LEN($A23)&gt;1,IF($E$2="MTD",SUMPRODUCT((TransCat=$A23)*(TransIDDate&gt;=Assets!$J$2)*(TransIDDate&lt;(Assets!$I$2+1))*(TransType="ACQ")*(TransAmount)),SUMPRODUCT((TransCat=$A23)*(TransIDDate&gt;=Assets!$H$2)*(TransIDDate&lt;(Assets!$I$2+1))*(TransType="ACQ")*(TransAmount))),"")</f>
        <v/>
      </c>
      <c r="M23" s="8" t="str" cm="1">
        <f t="array" aca="1" ref="M23" ca="1">IF(ROW($B23)-ROW($B$5)&gt;CatCount,"","BANK")</f>
        <v/>
      </c>
      <c r="N23" s="28" t="str">
        <f t="shared" ca="1" si="13"/>
        <v/>
      </c>
      <c r="O23" s="8" t="str" cm="1">
        <f t="array" aca="1" ref="O23" ca="1">IF(ROW($B23)-ROW($B$5)&gt;CatCount,"",OFFSET('Set-up'!$A$22,ROW($B23)-ROW($B$5),COLUMN('Set-up'!$D$22)-1,1,1))</f>
        <v/>
      </c>
      <c r="P23" s="28" t="str">
        <f ca="1">IF(LEN($A23)&gt;1,IF($E$2="MTD",SUMPRODUCT((TransCat=$A23)*(TransIDDate&gt;=Assets!$J$2)*(TransIDDate&lt;(Assets!$I$2+1))*(TransType="REV")*(TransAmount))+SUMPRODUCT((TransCat=$A23)*(TransIDDate&gt;=Assets!$J$2)*(TransIDDate&lt;(Assets!$I$2+1))*(TransType="REV")*(TransImpair))-SUMPRODUCT((TransCat=$A23)*(TransIDDate&gt;=Assets!$J$2)*(TransIDDate&lt;(Assets!$I$2+1))*(TransType="REV")*(TransPCost)),SUMPRODUCT((TransCat=$A23)*(TransIDDate&gt;=Assets!$H$2)*(TransIDDate&lt;(Assets!$I$2+1))*(TransType="REV")*(TransAmount))+SUMPRODUCT((TransCat=$A23)*(TransIDDate&gt;=Assets!$H$2)*(TransIDDate&lt;(Assets!$I$2+1))*(TransType="REV")*(TransImpair))-SUMPRODUCT((TransCat=$A23)*(TransIDDate&gt;=Assets!$H$2)*(TransIDDate&lt;(Assets!$I$2+1))*(TransType="REV")*(TransPCost))),"")</f>
        <v/>
      </c>
      <c r="Q23" s="8" t="str" cm="1">
        <f t="array" aca="1" ref="Q23" ca="1">IF(ROW($B23)-ROW($B$5)&gt;CatCount,"",OFFSET('Set-up'!$A$22,ROW($B23)-ROW($B$5),COLUMN('Set-up'!$G$22)-1,1,1))</f>
        <v/>
      </c>
      <c r="R23" s="28" t="str">
        <f t="shared" ca="1" si="5"/>
        <v/>
      </c>
      <c r="S23" s="8" t="str" cm="1">
        <f t="array" aca="1" ref="S23" ca="1">IF(ROW($B23)-ROW($B$5)&gt;CatCount,"",OFFSET('Set-up'!$A$22,ROW($B23)-ROW($B$5),COLUMN('Set-up'!$G$22)-1,1,1))</f>
        <v/>
      </c>
      <c r="T23" s="28" t="str">
        <f ca="1">IF(LEN($A23)&gt;1,IF($E$2="MTD",-SUMPRODUCT((TransCat=$A23)*(TransIDDate&gt;=Assets!$J$2)*(TransIDDate&lt;(Assets!$I$2+1))*(TransType="REV")*(TransCAccDep)),-SUMPRODUCT((TransCat=$A23)*(TransIDDate&gt;=Assets!$H$2)*(TransIDDate&lt;(Assets!$I$2+1))*(TransType="REV")*(TransCAccDep))),"")</f>
        <v/>
      </c>
      <c r="U23" s="8" t="str" cm="1">
        <f t="array" aca="1" ref="U23" ca="1">IF(ROW($B23)-ROW($B$5)&gt;CatCount,"",OFFSET('Set-up'!$A$22,ROW($B23)-ROW($B$5),COLUMN('Set-up'!$E$22)-1,1,1))</f>
        <v/>
      </c>
      <c r="V23" s="28" t="str">
        <f t="shared" ca="1" si="6"/>
        <v/>
      </c>
      <c r="W23" s="8" t="str" cm="1">
        <f t="array" aca="1" ref="W23" ca="1">IF(ROW($B23)-ROW($B$5)&gt;CatCount,"",OFFSET('Set-up'!$A$22,ROW($B23)-ROW($B$5),COLUMN('Set-up'!$H$22)-1,1,1))</f>
        <v/>
      </c>
      <c r="X23" s="28" t="str">
        <f ca="1">IF(LEN($A23)&gt;1,IF($E$2="MTD",SUMPRODUCT((TransCat=$A23)*(TransIDDate&gt;=Assets!$J$2)*(TransIDDate&lt;(Assets!$I$2+1))*(TransType="REV")*(TransImpair)),SUMPRODUCT((TransCat=$A23)*(TransIDDate&gt;=Assets!$H$2)*(TransIDDate&lt;(Assets!$I$2+1))*(TransType="REV")*(TransImpair))),"")</f>
        <v/>
      </c>
      <c r="Y23" s="8" t="str" cm="1">
        <f t="array" aca="1" ref="Y23" ca="1">IF(ROW($B23)-ROW($B$5)&gt;CatCount,"",OFFSET('Set-up'!$A$22,ROW($B23)-ROW($B$5),COLUMN('Set-up'!$D$22)-1,1,1))</f>
        <v/>
      </c>
      <c r="Z23" s="28" t="str">
        <f t="shared" ca="1" si="7"/>
        <v/>
      </c>
      <c r="AA23" s="8" t="str" cm="1">
        <f t="array" aca="1" ref="AA23" ca="1">IF(ROW($B23)-ROW($B$5)&gt;CatCount,"","BANK")</f>
        <v/>
      </c>
      <c r="AB23" s="28" t="str">
        <f ca="1">IF(LEN($A23)&gt;1,IF($E$2="MTD",SUMPRODUCT((TransCat=$A23)*(TransIDDate&gt;=Assets!$J$2)*(TransIDDate&lt;(Assets!$I$2+1))*(TransType="DIS")*(TransProceeds)),SUMPRODUCT((TransCat=$A23)*(TransIDDate&gt;=Assets!$H$2)*(TransIDDate&lt;(Assets!$I$2+1))*(TransType="DIS")*(TransProceeds))),"")</f>
        <v/>
      </c>
      <c r="AC23" s="8" t="str" cm="1">
        <f t="array" aca="1" ref="AC23" ca="1">IF(ROW($B23)-ROW($B$5)&gt;CatCount,"",OFFSET('Set-up'!$A$22,ROW($B23)-ROW($B$5),COLUMN('Set-up'!$I$22)-1,1,1))</f>
        <v/>
      </c>
      <c r="AD23" s="28" t="str">
        <f t="shared" ca="1" si="8"/>
        <v/>
      </c>
      <c r="AE23" s="8" t="str" cm="1">
        <f t="array" aca="1" ref="AE23" ca="1">IF(ROW($B23)-ROW($B$5)&gt;CatCount,"",OFFSET('Set-up'!$A$22,ROW($B23)-ROW($B$5),COLUMN('Set-up'!$I$22)-1,1,1))</f>
        <v/>
      </c>
      <c r="AF23" s="28" t="str">
        <f ca="1">IF(LEN($A23)&gt;1,IF($E$2="MTD",SUMPRODUCT((TransCat=$A23)*(TransIDDate&gt;=Assets!$J$2)*(TransIDDate&lt;(Assets!$I$2+1))*(TransType="DIS")*(TransPCost)),SUMPRODUCT((TransCat=$A23)*(TransIDDate&gt;=Assets!$H$2)*(TransIDDate&lt;(Assets!$I$2+1))*(TransType="DIS")*(TransPCost))),"")</f>
        <v/>
      </c>
      <c r="AG23" s="8" t="str" cm="1">
        <f t="array" aca="1" ref="AG23" ca="1">IF(ROW($B23)-ROW($B$5)&gt;CatCount,"",OFFSET('Set-up'!$A$22,ROW($B23)-ROW($B$5),COLUMN('Set-up'!$D$22)-1,1,1))</f>
        <v/>
      </c>
      <c r="AH23" s="28" t="str">
        <f t="shared" ca="1" si="9"/>
        <v/>
      </c>
      <c r="AI23" s="8" t="str" cm="1">
        <f t="array" aca="1" ref="AI23" ca="1">IF(ROW($B23)-ROW($B$5)&gt;CatCount,"",OFFSET('Set-up'!$A$22,ROW($B23)-ROW($B$5),COLUMN('Set-up'!$E$22)-1,1,1))</f>
        <v/>
      </c>
      <c r="AJ23" s="28" t="str">
        <f ca="1">IF(LEN($A23)&gt;1,IF($E$2="MTD",SUMPRODUCT((TransCat=$A23)*(TransIDDate&gt;=Assets!$J$2)*(TransIDDate&lt;(Assets!$I$2+1))*(TransType="DIS")*(TransCAccDep)),SUMPRODUCT((TransCat=$A23)*(TransIDDate&gt;=Assets!$H$2)*(TransIDDate&lt;(Assets!$I$2+1))*(TransType="DIS")*(TransCAccDep))),"")</f>
        <v/>
      </c>
      <c r="AK23" s="8" t="str" cm="1">
        <f t="array" aca="1" ref="AK23" ca="1">IF(ROW($B23)-ROW($B$5)&gt;CatCount,"",OFFSET('Set-up'!$A$22,ROW($B23)-ROW($B$5),COLUMN('Set-up'!$I$22)-1,1,1))</f>
        <v/>
      </c>
      <c r="AL23" s="28" t="str">
        <f t="shared" ca="1" si="10"/>
        <v/>
      </c>
      <c r="AM23" s="8" t="str" cm="1">
        <f t="array" aca="1" ref="AM23" ca="1">IF(ROW($B23)-ROW($B$5)&gt;CatCount,"",OFFSET('Set-up'!$A$22,ROW($B23)-ROW($B$5),COLUMN('Set-up'!$G$22)-1,1,1))</f>
        <v/>
      </c>
      <c r="AN23" s="28" t="str">
        <f ca="1">IF(LEN($A23)&gt;1,IF($E$2="MTD",SUMPRODUCT((TransCat=$A23)*(TransIDDate&gt;=Assets!$J$2)*(TransIDDate&lt;(Assets!$I$2+1))*(TransType="DIS")*(TransRPrev)),SUMPRODUCT((TransCat=$A23)*(TransIDDate&gt;=Assets!$H$2)*(TransIDDate&lt;(Assets!$I$2+1))*(TransType="DIS")*(TransRPrev))),"")</f>
        <v/>
      </c>
      <c r="AO23" s="8" t="str" cm="1">
        <f t="array" aca="1" ref="AO23" ca="1">IF(ROW($B23)-ROW($B$5)&gt;CatCount,"",OFFSET('Set-up'!$A$22,ROW($B23)-ROW($B$5),COLUMN('Set-up'!$I$22)-1,1,1))</f>
        <v/>
      </c>
      <c r="AP23" s="28" t="str">
        <f t="shared" ca="1" si="11"/>
        <v/>
      </c>
      <c r="AQ23" s="8" t="str" cm="1">
        <f t="array" aca="1" ref="AQ23" ca="1">IF(ROW($B23)-ROW($B$5)&gt;CatCount,"",OFFSET('Set-up'!$A$22,ROW($B23)-ROW($B$5),COLUMN('Set-up'!$J$22)-1,1,1))</f>
        <v/>
      </c>
      <c r="AR23" s="28" t="str">
        <f t="shared" ca="1" si="12"/>
        <v/>
      </c>
      <c r="AS23" s="8" t="str" cm="1">
        <f t="array" aca="1" ref="AS23" ca="1">IF(ROW($B23)-ROW($B$5)&gt;CatCount,"",OFFSET('Set-up'!$A$22,ROW($B23)-ROW($B$5),COLUMN('Set-up'!$K$22)-1,1,1))</f>
        <v/>
      </c>
      <c r="AT23" s="28" t="str">
        <f t="shared" ca="1" si="14"/>
        <v/>
      </c>
    </row>
    <row r="24" spans="1:46" ht="16" customHeight="1" x14ac:dyDescent="0.25">
      <c r="A24" s="3" t="str" cm="1">
        <f t="array" aca="1" ref="A24" ca="1">IF(ROW($B24)-ROW($B$5)&gt;CatCount,"",OFFSET('Set-up'!$A$22,ROW($B24)-ROW($B$5),0,1,1))</f>
        <v/>
      </c>
      <c r="B24" s="3" t="str">
        <f t="shared" ca="1" si="0"/>
        <v/>
      </c>
      <c r="C24" s="8" t="str" cm="1">
        <f t="array" aca="1" ref="C24" ca="1">IF(ROW($B24)-ROW($B$5)&gt;CatCount,"",OFFSET('Set-up'!$A$22,ROW($B24)-ROW($B$5),COLUMN('Set-up'!$F$22)-1,1,1))</f>
        <v/>
      </c>
      <c r="D24" s="28" t="str">
        <f t="shared" ca="1" si="1"/>
        <v/>
      </c>
      <c r="E24" s="8" t="str" cm="1">
        <f t="array" aca="1" ref="E24" ca="1">IF(ROW($B24)-ROW($B$5)&gt;CatCount,"",OFFSET('Set-up'!$A$22,ROW($B24)-ROW($B$5),COLUMN('Set-up'!$E$22)-1,1,1))</f>
        <v/>
      </c>
      <c r="F24" s="28" t="str">
        <f t="shared" ca="1" si="2"/>
        <v/>
      </c>
      <c r="G24" s="8" t="str" cm="1">
        <f t="array" aca="1" ref="G24" ca="1">IF(ROW($B24)-ROW($B$5)&gt;CatCount,"",OFFSET('Set-up'!$A$22,ROW($B24)-ROW($B$5),COLUMN('Set-up'!$G$22)-1,1,1))</f>
        <v/>
      </c>
      <c r="H24" s="28" t="str">
        <f t="shared" ca="1" si="3"/>
        <v/>
      </c>
      <c r="I24" s="8" t="str" cm="1">
        <f t="array" aca="1" ref="I24" ca="1">IF(ROW($B24)-ROW($B$5)&gt;CatCount,"",OFFSET('Set-up'!$A$22,ROW($B24)-ROW($B$5),COLUMN('Set-up'!$E$22)-1,1,1))</f>
        <v/>
      </c>
      <c r="J24" s="28" t="str">
        <f t="shared" ca="1" si="4"/>
        <v/>
      </c>
      <c r="K24" s="8" t="str" cm="1">
        <f t="array" aca="1" ref="K24" ca="1">IF(ROW($B24)-ROW($B$5)&gt;CatCount,"",OFFSET('Set-up'!$A$22,ROW($B24)-ROW($B$5),COLUMN('Set-up'!$D$22)-1,1,1))</f>
        <v/>
      </c>
      <c r="L24" s="28" t="str">
        <f ca="1">IF(LEN($A24)&gt;1,IF($E$2="MTD",SUMPRODUCT((TransCat=$A24)*(TransIDDate&gt;=Assets!$J$2)*(TransIDDate&lt;(Assets!$I$2+1))*(TransType="ACQ")*(TransAmount)),SUMPRODUCT((TransCat=$A24)*(TransIDDate&gt;=Assets!$H$2)*(TransIDDate&lt;(Assets!$I$2+1))*(TransType="ACQ")*(TransAmount))),"")</f>
        <v/>
      </c>
      <c r="M24" s="8" t="str" cm="1">
        <f t="array" aca="1" ref="M24" ca="1">IF(ROW($B24)-ROW($B$5)&gt;CatCount,"","BANK")</f>
        <v/>
      </c>
      <c r="N24" s="28" t="str">
        <f t="shared" ca="1" si="13"/>
        <v/>
      </c>
      <c r="O24" s="8" t="str" cm="1">
        <f t="array" aca="1" ref="O24" ca="1">IF(ROW($B24)-ROW($B$5)&gt;CatCount,"",OFFSET('Set-up'!$A$22,ROW($B24)-ROW($B$5),COLUMN('Set-up'!$D$22)-1,1,1))</f>
        <v/>
      </c>
      <c r="P24" s="28" t="str">
        <f ca="1">IF(LEN($A24)&gt;1,IF($E$2="MTD",SUMPRODUCT((TransCat=$A24)*(TransIDDate&gt;=Assets!$J$2)*(TransIDDate&lt;(Assets!$I$2+1))*(TransType="REV")*(TransAmount))+SUMPRODUCT((TransCat=$A24)*(TransIDDate&gt;=Assets!$J$2)*(TransIDDate&lt;(Assets!$I$2+1))*(TransType="REV")*(TransImpair))-SUMPRODUCT((TransCat=$A24)*(TransIDDate&gt;=Assets!$J$2)*(TransIDDate&lt;(Assets!$I$2+1))*(TransType="REV")*(TransPCost)),SUMPRODUCT((TransCat=$A24)*(TransIDDate&gt;=Assets!$H$2)*(TransIDDate&lt;(Assets!$I$2+1))*(TransType="REV")*(TransAmount))+SUMPRODUCT((TransCat=$A24)*(TransIDDate&gt;=Assets!$H$2)*(TransIDDate&lt;(Assets!$I$2+1))*(TransType="REV")*(TransImpair))-SUMPRODUCT((TransCat=$A24)*(TransIDDate&gt;=Assets!$H$2)*(TransIDDate&lt;(Assets!$I$2+1))*(TransType="REV")*(TransPCost))),"")</f>
        <v/>
      </c>
      <c r="Q24" s="8" t="str" cm="1">
        <f t="array" aca="1" ref="Q24" ca="1">IF(ROW($B24)-ROW($B$5)&gt;CatCount,"",OFFSET('Set-up'!$A$22,ROW($B24)-ROW($B$5),COLUMN('Set-up'!$G$22)-1,1,1))</f>
        <v/>
      </c>
      <c r="R24" s="28" t="str">
        <f t="shared" ca="1" si="5"/>
        <v/>
      </c>
      <c r="S24" s="8" t="str" cm="1">
        <f t="array" aca="1" ref="S24" ca="1">IF(ROW($B24)-ROW($B$5)&gt;CatCount,"",OFFSET('Set-up'!$A$22,ROW($B24)-ROW($B$5),COLUMN('Set-up'!$G$22)-1,1,1))</f>
        <v/>
      </c>
      <c r="T24" s="28" t="str">
        <f ca="1">IF(LEN($A24)&gt;1,IF($E$2="MTD",-SUMPRODUCT((TransCat=$A24)*(TransIDDate&gt;=Assets!$J$2)*(TransIDDate&lt;(Assets!$I$2+1))*(TransType="REV")*(TransCAccDep)),-SUMPRODUCT((TransCat=$A24)*(TransIDDate&gt;=Assets!$H$2)*(TransIDDate&lt;(Assets!$I$2+1))*(TransType="REV")*(TransCAccDep))),"")</f>
        <v/>
      </c>
      <c r="U24" s="8" t="str" cm="1">
        <f t="array" aca="1" ref="U24" ca="1">IF(ROW($B24)-ROW($B$5)&gt;CatCount,"",OFFSET('Set-up'!$A$22,ROW($B24)-ROW($B$5),COLUMN('Set-up'!$E$22)-1,1,1))</f>
        <v/>
      </c>
      <c r="V24" s="28" t="str">
        <f t="shared" ca="1" si="6"/>
        <v/>
      </c>
      <c r="W24" s="8" t="str" cm="1">
        <f t="array" aca="1" ref="W24" ca="1">IF(ROW($B24)-ROW($B$5)&gt;CatCount,"",OFFSET('Set-up'!$A$22,ROW($B24)-ROW($B$5),COLUMN('Set-up'!$H$22)-1,1,1))</f>
        <v/>
      </c>
      <c r="X24" s="28" t="str">
        <f ca="1">IF(LEN($A24)&gt;1,IF($E$2="MTD",SUMPRODUCT((TransCat=$A24)*(TransIDDate&gt;=Assets!$J$2)*(TransIDDate&lt;(Assets!$I$2+1))*(TransType="REV")*(TransImpair)),SUMPRODUCT((TransCat=$A24)*(TransIDDate&gt;=Assets!$H$2)*(TransIDDate&lt;(Assets!$I$2+1))*(TransType="REV")*(TransImpair))),"")</f>
        <v/>
      </c>
      <c r="Y24" s="8" t="str" cm="1">
        <f t="array" aca="1" ref="Y24" ca="1">IF(ROW($B24)-ROW($B$5)&gt;CatCount,"",OFFSET('Set-up'!$A$22,ROW($B24)-ROW($B$5),COLUMN('Set-up'!$D$22)-1,1,1))</f>
        <v/>
      </c>
      <c r="Z24" s="28" t="str">
        <f t="shared" ca="1" si="7"/>
        <v/>
      </c>
      <c r="AA24" s="8" t="str" cm="1">
        <f t="array" aca="1" ref="AA24" ca="1">IF(ROW($B24)-ROW($B$5)&gt;CatCount,"","BANK")</f>
        <v/>
      </c>
      <c r="AB24" s="28" t="str">
        <f ca="1">IF(LEN($A24)&gt;1,IF($E$2="MTD",SUMPRODUCT((TransCat=$A24)*(TransIDDate&gt;=Assets!$J$2)*(TransIDDate&lt;(Assets!$I$2+1))*(TransType="DIS")*(TransProceeds)),SUMPRODUCT((TransCat=$A24)*(TransIDDate&gt;=Assets!$H$2)*(TransIDDate&lt;(Assets!$I$2+1))*(TransType="DIS")*(TransProceeds))),"")</f>
        <v/>
      </c>
      <c r="AC24" s="8" t="str" cm="1">
        <f t="array" aca="1" ref="AC24" ca="1">IF(ROW($B24)-ROW($B$5)&gt;CatCount,"",OFFSET('Set-up'!$A$22,ROW($B24)-ROW($B$5),COLUMN('Set-up'!$I$22)-1,1,1))</f>
        <v/>
      </c>
      <c r="AD24" s="28" t="str">
        <f t="shared" ca="1" si="8"/>
        <v/>
      </c>
      <c r="AE24" s="8" t="str" cm="1">
        <f t="array" aca="1" ref="AE24" ca="1">IF(ROW($B24)-ROW($B$5)&gt;CatCount,"",OFFSET('Set-up'!$A$22,ROW($B24)-ROW($B$5),COLUMN('Set-up'!$I$22)-1,1,1))</f>
        <v/>
      </c>
      <c r="AF24" s="28" t="str">
        <f ca="1">IF(LEN($A24)&gt;1,IF($E$2="MTD",SUMPRODUCT((TransCat=$A24)*(TransIDDate&gt;=Assets!$J$2)*(TransIDDate&lt;(Assets!$I$2+1))*(TransType="DIS")*(TransPCost)),SUMPRODUCT((TransCat=$A24)*(TransIDDate&gt;=Assets!$H$2)*(TransIDDate&lt;(Assets!$I$2+1))*(TransType="DIS")*(TransPCost))),"")</f>
        <v/>
      </c>
      <c r="AG24" s="8" t="str" cm="1">
        <f t="array" aca="1" ref="AG24" ca="1">IF(ROW($B24)-ROW($B$5)&gt;CatCount,"",OFFSET('Set-up'!$A$22,ROW($B24)-ROW($B$5),COLUMN('Set-up'!$D$22)-1,1,1))</f>
        <v/>
      </c>
      <c r="AH24" s="28" t="str">
        <f t="shared" ca="1" si="9"/>
        <v/>
      </c>
      <c r="AI24" s="8" t="str" cm="1">
        <f t="array" aca="1" ref="AI24" ca="1">IF(ROW($B24)-ROW($B$5)&gt;CatCount,"",OFFSET('Set-up'!$A$22,ROW($B24)-ROW($B$5),COLUMN('Set-up'!$E$22)-1,1,1))</f>
        <v/>
      </c>
      <c r="AJ24" s="28" t="str">
        <f ca="1">IF(LEN($A24)&gt;1,IF($E$2="MTD",SUMPRODUCT((TransCat=$A24)*(TransIDDate&gt;=Assets!$J$2)*(TransIDDate&lt;(Assets!$I$2+1))*(TransType="DIS")*(TransCAccDep)),SUMPRODUCT((TransCat=$A24)*(TransIDDate&gt;=Assets!$H$2)*(TransIDDate&lt;(Assets!$I$2+1))*(TransType="DIS")*(TransCAccDep))),"")</f>
        <v/>
      </c>
      <c r="AK24" s="8" t="str" cm="1">
        <f t="array" aca="1" ref="AK24" ca="1">IF(ROW($B24)-ROW($B$5)&gt;CatCount,"",OFFSET('Set-up'!$A$22,ROW($B24)-ROW($B$5),COLUMN('Set-up'!$I$22)-1,1,1))</f>
        <v/>
      </c>
      <c r="AL24" s="28" t="str">
        <f t="shared" ca="1" si="10"/>
        <v/>
      </c>
      <c r="AM24" s="8" t="str" cm="1">
        <f t="array" aca="1" ref="AM24" ca="1">IF(ROW($B24)-ROW($B$5)&gt;CatCount,"",OFFSET('Set-up'!$A$22,ROW($B24)-ROW($B$5),COLUMN('Set-up'!$G$22)-1,1,1))</f>
        <v/>
      </c>
      <c r="AN24" s="28" t="str">
        <f ca="1">IF(LEN($A24)&gt;1,IF($E$2="MTD",SUMPRODUCT((TransCat=$A24)*(TransIDDate&gt;=Assets!$J$2)*(TransIDDate&lt;(Assets!$I$2+1))*(TransType="DIS")*(TransRPrev)),SUMPRODUCT((TransCat=$A24)*(TransIDDate&gt;=Assets!$H$2)*(TransIDDate&lt;(Assets!$I$2+1))*(TransType="DIS")*(TransRPrev))),"")</f>
        <v/>
      </c>
      <c r="AO24" s="8" t="str" cm="1">
        <f t="array" aca="1" ref="AO24" ca="1">IF(ROW($B24)-ROW($B$5)&gt;CatCount,"",OFFSET('Set-up'!$A$22,ROW($B24)-ROW($B$5),COLUMN('Set-up'!$I$22)-1,1,1))</f>
        <v/>
      </c>
      <c r="AP24" s="28" t="str">
        <f t="shared" ca="1" si="11"/>
        <v/>
      </c>
      <c r="AQ24" s="8" t="str" cm="1">
        <f t="array" aca="1" ref="AQ24" ca="1">IF(ROW($B24)-ROW($B$5)&gt;CatCount,"",OFFSET('Set-up'!$A$22,ROW($B24)-ROW($B$5),COLUMN('Set-up'!$J$22)-1,1,1))</f>
        <v/>
      </c>
      <c r="AR24" s="28" t="str">
        <f t="shared" ca="1" si="12"/>
        <v/>
      </c>
      <c r="AS24" s="8" t="str" cm="1">
        <f t="array" aca="1" ref="AS24" ca="1">IF(ROW($B24)-ROW($B$5)&gt;CatCount,"",OFFSET('Set-up'!$A$22,ROW($B24)-ROW($B$5),COLUMN('Set-up'!$K$22)-1,1,1))</f>
        <v/>
      </c>
      <c r="AT24" s="28" t="str">
        <f t="shared" ca="1" si="14"/>
        <v/>
      </c>
    </row>
    <row r="25" spans="1:46" ht="16" customHeight="1" x14ac:dyDescent="0.25">
      <c r="A25" s="3" t="str" cm="1">
        <f t="array" aca="1" ref="A25" ca="1">IF(ROW($B25)-ROW($B$5)&gt;CatCount,"",OFFSET('Set-up'!$A$22,ROW($B25)-ROW($B$5),0,1,1))</f>
        <v/>
      </c>
      <c r="B25" s="3" t="str">
        <f t="shared" ca="1" si="0"/>
        <v/>
      </c>
      <c r="C25" s="8" t="str" cm="1">
        <f t="array" aca="1" ref="C25" ca="1">IF(ROW($B25)-ROW($B$5)&gt;CatCount,"",OFFSET('Set-up'!$A$22,ROW($B25)-ROW($B$5),COLUMN('Set-up'!$F$22)-1,1,1))</f>
        <v/>
      </c>
      <c r="D25" s="28" t="str">
        <f t="shared" ca="1" si="1"/>
        <v/>
      </c>
      <c r="E25" s="8" t="str" cm="1">
        <f t="array" aca="1" ref="E25" ca="1">IF(ROW($B25)-ROW($B$5)&gt;CatCount,"",OFFSET('Set-up'!$A$22,ROW($B25)-ROW($B$5),COLUMN('Set-up'!$E$22)-1,1,1))</f>
        <v/>
      </c>
      <c r="F25" s="28" t="str">
        <f t="shared" ca="1" si="2"/>
        <v/>
      </c>
      <c r="G25" s="8" t="str" cm="1">
        <f t="array" aca="1" ref="G25" ca="1">IF(ROW($B25)-ROW($B$5)&gt;CatCount,"",OFFSET('Set-up'!$A$22,ROW($B25)-ROW($B$5),COLUMN('Set-up'!$G$22)-1,1,1))</f>
        <v/>
      </c>
      <c r="H25" s="28" t="str">
        <f t="shared" ca="1" si="3"/>
        <v/>
      </c>
      <c r="I25" s="8" t="str" cm="1">
        <f t="array" aca="1" ref="I25" ca="1">IF(ROW($B25)-ROW($B$5)&gt;CatCount,"",OFFSET('Set-up'!$A$22,ROW($B25)-ROW($B$5),COLUMN('Set-up'!$E$22)-1,1,1))</f>
        <v/>
      </c>
      <c r="J25" s="28" t="str">
        <f t="shared" ca="1" si="4"/>
        <v/>
      </c>
      <c r="K25" s="8" t="str" cm="1">
        <f t="array" aca="1" ref="K25" ca="1">IF(ROW($B25)-ROW($B$5)&gt;CatCount,"",OFFSET('Set-up'!$A$22,ROW($B25)-ROW($B$5),COLUMN('Set-up'!$D$22)-1,1,1))</f>
        <v/>
      </c>
      <c r="L25" s="28" t="str">
        <f ca="1">IF(LEN($A25)&gt;1,IF($E$2="MTD",SUMPRODUCT((TransCat=$A25)*(TransIDDate&gt;=Assets!$J$2)*(TransIDDate&lt;(Assets!$I$2+1))*(TransType="ACQ")*(TransAmount)),SUMPRODUCT((TransCat=$A25)*(TransIDDate&gt;=Assets!$H$2)*(TransIDDate&lt;(Assets!$I$2+1))*(TransType="ACQ")*(TransAmount))),"")</f>
        <v/>
      </c>
      <c r="M25" s="8" t="str" cm="1">
        <f t="array" aca="1" ref="M25" ca="1">IF(ROW($B25)-ROW($B$5)&gt;CatCount,"","BANK")</f>
        <v/>
      </c>
      <c r="N25" s="28" t="str">
        <f t="shared" ca="1" si="13"/>
        <v/>
      </c>
      <c r="O25" s="8" t="str" cm="1">
        <f t="array" aca="1" ref="O25" ca="1">IF(ROW($B25)-ROW($B$5)&gt;CatCount,"",OFFSET('Set-up'!$A$22,ROW($B25)-ROW($B$5),COLUMN('Set-up'!$D$22)-1,1,1))</f>
        <v/>
      </c>
      <c r="P25" s="28" t="str">
        <f ca="1">IF(LEN($A25)&gt;1,IF($E$2="MTD",SUMPRODUCT((TransCat=$A25)*(TransIDDate&gt;=Assets!$J$2)*(TransIDDate&lt;(Assets!$I$2+1))*(TransType="REV")*(TransAmount))+SUMPRODUCT((TransCat=$A25)*(TransIDDate&gt;=Assets!$J$2)*(TransIDDate&lt;(Assets!$I$2+1))*(TransType="REV")*(TransImpair))-SUMPRODUCT((TransCat=$A25)*(TransIDDate&gt;=Assets!$J$2)*(TransIDDate&lt;(Assets!$I$2+1))*(TransType="REV")*(TransPCost)),SUMPRODUCT((TransCat=$A25)*(TransIDDate&gt;=Assets!$H$2)*(TransIDDate&lt;(Assets!$I$2+1))*(TransType="REV")*(TransAmount))+SUMPRODUCT((TransCat=$A25)*(TransIDDate&gt;=Assets!$H$2)*(TransIDDate&lt;(Assets!$I$2+1))*(TransType="REV")*(TransImpair))-SUMPRODUCT((TransCat=$A25)*(TransIDDate&gt;=Assets!$H$2)*(TransIDDate&lt;(Assets!$I$2+1))*(TransType="REV")*(TransPCost))),"")</f>
        <v/>
      </c>
      <c r="Q25" s="8" t="str" cm="1">
        <f t="array" aca="1" ref="Q25" ca="1">IF(ROW($B25)-ROW($B$5)&gt;CatCount,"",OFFSET('Set-up'!$A$22,ROW($B25)-ROW($B$5),COLUMN('Set-up'!$G$22)-1,1,1))</f>
        <v/>
      </c>
      <c r="R25" s="28" t="str">
        <f t="shared" ca="1" si="5"/>
        <v/>
      </c>
      <c r="S25" s="8" t="str" cm="1">
        <f t="array" aca="1" ref="S25" ca="1">IF(ROW($B25)-ROW($B$5)&gt;CatCount,"",OFFSET('Set-up'!$A$22,ROW($B25)-ROW($B$5),COLUMN('Set-up'!$G$22)-1,1,1))</f>
        <v/>
      </c>
      <c r="T25" s="28" t="str">
        <f ca="1">IF(LEN($A25)&gt;1,IF($E$2="MTD",-SUMPRODUCT((TransCat=$A25)*(TransIDDate&gt;=Assets!$J$2)*(TransIDDate&lt;(Assets!$I$2+1))*(TransType="REV")*(TransCAccDep)),-SUMPRODUCT((TransCat=$A25)*(TransIDDate&gt;=Assets!$H$2)*(TransIDDate&lt;(Assets!$I$2+1))*(TransType="REV")*(TransCAccDep))),"")</f>
        <v/>
      </c>
      <c r="U25" s="8" t="str" cm="1">
        <f t="array" aca="1" ref="U25" ca="1">IF(ROW($B25)-ROW($B$5)&gt;CatCount,"",OFFSET('Set-up'!$A$22,ROW($B25)-ROW($B$5),COLUMN('Set-up'!$E$22)-1,1,1))</f>
        <v/>
      </c>
      <c r="V25" s="28" t="str">
        <f t="shared" ca="1" si="6"/>
        <v/>
      </c>
      <c r="W25" s="8" t="str" cm="1">
        <f t="array" aca="1" ref="W25" ca="1">IF(ROW($B25)-ROW($B$5)&gt;CatCount,"",OFFSET('Set-up'!$A$22,ROW($B25)-ROW($B$5),COLUMN('Set-up'!$H$22)-1,1,1))</f>
        <v/>
      </c>
      <c r="X25" s="28" t="str">
        <f ca="1">IF(LEN($A25)&gt;1,IF($E$2="MTD",SUMPRODUCT((TransCat=$A25)*(TransIDDate&gt;=Assets!$J$2)*(TransIDDate&lt;(Assets!$I$2+1))*(TransType="REV")*(TransImpair)),SUMPRODUCT((TransCat=$A25)*(TransIDDate&gt;=Assets!$H$2)*(TransIDDate&lt;(Assets!$I$2+1))*(TransType="REV")*(TransImpair))),"")</f>
        <v/>
      </c>
      <c r="Y25" s="8" t="str" cm="1">
        <f t="array" aca="1" ref="Y25" ca="1">IF(ROW($B25)-ROW($B$5)&gt;CatCount,"",OFFSET('Set-up'!$A$22,ROW($B25)-ROW($B$5),COLUMN('Set-up'!$D$22)-1,1,1))</f>
        <v/>
      </c>
      <c r="Z25" s="28" t="str">
        <f t="shared" ca="1" si="7"/>
        <v/>
      </c>
      <c r="AA25" s="8" t="str" cm="1">
        <f t="array" aca="1" ref="AA25" ca="1">IF(ROW($B25)-ROW($B$5)&gt;CatCount,"","BANK")</f>
        <v/>
      </c>
      <c r="AB25" s="28" t="str">
        <f ca="1">IF(LEN($A25)&gt;1,IF($E$2="MTD",SUMPRODUCT((TransCat=$A25)*(TransIDDate&gt;=Assets!$J$2)*(TransIDDate&lt;(Assets!$I$2+1))*(TransType="DIS")*(TransProceeds)),SUMPRODUCT((TransCat=$A25)*(TransIDDate&gt;=Assets!$H$2)*(TransIDDate&lt;(Assets!$I$2+1))*(TransType="DIS")*(TransProceeds))),"")</f>
        <v/>
      </c>
      <c r="AC25" s="8" t="str" cm="1">
        <f t="array" aca="1" ref="AC25" ca="1">IF(ROW($B25)-ROW($B$5)&gt;CatCount,"",OFFSET('Set-up'!$A$22,ROW($B25)-ROW($B$5),COLUMN('Set-up'!$I$22)-1,1,1))</f>
        <v/>
      </c>
      <c r="AD25" s="28" t="str">
        <f t="shared" ca="1" si="8"/>
        <v/>
      </c>
      <c r="AE25" s="8" t="str" cm="1">
        <f t="array" aca="1" ref="AE25" ca="1">IF(ROW($B25)-ROW($B$5)&gt;CatCount,"",OFFSET('Set-up'!$A$22,ROW($B25)-ROW($B$5),COLUMN('Set-up'!$I$22)-1,1,1))</f>
        <v/>
      </c>
      <c r="AF25" s="28" t="str">
        <f ca="1">IF(LEN($A25)&gt;1,IF($E$2="MTD",SUMPRODUCT((TransCat=$A25)*(TransIDDate&gt;=Assets!$J$2)*(TransIDDate&lt;(Assets!$I$2+1))*(TransType="DIS")*(TransPCost)),SUMPRODUCT((TransCat=$A25)*(TransIDDate&gt;=Assets!$H$2)*(TransIDDate&lt;(Assets!$I$2+1))*(TransType="DIS")*(TransPCost))),"")</f>
        <v/>
      </c>
      <c r="AG25" s="8" t="str" cm="1">
        <f t="array" aca="1" ref="AG25" ca="1">IF(ROW($B25)-ROW($B$5)&gt;CatCount,"",OFFSET('Set-up'!$A$22,ROW($B25)-ROW($B$5),COLUMN('Set-up'!$D$22)-1,1,1))</f>
        <v/>
      </c>
      <c r="AH25" s="28" t="str">
        <f t="shared" ca="1" si="9"/>
        <v/>
      </c>
      <c r="AI25" s="8" t="str" cm="1">
        <f t="array" aca="1" ref="AI25" ca="1">IF(ROW($B25)-ROW($B$5)&gt;CatCount,"",OFFSET('Set-up'!$A$22,ROW($B25)-ROW($B$5),COLUMN('Set-up'!$E$22)-1,1,1))</f>
        <v/>
      </c>
      <c r="AJ25" s="28" t="str">
        <f ca="1">IF(LEN($A25)&gt;1,IF($E$2="MTD",SUMPRODUCT((TransCat=$A25)*(TransIDDate&gt;=Assets!$J$2)*(TransIDDate&lt;(Assets!$I$2+1))*(TransType="DIS")*(TransCAccDep)),SUMPRODUCT((TransCat=$A25)*(TransIDDate&gt;=Assets!$H$2)*(TransIDDate&lt;(Assets!$I$2+1))*(TransType="DIS")*(TransCAccDep))),"")</f>
        <v/>
      </c>
      <c r="AK25" s="8" t="str" cm="1">
        <f t="array" aca="1" ref="AK25" ca="1">IF(ROW($B25)-ROW($B$5)&gt;CatCount,"",OFFSET('Set-up'!$A$22,ROW($B25)-ROW($B$5),COLUMN('Set-up'!$I$22)-1,1,1))</f>
        <v/>
      </c>
      <c r="AL25" s="28" t="str">
        <f t="shared" ca="1" si="10"/>
        <v/>
      </c>
      <c r="AM25" s="8" t="str" cm="1">
        <f t="array" aca="1" ref="AM25" ca="1">IF(ROW($B25)-ROW($B$5)&gt;CatCount,"",OFFSET('Set-up'!$A$22,ROW($B25)-ROW($B$5),COLUMN('Set-up'!$G$22)-1,1,1))</f>
        <v/>
      </c>
      <c r="AN25" s="28" t="str">
        <f ca="1">IF(LEN($A25)&gt;1,IF($E$2="MTD",SUMPRODUCT((TransCat=$A25)*(TransIDDate&gt;=Assets!$J$2)*(TransIDDate&lt;(Assets!$I$2+1))*(TransType="DIS")*(TransRPrev)),SUMPRODUCT((TransCat=$A25)*(TransIDDate&gt;=Assets!$H$2)*(TransIDDate&lt;(Assets!$I$2+1))*(TransType="DIS")*(TransRPrev))),"")</f>
        <v/>
      </c>
      <c r="AO25" s="8" t="str" cm="1">
        <f t="array" aca="1" ref="AO25" ca="1">IF(ROW($B25)-ROW($B$5)&gt;CatCount,"",OFFSET('Set-up'!$A$22,ROW($B25)-ROW($B$5),COLUMN('Set-up'!$I$22)-1,1,1))</f>
        <v/>
      </c>
      <c r="AP25" s="28" t="str">
        <f t="shared" ca="1" si="11"/>
        <v/>
      </c>
      <c r="AQ25" s="8" t="str" cm="1">
        <f t="array" aca="1" ref="AQ25" ca="1">IF(ROW($B25)-ROW($B$5)&gt;CatCount,"",OFFSET('Set-up'!$A$22,ROW($B25)-ROW($B$5),COLUMN('Set-up'!$J$22)-1,1,1))</f>
        <v/>
      </c>
      <c r="AR25" s="28" t="str">
        <f t="shared" ca="1" si="12"/>
        <v/>
      </c>
      <c r="AS25" s="8" t="str" cm="1">
        <f t="array" aca="1" ref="AS25" ca="1">IF(ROW($B25)-ROW($B$5)&gt;CatCount,"",OFFSET('Set-up'!$A$22,ROW($B25)-ROW($B$5),COLUMN('Set-up'!$K$22)-1,1,1))</f>
        <v/>
      </c>
      <c r="AT25" s="28" t="str">
        <f t="shared" ca="1" si="14"/>
        <v/>
      </c>
    </row>
    <row r="26" spans="1:46" ht="16" customHeight="1" x14ac:dyDescent="0.25">
      <c r="A26" s="3" t="str" cm="1">
        <f t="array" aca="1" ref="A26" ca="1">IF(ROW($B26)-ROW($B$5)&gt;CatCount,"",OFFSET('Set-up'!$A$22,ROW($B26)-ROW($B$5),0,1,1))</f>
        <v/>
      </c>
      <c r="B26" s="3" t="str">
        <f t="shared" ca="1" si="0"/>
        <v/>
      </c>
      <c r="C26" s="8" t="str" cm="1">
        <f t="array" aca="1" ref="C26" ca="1">IF(ROW($B26)-ROW($B$5)&gt;CatCount,"",OFFSET('Set-up'!$A$22,ROW($B26)-ROW($B$5),COLUMN('Set-up'!$F$22)-1,1,1))</f>
        <v/>
      </c>
      <c r="D26" s="28" t="str">
        <f t="shared" ca="1" si="1"/>
        <v/>
      </c>
      <c r="E26" s="8" t="str" cm="1">
        <f t="array" aca="1" ref="E26" ca="1">IF(ROW($B26)-ROW($B$5)&gt;CatCount,"",OFFSET('Set-up'!$A$22,ROW($B26)-ROW($B$5),COLUMN('Set-up'!$E$22)-1,1,1))</f>
        <v/>
      </c>
      <c r="F26" s="28" t="str">
        <f t="shared" ca="1" si="2"/>
        <v/>
      </c>
      <c r="G26" s="8" t="str" cm="1">
        <f t="array" aca="1" ref="G26" ca="1">IF(ROW($B26)-ROW($B$5)&gt;CatCount,"",OFFSET('Set-up'!$A$22,ROW($B26)-ROW($B$5),COLUMN('Set-up'!$G$22)-1,1,1))</f>
        <v/>
      </c>
      <c r="H26" s="28" t="str">
        <f t="shared" ca="1" si="3"/>
        <v/>
      </c>
      <c r="I26" s="8" t="str" cm="1">
        <f t="array" aca="1" ref="I26" ca="1">IF(ROW($B26)-ROW($B$5)&gt;CatCount,"",OFFSET('Set-up'!$A$22,ROW($B26)-ROW($B$5),COLUMN('Set-up'!$E$22)-1,1,1))</f>
        <v/>
      </c>
      <c r="J26" s="28" t="str">
        <f t="shared" ca="1" si="4"/>
        <v/>
      </c>
      <c r="K26" s="8" t="str" cm="1">
        <f t="array" aca="1" ref="K26" ca="1">IF(ROW($B26)-ROW($B$5)&gt;CatCount,"",OFFSET('Set-up'!$A$22,ROW($B26)-ROW($B$5),COLUMN('Set-up'!$D$22)-1,1,1))</f>
        <v/>
      </c>
      <c r="L26" s="28" t="str">
        <f ca="1">IF(LEN($A26)&gt;1,IF($E$2="MTD",SUMPRODUCT((TransCat=$A26)*(TransIDDate&gt;=Assets!$J$2)*(TransIDDate&lt;(Assets!$I$2+1))*(TransType="ACQ")*(TransAmount)),SUMPRODUCT((TransCat=$A26)*(TransIDDate&gt;=Assets!$H$2)*(TransIDDate&lt;(Assets!$I$2+1))*(TransType="ACQ")*(TransAmount))),"")</f>
        <v/>
      </c>
      <c r="M26" s="8" t="str" cm="1">
        <f t="array" aca="1" ref="M26" ca="1">IF(ROW($B26)-ROW($B$5)&gt;CatCount,"","BANK")</f>
        <v/>
      </c>
      <c r="N26" s="28" t="str">
        <f t="shared" ca="1" si="13"/>
        <v/>
      </c>
      <c r="O26" s="8" t="str" cm="1">
        <f t="array" aca="1" ref="O26" ca="1">IF(ROW($B26)-ROW($B$5)&gt;CatCount,"",OFFSET('Set-up'!$A$22,ROW($B26)-ROW($B$5),COLUMN('Set-up'!$D$22)-1,1,1))</f>
        <v/>
      </c>
      <c r="P26" s="28" t="str">
        <f ca="1">IF(LEN($A26)&gt;1,IF($E$2="MTD",SUMPRODUCT((TransCat=$A26)*(TransIDDate&gt;=Assets!$J$2)*(TransIDDate&lt;(Assets!$I$2+1))*(TransType="REV")*(TransAmount))+SUMPRODUCT((TransCat=$A26)*(TransIDDate&gt;=Assets!$J$2)*(TransIDDate&lt;(Assets!$I$2+1))*(TransType="REV")*(TransImpair))-SUMPRODUCT((TransCat=$A26)*(TransIDDate&gt;=Assets!$J$2)*(TransIDDate&lt;(Assets!$I$2+1))*(TransType="REV")*(TransPCost)),SUMPRODUCT((TransCat=$A26)*(TransIDDate&gt;=Assets!$H$2)*(TransIDDate&lt;(Assets!$I$2+1))*(TransType="REV")*(TransAmount))+SUMPRODUCT((TransCat=$A26)*(TransIDDate&gt;=Assets!$H$2)*(TransIDDate&lt;(Assets!$I$2+1))*(TransType="REV")*(TransImpair))-SUMPRODUCT((TransCat=$A26)*(TransIDDate&gt;=Assets!$H$2)*(TransIDDate&lt;(Assets!$I$2+1))*(TransType="REV")*(TransPCost))),"")</f>
        <v/>
      </c>
      <c r="Q26" s="8" t="str" cm="1">
        <f t="array" aca="1" ref="Q26" ca="1">IF(ROW($B26)-ROW($B$5)&gt;CatCount,"",OFFSET('Set-up'!$A$22,ROW($B26)-ROW($B$5),COLUMN('Set-up'!$G$22)-1,1,1))</f>
        <v/>
      </c>
      <c r="R26" s="28" t="str">
        <f t="shared" ca="1" si="5"/>
        <v/>
      </c>
      <c r="S26" s="8" t="str" cm="1">
        <f t="array" aca="1" ref="S26" ca="1">IF(ROW($B26)-ROW($B$5)&gt;CatCount,"",OFFSET('Set-up'!$A$22,ROW($B26)-ROW($B$5),COLUMN('Set-up'!$G$22)-1,1,1))</f>
        <v/>
      </c>
      <c r="T26" s="28" t="str">
        <f ca="1">IF(LEN($A26)&gt;1,IF($E$2="MTD",-SUMPRODUCT((TransCat=$A26)*(TransIDDate&gt;=Assets!$J$2)*(TransIDDate&lt;(Assets!$I$2+1))*(TransType="REV")*(TransCAccDep)),-SUMPRODUCT((TransCat=$A26)*(TransIDDate&gt;=Assets!$H$2)*(TransIDDate&lt;(Assets!$I$2+1))*(TransType="REV")*(TransCAccDep))),"")</f>
        <v/>
      </c>
      <c r="U26" s="8" t="str" cm="1">
        <f t="array" aca="1" ref="U26" ca="1">IF(ROW($B26)-ROW($B$5)&gt;CatCount,"",OFFSET('Set-up'!$A$22,ROW($B26)-ROW($B$5),COLUMN('Set-up'!$E$22)-1,1,1))</f>
        <v/>
      </c>
      <c r="V26" s="28" t="str">
        <f t="shared" ca="1" si="6"/>
        <v/>
      </c>
      <c r="W26" s="8" t="str" cm="1">
        <f t="array" aca="1" ref="W26" ca="1">IF(ROW($B26)-ROW($B$5)&gt;CatCount,"",OFFSET('Set-up'!$A$22,ROW($B26)-ROW($B$5),COLUMN('Set-up'!$H$22)-1,1,1))</f>
        <v/>
      </c>
      <c r="X26" s="28" t="str">
        <f ca="1">IF(LEN($A26)&gt;1,IF($E$2="MTD",SUMPRODUCT((TransCat=$A26)*(TransIDDate&gt;=Assets!$J$2)*(TransIDDate&lt;(Assets!$I$2+1))*(TransType="REV")*(TransImpair)),SUMPRODUCT((TransCat=$A26)*(TransIDDate&gt;=Assets!$H$2)*(TransIDDate&lt;(Assets!$I$2+1))*(TransType="REV")*(TransImpair))),"")</f>
        <v/>
      </c>
      <c r="Y26" s="8" t="str" cm="1">
        <f t="array" aca="1" ref="Y26" ca="1">IF(ROW($B26)-ROW($B$5)&gt;CatCount,"",OFFSET('Set-up'!$A$22,ROW($B26)-ROW($B$5),COLUMN('Set-up'!$D$22)-1,1,1))</f>
        <v/>
      </c>
      <c r="Z26" s="28" t="str">
        <f t="shared" ca="1" si="7"/>
        <v/>
      </c>
      <c r="AA26" s="8" t="str" cm="1">
        <f t="array" aca="1" ref="AA26" ca="1">IF(ROW($B26)-ROW($B$5)&gt;CatCount,"","BANK")</f>
        <v/>
      </c>
      <c r="AB26" s="28" t="str">
        <f ca="1">IF(LEN($A26)&gt;1,IF($E$2="MTD",SUMPRODUCT((TransCat=$A26)*(TransIDDate&gt;=Assets!$J$2)*(TransIDDate&lt;(Assets!$I$2+1))*(TransType="DIS")*(TransProceeds)),SUMPRODUCT((TransCat=$A26)*(TransIDDate&gt;=Assets!$H$2)*(TransIDDate&lt;(Assets!$I$2+1))*(TransType="DIS")*(TransProceeds))),"")</f>
        <v/>
      </c>
      <c r="AC26" s="8" t="str" cm="1">
        <f t="array" aca="1" ref="AC26" ca="1">IF(ROW($B26)-ROW($B$5)&gt;CatCount,"",OFFSET('Set-up'!$A$22,ROW($B26)-ROW($B$5),COLUMN('Set-up'!$I$22)-1,1,1))</f>
        <v/>
      </c>
      <c r="AD26" s="28" t="str">
        <f t="shared" ca="1" si="8"/>
        <v/>
      </c>
      <c r="AE26" s="8" t="str" cm="1">
        <f t="array" aca="1" ref="AE26" ca="1">IF(ROW($B26)-ROW($B$5)&gt;CatCount,"",OFFSET('Set-up'!$A$22,ROW($B26)-ROW($B$5),COLUMN('Set-up'!$I$22)-1,1,1))</f>
        <v/>
      </c>
      <c r="AF26" s="28" t="str">
        <f ca="1">IF(LEN($A26)&gt;1,IF($E$2="MTD",SUMPRODUCT((TransCat=$A26)*(TransIDDate&gt;=Assets!$J$2)*(TransIDDate&lt;(Assets!$I$2+1))*(TransType="DIS")*(TransPCost)),SUMPRODUCT((TransCat=$A26)*(TransIDDate&gt;=Assets!$H$2)*(TransIDDate&lt;(Assets!$I$2+1))*(TransType="DIS")*(TransPCost))),"")</f>
        <v/>
      </c>
      <c r="AG26" s="8" t="str" cm="1">
        <f t="array" aca="1" ref="AG26" ca="1">IF(ROW($B26)-ROW($B$5)&gt;CatCount,"",OFFSET('Set-up'!$A$22,ROW($B26)-ROW($B$5),COLUMN('Set-up'!$D$22)-1,1,1))</f>
        <v/>
      </c>
      <c r="AH26" s="28" t="str">
        <f t="shared" ca="1" si="9"/>
        <v/>
      </c>
      <c r="AI26" s="8" t="str" cm="1">
        <f t="array" aca="1" ref="AI26" ca="1">IF(ROW($B26)-ROW($B$5)&gt;CatCount,"",OFFSET('Set-up'!$A$22,ROW($B26)-ROW($B$5),COLUMN('Set-up'!$E$22)-1,1,1))</f>
        <v/>
      </c>
      <c r="AJ26" s="28" t="str">
        <f ca="1">IF(LEN($A26)&gt;1,IF($E$2="MTD",SUMPRODUCT((TransCat=$A26)*(TransIDDate&gt;=Assets!$J$2)*(TransIDDate&lt;(Assets!$I$2+1))*(TransType="DIS")*(TransCAccDep)),SUMPRODUCT((TransCat=$A26)*(TransIDDate&gt;=Assets!$H$2)*(TransIDDate&lt;(Assets!$I$2+1))*(TransType="DIS")*(TransCAccDep))),"")</f>
        <v/>
      </c>
      <c r="AK26" s="8" t="str" cm="1">
        <f t="array" aca="1" ref="AK26" ca="1">IF(ROW($B26)-ROW($B$5)&gt;CatCount,"",OFFSET('Set-up'!$A$22,ROW($B26)-ROW($B$5),COLUMN('Set-up'!$I$22)-1,1,1))</f>
        <v/>
      </c>
      <c r="AL26" s="28" t="str">
        <f t="shared" ca="1" si="10"/>
        <v/>
      </c>
      <c r="AM26" s="8" t="str" cm="1">
        <f t="array" aca="1" ref="AM26" ca="1">IF(ROW($B26)-ROW($B$5)&gt;CatCount,"",OFFSET('Set-up'!$A$22,ROW($B26)-ROW($B$5),COLUMN('Set-up'!$G$22)-1,1,1))</f>
        <v/>
      </c>
      <c r="AN26" s="28" t="str">
        <f ca="1">IF(LEN($A26)&gt;1,IF($E$2="MTD",SUMPRODUCT((TransCat=$A26)*(TransIDDate&gt;=Assets!$J$2)*(TransIDDate&lt;(Assets!$I$2+1))*(TransType="DIS")*(TransRPrev)),SUMPRODUCT((TransCat=$A26)*(TransIDDate&gt;=Assets!$H$2)*(TransIDDate&lt;(Assets!$I$2+1))*(TransType="DIS")*(TransRPrev))),"")</f>
        <v/>
      </c>
      <c r="AO26" s="8" t="str" cm="1">
        <f t="array" aca="1" ref="AO26" ca="1">IF(ROW($B26)-ROW($B$5)&gt;CatCount,"",OFFSET('Set-up'!$A$22,ROW($B26)-ROW($B$5),COLUMN('Set-up'!$I$22)-1,1,1))</f>
        <v/>
      </c>
      <c r="AP26" s="28" t="str">
        <f t="shared" ca="1" si="11"/>
        <v/>
      </c>
      <c r="AQ26" s="8" t="str" cm="1">
        <f t="array" aca="1" ref="AQ26" ca="1">IF(ROW($B26)-ROW($B$5)&gt;CatCount,"",OFFSET('Set-up'!$A$22,ROW($B26)-ROW($B$5),COLUMN('Set-up'!$J$22)-1,1,1))</f>
        <v/>
      </c>
      <c r="AR26" s="28" t="str">
        <f t="shared" ca="1" si="12"/>
        <v/>
      </c>
      <c r="AS26" s="8" t="str" cm="1">
        <f t="array" aca="1" ref="AS26" ca="1">IF(ROW($B26)-ROW($B$5)&gt;CatCount,"",OFFSET('Set-up'!$A$22,ROW($B26)-ROW($B$5),COLUMN('Set-up'!$K$22)-1,1,1))</f>
        <v/>
      </c>
      <c r="AT26" s="28" t="str">
        <f t="shared" ca="1" si="14"/>
        <v/>
      </c>
    </row>
    <row r="27" spans="1:46" ht="16" customHeight="1" x14ac:dyDescent="0.25">
      <c r="A27" s="3" t="str" cm="1">
        <f t="array" aca="1" ref="A27" ca="1">IF(ROW($B27)-ROW($B$5)&gt;CatCount,"",OFFSET('Set-up'!$A$22,ROW($B27)-ROW($B$5),0,1,1))</f>
        <v/>
      </c>
      <c r="B27" s="3" t="str">
        <f t="shared" ca="1" si="0"/>
        <v/>
      </c>
      <c r="C27" s="8" t="str" cm="1">
        <f t="array" aca="1" ref="C27" ca="1">IF(ROW($B27)-ROW($B$5)&gt;CatCount,"",OFFSET('Set-up'!$A$22,ROW($B27)-ROW($B$5),COLUMN('Set-up'!$F$22)-1,1,1))</f>
        <v/>
      </c>
      <c r="D27" s="28" t="str">
        <f t="shared" ca="1" si="1"/>
        <v/>
      </c>
      <c r="E27" s="8" t="str" cm="1">
        <f t="array" aca="1" ref="E27" ca="1">IF(ROW($B27)-ROW($B$5)&gt;CatCount,"",OFFSET('Set-up'!$A$22,ROW($B27)-ROW($B$5),COLUMN('Set-up'!$E$22)-1,1,1))</f>
        <v/>
      </c>
      <c r="F27" s="28" t="str">
        <f t="shared" ca="1" si="2"/>
        <v/>
      </c>
      <c r="G27" s="8" t="str" cm="1">
        <f t="array" aca="1" ref="G27" ca="1">IF(ROW($B27)-ROW($B$5)&gt;CatCount,"",OFFSET('Set-up'!$A$22,ROW($B27)-ROW($B$5),COLUMN('Set-up'!$G$22)-1,1,1))</f>
        <v/>
      </c>
      <c r="H27" s="28" t="str">
        <f t="shared" ca="1" si="3"/>
        <v/>
      </c>
      <c r="I27" s="8" t="str" cm="1">
        <f t="array" aca="1" ref="I27" ca="1">IF(ROW($B27)-ROW($B$5)&gt;CatCount,"",OFFSET('Set-up'!$A$22,ROW($B27)-ROW($B$5),COLUMN('Set-up'!$E$22)-1,1,1))</f>
        <v/>
      </c>
      <c r="J27" s="28" t="str">
        <f t="shared" ca="1" si="4"/>
        <v/>
      </c>
      <c r="K27" s="8" t="str" cm="1">
        <f t="array" aca="1" ref="K27" ca="1">IF(ROW($B27)-ROW($B$5)&gt;CatCount,"",OFFSET('Set-up'!$A$22,ROW($B27)-ROW($B$5),COLUMN('Set-up'!$D$22)-1,1,1))</f>
        <v/>
      </c>
      <c r="L27" s="28" t="str">
        <f ca="1">IF(LEN($A27)&gt;1,IF($E$2="MTD",SUMPRODUCT((TransCat=$A27)*(TransIDDate&gt;=Assets!$J$2)*(TransIDDate&lt;(Assets!$I$2+1))*(TransType="ACQ")*(TransAmount)),SUMPRODUCT((TransCat=$A27)*(TransIDDate&gt;=Assets!$H$2)*(TransIDDate&lt;(Assets!$I$2+1))*(TransType="ACQ")*(TransAmount))),"")</f>
        <v/>
      </c>
      <c r="M27" s="8" t="str" cm="1">
        <f t="array" aca="1" ref="M27" ca="1">IF(ROW($B27)-ROW($B$5)&gt;CatCount,"","BANK")</f>
        <v/>
      </c>
      <c r="N27" s="28" t="str">
        <f t="shared" ca="1" si="13"/>
        <v/>
      </c>
      <c r="O27" s="8" t="str" cm="1">
        <f t="array" aca="1" ref="O27" ca="1">IF(ROW($B27)-ROW($B$5)&gt;CatCount,"",OFFSET('Set-up'!$A$22,ROW($B27)-ROW($B$5),COLUMN('Set-up'!$D$22)-1,1,1))</f>
        <v/>
      </c>
      <c r="P27" s="28" t="str">
        <f ca="1">IF(LEN($A27)&gt;1,IF($E$2="MTD",SUMPRODUCT((TransCat=$A27)*(TransIDDate&gt;=Assets!$J$2)*(TransIDDate&lt;(Assets!$I$2+1))*(TransType="REV")*(TransAmount))+SUMPRODUCT((TransCat=$A27)*(TransIDDate&gt;=Assets!$J$2)*(TransIDDate&lt;(Assets!$I$2+1))*(TransType="REV")*(TransImpair))-SUMPRODUCT((TransCat=$A27)*(TransIDDate&gt;=Assets!$J$2)*(TransIDDate&lt;(Assets!$I$2+1))*(TransType="REV")*(TransPCost)),SUMPRODUCT((TransCat=$A27)*(TransIDDate&gt;=Assets!$H$2)*(TransIDDate&lt;(Assets!$I$2+1))*(TransType="REV")*(TransAmount))+SUMPRODUCT((TransCat=$A27)*(TransIDDate&gt;=Assets!$H$2)*(TransIDDate&lt;(Assets!$I$2+1))*(TransType="REV")*(TransImpair))-SUMPRODUCT((TransCat=$A27)*(TransIDDate&gt;=Assets!$H$2)*(TransIDDate&lt;(Assets!$I$2+1))*(TransType="REV")*(TransPCost))),"")</f>
        <v/>
      </c>
      <c r="Q27" s="8" t="str" cm="1">
        <f t="array" aca="1" ref="Q27" ca="1">IF(ROW($B27)-ROW($B$5)&gt;CatCount,"",OFFSET('Set-up'!$A$22,ROW($B27)-ROW($B$5),COLUMN('Set-up'!$G$22)-1,1,1))</f>
        <v/>
      </c>
      <c r="R27" s="28" t="str">
        <f t="shared" ca="1" si="5"/>
        <v/>
      </c>
      <c r="S27" s="8" t="str" cm="1">
        <f t="array" aca="1" ref="S27" ca="1">IF(ROW($B27)-ROW($B$5)&gt;CatCount,"",OFFSET('Set-up'!$A$22,ROW($B27)-ROW($B$5),COLUMN('Set-up'!$G$22)-1,1,1))</f>
        <v/>
      </c>
      <c r="T27" s="28" t="str">
        <f ca="1">IF(LEN($A27)&gt;1,IF($E$2="MTD",-SUMPRODUCT((TransCat=$A27)*(TransIDDate&gt;=Assets!$J$2)*(TransIDDate&lt;(Assets!$I$2+1))*(TransType="REV")*(TransCAccDep)),-SUMPRODUCT((TransCat=$A27)*(TransIDDate&gt;=Assets!$H$2)*(TransIDDate&lt;(Assets!$I$2+1))*(TransType="REV")*(TransCAccDep))),"")</f>
        <v/>
      </c>
      <c r="U27" s="8" t="str" cm="1">
        <f t="array" aca="1" ref="U27" ca="1">IF(ROW($B27)-ROW($B$5)&gt;CatCount,"",OFFSET('Set-up'!$A$22,ROW($B27)-ROW($B$5),COLUMN('Set-up'!$E$22)-1,1,1))</f>
        <v/>
      </c>
      <c r="V27" s="28" t="str">
        <f t="shared" ca="1" si="6"/>
        <v/>
      </c>
      <c r="W27" s="8" t="str" cm="1">
        <f t="array" aca="1" ref="W27" ca="1">IF(ROW($B27)-ROW($B$5)&gt;CatCount,"",OFFSET('Set-up'!$A$22,ROW($B27)-ROW($B$5),COLUMN('Set-up'!$H$22)-1,1,1))</f>
        <v/>
      </c>
      <c r="X27" s="28" t="str">
        <f ca="1">IF(LEN($A27)&gt;1,IF($E$2="MTD",SUMPRODUCT((TransCat=$A27)*(TransIDDate&gt;=Assets!$J$2)*(TransIDDate&lt;(Assets!$I$2+1))*(TransType="REV")*(TransImpair)),SUMPRODUCT((TransCat=$A27)*(TransIDDate&gt;=Assets!$H$2)*(TransIDDate&lt;(Assets!$I$2+1))*(TransType="REV")*(TransImpair))),"")</f>
        <v/>
      </c>
      <c r="Y27" s="8" t="str" cm="1">
        <f t="array" aca="1" ref="Y27" ca="1">IF(ROW($B27)-ROW($B$5)&gt;CatCount,"",OFFSET('Set-up'!$A$22,ROW($B27)-ROW($B$5),COLUMN('Set-up'!$D$22)-1,1,1))</f>
        <v/>
      </c>
      <c r="Z27" s="28" t="str">
        <f t="shared" ca="1" si="7"/>
        <v/>
      </c>
      <c r="AA27" s="8" t="str" cm="1">
        <f t="array" aca="1" ref="AA27" ca="1">IF(ROW($B27)-ROW($B$5)&gt;CatCount,"","BANK")</f>
        <v/>
      </c>
      <c r="AB27" s="28" t="str">
        <f ca="1">IF(LEN($A27)&gt;1,IF($E$2="MTD",SUMPRODUCT((TransCat=$A27)*(TransIDDate&gt;=Assets!$J$2)*(TransIDDate&lt;(Assets!$I$2+1))*(TransType="DIS")*(TransProceeds)),SUMPRODUCT((TransCat=$A27)*(TransIDDate&gt;=Assets!$H$2)*(TransIDDate&lt;(Assets!$I$2+1))*(TransType="DIS")*(TransProceeds))),"")</f>
        <v/>
      </c>
      <c r="AC27" s="8" t="str" cm="1">
        <f t="array" aca="1" ref="AC27" ca="1">IF(ROW($B27)-ROW($B$5)&gt;CatCount,"",OFFSET('Set-up'!$A$22,ROW($B27)-ROW($B$5),COLUMN('Set-up'!$I$22)-1,1,1))</f>
        <v/>
      </c>
      <c r="AD27" s="28" t="str">
        <f t="shared" ca="1" si="8"/>
        <v/>
      </c>
      <c r="AE27" s="8" t="str" cm="1">
        <f t="array" aca="1" ref="AE27" ca="1">IF(ROW($B27)-ROW($B$5)&gt;CatCount,"",OFFSET('Set-up'!$A$22,ROW($B27)-ROW($B$5),COLUMN('Set-up'!$I$22)-1,1,1))</f>
        <v/>
      </c>
      <c r="AF27" s="28" t="str">
        <f ca="1">IF(LEN($A27)&gt;1,IF($E$2="MTD",SUMPRODUCT((TransCat=$A27)*(TransIDDate&gt;=Assets!$J$2)*(TransIDDate&lt;(Assets!$I$2+1))*(TransType="DIS")*(TransPCost)),SUMPRODUCT((TransCat=$A27)*(TransIDDate&gt;=Assets!$H$2)*(TransIDDate&lt;(Assets!$I$2+1))*(TransType="DIS")*(TransPCost))),"")</f>
        <v/>
      </c>
      <c r="AG27" s="8" t="str" cm="1">
        <f t="array" aca="1" ref="AG27" ca="1">IF(ROW($B27)-ROW($B$5)&gt;CatCount,"",OFFSET('Set-up'!$A$22,ROW($B27)-ROW($B$5),COLUMN('Set-up'!$D$22)-1,1,1))</f>
        <v/>
      </c>
      <c r="AH27" s="28" t="str">
        <f t="shared" ca="1" si="9"/>
        <v/>
      </c>
      <c r="AI27" s="8" t="str" cm="1">
        <f t="array" aca="1" ref="AI27" ca="1">IF(ROW($B27)-ROW($B$5)&gt;CatCount,"",OFFSET('Set-up'!$A$22,ROW($B27)-ROW($B$5),COLUMN('Set-up'!$E$22)-1,1,1))</f>
        <v/>
      </c>
      <c r="AJ27" s="28" t="str">
        <f ca="1">IF(LEN($A27)&gt;1,IF($E$2="MTD",SUMPRODUCT((TransCat=$A27)*(TransIDDate&gt;=Assets!$J$2)*(TransIDDate&lt;(Assets!$I$2+1))*(TransType="DIS")*(TransCAccDep)),SUMPRODUCT((TransCat=$A27)*(TransIDDate&gt;=Assets!$H$2)*(TransIDDate&lt;(Assets!$I$2+1))*(TransType="DIS")*(TransCAccDep))),"")</f>
        <v/>
      </c>
      <c r="AK27" s="8" t="str" cm="1">
        <f t="array" aca="1" ref="AK27" ca="1">IF(ROW($B27)-ROW($B$5)&gt;CatCount,"",OFFSET('Set-up'!$A$22,ROW($B27)-ROW($B$5),COLUMN('Set-up'!$I$22)-1,1,1))</f>
        <v/>
      </c>
      <c r="AL27" s="28" t="str">
        <f t="shared" ca="1" si="10"/>
        <v/>
      </c>
      <c r="AM27" s="8" t="str" cm="1">
        <f t="array" aca="1" ref="AM27" ca="1">IF(ROW($B27)-ROW($B$5)&gt;CatCount,"",OFFSET('Set-up'!$A$22,ROW($B27)-ROW($B$5),COLUMN('Set-up'!$G$22)-1,1,1))</f>
        <v/>
      </c>
      <c r="AN27" s="28" t="str">
        <f ca="1">IF(LEN($A27)&gt;1,IF($E$2="MTD",SUMPRODUCT((TransCat=$A27)*(TransIDDate&gt;=Assets!$J$2)*(TransIDDate&lt;(Assets!$I$2+1))*(TransType="DIS")*(TransRPrev)),SUMPRODUCT((TransCat=$A27)*(TransIDDate&gt;=Assets!$H$2)*(TransIDDate&lt;(Assets!$I$2+1))*(TransType="DIS")*(TransRPrev))),"")</f>
        <v/>
      </c>
      <c r="AO27" s="8" t="str" cm="1">
        <f t="array" aca="1" ref="AO27" ca="1">IF(ROW($B27)-ROW($B$5)&gt;CatCount,"",OFFSET('Set-up'!$A$22,ROW($B27)-ROW($B$5),COLUMN('Set-up'!$I$22)-1,1,1))</f>
        <v/>
      </c>
      <c r="AP27" s="28" t="str">
        <f t="shared" ca="1" si="11"/>
        <v/>
      </c>
      <c r="AQ27" s="8" t="str" cm="1">
        <f t="array" aca="1" ref="AQ27" ca="1">IF(ROW($B27)-ROW($B$5)&gt;CatCount,"",OFFSET('Set-up'!$A$22,ROW($B27)-ROW($B$5),COLUMN('Set-up'!$J$22)-1,1,1))</f>
        <v/>
      </c>
      <c r="AR27" s="28" t="str">
        <f t="shared" ca="1" si="12"/>
        <v/>
      </c>
      <c r="AS27" s="8" t="str" cm="1">
        <f t="array" aca="1" ref="AS27" ca="1">IF(ROW($B27)-ROW($B$5)&gt;CatCount,"",OFFSET('Set-up'!$A$22,ROW($B27)-ROW($B$5),COLUMN('Set-up'!$K$22)-1,1,1))</f>
        <v/>
      </c>
      <c r="AT27" s="28" t="str">
        <f t="shared" ca="1" si="14"/>
        <v/>
      </c>
    </row>
    <row r="28" spans="1:46" ht="16" customHeight="1" x14ac:dyDescent="0.25">
      <c r="A28" s="3" t="str" cm="1">
        <f t="array" aca="1" ref="A28" ca="1">IF(ROW($B28)-ROW($B$5)&gt;CatCount,"",OFFSET('Set-up'!$A$22,ROW($B28)-ROW($B$5),0,1,1))</f>
        <v/>
      </c>
      <c r="B28" s="3" t="str">
        <f t="shared" ca="1" si="0"/>
        <v/>
      </c>
      <c r="C28" s="8" t="str" cm="1">
        <f t="array" aca="1" ref="C28" ca="1">IF(ROW($B28)-ROW($B$5)&gt;CatCount,"",OFFSET('Set-up'!$A$22,ROW($B28)-ROW($B$5),COLUMN('Set-up'!$F$22)-1,1,1))</f>
        <v/>
      </c>
      <c r="D28" s="28" t="str">
        <f t="shared" ca="1" si="1"/>
        <v/>
      </c>
      <c r="E28" s="8" t="str" cm="1">
        <f t="array" aca="1" ref="E28" ca="1">IF(ROW($B28)-ROW($B$5)&gt;CatCount,"",OFFSET('Set-up'!$A$22,ROW($B28)-ROW($B$5),COLUMN('Set-up'!$E$22)-1,1,1))</f>
        <v/>
      </c>
      <c r="F28" s="28" t="str">
        <f t="shared" ca="1" si="2"/>
        <v/>
      </c>
      <c r="G28" s="8" t="str" cm="1">
        <f t="array" aca="1" ref="G28" ca="1">IF(ROW($B28)-ROW($B$5)&gt;CatCount,"",OFFSET('Set-up'!$A$22,ROW($B28)-ROW($B$5),COLUMN('Set-up'!$G$22)-1,1,1))</f>
        <v/>
      </c>
      <c r="H28" s="28" t="str">
        <f t="shared" ca="1" si="3"/>
        <v/>
      </c>
      <c r="I28" s="8" t="str" cm="1">
        <f t="array" aca="1" ref="I28" ca="1">IF(ROW($B28)-ROW($B$5)&gt;CatCount,"",OFFSET('Set-up'!$A$22,ROW($B28)-ROW($B$5),COLUMN('Set-up'!$E$22)-1,1,1))</f>
        <v/>
      </c>
      <c r="J28" s="28" t="str">
        <f t="shared" ca="1" si="4"/>
        <v/>
      </c>
      <c r="K28" s="8" t="str" cm="1">
        <f t="array" aca="1" ref="K28" ca="1">IF(ROW($B28)-ROW($B$5)&gt;CatCount,"",OFFSET('Set-up'!$A$22,ROW($B28)-ROW($B$5),COLUMN('Set-up'!$D$22)-1,1,1))</f>
        <v/>
      </c>
      <c r="L28" s="28" t="str">
        <f ca="1">IF(LEN($A28)&gt;1,IF($E$2="MTD",SUMPRODUCT((TransCat=$A28)*(TransIDDate&gt;=Assets!$J$2)*(TransIDDate&lt;(Assets!$I$2+1))*(TransType="ACQ")*(TransAmount)),SUMPRODUCT((TransCat=$A28)*(TransIDDate&gt;=Assets!$H$2)*(TransIDDate&lt;(Assets!$I$2+1))*(TransType="ACQ")*(TransAmount))),"")</f>
        <v/>
      </c>
      <c r="M28" s="8" t="str" cm="1">
        <f t="array" aca="1" ref="M28" ca="1">IF(ROW($B28)-ROW($B$5)&gt;CatCount,"","BANK")</f>
        <v/>
      </c>
      <c r="N28" s="28" t="str">
        <f t="shared" ca="1" si="13"/>
        <v/>
      </c>
      <c r="O28" s="8" t="str" cm="1">
        <f t="array" aca="1" ref="O28" ca="1">IF(ROW($B28)-ROW($B$5)&gt;CatCount,"",OFFSET('Set-up'!$A$22,ROW($B28)-ROW($B$5),COLUMN('Set-up'!$D$22)-1,1,1))</f>
        <v/>
      </c>
      <c r="P28" s="28" t="str">
        <f ca="1">IF(LEN($A28)&gt;1,IF($E$2="MTD",SUMPRODUCT((TransCat=$A28)*(TransIDDate&gt;=Assets!$J$2)*(TransIDDate&lt;(Assets!$I$2+1))*(TransType="REV")*(TransAmount))+SUMPRODUCT((TransCat=$A28)*(TransIDDate&gt;=Assets!$J$2)*(TransIDDate&lt;(Assets!$I$2+1))*(TransType="REV")*(TransImpair))-SUMPRODUCT((TransCat=$A28)*(TransIDDate&gt;=Assets!$J$2)*(TransIDDate&lt;(Assets!$I$2+1))*(TransType="REV")*(TransPCost)),SUMPRODUCT((TransCat=$A28)*(TransIDDate&gt;=Assets!$H$2)*(TransIDDate&lt;(Assets!$I$2+1))*(TransType="REV")*(TransAmount))+SUMPRODUCT((TransCat=$A28)*(TransIDDate&gt;=Assets!$H$2)*(TransIDDate&lt;(Assets!$I$2+1))*(TransType="REV")*(TransImpair))-SUMPRODUCT((TransCat=$A28)*(TransIDDate&gt;=Assets!$H$2)*(TransIDDate&lt;(Assets!$I$2+1))*(TransType="REV")*(TransPCost))),"")</f>
        <v/>
      </c>
      <c r="Q28" s="8" t="str" cm="1">
        <f t="array" aca="1" ref="Q28" ca="1">IF(ROW($B28)-ROW($B$5)&gt;CatCount,"",OFFSET('Set-up'!$A$22,ROW($B28)-ROW($B$5),COLUMN('Set-up'!$G$22)-1,1,1))</f>
        <v/>
      </c>
      <c r="R28" s="28" t="str">
        <f t="shared" ca="1" si="5"/>
        <v/>
      </c>
      <c r="S28" s="8" t="str" cm="1">
        <f t="array" aca="1" ref="S28" ca="1">IF(ROW($B28)-ROW($B$5)&gt;CatCount,"",OFFSET('Set-up'!$A$22,ROW($B28)-ROW($B$5),COLUMN('Set-up'!$G$22)-1,1,1))</f>
        <v/>
      </c>
      <c r="T28" s="28" t="str">
        <f ca="1">IF(LEN($A28)&gt;1,IF($E$2="MTD",-SUMPRODUCT((TransCat=$A28)*(TransIDDate&gt;=Assets!$J$2)*(TransIDDate&lt;(Assets!$I$2+1))*(TransType="REV")*(TransCAccDep)),-SUMPRODUCT((TransCat=$A28)*(TransIDDate&gt;=Assets!$H$2)*(TransIDDate&lt;(Assets!$I$2+1))*(TransType="REV")*(TransCAccDep))),"")</f>
        <v/>
      </c>
      <c r="U28" s="8" t="str" cm="1">
        <f t="array" aca="1" ref="U28" ca="1">IF(ROW($B28)-ROW($B$5)&gt;CatCount,"",OFFSET('Set-up'!$A$22,ROW($B28)-ROW($B$5),COLUMN('Set-up'!$E$22)-1,1,1))</f>
        <v/>
      </c>
      <c r="V28" s="28" t="str">
        <f t="shared" ca="1" si="6"/>
        <v/>
      </c>
      <c r="W28" s="8" t="str" cm="1">
        <f t="array" aca="1" ref="W28" ca="1">IF(ROW($B28)-ROW($B$5)&gt;CatCount,"",OFFSET('Set-up'!$A$22,ROW($B28)-ROW($B$5),COLUMN('Set-up'!$H$22)-1,1,1))</f>
        <v/>
      </c>
      <c r="X28" s="28" t="str">
        <f ca="1">IF(LEN($A28)&gt;1,IF($E$2="MTD",SUMPRODUCT((TransCat=$A28)*(TransIDDate&gt;=Assets!$J$2)*(TransIDDate&lt;(Assets!$I$2+1))*(TransType="REV")*(TransImpair)),SUMPRODUCT((TransCat=$A28)*(TransIDDate&gt;=Assets!$H$2)*(TransIDDate&lt;(Assets!$I$2+1))*(TransType="REV")*(TransImpair))),"")</f>
        <v/>
      </c>
      <c r="Y28" s="8" t="str" cm="1">
        <f t="array" aca="1" ref="Y28" ca="1">IF(ROW($B28)-ROW($B$5)&gt;CatCount,"",OFFSET('Set-up'!$A$22,ROW($B28)-ROW($B$5),COLUMN('Set-up'!$D$22)-1,1,1))</f>
        <v/>
      </c>
      <c r="Z28" s="28" t="str">
        <f t="shared" ca="1" si="7"/>
        <v/>
      </c>
      <c r="AA28" s="8" t="str" cm="1">
        <f t="array" aca="1" ref="AA28" ca="1">IF(ROW($B28)-ROW($B$5)&gt;CatCount,"","BANK")</f>
        <v/>
      </c>
      <c r="AB28" s="28" t="str">
        <f ca="1">IF(LEN($A28)&gt;1,IF($E$2="MTD",SUMPRODUCT((TransCat=$A28)*(TransIDDate&gt;=Assets!$J$2)*(TransIDDate&lt;(Assets!$I$2+1))*(TransType="DIS")*(TransProceeds)),SUMPRODUCT((TransCat=$A28)*(TransIDDate&gt;=Assets!$H$2)*(TransIDDate&lt;(Assets!$I$2+1))*(TransType="DIS")*(TransProceeds))),"")</f>
        <v/>
      </c>
      <c r="AC28" s="8" t="str" cm="1">
        <f t="array" aca="1" ref="AC28" ca="1">IF(ROW($B28)-ROW($B$5)&gt;CatCount,"",OFFSET('Set-up'!$A$22,ROW($B28)-ROW($B$5),COLUMN('Set-up'!$I$22)-1,1,1))</f>
        <v/>
      </c>
      <c r="AD28" s="28" t="str">
        <f t="shared" ca="1" si="8"/>
        <v/>
      </c>
      <c r="AE28" s="8" t="str" cm="1">
        <f t="array" aca="1" ref="AE28" ca="1">IF(ROW($B28)-ROW($B$5)&gt;CatCount,"",OFFSET('Set-up'!$A$22,ROW($B28)-ROW($B$5),COLUMN('Set-up'!$I$22)-1,1,1))</f>
        <v/>
      </c>
      <c r="AF28" s="28" t="str">
        <f ca="1">IF(LEN($A28)&gt;1,IF($E$2="MTD",SUMPRODUCT((TransCat=$A28)*(TransIDDate&gt;=Assets!$J$2)*(TransIDDate&lt;(Assets!$I$2+1))*(TransType="DIS")*(TransPCost)),SUMPRODUCT((TransCat=$A28)*(TransIDDate&gt;=Assets!$H$2)*(TransIDDate&lt;(Assets!$I$2+1))*(TransType="DIS")*(TransPCost))),"")</f>
        <v/>
      </c>
      <c r="AG28" s="8" t="str" cm="1">
        <f t="array" aca="1" ref="AG28" ca="1">IF(ROW($B28)-ROW($B$5)&gt;CatCount,"",OFFSET('Set-up'!$A$22,ROW($B28)-ROW($B$5),COLUMN('Set-up'!$D$22)-1,1,1))</f>
        <v/>
      </c>
      <c r="AH28" s="28" t="str">
        <f t="shared" ca="1" si="9"/>
        <v/>
      </c>
      <c r="AI28" s="8" t="str" cm="1">
        <f t="array" aca="1" ref="AI28" ca="1">IF(ROW($B28)-ROW($B$5)&gt;CatCount,"",OFFSET('Set-up'!$A$22,ROW($B28)-ROW($B$5),COLUMN('Set-up'!$E$22)-1,1,1))</f>
        <v/>
      </c>
      <c r="AJ28" s="28" t="str">
        <f ca="1">IF(LEN($A28)&gt;1,IF($E$2="MTD",SUMPRODUCT((TransCat=$A28)*(TransIDDate&gt;=Assets!$J$2)*(TransIDDate&lt;(Assets!$I$2+1))*(TransType="DIS")*(TransCAccDep)),SUMPRODUCT((TransCat=$A28)*(TransIDDate&gt;=Assets!$H$2)*(TransIDDate&lt;(Assets!$I$2+1))*(TransType="DIS")*(TransCAccDep))),"")</f>
        <v/>
      </c>
      <c r="AK28" s="8" t="str" cm="1">
        <f t="array" aca="1" ref="AK28" ca="1">IF(ROW($B28)-ROW($B$5)&gt;CatCount,"",OFFSET('Set-up'!$A$22,ROW($B28)-ROW($B$5),COLUMN('Set-up'!$I$22)-1,1,1))</f>
        <v/>
      </c>
      <c r="AL28" s="28" t="str">
        <f t="shared" ca="1" si="10"/>
        <v/>
      </c>
      <c r="AM28" s="8" t="str" cm="1">
        <f t="array" aca="1" ref="AM28" ca="1">IF(ROW($B28)-ROW($B$5)&gt;CatCount,"",OFFSET('Set-up'!$A$22,ROW($B28)-ROW($B$5),COLUMN('Set-up'!$G$22)-1,1,1))</f>
        <v/>
      </c>
      <c r="AN28" s="28" t="str">
        <f ca="1">IF(LEN($A28)&gt;1,IF($E$2="MTD",SUMPRODUCT((TransCat=$A28)*(TransIDDate&gt;=Assets!$J$2)*(TransIDDate&lt;(Assets!$I$2+1))*(TransType="DIS")*(TransRPrev)),SUMPRODUCT((TransCat=$A28)*(TransIDDate&gt;=Assets!$H$2)*(TransIDDate&lt;(Assets!$I$2+1))*(TransType="DIS")*(TransRPrev))),"")</f>
        <v/>
      </c>
      <c r="AO28" s="8" t="str" cm="1">
        <f t="array" aca="1" ref="AO28" ca="1">IF(ROW($B28)-ROW($B$5)&gt;CatCount,"",OFFSET('Set-up'!$A$22,ROW($B28)-ROW($B$5),COLUMN('Set-up'!$I$22)-1,1,1))</f>
        <v/>
      </c>
      <c r="AP28" s="28" t="str">
        <f t="shared" ca="1" si="11"/>
        <v/>
      </c>
      <c r="AQ28" s="8" t="str" cm="1">
        <f t="array" aca="1" ref="AQ28" ca="1">IF(ROW($B28)-ROW($B$5)&gt;CatCount,"",OFFSET('Set-up'!$A$22,ROW($B28)-ROW($B$5),COLUMN('Set-up'!$J$22)-1,1,1))</f>
        <v/>
      </c>
      <c r="AR28" s="28" t="str">
        <f t="shared" ca="1" si="12"/>
        <v/>
      </c>
      <c r="AS28" s="8" t="str" cm="1">
        <f t="array" aca="1" ref="AS28" ca="1">IF(ROW($B28)-ROW($B$5)&gt;CatCount,"",OFFSET('Set-up'!$A$22,ROW($B28)-ROW($B$5),COLUMN('Set-up'!$K$22)-1,1,1))</f>
        <v/>
      </c>
      <c r="AT28" s="28" t="str">
        <f t="shared" ca="1" si="14"/>
        <v/>
      </c>
    </row>
    <row r="29" spans="1:46" ht="16" customHeight="1" x14ac:dyDescent="0.25">
      <c r="A29" s="3" t="str" cm="1">
        <f t="array" aca="1" ref="A29" ca="1">IF(ROW($B29)-ROW($B$5)&gt;CatCount,"",OFFSET('Set-up'!$A$22,ROW($B29)-ROW($B$5),0,1,1))</f>
        <v/>
      </c>
      <c r="B29" s="3" t="str">
        <f t="shared" ca="1" si="0"/>
        <v/>
      </c>
      <c r="C29" s="8" t="str" cm="1">
        <f t="array" aca="1" ref="C29" ca="1">IF(ROW($B29)-ROW($B$5)&gt;CatCount,"",OFFSET('Set-up'!$A$22,ROW($B29)-ROW($B$5),COLUMN('Set-up'!$F$22)-1,1,1))</f>
        <v/>
      </c>
      <c r="D29" s="28" t="str">
        <f t="shared" ca="1" si="1"/>
        <v/>
      </c>
      <c r="E29" s="8" t="str" cm="1">
        <f t="array" aca="1" ref="E29" ca="1">IF(ROW($B29)-ROW($B$5)&gt;CatCount,"",OFFSET('Set-up'!$A$22,ROW($B29)-ROW($B$5),COLUMN('Set-up'!$E$22)-1,1,1))</f>
        <v/>
      </c>
      <c r="F29" s="28" t="str">
        <f t="shared" ca="1" si="2"/>
        <v/>
      </c>
      <c r="G29" s="8" t="str" cm="1">
        <f t="array" aca="1" ref="G29" ca="1">IF(ROW($B29)-ROW($B$5)&gt;CatCount,"",OFFSET('Set-up'!$A$22,ROW($B29)-ROW($B$5),COLUMN('Set-up'!$G$22)-1,1,1))</f>
        <v/>
      </c>
      <c r="H29" s="28" t="str">
        <f t="shared" ca="1" si="3"/>
        <v/>
      </c>
      <c r="I29" s="8" t="str" cm="1">
        <f t="array" aca="1" ref="I29" ca="1">IF(ROW($B29)-ROW($B$5)&gt;CatCount,"",OFFSET('Set-up'!$A$22,ROW($B29)-ROW($B$5),COLUMN('Set-up'!$E$22)-1,1,1))</f>
        <v/>
      </c>
      <c r="J29" s="28" t="str">
        <f t="shared" ca="1" si="4"/>
        <v/>
      </c>
      <c r="K29" s="8" t="str" cm="1">
        <f t="array" aca="1" ref="K29" ca="1">IF(ROW($B29)-ROW($B$5)&gt;CatCount,"",OFFSET('Set-up'!$A$22,ROW($B29)-ROW($B$5),COLUMN('Set-up'!$D$22)-1,1,1))</f>
        <v/>
      </c>
      <c r="L29" s="28" t="str">
        <f ca="1">IF(LEN($A29)&gt;1,IF($E$2="MTD",SUMPRODUCT((TransCat=$A29)*(TransIDDate&gt;=Assets!$J$2)*(TransIDDate&lt;(Assets!$I$2+1))*(TransType="ACQ")*(TransAmount)),SUMPRODUCT((TransCat=$A29)*(TransIDDate&gt;=Assets!$H$2)*(TransIDDate&lt;(Assets!$I$2+1))*(TransType="ACQ")*(TransAmount))),"")</f>
        <v/>
      </c>
      <c r="M29" s="8" t="str" cm="1">
        <f t="array" aca="1" ref="M29" ca="1">IF(ROW($B29)-ROW($B$5)&gt;CatCount,"","BANK")</f>
        <v/>
      </c>
      <c r="N29" s="28" t="str">
        <f t="shared" ca="1" si="13"/>
        <v/>
      </c>
      <c r="O29" s="8" t="str" cm="1">
        <f t="array" aca="1" ref="O29" ca="1">IF(ROW($B29)-ROW($B$5)&gt;CatCount,"",OFFSET('Set-up'!$A$22,ROW($B29)-ROW($B$5),COLUMN('Set-up'!$D$22)-1,1,1))</f>
        <v/>
      </c>
      <c r="P29" s="28" t="str">
        <f ca="1">IF(LEN($A29)&gt;1,IF($E$2="MTD",SUMPRODUCT((TransCat=$A29)*(TransIDDate&gt;=Assets!$J$2)*(TransIDDate&lt;(Assets!$I$2+1))*(TransType="REV")*(TransAmount))+SUMPRODUCT((TransCat=$A29)*(TransIDDate&gt;=Assets!$J$2)*(TransIDDate&lt;(Assets!$I$2+1))*(TransType="REV")*(TransImpair))-SUMPRODUCT((TransCat=$A29)*(TransIDDate&gt;=Assets!$J$2)*(TransIDDate&lt;(Assets!$I$2+1))*(TransType="REV")*(TransPCost)),SUMPRODUCT((TransCat=$A29)*(TransIDDate&gt;=Assets!$H$2)*(TransIDDate&lt;(Assets!$I$2+1))*(TransType="REV")*(TransAmount))+SUMPRODUCT((TransCat=$A29)*(TransIDDate&gt;=Assets!$H$2)*(TransIDDate&lt;(Assets!$I$2+1))*(TransType="REV")*(TransImpair))-SUMPRODUCT((TransCat=$A29)*(TransIDDate&gt;=Assets!$H$2)*(TransIDDate&lt;(Assets!$I$2+1))*(TransType="REV")*(TransPCost))),"")</f>
        <v/>
      </c>
      <c r="Q29" s="8" t="str" cm="1">
        <f t="array" aca="1" ref="Q29" ca="1">IF(ROW($B29)-ROW($B$5)&gt;CatCount,"",OFFSET('Set-up'!$A$22,ROW($B29)-ROW($B$5),COLUMN('Set-up'!$G$22)-1,1,1))</f>
        <v/>
      </c>
      <c r="R29" s="28" t="str">
        <f t="shared" ca="1" si="5"/>
        <v/>
      </c>
      <c r="S29" s="8" t="str" cm="1">
        <f t="array" aca="1" ref="S29" ca="1">IF(ROW($B29)-ROW($B$5)&gt;CatCount,"",OFFSET('Set-up'!$A$22,ROW($B29)-ROW($B$5),COLUMN('Set-up'!$G$22)-1,1,1))</f>
        <v/>
      </c>
      <c r="T29" s="28" t="str">
        <f ca="1">IF(LEN($A29)&gt;1,IF($E$2="MTD",-SUMPRODUCT((TransCat=$A29)*(TransIDDate&gt;=Assets!$J$2)*(TransIDDate&lt;(Assets!$I$2+1))*(TransType="REV")*(TransCAccDep)),-SUMPRODUCT((TransCat=$A29)*(TransIDDate&gt;=Assets!$H$2)*(TransIDDate&lt;(Assets!$I$2+1))*(TransType="REV")*(TransCAccDep))),"")</f>
        <v/>
      </c>
      <c r="U29" s="8" t="str" cm="1">
        <f t="array" aca="1" ref="U29" ca="1">IF(ROW($B29)-ROW($B$5)&gt;CatCount,"",OFFSET('Set-up'!$A$22,ROW($B29)-ROW($B$5),COLUMN('Set-up'!$E$22)-1,1,1))</f>
        <v/>
      </c>
      <c r="V29" s="28" t="str">
        <f t="shared" ca="1" si="6"/>
        <v/>
      </c>
      <c r="W29" s="8" t="str" cm="1">
        <f t="array" aca="1" ref="W29" ca="1">IF(ROW($B29)-ROW($B$5)&gt;CatCount,"",OFFSET('Set-up'!$A$22,ROW($B29)-ROW($B$5),COLUMN('Set-up'!$H$22)-1,1,1))</f>
        <v/>
      </c>
      <c r="X29" s="28" t="str">
        <f ca="1">IF(LEN($A29)&gt;1,IF($E$2="MTD",SUMPRODUCT((TransCat=$A29)*(TransIDDate&gt;=Assets!$J$2)*(TransIDDate&lt;(Assets!$I$2+1))*(TransType="REV")*(TransImpair)),SUMPRODUCT((TransCat=$A29)*(TransIDDate&gt;=Assets!$H$2)*(TransIDDate&lt;(Assets!$I$2+1))*(TransType="REV")*(TransImpair))),"")</f>
        <v/>
      </c>
      <c r="Y29" s="8" t="str" cm="1">
        <f t="array" aca="1" ref="Y29" ca="1">IF(ROW($B29)-ROW($B$5)&gt;CatCount,"",OFFSET('Set-up'!$A$22,ROW($B29)-ROW($B$5),COLUMN('Set-up'!$D$22)-1,1,1))</f>
        <v/>
      </c>
      <c r="Z29" s="28" t="str">
        <f t="shared" ca="1" si="7"/>
        <v/>
      </c>
      <c r="AA29" s="8" t="str" cm="1">
        <f t="array" aca="1" ref="AA29" ca="1">IF(ROW($B29)-ROW($B$5)&gt;CatCount,"","BANK")</f>
        <v/>
      </c>
      <c r="AB29" s="28" t="str">
        <f ca="1">IF(LEN($A29)&gt;1,IF($E$2="MTD",SUMPRODUCT((TransCat=$A29)*(TransIDDate&gt;=Assets!$J$2)*(TransIDDate&lt;(Assets!$I$2+1))*(TransType="DIS")*(TransProceeds)),SUMPRODUCT((TransCat=$A29)*(TransIDDate&gt;=Assets!$H$2)*(TransIDDate&lt;(Assets!$I$2+1))*(TransType="DIS")*(TransProceeds))),"")</f>
        <v/>
      </c>
      <c r="AC29" s="8" t="str" cm="1">
        <f t="array" aca="1" ref="AC29" ca="1">IF(ROW($B29)-ROW($B$5)&gt;CatCount,"",OFFSET('Set-up'!$A$22,ROW($B29)-ROW($B$5),COLUMN('Set-up'!$I$22)-1,1,1))</f>
        <v/>
      </c>
      <c r="AD29" s="28" t="str">
        <f t="shared" ca="1" si="8"/>
        <v/>
      </c>
      <c r="AE29" s="8" t="str" cm="1">
        <f t="array" aca="1" ref="AE29" ca="1">IF(ROW($B29)-ROW($B$5)&gt;CatCount,"",OFFSET('Set-up'!$A$22,ROW($B29)-ROW($B$5),COLUMN('Set-up'!$I$22)-1,1,1))</f>
        <v/>
      </c>
      <c r="AF29" s="28" t="str">
        <f ca="1">IF(LEN($A29)&gt;1,IF($E$2="MTD",SUMPRODUCT((TransCat=$A29)*(TransIDDate&gt;=Assets!$J$2)*(TransIDDate&lt;(Assets!$I$2+1))*(TransType="DIS")*(TransPCost)),SUMPRODUCT((TransCat=$A29)*(TransIDDate&gt;=Assets!$H$2)*(TransIDDate&lt;(Assets!$I$2+1))*(TransType="DIS")*(TransPCost))),"")</f>
        <v/>
      </c>
      <c r="AG29" s="8" t="str" cm="1">
        <f t="array" aca="1" ref="AG29" ca="1">IF(ROW($B29)-ROW($B$5)&gt;CatCount,"",OFFSET('Set-up'!$A$22,ROW($B29)-ROW($B$5),COLUMN('Set-up'!$D$22)-1,1,1))</f>
        <v/>
      </c>
      <c r="AH29" s="28" t="str">
        <f t="shared" ca="1" si="9"/>
        <v/>
      </c>
      <c r="AI29" s="8" t="str" cm="1">
        <f t="array" aca="1" ref="AI29" ca="1">IF(ROW($B29)-ROW($B$5)&gt;CatCount,"",OFFSET('Set-up'!$A$22,ROW($B29)-ROW($B$5),COLUMN('Set-up'!$E$22)-1,1,1))</f>
        <v/>
      </c>
      <c r="AJ29" s="28" t="str">
        <f ca="1">IF(LEN($A29)&gt;1,IF($E$2="MTD",SUMPRODUCT((TransCat=$A29)*(TransIDDate&gt;=Assets!$J$2)*(TransIDDate&lt;(Assets!$I$2+1))*(TransType="DIS")*(TransCAccDep)),SUMPRODUCT((TransCat=$A29)*(TransIDDate&gt;=Assets!$H$2)*(TransIDDate&lt;(Assets!$I$2+1))*(TransType="DIS")*(TransCAccDep))),"")</f>
        <v/>
      </c>
      <c r="AK29" s="8" t="str" cm="1">
        <f t="array" aca="1" ref="AK29" ca="1">IF(ROW($B29)-ROW($B$5)&gt;CatCount,"",OFFSET('Set-up'!$A$22,ROW($B29)-ROW($B$5),COLUMN('Set-up'!$I$22)-1,1,1))</f>
        <v/>
      </c>
      <c r="AL29" s="28" t="str">
        <f t="shared" ca="1" si="10"/>
        <v/>
      </c>
      <c r="AM29" s="8" t="str" cm="1">
        <f t="array" aca="1" ref="AM29" ca="1">IF(ROW($B29)-ROW($B$5)&gt;CatCount,"",OFFSET('Set-up'!$A$22,ROW($B29)-ROW($B$5),COLUMN('Set-up'!$G$22)-1,1,1))</f>
        <v/>
      </c>
      <c r="AN29" s="28" t="str">
        <f ca="1">IF(LEN($A29)&gt;1,IF($E$2="MTD",SUMPRODUCT((TransCat=$A29)*(TransIDDate&gt;=Assets!$J$2)*(TransIDDate&lt;(Assets!$I$2+1))*(TransType="DIS")*(TransRPrev)),SUMPRODUCT((TransCat=$A29)*(TransIDDate&gt;=Assets!$H$2)*(TransIDDate&lt;(Assets!$I$2+1))*(TransType="DIS")*(TransRPrev))),"")</f>
        <v/>
      </c>
      <c r="AO29" s="8" t="str" cm="1">
        <f t="array" aca="1" ref="AO29" ca="1">IF(ROW($B29)-ROW($B$5)&gt;CatCount,"",OFFSET('Set-up'!$A$22,ROW($B29)-ROW($B$5),COLUMN('Set-up'!$I$22)-1,1,1))</f>
        <v/>
      </c>
      <c r="AP29" s="28" t="str">
        <f t="shared" ca="1" si="11"/>
        <v/>
      </c>
      <c r="AQ29" s="8" t="str" cm="1">
        <f t="array" aca="1" ref="AQ29" ca="1">IF(ROW($B29)-ROW($B$5)&gt;CatCount,"",OFFSET('Set-up'!$A$22,ROW($B29)-ROW($B$5),COLUMN('Set-up'!$J$22)-1,1,1))</f>
        <v/>
      </c>
      <c r="AR29" s="28" t="str">
        <f t="shared" ca="1" si="12"/>
        <v/>
      </c>
      <c r="AS29" s="8" t="str" cm="1">
        <f t="array" aca="1" ref="AS29" ca="1">IF(ROW($B29)-ROW($B$5)&gt;CatCount,"",OFFSET('Set-up'!$A$22,ROW($B29)-ROW($B$5),COLUMN('Set-up'!$K$22)-1,1,1))</f>
        <v/>
      </c>
      <c r="AT29" s="28" t="str">
        <f t="shared" ca="1" si="14"/>
        <v/>
      </c>
    </row>
    <row r="30" spans="1:46" ht="16" customHeight="1" x14ac:dyDescent="0.25">
      <c r="A30" s="3" t="str" cm="1">
        <f t="array" aca="1" ref="A30" ca="1">IF(ROW($B30)-ROW($B$5)&gt;CatCount,"",OFFSET('Set-up'!$A$22,ROW($B30)-ROW($B$5),0,1,1))</f>
        <v/>
      </c>
      <c r="B30" s="3" t="str">
        <f t="shared" ca="1" si="0"/>
        <v/>
      </c>
      <c r="C30" s="8" t="str" cm="1">
        <f t="array" aca="1" ref="C30" ca="1">IF(ROW($B30)-ROW($B$5)&gt;CatCount,"",OFFSET('Set-up'!$A$22,ROW($B30)-ROW($B$5),COLUMN('Set-up'!$F$22)-1,1,1))</f>
        <v/>
      </c>
      <c r="D30" s="28" t="str">
        <f t="shared" ca="1" si="1"/>
        <v/>
      </c>
      <c r="E30" s="8" t="str" cm="1">
        <f t="array" aca="1" ref="E30" ca="1">IF(ROW($B30)-ROW($B$5)&gt;CatCount,"",OFFSET('Set-up'!$A$22,ROW($B30)-ROW($B$5),COLUMN('Set-up'!$E$22)-1,1,1))</f>
        <v/>
      </c>
      <c r="F30" s="28" t="str">
        <f t="shared" ca="1" si="2"/>
        <v/>
      </c>
      <c r="G30" s="8" t="str" cm="1">
        <f t="array" aca="1" ref="G30" ca="1">IF(ROW($B30)-ROW($B$5)&gt;CatCount,"",OFFSET('Set-up'!$A$22,ROW($B30)-ROW($B$5),COLUMN('Set-up'!$G$22)-1,1,1))</f>
        <v/>
      </c>
      <c r="H30" s="28" t="str">
        <f t="shared" ca="1" si="3"/>
        <v/>
      </c>
      <c r="I30" s="8" t="str" cm="1">
        <f t="array" aca="1" ref="I30" ca="1">IF(ROW($B30)-ROW($B$5)&gt;CatCount,"",OFFSET('Set-up'!$A$22,ROW($B30)-ROW($B$5),COLUMN('Set-up'!$E$22)-1,1,1))</f>
        <v/>
      </c>
      <c r="J30" s="28" t="str">
        <f t="shared" ca="1" si="4"/>
        <v/>
      </c>
      <c r="K30" s="8" t="str" cm="1">
        <f t="array" aca="1" ref="K30" ca="1">IF(ROW($B30)-ROW($B$5)&gt;CatCount,"",OFFSET('Set-up'!$A$22,ROW($B30)-ROW($B$5),COLUMN('Set-up'!$D$22)-1,1,1))</f>
        <v/>
      </c>
      <c r="L30" s="28" t="str">
        <f ca="1">IF(LEN($A30)&gt;1,IF($E$2="MTD",SUMPRODUCT((TransCat=$A30)*(TransIDDate&gt;=Assets!$J$2)*(TransIDDate&lt;(Assets!$I$2+1))*(TransType="ACQ")*(TransAmount)),SUMPRODUCT((TransCat=$A30)*(TransIDDate&gt;=Assets!$H$2)*(TransIDDate&lt;(Assets!$I$2+1))*(TransType="ACQ")*(TransAmount))),"")</f>
        <v/>
      </c>
      <c r="M30" s="8" t="str" cm="1">
        <f t="array" aca="1" ref="M30" ca="1">IF(ROW($B30)-ROW($B$5)&gt;CatCount,"","BANK")</f>
        <v/>
      </c>
      <c r="N30" s="28" t="str">
        <f t="shared" ca="1" si="13"/>
        <v/>
      </c>
      <c r="O30" s="8" t="str" cm="1">
        <f t="array" aca="1" ref="O30" ca="1">IF(ROW($B30)-ROW($B$5)&gt;CatCount,"",OFFSET('Set-up'!$A$22,ROW($B30)-ROW($B$5),COLUMN('Set-up'!$D$22)-1,1,1))</f>
        <v/>
      </c>
      <c r="P30" s="28" t="str">
        <f ca="1">IF(LEN($A30)&gt;1,IF($E$2="MTD",SUMPRODUCT((TransCat=$A30)*(TransIDDate&gt;=Assets!$J$2)*(TransIDDate&lt;(Assets!$I$2+1))*(TransType="REV")*(TransAmount))+SUMPRODUCT((TransCat=$A30)*(TransIDDate&gt;=Assets!$J$2)*(TransIDDate&lt;(Assets!$I$2+1))*(TransType="REV")*(TransImpair))-SUMPRODUCT((TransCat=$A30)*(TransIDDate&gt;=Assets!$J$2)*(TransIDDate&lt;(Assets!$I$2+1))*(TransType="REV")*(TransPCost)),SUMPRODUCT((TransCat=$A30)*(TransIDDate&gt;=Assets!$H$2)*(TransIDDate&lt;(Assets!$I$2+1))*(TransType="REV")*(TransAmount))+SUMPRODUCT((TransCat=$A30)*(TransIDDate&gt;=Assets!$H$2)*(TransIDDate&lt;(Assets!$I$2+1))*(TransType="REV")*(TransImpair))-SUMPRODUCT((TransCat=$A30)*(TransIDDate&gt;=Assets!$H$2)*(TransIDDate&lt;(Assets!$I$2+1))*(TransType="REV")*(TransPCost))),"")</f>
        <v/>
      </c>
      <c r="Q30" s="8" t="str" cm="1">
        <f t="array" aca="1" ref="Q30" ca="1">IF(ROW($B30)-ROW($B$5)&gt;CatCount,"",OFFSET('Set-up'!$A$22,ROW($B30)-ROW($B$5),COLUMN('Set-up'!$G$22)-1,1,1))</f>
        <v/>
      </c>
      <c r="R30" s="28" t="str">
        <f t="shared" ca="1" si="5"/>
        <v/>
      </c>
      <c r="S30" s="8" t="str" cm="1">
        <f t="array" aca="1" ref="S30" ca="1">IF(ROW($B30)-ROW($B$5)&gt;CatCount,"",OFFSET('Set-up'!$A$22,ROW($B30)-ROW($B$5),COLUMN('Set-up'!$G$22)-1,1,1))</f>
        <v/>
      </c>
      <c r="T30" s="28" t="str">
        <f ca="1">IF(LEN($A30)&gt;1,IF($E$2="MTD",-SUMPRODUCT((TransCat=$A30)*(TransIDDate&gt;=Assets!$J$2)*(TransIDDate&lt;(Assets!$I$2+1))*(TransType="REV")*(TransCAccDep)),-SUMPRODUCT((TransCat=$A30)*(TransIDDate&gt;=Assets!$H$2)*(TransIDDate&lt;(Assets!$I$2+1))*(TransType="REV")*(TransCAccDep))),"")</f>
        <v/>
      </c>
      <c r="U30" s="8" t="str" cm="1">
        <f t="array" aca="1" ref="U30" ca="1">IF(ROW($B30)-ROW($B$5)&gt;CatCount,"",OFFSET('Set-up'!$A$22,ROW($B30)-ROW($B$5),COLUMN('Set-up'!$E$22)-1,1,1))</f>
        <v/>
      </c>
      <c r="V30" s="28" t="str">
        <f t="shared" ca="1" si="6"/>
        <v/>
      </c>
      <c r="W30" s="8" t="str" cm="1">
        <f t="array" aca="1" ref="W30" ca="1">IF(ROW($B30)-ROW($B$5)&gt;CatCount,"",OFFSET('Set-up'!$A$22,ROW($B30)-ROW($B$5),COLUMN('Set-up'!$H$22)-1,1,1))</f>
        <v/>
      </c>
      <c r="X30" s="28" t="str">
        <f ca="1">IF(LEN($A30)&gt;1,IF($E$2="MTD",SUMPRODUCT((TransCat=$A30)*(TransIDDate&gt;=Assets!$J$2)*(TransIDDate&lt;(Assets!$I$2+1))*(TransType="REV")*(TransImpair)),SUMPRODUCT((TransCat=$A30)*(TransIDDate&gt;=Assets!$H$2)*(TransIDDate&lt;(Assets!$I$2+1))*(TransType="REV")*(TransImpair))),"")</f>
        <v/>
      </c>
      <c r="Y30" s="8" t="str" cm="1">
        <f t="array" aca="1" ref="Y30" ca="1">IF(ROW($B30)-ROW($B$5)&gt;CatCount,"",OFFSET('Set-up'!$A$22,ROW($B30)-ROW($B$5),COLUMN('Set-up'!$D$22)-1,1,1))</f>
        <v/>
      </c>
      <c r="Z30" s="28" t="str">
        <f t="shared" ca="1" si="7"/>
        <v/>
      </c>
      <c r="AA30" s="8" t="str" cm="1">
        <f t="array" aca="1" ref="AA30" ca="1">IF(ROW($B30)-ROW($B$5)&gt;CatCount,"","BANK")</f>
        <v/>
      </c>
      <c r="AB30" s="28" t="str">
        <f ca="1">IF(LEN($A30)&gt;1,IF($E$2="MTD",SUMPRODUCT((TransCat=$A30)*(TransIDDate&gt;=Assets!$J$2)*(TransIDDate&lt;(Assets!$I$2+1))*(TransType="DIS")*(TransProceeds)),SUMPRODUCT((TransCat=$A30)*(TransIDDate&gt;=Assets!$H$2)*(TransIDDate&lt;(Assets!$I$2+1))*(TransType="DIS")*(TransProceeds))),"")</f>
        <v/>
      </c>
      <c r="AC30" s="8" t="str" cm="1">
        <f t="array" aca="1" ref="AC30" ca="1">IF(ROW($B30)-ROW($B$5)&gt;CatCount,"",OFFSET('Set-up'!$A$22,ROW($B30)-ROW($B$5),COLUMN('Set-up'!$I$22)-1,1,1))</f>
        <v/>
      </c>
      <c r="AD30" s="28" t="str">
        <f t="shared" ca="1" si="8"/>
        <v/>
      </c>
      <c r="AE30" s="8" t="str" cm="1">
        <f t="array" aca="1" ref="AE30" ca="1">IF(ROW($B30)-ROW($B$5)&gt;CatCount,"",OFFSET('Set-up'!$A$22,ROW($B30)-ROW($B$5),COLUMN('Set-up'!$I$22)-1,1,1))</f>
        <v/>
      </c>
      <c r="AF30" s="28" t="str">
        <f ca="1">IF(LEN($A30)&gt;1,IF($E$2="MTD",SUMPRODUCT((TransCat=$A30)*(TransIDDate&gt;=Assets!$J$2)*(TransIDDate&lt;(Assets!$I$2+1))*(TransType="DIS")*(TransPCost)),SUMPRODUCT((TransCat=$A30)*(TransIDDate&gt;=Assets!$H$2)*(TransIDDate&lt;(Assets!$I$2+1))*(TransType="DIS")*(TransPCost))),"")</f>
        <v/>
      </c>
      <c r="AG30" s="8" t="str" cm="1">
        <f t="array" aca="1" ref="AG30" ca="1">IF(ROW($B30)-ROW($B$5)&gt;CatCount,"",OFFSET('Set-up'!$A$22,ROW($B30)-ROW($B$5),COLUMN('Set-up'!$D$22)-1,1,1))</f>
        <v/>
      </c>
      <c r="AH30" s="28" t="str">
        <f t="shared" ca="1" si="9"/>
        <v/>
      </c>
      <c r="AI30" s="8" t="str" cm="1">
        <f t="array" aca="1" ref="AI30" ca="1">IF(ROW($B30)-ROW($B$5)&gt;CatCount,"",OFFSET('Set-up'!$A$22,ROW($B30)-ROW($B$5),COLUMN('Set-up'!$E$22)-1,1,1))</f>
        <v/>
      </c>
      <c r="AJ30" s="28" t="str">
        <f ca="1">IF(LEN($A30)&gt;1,IF($E$2="MTD",SUMPRODUCT((TransCat=$A30)*(TransIDDate&gt;=Assets!$J$2)*(TransIDDate&lt;(Assets!$I$2+1))*(TransType="DIS")*(TransCAccDep)),SUMPRODUCT((TransCat=$A30)*(TransIDDate&gt;=Assets!$H$2)*(TransIDDate&lt;(Assets!$I$2+1))*(TransType="DIS")*(TransCAccDep))),"")</f>
        <v/>
      </c>
      <c r="AK30" s="8" t="str" cm="1">
        <f t="array" aca="1" ref="AK30" ca="1">IF(ROW($B30)-ROW($B$5)&gt;CatCount,"",OFFSET('Set-up'!$A$22,ROW($B30)-ROW($B$5),COLUMN('Set-up'!$I$22)-1,1,1))</f>
        <v/>
      </c>
      <c r="AL30" s="28" t="str">
        <f t="shared" ca="1" si="10"/>
        <v/>
      </c>
      <c r="AM30" s="8" t="str" cm="1">
        <f t="array" aca="1" ref="AM30" ca="1">IF(ROW($B30)-ROW($B$5)&gt;CatCount,"",OFFSET('Set-up'!$A$22,ROW($B30)-ROW($B$5),COLUMN('Set-up'!$G$22)-1,1,1))</f>
        <v/>
      </c>
      <c r="AN30" s="28" t="str">
        <f ca="1">IF(LEN($A30)&gt;1,IF($E$2="MTD",SUMPRODUCT((TransCat=$A30)*(TransIDDate&gt;=Assets!$J$2)*(TransIDDate&lt;(Assets!$I$2+1))*(TransType="DIS")*(TransRPrev)),SUMPRODUCT((TransCat=$A30)*(TransIDDate&gt;=Assets!$H$2)*(TransIDDate&lt;(Assets!$I$2+1))*(TransType="DIS")*(TransRPrev))),"")</f>
        <v/>
      </c>
      <c r="AO30" s="8" t="str" cm="1">
        <f t="array" aca="1" ref="AO30" ca="1">IF(ROW($B30)-ROW($B$5)&gt;CatCount,"",OFFSET('Set-up'!$A$22,ROW($B30)-ROW($B$5),COLUMN('Set-up'!$I$22)-1,1,1))</f>
        <v/>
      </c>
      <c r="AP30" s="28" t="str">
        <f t="shared" ca="1" si="11"/>
        <v/>
      </c>
      <c r="AQ30" s="8" t="str" cm="1">
        <f t="array" aca="1" ref="AQ30" ca="1">IF(ROW($B30)-ROW($B$5)&gt;CatCount,"",OFFSET('Set-up'!$A$22,ROW($B30)-ROW($B$5),COLUMN('Set-up'!$J$22)-1,1,1))</f>
        <v/>
      </c>
      <c r="AR30" s="28" t="str">
        <f t="shared" ca="1" si="12"/>
        <v/>
      </c>
      <c r="AS30" s="8" t="str" cm="1">
        <f t="array" aca="1" ref="AS30" ca="1">IF(ROW($B30)-ROW($B$5)&gt;CatCount,"",OFFSET('Set-up'!$A$22,ROW($B30)-ROW($B$5),COLUMN('Set-up'!$K$22)-1,1,1))</f>
        <v/>
      </c>
      <c r="AT30" s="28" t="str">
        <f t="shared" ca="1" si="14"/>
        <v/>
      </c>
    </row>
    <row r="31" spans="1:46" ht="16" customHeight="1" x14ac:dyDescent="0.25">
      <c r="A31" s="3" t="str" cm="1">
        <f t="array" aca="1" ref="A31" ca="1">IF(ROW($B31)-ROW($B$5)&gt;CatCount,"",OFFSET('Set-up'!$A$22,ROW($B31)-ROW($B$5),0,1,1))</f>
        <v/>
      </c>
      <c r="B31" s="3" t="str">
        <f t="shared" ca="1" si="0"/>
        <v/>
      </c>
      <c r="C31" s="8" t="str" cm="1">
        <f t="array" aca="1" ref="C31" ca="1">IF(ROW($B31)-ROW($B$5)&gt;CatCount,"",OFFSET('Set-up'!$A$22,ROW($B31)-ROW($B$5),COLUMN('Set-up'!$F$22)-1,1,1))</f>
        <v/>
      </c>
      <c r="D31" s="28" t="str">
        <f t="shared" ca="1" si="1"/>
        <v/>
      </c>
      <c r="E31" s="8" t="str" cm="1">
        <f t="array" aca="1" ref="E31" ca="1">IF(ROW($B31)-ROW($B$5)&gt;CatCount,"",OFFSET('Set-up'!$A$22,ROW($B31)-ROW($B$5),COLUMN('Set-up'!$E$22)-1,1,1))</f>
        <v/>
      </c>
      <c r="F31" s="28" t="str">
        <f t="shared" ca="1" si="2"/>
        <v/>
      </c>
      <c r="G31" s="8" t="str" cm="1">
        <f t="array" aca="1" ref="G31" ca="1">IF(ROW($B31)-ROW($B$5)&gt;CatCount,"",OFFSET('Set-up'!$A$22,ROW($B31)-ROW($B$5),COLUMN('Set-up'!$G$22)-1,1,1))</f>
        <v/>
      </c>
      <c r="H31" s="28" t="str">
        <f t="shared" ca="1" si="3"/>
        <v/>
      </c>
      <c r="I31" s="8" t="str" cm="1">
        <f t="array" aca="1" ref="I31" ca="1">IF(ROW($B31)-ROW($B$5)&gt;CatCount,"",OFFSET('Set-up'!$A$22,ROW($B31)-ROW($B$5),COLUMN('Set-up'!$E$22)-1,1,1))</f>
        <v/>
      </c>
      <c r="J31" s="28" t="str">
        <f t="shared" ca="1" si="4"/>
        <v/>
      </c>
      <c r="K31" s="8" t="str" cm="1">
        <f t="array" aca="1" ref="K31" ca="1">IF(ROW($B31)-ROW($B$5)&gt;CatCount,"",OFFSET('Set-up'!$A$22,ROW($B31)-ROW($B$5),COLUMN('Set-up'!$D$22)-1,1,1))</f>
        <v/>
      </c>
      <c r="L31" s="28" t="str">
        <f ca="1">IF(LEN($A31)&gt;1,IF($E$2="MTD",SUMPRODUCT((TransCat=$A31)*(TransIDDate&gt;=Assets!$J$2)*(TransIDDate&lt;(Assets!$I$2+1))*(TransType="ACQ")*(TransAmount)),SUMPRODUCT((TransCat=$A31)*(TransIDDate&gt;=Assets!$H$2)*(TransIDDate&lt;(Assets!$I$2+1))*(TransType="ACQ")*(TransAmount))),"")</f>
        <v/>
      </c>
      <c r="M31" s="8" t="str" cm="1">
        <f t="array" aca="1" ref="M31" ca="1">IF(ROW($B31)-ROW($B$5)&gt;CatCount,"","BANK")</f>
        <v/>
      </c>
      <c r="N31" s="28" t="str">
        <f t="shared" ca="1" si="13"/>
        <v/>
      </c>
      <c r="O31" s="8" t="str" cm="1">
        <f t="array" aca="1" ref="O31" ca="1">IF(ROW($B31)-ROW($B$5)&gt;CatCount,"",OFFSET('Set-up'!$A$22,ROW($B31)-ROW($B$5),COLUMN('Set-up'!$D$22)-1,1,1))</f>
        <v/>
      </c>
      <c r="P31" s="28" t="str">
        <f ca="1">IF(LEN($A31)&gt;1,IF($E$2="MTD",SUMPRODUCT((TransCat=$A31)*(TransIDDate&gt;=Assets!$J$2)*(TransIDDate&lt;(Assets!$I$2+1))*(TransType="REV")*(TransAmount))+SUMPRODUCT((TransCat=$A31)*(TransIDDate&gt;=Assets!$J$2)*(TransIDDate&lt;(Assets!$I$2+1))*(TransType="REV")*(TransImpair))-SUMPRODUCT((TransCat=$A31)*(TransIDDate&gt;=Assets!$J$2)*(TransIDDate&lt;(Assets!$I$2+1))*(TransType="REV")*(TransPCost)),SUMPRODUCT((TransCat=$A31)*(TransIDDate&gt;=Assets!$H$2)*(TransIDDate&lt;(Assets!$I$2+1))*(TransType="REV")*(TransAmount))+SUMPRODUCT((TransCat=$A31)*(TransIDDate&gt;=Assets!$H$2)*(TransIDDate&lt;(Assets!$I$2+1))*(TransType="REV")*(TransImpair))-SUMPRODUCT((TransCat=$A31)*(TransIDDate&gt;=Assets!$H$2)*(TransIDDate&lt;(Assets!$I$2+1))*(TransType="REV")*(TransPCost))),"")</f>
        <v/>
      </c>
      <c r="Q31" s="8" t="str" cm="1">
        <f t="array" aca="1" ref="Q31" ca="1">IF(ROW($B31)-ROW($B$5)&gt;CatCount,"",OFFSET('Set-up'!$A$22,ROW($B31)-ROW($B$5),COLUMN('Set-up'!$G$22)-1,1,1))</f>
        <v/>
      </c>
      <c r="R31" s="28" t="str">
        <f t="shared" ca="1" si="5"/>
        <v/>
      </c>
      <c r="S31" s="8" t="str" cm="1">
        <f t="array" aca="1" ref="S31" ca="1">IF(ROW($B31)-ROW($B$5)&gt;CatCount,"",OFFSET('Set-up'!$A$22,ROW($B31)-ROW($B$5),COLUMN('Set-up'!$G$22)-1,1,1))</f>
        <v/>
      </c>
      <c r="T31" s="28" t="str">
        <f ca="1">IF(LEN($A31)&gt;1,IF($E$2="MTD",-SUMPRODUCT((TransCat=$A31)*(TransIDDate&gt;=Assets!$J$2)*(TransIDDate&lt;(Assets!$I$2+1))*(TransType="REV")*(TransCAccDep)),-SUMPRODUCT((TransCat=$A31)*(TransIDDate&gt;=Assets!$H$2)*(TransIDDate&lt;(Assets!$I$2+1))*(TransType="REV")*(TransCAccDep))),"")</f>
        <v/>
      </c>
      <c r="U31" s="8" t="str" cm="1">
        <f t="array" aca="1" ref="U31" ca="1">IF(ROW($B31)-ROW($B$5)&gt;CatCount,"",OFFSET('Set-up'!$A$22,ROW($B31)-ROW($B$5),COLUMN('Set-up'!$E$22)-1,1,1))</f>
        <v/>
      </c>
      <c r="V31" s="28" t="str">
        <f t="shared" ca="1" si="6"/>
        <v/>
      </c>
      <c r="W31" s="8" t="str" cm="1">
        <f t="array" aca="1" ref="W31" ca="1">IF(ROW($B31)-ROW($B$5)&gt;CatCount,"",OFFSET('Set-up'!$A$22,ROW($B31)-ROW($B$5),COLUMN('Set-up'!$H$22)-1,1,1))</f>
        <v/>
      </c>
      <c r="X31" s="28" t="str">
        <f ca="1">IF(LEN($A31)&gt;1,IF($E$2="MTD",SUMPRODUCT((TransCat=$A31)*(TransIDDate&gt;=Assets!$J$2)*(TransIDDate&lt;(Assets!$I$2+1))*(TransType="REV")*(TransImpair)),SUMPRODUCT((TransCat=$A31)*(TransIDDate&gt;=Assets!$H$2)*(TransIDDate&lt;(Assets!$I$2+1))*(TransType="REV")*(TransImpair))),"")</f>
        <v/>
      </c>
      <c r="Y31" s="8" t="str" cm="1">
        <f t="array" aca="1" ref="Y31" ca="1">IF(ROW($B31)-ROW($B$5)&gt;CatCount,"",OFFSET('Set-up'!$A$22,ROW($B31)-ROW($B$5),COLUMN('Set-up'!$D$22)-1,1,1))</f>
        <v/>
      </c>
      <c r="Z31" s="28" t="str">
        <f t="shared" ca="1" si="7"/>
        <v/>
      </c>
      <c r="AA31" s="8" t="str" cm="1">
        <f t="array" aca="1" ref="AA31" ca="1">IF(ROW($B31)-ROW($B$5)&gt;CatCount,"","BANK")</f>
        <v/>
      </c>
      <c r="AB31" s="28" t="str">
        <f ca="1">IF(LEN($A31)&gt;1,IF($E$2="MTD",SUMPRODUCT((TransCat=$A31)*(TransIDDate&gt;=Assets!$J$2)*(TransIDDate&lt;(Assets!$I$2+1))*(TransType="DIS")*(TransProceeds)),SUMPRODUCT((TransCat=$A31)*(TransIDDate&gt;=Assets!$H$2)*(TransIDDate&lt;(Assets!$I$2+1))*(TransType="DIS")*(TransProceeds))),"")</f>
        <v/>
      </c>
      <c r="AC31" s="8" t="str" cm="1">
        <f t="array" aca="1" ref="AC31" ca="1">IF(ROW($B31)-ROW($B$5)&gt;CatCount,"",OFFSET('Set-up'!$A$22,ROW($B31)-ROW($B$5),COLUMN('Set-up'!$I$22)-1,1,1))</f>
        <v/>
      </c>
      <c r="AD31" s="28" t="str">
        <f t="shared" ca="1" si="8"/>
        <v/>
      </c>
      <c r="AE31" s="8" t="str" cm="1">
        <f t="array" aca="1" ref="AE31" ca="1">IF(ROW($B31)-ROW($B$5)&gt;CatCount,"",OFFSET('Set-up'!$A$22,ROW($B31)-ROW($B$5),COLUMN('Set-up'!$I$22)-1,1,1))</f>
        <v/>
      </c>
      <c r="AF31" s="28" t="str">
        <f ca="1">IF(LEN($A31)&gt;1,IF($E$2="MTD",SUMPRODUCT((TransCat=$A31)*(TransIDDate&gt;=Assets!$J$2)*(TransIDDate&lt;(Assets!$I$2+1))*(TransType="DIS")*(TransPCost)),SUMPRODUCT((TransCat=$A31)*(TransIDDate&gt;=Assets!$H$2)*(TransIDDate&lt;(Assets!$I$2+1))*(TransType="DIS")*(TransPCost))),"")</f>
        <v/>
      </c>
      <c r="AG31" s="8" t="str" cm="1">
        <f t="array" aca="1" ref="AG31" ca="1">IF(ROW($B31)-ROW($B$5)&gt;CatCount,"",OFFSET('Set-up'!$A$22,ROW($B31)-ROW($B$5),COLUMN('Set-up'!$D$22)-1,1,1))</f>
        <v/>
      </c>
      <c r="AH31" s="28" t="str">
        <f t="shared" ca="1" si="9"/>
        <v/>
      </c>
      <c r="AI31" s="8" t="str" cm="1">
        <f t="array" aca="1" ref="AI31" ca="1">IF(ROW($B31)-ROW($B$5)&gt;CatCount,"",OFFSET('Set-up'!$A$22,ROW($B31)-ROW($B$5),COLUMN('Set-up'!$E$22)-1,1,1))</f>
        <v/>
      </c>
      <c r="AJ31" s="28" t="str">
        <f ca="1">IF(LEN($A31)&gt;1,IF($E$2="MTD",SUMPRODUCT((TransCat=$A31)*(TransIDDate&gt;=Assets!$J$2)*(TransIDDate&lt;(Assets!$I$2+1))*(TransType="DIS")*(TransCAccDep)),SUMPRODUCT((TransCat=$A31)*(TransIDDate&gt;=Assets!$H$2)*(TransIDDate&lt;(Assets!$I$2+1))*(TransType="DIS")*(TransCAccDep))),"")</f>
        <v/>
      </c>
      <c r="AK31" s="8" t="str" cm="1">
        <f t="array" aca="1" ref="AK31" ca="1">IF(ROW($B31)-ROW($B$5)&gt;CatCount,"",OFFSET('Set-up'!$A$22,ROW($B31)-ROW($B$5),COLUMN('Set-up'!$I$22)-1,1,1))</f>
        <v/>
      </c>
      <c r="AL31" s="28" t="str">
        <f t="shared" ca="1" si="10"/>
        <v/>
      </c>
      <c r="AM31" s="8" t="str" cm="1">
        <f t="array" aca="1" ref="AM31" ca="1">IF(ROW($B31)-ROW($B$5)&gt;CatCount,"",OFFSET('Set-up'!$A$22,ROW($B31)-ROW($B$5),COLUMN('Set-up'!$G$22)-1,1,1))</f>
        <v/>
      </c>
      <c r="AN31" s="28" t="str">
        <f ca="1">IF(LEN($A31)&gt;1,IF($E$2="MTD",SUMPRODUCT((TransCat=$A31)*(TransIDDate&gt;=Assets!$J$2)*(TransIDDate&lt;(Assets!$I$2+1))*(TransType="DIS")*(TransRPrev)),SUMPRODUCT((TransCat=$A31)*(TransIDDate&gt;=Assets!$H$2)*(TransIDDate&lt;(Assets!$I$2+1))*(TransType="DIS")*(TransRPrev))),"")</f>
        <v/>
      </c>
      <c r="AO31" s="8" t="str" cm="1">
        <f t="array" aca="1" ref="AO31" ca="1">IF(ROW($B31)-ROW($B$5)&gt;CatCount,"",OFFSET('Set-up'!$A$22,ROW($B31)-ROW($B$5),COLUMN('Set-up'!$I$22)-1,1,1))</f>
        <v/>
      </c>
      <c r="AP31" s="28" t="str">
        <f t="shared" ca="1" si="11"/>
        <v/>
      </c>
      <c r="AQ31" s="8" t="str" cm="1">
        <f t="array" aca="1" ref="AQ31" ca="1">IF(ROW($B31)-ROW($B$5)&gt;CatCount,"",OFFSET('Set-up'!$A$22,ROW($B31)-ROW($B$5),COLUMN('Set-up'!$J$22)-1,1,1))</f>
        <v/>
      </c>
      <c r="AR31" s="28" t="str">
        <f t="shared" ca="1" si="12"/>
        <v/>
      </c>
      <c r="AS31" s="8" t="str" cm="1">
        <f t="array" aca="1" ref="AS31" ca="1">IF(ROW($B31)-ROW($B$5)&gt;CatCount,"",OFFSET('Set-up'!$A$22,ROW($B31)-ROW($B$5),COLUMN('Set-up'!$K$22)-1,1,1))</f>
        <v/>
      </c>
      <c r="AT31" s="28" t="str">
        <f t="shared" ca="1" si="14"/>
        <v/>
      </c>
    </row>
    <row r="32" spans="1:46" ht="16" customHeight="1" x14ac:dyDescent="0.25">
      <c r="A32" s="3" t="str" cm="1">
        <f t="array" aca="1" ref="A32" ca="1">IF(ROW($B32)-ROW($B$5)&gt;CatCount,"",OFFSET('Set-up'!$A$22,ROW($B32)-ROW($B$5),0,1,1))</f>
        <v/>
      </c>
      <c r="B32" s="3" t="str">
        <f t="shared" ca="1" si="0"/>
        <v/>
      </c>
      <c r="C32" s="8" t="str" cm="1">
        <f t="array" aca="1" ref="C32" ca="1">IF(ROW($B32)-ROW($B$5)&gt;CatCount,"",OFFSET('Set-up'!$A$22,ROW($B32)-ROW($B$5),COLUMN('Set-up'!$F$22)-1,1,1))</f>
        <v/>
      </c>
      <c r="D32" s="28" t="str">
        <f t="shared" ca="1" si="1"/>
        <v/>
      </c>
      <c r="E32" s="8" t="str" cm="1">
        <f t="array" aca="1" ref="E32" ca="1">IF(ROW($B32)-ROW($B$5)&gt;CatCount,"",OFFSET('Set-up'!$A$22,ROW($B32)-ROW($B$5),COLUMN('Set-up'!$E$22)-1,1,1))</f>
        <v/>
      </c>
      <c r="F32" s="28" t="str">
        <f t="shared" ca="1" si="2"/>
        <v/>
      </c>
      <c r="G32" s="8" t="str" cm="1">
        <f t="array" aca="1" ref="G32" ca="1">IF(ROW($B32)-ROW($B$5)&gt;CatCount,"",OFFSET('Set-up'!$A$22,ROW($B32)-ROW($B$5),COLUMN('Set-up'!$G$22)-1,1,1))</f>
        <v/>
      </c>
      <c r="H32" s="28" t="str">
        <f t="shared" ca="1" si="3"/>
        <v/>
      </c>
      <c r="I32" s="8" t="str" cm="1">
        <f t="array" aca="1" ref="I32" ca="1">IF(ROW($B32)-ROW($B$5)&gt;CatCount,"",OFFSET('Set-up'!$A$22,ROW($B32)-ROW($B$5),COLUMN('Set-up'!$E$22)-1,1,1))</f>
        <v/>
      </c>
      <c r="J32" s="28" t="str">
        <f t="shared" ca="1" si="4"/>
        <v/>
      </c>
      <c r="K32" s="8" t="str" cm="1">
        <f t="array" aca="1" ref="K32" ca="1">IF(ROW($B32)-ROW($B$5)&gt;CatCount,"",OFFSET('Set-up'!$A$22,ROW($B32)-ROW($B$5),COLUMN('Set-up'!$D$22)-1,1,1))</f>
        <v/>
      </c>
      <c r="L32" s="28" t="str">
        <f ca="1">IF(LEN($A32)&gt;1,IF($E$2="MTD",SUMPRODUCT((TransCat=$A32)*(TransIDDate&gt;=Assets!$J$2)*(TransIDDate&lt;(Assets!$I$2+1))*(TransType="ACQ")*(TransAmount)),SUMPRODUCT((TransCat=$A32)*(TransIDDate&gt;=Assets!$H$2)*(TransIDDate&lt;(Assets!$I$2+1))*(TransType="ACQ")*(TransAmount))),"")</f>
        <v/>
      </c>
      <c r="M32" s="8" t="str" cm="1">
        <f t="array" aca="1" ref="M32" ca="1">IF(ROW($B32)-ROW($B$5)&gt;CatCount,"","BANK")</f>
        <v/>
      </c>
      <c r="N32" s="28" t="str">
        <f t="shared" ca="1" si="13"/>
        <v/>
      </c>
      <c r="O32" s="8" t="str" cm="1">
        <f t="array" aca="1" ref="O32" ca="1">IF(ROW($B32)-ROW($B$5)&gt;CatCount,"",OFFSET('Set-up'!$A$22,ROW($B32)-ROW($B$5),COLUMN('Set-up'!$D$22)-1,1,1))</f>
        <v/>
      </c>
      <c r="P32" s="28" t="str">
        <f ca="1">IF(LEN($A32)&gt;1,IF($E$2="MTD",SUMPRODUCT((TransCat=$A32)*(TransIDDate&gt;=Assets!$J$2)*(TransIDDate&lt;(Assets!$I$2+1))*(TransType="REV")*(TransAmount))+SUMPRODUCT((TransCat=$A32)*(TransIDDate&gt;=Assets!$J$2)*(TransIDDate&lt;(Assets!$I$2+1))*(TransType="REV")*(TransImpair))-SUMPRODUCT((TransCat=$A32)*(TransIDDate&gt;=Assets!$J$2)*(TransIDDate&lt;(Assets!$I$2+1))*(TransType="REV")*(TransPCost)),SUMPRODUCT((TransCat=$A32)*(TransIDDate&gt;=Assets!$H$2)*(TransIDDate&lt;(Assets!$I$2+1))*(TransType="REV")*(TransAmount))+SUMPRODUCT((TransCat=$A32)*(TransIDDate&gt;=Assets!$H$2)*(TransIDDate&lt;(Assets!$I$2+1))*(TransType="REV")*(TransImpair))-SUMPRODUCT((TransCat=$A32)*(TransIDDate&gt;=Assets!$H$2)*(TransIDDate&lt;(Assets!$I$2+1))*(TransType="REV")*(TransPCost))),"")</f>
        <v/>
      </c>
      <c r="Q32" s="8" t="str" cm="1">
        <f t="array" aca="1" ref="Q32" ca="1">IF(ROW($B32)-ROW($B$5)&gt;CatCount,"",OFFSET('Set-up'!$A$22,ROW($B32)-ROW($B$5),COLUMN('Set-up'!$G$22)-1,1,1))</f>
        <v/>
      </c>
      <c r="R32" s="28" t="str">
        <f t="shared" ca="1" si="5"/>
        <v/>
      </c>
      <c r="S32" s="8" t="str" cm="1">
        <f t="array" aca="1" ref="S32" ca="1">IF(ROW($B32)-ROW($B$5)&gt;CatCount,"",OFFSET('Set-up'!$A$22,ROW($B32)-ROW($B$5),COLUMN('Set-up'!$G$22)-1,1,1))</f>
        <v/>
      </c>
      <c r="T32" s="28" t="str">
        <f ca="1">IF(LEN($A32)&gt;1,IF($E$2="MTD",-SUMPRODUCT((TransCat=$A32)*(TransIDDate&gt;=Assets!$J$2)*(TransIDDate&lt;(Assets!$I$2+1))*(TransType="REV")*(TransCAccDep)),-SUMPRODUCT((TransCat=$A32)*(TransIDDate&gt;=Assets!$H$2)*(TransIDDate&lt;(Assets!$I$2+1))*(TransType="REV")*(TransCAccDep))),"")</f>
        <v/>
      </c>
      <c r="U32" s="8" t="str" cm="1">
        <f t="array" aca="1" ref="U32" ca="1">IF(ROW($B32)-ROW($B$5)&gt;CatCount,"",OFFSET('Set-up'!$A$22,ROW($B32)-ROW($B$5),COLUMN('Set-up'!$E$22)-1,1,1))</f>
        <v/>
      </c>
      <c r="V32" s="28" t="str">
        <f t="shared" ca="1" si="6"/>
        <v/>
      </c>
      <c r="W32" s="8" t="str" cm="1">
        <f t="array" aca="1" ref="W32" ca="1">IF(ROW($B32)-ROW($B$5)&gt;CatCount,"",OFFSET('Set-up'!$A$22,ROW($B32)-ROW($B$5),COLUMN('Set-up'!$H$22)-1,1,1))</f>
        <v/>
      </c>
      <c r="X32" s="28" t="str">
        <f ca="1">IF(LEN($A32)&gt;1,IF($E$2="MTD",SUMPRODUCT((TransCat=$A32)*(TransIDDate&gt;=Assets!$J$2)*(TransIDDate&lt;(Assets!$I$2+1))*(TransType="REV")*(TransImpair)),SUMPRODUCT((TransCat=$A32)*(TransIDDate&gt;=Assets!$H$2)*(TransIDDate&lt;(Assets!$I$2+1))*(TransType="REV")*(TransImpair))),"")</f>
        <v/>
      </c>
      <c r="Y32" s="8" t="str" cm="1">
        <f t="array" aca="1" ref="Y32" ca="1">IF(ROW($B32)-ROW($B$5)&gt;CatCount,"",OFFSET('Set-up'!$A$22,ROW($B32)-ROW($B$5),COLUMN('Set-up'!$D$22)-1,1,1))</f>
        <v/>
      </c>
      <c r="Z32" s="28" t="str">
        <f t="shared" ca="1" si="7"/>
        <v/>
      </c>
      <c r="AA32" s="8" t="str" cm="1">
        <f t="array" aca="1" ref="AA32" ca="1">IF(ROW($B32)-ROW($B$5)&gt;CatCount,"","BANK")</f>
        <v/>
      </c>
      <c r="AB32" s="28" t="str">
        <f ca="1">IF(LEN($A32)&gt;1,IF($E$2="MTD",SUMPRODUCT((TransCat=$A32)*(TransIDDate&gt;=Assets!$J$2)*(TransIDDate&lt;(Assets!$I$2+1))*(TransType="DIS")*(TransProceeds)),SUMPRODUCT((TransCat=$A32)*(TransIDDate&gt;=Assets!$H$2)*(TransIDDate&lt;(Assets!$I$2+1))*(TransType="DIS")*(TransProceeds))),"")</f>
        <v/>
      </c>
      <c r="AC32" s="8" t="str" cm="1">
        <f t="array" aca="1" ref="AC32" ca="1">IF(ROW($B32)-ROW($B$5)&gt;CatCount,"",OFFSET('Set-up'!$A$22,ROW($B32)-ROW($B$5),COLUMN('Set-up'!$I$22)-1,1,1))</f>
        <v/>
      </c>
      <c r="AD32" s="28" t="str">
        <f t="shared" ca="1" si="8"/>
        <v/>
      </c>
      <c r="AE32" s="8" t="str" cm="1">
        <f t="array" aca="1" ref="AE32" ca="1">IF(ROW($B32)-ROW($B$5)&gt;CatCount,"",OFFSET('Set-up'!$A$22,ROW($B32)-ROW($B$5),COLUMN('Set-up'!$I$22)-1,1,1))</f>
        <v/>
      </c>
      <c r="AF32" s="28" t="str">
        <f ca="1">IF(LEN($A32)&gt;1,IF($E$2="MTD",SUMPRODUCT((TransCat=$A32)*(TransIDDate&gt;=Assets!$J$2)*(TransIDDate&lt;(Assets!$I$2+1))*(TransType="DIS")*(TransPCost)),SUMPRODUCT((TransCat=$A32)*(TransIDDate&gt;=Assets!$H$2)*(TransIDDate&lt;(Assets!$I$2+1))*(TransType="DIS")*(TransPCost))),"")</f>
        <v/>
      </c>
      <c r="AG32" s="8" t="str" cm="1">
        <f t="array" aca="1" ref="AG32" ca="1">IF(ROW($B32)-ROW($B$5)&gt;CatCount,"",OFFSET('Set-up'!$A$22,ROW($B32)-ROW($B$5),COLUMN('Set-up'!$D$22)-1,1,1))</f>
        <v/>
      </c>
      <c r="AH32" s="28" t="str">
        <f t="shared" ca="1" si="9"/>
        <v/>
      </c>
      <c r="AI32" s="8" t="str" cm="1">
        <f t="array" aca="1" ref="AI32" ca="1">IF(ROW($B32)-ROW($B$5)&gt;CatCount,"",OFFSET('Set-up'!$A$22,ROW($B32)-ROW($B$5),COLUMN('Set-up'!$E$22)-1,1,1))</f>
        <v/>
      </c>
      <c r="AJ32" s="28" t="str">
        <f ca="1">IF(LEN($A32)&gt;1,IF($E$2="MTD",SUMPRODUCT((TransCat=$A32)*(TransIDDate&gt;=Assets!$J$2)*(TransIDDate&lt;(Assets!$I$2+1))*(TransType="DIS")*(TransCAccDep)),SUMPRODUCT((TransCat=$A32)*(TransIDDate&gt;=Assets!$H$2)*(TransIDDate&lt;(Assets!$I$2+1))*(TransType="DIS")*(TransCAccDep))),"")</f>
        <v/>
      </c>
      <c r="AK32" s="8" t="str" cm="1">
        <f t="array" aca="1" ref="AK32" ca="1">IF(ROW($B32)-ROW($B$5)&gt;CatCount,"",OFFSET('Set-up'!$A$22,ROW($B32)-ROW($B$5),COLUMN('Set-up'!$I$22)-1,1,1))</f>
        <v/>
      </c>
      <c r="AL32" s="28" t="str">
        <f t="shared" ca="1" si="10"/>
        <v/>
      </c>
      <c r="AM32" s="8" t="str" cm="1">
        <f t="array" aca="1" ref="AM32" ca="1">IF(ROW($B32)-ROW($B$5)&gt;CatCount,"",OFFSET('Set-up'!$A$22,ROW($B32)-ROW($B$5),COLUMN('Set-up'!$G$22)-1,1,1))</f>
        <v/>
      </c>
      <c r="AN32" s="28" t="str">
        <f ca="1">IF(LEN($A32)&gt;1,IF($E$2="MTD",SUMPRODUCT((TransCat=$A32)*(TransIDDate&gt;=Assets!$J$2)*(TransIDDate&lt;(Assets!$I$2+1))*(TransType="DIS")*(TransRPrev)),SUMPRODUCT((TransCat=$A32)*(TransIDDate&gt;=Assets!$H$2)*(TransIDDate&lt;(Assets!$I$2+1))*(TransType="DIS")*(TransRPrev))),"")</f>
        <v/>
      </c>
      <c r="AO32" s="8" t="str" cm="1">
        <f t="array" aca="1" ref="AO32" ca="1">IF(ROW($B32)-ROW($B$5)&gt;CatCount,"",OFFSET('Set-up'!$A$22,ROW($B32)-ROW($B$5),COLUMN('Set-up'!$I$22)-1,1,1))</f>
        <v/>
      </c>
      <c r="AP32" s="28" t="str">
        <f t="shared" ca="1" si="11"/>
        <v/>
      </c>
      <c r="AQ32" s="8" t="str" cm="1">
        <f t="array" aca="1" ref="AQ32" ca="1">IF(ROW($B32)-ROW($B$5)&gt;CatCount,"",OFFSET('Set-up'!$A$22,ROW($B32)-ROW($B$5),COLUMN('Set-up'!$J$22)-1,1,1))</f>
        <v/>
      </c>
      <c r="AR32" s="28" t="str">
        <f t="shared" ca="1" si="12"/>
        <v/>
      </c>
      <c r="AS32" s="8" t="str" cm="1">
        <f t="array" aca="1" ref="AS32" ca="1">IF(ROW($B32)-ROW($B$5)&gt;CatCount,"",OFFSET('Set-up'!$A$22,ROW($B32)-ROW($B$5),COLUMN('Set-up'!$K$22)-1,1,1))</f>
        <v/>
      </c>
      <c r="AT32" s="28" t="str">
        <f t="shared" ca="1" si="14"/>
        <v/>
      </c>
    </row>
    <row r="33" spans="1:46" ht="16" customHeight="1" x14ac:dyDescent="0.25">
      <c r="A33" s="3" t="str" cm="1">
        <f t="array" aca="1" ref="A33" ca="1">IF(ROW($B33)-ROW($B$5)&gt;CatCount,"",OFFSET('Set-up'!$A$22,ROW($B33)-ROW($B$5),0,1,1))</f>
        <v/>
      </c>
      <c r="B33" s="3" t="str">
        <f t="shared" ca="1" si="0"/>
        <v/>
      </c>
      <c r="C33" s="8" t="str" cm="1">
        <f t="array" aca="1" ref="C33" ca="1">IF(ROW($B33)-ROW($B$5)&gt;CatCount,"",OFFSET('Set-up'!$A$22,ROW($B33)-ROW($B$5),COLUMN('Set-up'!$F$22)-1,1,1))</f>
        <v/>
      </c>
      <c r="D33" s="28" t="str">
        <f t="shared" ca="1" si="1"/>
        <v/>
      </c>
      <c r="E33" s="8" t="str" cm="1">
        <f t="array" aca="1" ref="E33" ca="1">IF(ROW($B33)-ROW($B$5)&gt;CatCount,"",OFFSET('Set-up'!$A$22,ROW($B33)-ROW($B$5),COLUMN('Set-up'!$E$22)-1,1,1))</f>
        <v/>
      </c>
      <c r="F33" s="28" t="str">
        <f t="shared" ca="1" si="2"/>
        <v/>
      </c>
      <c r="G33" s="8" t="str" cm="1">
        <f t="array" aca="1" ref="G33" ca="1">IF(ROW($B33)-ROW($B$5)&gt;CatCount,"",OFFSET('Set-up'!$A$22,ROW($B33)-ROW($B$5),COLUMN('Set-up'!$G$22)-1,1,1))</f>
        <v/>
      </c>
      <c r="H33" s="28" t="str">
        <f t="shared" ca="1" si="3"/>
        <v/>
      </c>
      <c r="I33" s="8" t="str" cm="1">
        <f t="array" aca="1" ref="I33" ca="1">IF(ROW($B33)-ROW($B$5)&gt;CatCount,"",OFFSET('Set-up'!$A$22,ROW($B33)-ROW($B$5),COLUMN('Set-up'!$E$22)-1,1,1))</f>
        <v/>
      </c>
      <c r="J33" s="28" t="str">
        <f t="shared" ca="1" si="4"/>
        <v/>
      </c>
      <c r="K33" s="8" t="str" cm="1">
        <f t="array" aca="1" ref="K33" ca="1">IF(ROW($B33)-ROW($B$5)&gt;CatCount,"",OFFSET('Set-up'!$A$22,ROW($B33)-ROW($B$5),COLUMN('Set-up'!$D$22)-1,1,1))</f>
        <v/>
      </c>
      <c r="L33" s="28" t="str">
        <f ca="1">IF(LEN($A33)&gt;1,IF($E$2="MTD",SUMPRODUCT((TransCat=$A33)*(TransIDDate&gt;=Assets!$J$2)*(TransIDDate&lt;(Assets!$I$2+1))*(TransType="ACQ")*(TransAmount)),SUMPRODUCT((TransCat=$A33)*(TransIDDate&gt;=Assets!$H$2)*(TransIDDate&lt;(Assets!$I$2+1))*(TransType="ACQ")*(TransAmount))),"")</f>
        <v/>
      </c>
      <c r="M33" s="8" t="str" cm="1">
        <f t="array" aca="1" ref="M33" ca="1">IF(ROW($B33)-ROW($B$5)&gt;CatCount,"","BANK")</f>
        <v/>
      </c>
      <c r="N33" s="28" t="str">
        <f t="shared" ca="1" si="13"/>
        <v/>
      </c>
      <c r="O33" s="8" t="str" cm="1">
        <f t="array" aca="1" ref="O33" ca="1">IF(ROW($B33)-ROW($B$5)&gt;CatCount,"",OFFSET('Set-up'!$A$22,ROW($B33)-ROW($B$5),COLUMN('Set-up'!$D$22)-1,1,1))</f>
        <v/>
      </c>
      <c r="P33" s="28" t="str">
        <f ca="1">IF(LEN($A33)&gt;1,IF($E$2="MTD",SUMPRODUCT((TransCat=$A33)*(TransIDDate&gt;=Assets!$J$2)*(TransIDDate&lt;(Assets!$I$2+1))*(TransType="REV")*(TransAmount))+SUMPRODUCT((TransCat=$A33)*(TransIDDate&gt;=Assets!$J$2)*(TransIDDate&lt;(Assets!$I$2+1))*(TransType="REV")*(TransImpair))-SUMPRODUCT((TransCat=$A33)*(TransIDDate&gt;=Assets!$J$2)*(TransIDDate&lt;(Assets!$I$2+1))*(TransType="REV")*(TransPCost)),SUMPRODUCT((TransCat=$A33)*(TransIDDate&gt;=Assets!$H$2)*(TransIDDate&lt;(Assets!$I$2+1))*(TransType="REV")*(TransAmount))+SUMPRODUCT((TransCat=$A33)*(TransIDDate&gt;=Assets!$H$2)*(TransIDDate&lt;(Assets!$I$2+1))*(TransType="REV")*(TransImpair))-SUMPRODUCT((TransCat=$A33)*(TransIDDate&gt;=Assets!$H$2)*(TransIDDate&lt;(Assets!$I$2+1))*(TransType="REV")*(TransPCost))),"")</f>
        <v/>
      </c>
      <c r="Q33" s="8" t="str" cm="1">
        <f t="array" aca="1" ref="Q33" ca="1">IF(ROW($B33)-ROW($B$5)&gt;CatCount,"",OFFSET('Set-up'!$A$22,ROW($B33)-ROW($B$5),COLUMN('Set-up'!$G$22)-1,1,1))</f>
        <v/>
      </c>
      <c r="R33" s="28" t="str">
        <f t="shared" ca="1" si="5"/>
        <v/>
      </c>
      <c r="S33" s="8" t="str" cm="1">
        <f t="array" aca="1" ref="S33" ca="1">IF(ROW($B33)-ROW($B$5)&gt;CatCount,"",OFFSET('Set-up'!$A$22,ROW($B33)-ROW($B$5),COLUMN('Set-up'!$G$22)-1,1,1))</f>
        <v/>
      </c>
      <c r="T33" s="28" t="str">
        <f ca="1">IF(LEN($A33)&gt;1,IF($E$2="MTD",-SUMPRODUCT((TransCat=$A33)*(TransIDDate&gt;=Assets!$J$2)*(TransIDDate&lt;(Assets!$I$2+1))*(TransType="REV")*(TransCAccDep)),-SUMPRODUCT((TransCat=$A33)*(TransIDDate&gt;=Assets!$H$2)*(TransIDDate&lt;(Assets!$I$2+1))*(TransType="REV")*(TransCAccDep))),"")</f>
        <v/>
      </c>
      <c r="U33" s="8" t="str" cm="1">
        <f t="array" aca="1" ref="U33" ca="1">IF(ROW($B33)-ROW($B$5)&gt;CatCount,"",OFFSET('Set-up'!$A$22,ROW($B33)-ROW($B$5),COLUMN('Set-up'!$E$22)-1,1,1))</f>
        <v/>
      </c>
      <c r="V33" s="28" t="str">
        <f t="shared" ca="1" si="6"/>
        <v/>
      </c>
      <c r="W33" s="8" t="str" cm="1">
        <f t="array" aca="1" ref="W33" ca="1">IF(ROW($B33)-ROW($B$5)&gt;CatCount,"",OFFSET('Set-up'!$A$22,ROW($B33)-ROW($B$5),COLUMN('Set-up'!$H$22)-1,1,1))</f>
        <v/>
      </c>
      <c r="X33" s="28" t="str">
        <f ca="1">IF(LEN($A33)&gt;1,IF($E$2="MTD",SUMPRODUCT((TransCat=$A33)*(TransIDDate&gt;=Assets!$J$2)*(TransIDDate&lt;(Assets!$I$2+1))*(TransType="REV")*(TransImpair)),SUMPRODUCT((TransCat=$A33)*(TransIDDate&gt;=Assets!$H$2)*(TransIDDate&lt;(Assets!$I$2+1))*(TransType="REV")*(TransImpair))),"")</f>
        <v/>
      </c>
      <c r="Y33" s="8" t="str" cm="1">
        <f t="array" aca="1" ref="Y33" ca="1">IF(ROW($B33)-ROW($B$5)&gt;CatCount,"",OFFSET('Set-up'!$A$22,ROW($B33)-ROW($B$5),COLUMN('Set-up'!$D$22)-1,1,1))</f>
        <v/>
      </c>
      <c r="Z33" s="28" t="str">
        <f t="shared" ca="1" si="7"/>
        <v/>
      </c>
      <c r="AA33" s="8" t="str" cm="1">
        <f t="array" aca="1" ref="AA33" ca="1">IF(ROW($B33)-ROW($B$5)&gt;CatCount,"","BANK")</f>
        <v/>
      </c>
      <c r="AB33" s="28" t="str">
        <f ca="1">IF(LEN($A33)&gt;1,IF($E$2="MTD",SUMPRODUCT((TransCat=$A33)*(TransIDDate&gt;=Assets!$J$2)*(TransIDDate&lt;(Assets!$I$2+1))*(TransType="DIS")*(TransProceeds)),SUMPRODUCT((TransCat=$A33)*(TransIDDate&gt;=Assets!$H$2)*(TransIDDate&lt;(Assets!$I$2+1))*(TransType="DIS")*(TransProceeds))),"")</f>
        <v/>
      </c>
      <c r="AC33" s="8" t="str" cm="1">
        <f t="array" aca="1" ref="AC33" ca="1">IF(ROW($B33)-ROW($B$5)&gt;CatCount,"",OFFSET('Set-up'!$A$22,ROW($B33)-ROW($B$5),COLUMN('Set-up'!$I$22)-1,1,1))</f>
        <v/>
      </c>
      <c r="AD33" s="28" t="str">
        <f t="shared" ca="1" si="8"/>
        <v/>
      </c>
      <c r="AE33" s="8" t="str" cm="1">
        <f t="array" aca="1" ref="AE33" ca="1">IF(ROW($B33)-ROW($B$5)&gt;CatCount,"",OFFSET('Set-up'!$A$22,ROW($B33)-ROW($B$5),COLUMN('Set-up'!$I$22)-1,1,1))</f>
        <v/>
      </c>
      <c r="AF33" s="28" t="str">
        <f ca="1">IF(LEN($A33)&gt;1,IF($E$2="MTD",SUMPRODUCT((TransCat=$A33)*(TransIDDate&gt;=Assets!$J$2)*(TransIDDate&lt;(Assets!$I$2+1))*(TransType="DIS")*(TransPCost)),SUMPRODUCT((TransCat=$A33)*(TransIDDate&gt;=Assets!$H$2)*(TransIDDate&lt;(Assets!$I$2+1))*(TransType="DIS")*(TransPCost))),"")</f>
        <v/>
      </c>
      <c r="AG33" s="8" t="str" cm="1">
        <f t="array" aca="1" ref="AG33" ca="1">IF(ROW($B33)-ROW($B$5)&gt;CatCount,"",OFFSET('Set-up'!$A$22,ROW($B33)-ROW($B$5),COLUMN('Set-up'!$D$22)-1,1,1))</f>
        <v/>
      </c>
      <c r="AH33" s="28" t="str">
        <f t="shared" ca="1" si="9"/>
        <v/>
      </c>
      <c r="AI33" s="8" t="str" cm="1">
        <f t="array" aca="1" ref="AI33" ca="1">IF(ROW($B33)-ROW($B$5)&gt;CatCount,"",OFFSET('Set-up'!$A$22,ROW($B33)-ROW($B$5),COLUMN('Set-up'!$E$22)-1,1,1))</f>
        <v/>
      </c>
      <c r="AJ33" s="28" t="str">
        <f ca="1">IF(LEN($A33)&gt;1,IF($E$2="MTD",SUMPRODUCT((TransCat=$A33)*(TransIDDate&gt;=Assets!$J$2)*(TransIDDate&lt;(Assets!$I$2+1))*(TransType="DIS")*(TransCAccDep)),SUMPRODUCT((TransCat=$A33)*(TransIDDate&gt;=Assets!$H$2)*(TransIDDate&lt;(Assets!$I$2+1))*(TransType="DIS")*(TransCAccDep))),"")</f>
        <v/>
      </c>
      <c r="AK33" s="8" t="str" cm="1">
        <f t="array" aca="1" ref="AK33" ca="1">IF(ROW($B33)-ROW($B$5)&gt;CatCount,"",OFFSET('Set-up'!$A$22,ROW($B33)-ROW($B$5),COLUMN('Set-up'!$I$22)-1,1,1))</f>
        <v/>
      </c>
      <c r="AL33" s="28" t="str">
        <f t="shared" ca="1" si="10"/>
        <v/>
      </c>
      <c r="AM33" s="8" t="str" cm="1">
        <f t="array" aca="1" ref="AM33" ca="1">IF(ROW($B33)-ROW($B$5)&gt;CatCount,"",OFFSET('Set-up'!$A$22,ROW($B33)-ROW($B$5),COLUMN('Set-up'!$G$22)-1,1,1))</f>
        <v/>
      </c>
      <c r="AN33" s="28" t="str">
        <f ca="1">IF(LEN($A33)&gt;1,IF($E$2="MTD",SUMPRODUCT((TransCat=$A33)*(TransIDDate&gt;=Assets!$J$2)*(TransIDDate&lt;(Assets!$I$2+1))*(TransType="DIS")*(TransRPrev)),SUMPRODUCT((TransCat=$A33)*(TransIDDate&gt;=Assets!$H$2)*(TransIDDate&lt;(Assets!$I$2+1))*(TransType="DIS")*(TransRPrev))),"")</f>
        <v/>
      </c>
      <c r="AO33" s="8" t="str" cm="1">
        <f t="array" aca="1" ref="AO33" ca="1">IF(ROW($B33)-ROW($B$5)&gt;CatCount,"",OFFSET('Set-up'!$A$22,ROW($B33)-ROW($B$5),COLUMN('Set-up'!$I$22)-1,1,1))</f>
        <v/>
      </c>
      <c r="AP33" s="28" t="str">
        <f t="shared" ca="1" si="11"/>
        <v/>
      </c>
      <c r="AQ33" s="8" t="str" cm="1">
        <f t="array" aca="1" ref="AQ33" ca="1">IF(ROW($B33)-ROW($B$5)&gt;CatCount,"",OFFSET('Set-up'!$A$22,ROW($B33)-ROW($B$5),COLUMN('Set-up'!$J$22)-1,1,1))</f>
        <v/>
      </c>
      <c r="AR33" s="28" t="str">
        <f t="shared" ca="1" si="12"/>
        <v/>
      </c>
      <c r="AS33" s="8" t="str" cm="1">
        <f t="array" aca="1" ref="AS33" ca="1">IF(ROW($B33)-ROW($B$5)&gt;CatCount,"",OFFSET('Set-up'!$A$22,ROW($B33)-ROW($B$5),COLUMN('Set-up'!$K$22)-1,1,1))</f>
        <v/>
      </c>
      <c r="AT33" s="28" t="str">
        <f t="shared" ca="1" si="14"/>
        <v/>
      </c>
    </row>
    <row r="34" spans="1:46" ht="16" customHeight="1" x14ac:dyDescent="0.25">
      <c r="A34" s="3" t="str" cm="1">
        <f t="array" aca="1" ref="A34" ca="1">IF(ROW($B34)-ROW($B$5)&gt;CatCount,"",OFFSET('Set-up'!$A$22,ROW($B34)-ROW($B$5),0,1,1))</f>
        <v/>
      </c>
      <c r="B34" s="3" t="str">
        <f t="shared" ca="1" si="0"/>
        <v/>
      </c>
      <c r="C34" s="8" t="str" cm="1">
        <f t="array" aca="1" ref="C34" ca="1">IF(ROW($B34)-ROW($B$5)&gt;CatCount,"",OFFSET('Set-up'!$A$22,ROW($B34)-ROW($B$5),COLUMN('Set-up'!$F$22)-1,1,1))</f>
        <v/>
      </c>
      <c r="D34" s="28" t="str">
        <f t="shared" ca="1" si="1"/>
        <v/>
      </c>
      <c r="E34" s="8" t="str" cm="1">
        <f t="array" aca="1" ref="E34" ca="1">IF(ROW($B34)-ROW($B$5)&gt;CatCount,"",OFFSET('Set-up'!$A$22,ROW($B34)-ROW($B$5),COLUMN('Set-up'!$E$22)-1,1,1))</f>
        <v/>
      </c>
      <c r="F34" s="28" t="str">
        <f t="shared" ca="1" si="2"/>
        <v/>
      </c>
      <c r="G34" s="8" t="str" cm="1">
        <f t="array" aca="1" ref="G34" ca="1">IF(ROW($B34)-ROW($B$5)&gt;CatCount,"",OFFSET('Set-up'!$A$22,ROW($B34)-ROW($B$5),COLUMN('Set-up'!$G$22)-1,1,1))</f>
        <v/>
      </c>
      <c r="H34" s="28" t="str">
        <f t="shared" ca="1" si="3"/>
        <v/>
      </c>
      <c r="I34" s="8" t="str" cm="1">
        <f t="array" aca="1" ref="I34" ca="1">IF(ROW($B34)-ROW($B$5)&gt;CatCount,"",OFFSET('Set-up'!$A$22,ROW($B34)-ROW($B$5),COLUMN('Set-up'!$E$22)-1,1,1))</f>
        <v/>
      </c>
      <c r="J34" s="28" t="str">
        <f t="shared" ca="1" si="4"/>
        <v/>
      </c>
      <c r="K34" s="8" t="str" cm="1">
        <f t="array" aca="1" ref="K34" ca="1">IF(ROW($B34)-ROW($B$5)&gt;CatCount,"",OFFSET('Set-up'!$A$22,ROW($B34)-ROW($B$5),COLUMN('Set-up'!$D$22)-1,1,1))</f>
        <v/>
      </c>
      <c r="L34" s="28" t="str">
        <f ca="1">IF(LEN($A34)&gt;1,IF($E$2="MTD",SUMPRODUCT((TransCat=$A34)*(TransIDDate&gt;=Assets!$J$2)*(TransIDDate&lt;(Assets!$I$2+1))*(TransType="ACQ")*(TransAmount)),SUMPRODUCT((TransCat=$A34)*(TransIDDate&gt;=Assets!$H$2)*(TransIDDate&lt;(Assets!$I$2+1))*(TransType="ACQ")*(TransAmount))),"")</f>
        <v/>
      </c>
      <c r="M34" s="8" t="str" cm="1">
        <f t="array" aca="1" ref="M34" ca="1">IF(ROW($B34)-ROW($B$5)&gt;CatCount,"","BANK")</f>
        <v/>
      </c>
      <c r="N34" s="28" t="str">
        <f t="shared" ca="1" si="13"/>
        <v/>
      </c>
      <c r="O34" s="8" t="str" cm="1">
        <f t="array" aca="1" ref="O34" ca="1">IF(ROW($B34)-ROW($B$5)&gt;CatCount,"",OFFSET('Set-up'!$A$22,ROW($B34)-ROW($B$5),COLUMN('Set-up'!$D$22)-1,1,1))</f>
        <v/>
      </c>
      <c r="P34" s="28" t="str">
        <f ca="1">IF(LEN($A34)&gt;1,IF($E$2="MTD",SUMPRODUCT((TransCat=$A34)*(TransIDDate&gt;=Assets!$J$2)*(TransIDDate&lt;(Assets!$I$2+1))*(TransType="REV")*(TransAmount))+SUMPRODUCT((TransCat=$A34)*(TransIDDate&gt;=Assets!$J$2)*(TransIDDate&lt;(Assets!$I$2+1))*(TransType="REV")*(TransImpair))-SUMPRODUCT((TransCat=$A34)*(TransIDDate&gt;=Assets!$J$2)*(TransIDDate&lt;(Assets!$I$2+1))*(TransType="REV")*(TransPCost)),SUMPRODUCT((TransCat=$A34)*(TransIDDate&gt;=Assets!$H$2)*(TransIDDate&lt;(Assets!$I$2+1))*(TransType="REV")*(TransAmount))+SUMPRODUCT((TransCat=$A34)*(TransIDDate&gt;=Assets!$H$2)*(TransIDDate&lt;(Assets!$I$2+1))*(TransType="REV")*(TransImpair))-SUMPRODUCT((TransCat=$A34)*(TransIDDate&gt;=Assets!$H$2)*(TransIDDate&lt;(Assets!$I$2+1))*(TransType="REV")*(TransPCost))),"")</f>
        <v/>
      </c>
      <c r="Q34" s="8" t="str" cm="1">
        <f t="array" aca="1" ref="Q34" ca="1">IF(ROW($B34)-ROW($B$5)&gt;CatCount,"",OFFSET('Set-up'!$A$22,ROW($B34)-ROW($B$5),COLUMN('Set-up'!$G$22)-1,1,1))</f>
        <v/>
      </c>
      <c r="R34" s="28" t="str">
        <f t="shared" ca="1" si="5"/>
        <v/>
      </c>
      <c r="S34" s="8" t="str" cm="1">
        <f t="array" aca="1" ref="S34" ca="1">IF(ROW($B34)-ROW($B$5)&gt;CatCount,"",OFFSET('Set-up'!$A$22,ROW($B34)-ROW($B$5),COLUMN('Set-up'!$G$22)-1,1,1))</f>
        <v/>
      </c>
      <c r="T34" s="28" t="str">
        <f ca="1">IF(LEN($A34)&gt;1,IF($E$2="MTD",-SUMPRODUCT((TransCat=$A34)*(TransIDDate&gt;=Assets!$J$2)*(TransIDDate&lt;(Assets!$I$2+1))*(TransType="REV")*(TransCAccDep)),-SUMPRODUCT((TransCat=$A34)*(TransIDDate&gt;=Assets!$H$2)*(TransIDDate&lt;(Assets!$I$2+1))*(TransType="REV")*(TransCAccDep))),"")</f>
        <v/>
      </c>
      <c r="U34" s="8" t="str" cm="1">
        <f t="array" aca="1" ref="U34" ca="1">IF(ROW($B34)-ROW($B$5)&gt;CatCount,"",OFFSET('Set-up'!$A$22,ROW($B34)-ROW($B$5),COLUMN('Set-up'!$E$22)-1,1,1))</f>
        <v/>
      </c>
      <c r="V34" s="28" t="str">
        <f t="shared" ca="1" si="6"/>
        <v/>
      </c>
      <c r="W34" s="8" t="str" cm="1">
        <f t="array" aca="1" ref="W34" ca="1">IF(ROW($B34)-ROW($B$5)&gt;CatCount,"",OFFSET('Set-up'!$A$22,ROW($B34)-ROW($B$5),COLUMN('Set-up'!$H$22)-1,1,1))</f>
        <v/>
      </c>
      <c r="X34" s="28" t="str">
        <f ca="1">IF(LEN($A34)&gt;1,IF($E$2="MTD",SUMPRODUCT((TransCat=$A34)*(TransIDDate&gt;=Assets!$J$2)*(TransIDDate&lt;(Assets!$I$2+1))*(TransType="REV")*(TransImpair)),SUMPRODUCT((TransCat=$A34)*(TransIDDate&gt;=Assets!$H$2)*(TransIDDate&lt;(Assets!$I$2+1))*(TransType="REV")*(TransImpair))),"")</f>
        <v/>
      </c>
      <c r="Y34" s="8" t="str" cm="1">
        <f t="array" aca="1" ref="Y34" ca="1">IF(ROW($B34)-ROW($B$5)&gt;CatCount,"",OFFSET('Set-up'!$A$22,ROW($B34)-ROW($B$5),COLUMN('Set-up'!$D$22)-1,1,1))</f>
        <v/>
      </c>
      <c r="Z34" s="28" t="str">
        <f t="shared" ca="1" si="7"/>
        <v/>
      </c>
      <c r="AA34" s="8" t="str" cm="1">
        <f t="array" aca="1" ref="AA34" ca="1">IF(ROW($B34)-ROW($B$5)&gt;CatCount,"","BANK")</f>
        <v/>
      </c>
      <c r="AB34" s="28" t="str">
        <f ca="1">IF(LEN($A34)&gt;1,IF($E$2="MTD",SUMPRODUCT((TransCat=$A34)*(TransIDDate&gt;=Assets!$J$2)*(TransIDDate&lt;(Assets!$I$2+1))*(TransType="DIS")*(TransProceeds)),SUMPRODUCT((TransCat=$A34)*(TransIDDate&gt;=Assets!$H$2)*(TransIDDate&lt;(Assets!$I$2+1))*(TransType="DIS")*(TransProceeds))),"")</f>
        <v/>
      </c>
      <c r="AC34" s="8" t="str" cm="1">
        <f t="array" aca="1" ref="AC34" ca="1">IF(ROW($B34)-ROW($B$5)&gt;CatCount,"",OFFSET('Set-up'!$A$22,ROW($B34)-ROW($B$5),COLUMN('Set-up'!$I$22)-1,1,1))</f>
        <v/>
      </c>
      <c r="AD34" s="28" t="str">
        <f t="shared" ca="1" si="8"/>
        <v/>
      </c>
      <c r="AE34" s="8" t="str" cm="1">
        <f t="array" aca="1" ref="AE34" ca="1">IF(ROW($B34)-ROW($B$5)&gt;CatCount,"",OFFSET('Set-up'!$A$22,ROW($B34)-ROW($B$5),COLUMN('Set-up'!$I$22)-1,1,1))</f>
        <v/>
      </c>
      <c r="AF34" s="28" t="str">
        <f ca="1">IF(LEN($A34)&gt;1,IF($E$2="MTD",SUMPRODUCT((TransCat=$A34)*(TransIDDate&gt;=Assets!$J$2)*(TransIDDate&lt;(Assets!$I$2+1))*(TransType="DIS")*(TransPCost)),SUMPRODUCT((TransCat=$A34)*(TransIDDate&gt;=Assets!$H$2)*(TransIDDate&lt;(Assets!$I$2+1))*(TransType="DIS")*(TransPCost))),"")</f>
        <v/>
      </c>
      <c r="AG34" s="8" t="str" cm="1">
        <f t="array" aca="1" ref="AG34" ca="1">IF(ROW($B34)-ROW($B$5)&gt;CatCount,"",OFFSET('Set-up'!$A$22,ROW($B34)-ROW($B$5),COLUMN('Set-up'!$D$22)-1,1,1))</f>
        <v/>
      </c>
      <c r="AH34" s="28" t="str">
        <f t="shared" ca="1" si="9"/>
        <v/>
      </c>
      <c r="AI34" s="8" t="str" cm="1">
        <f t="array" aca="1" ref="AI34" ca="1">IF(ROW($B34)-ROW($B$5)&gt;CatCount,"",OFFSET('Set-up'!$A$22,ROW($B34)-ROW($B$5),COLUMN('Set-up'!$E$22)-1,1,1))</f>
        <v/>
      </c>
      <c r="AJ34" s="28" t="str">
        <f ca="1">IF(LEN($A34)&gt;1,IF($E$2="MTD",SUMPRODUCT((TransCat=$A34)*(TransIDDate&gt;=Assets!$J$2)*(TransIDDate&lt;(Assets!$I$2+1))*(TransType="DIS")*(TransCAccDep)),SUMPRODUCT((TransCat=$A34)*(TransIDDate&gt;=Assets!$H$2)*(TransIDDate&lt;(Assets!$I$2+1))*(TransType="DIS")*(TransCAccDep))),"")</f>
        <v/>
      </c>
      <c r="AK34" s="8" t="str" cm="1">
        <f t="array" aca="1" ref="AK34" ca="1">IF(ROW($B34)-ROW($B$5)&gt;CatCount,"",OFFSET('Set-up'!$A$22,ROW($B34)-ROW($B$5),COLUMN('Set-up'!$I$22)-1,1,1))</f>
        <v/>
      </c>
      <c r="AL34" s="28" t="str">
        <f t="shared" ca="1" si="10"/>
        <v/>
      </c>
      <c r="AM34" s="8" t="str" cm="1">
        <f t="array" aca="1" ref="AM34" ca="1">IF(ROW($B34)-ROW($B$5)&gt;CatCount,"",OFFSET('Set-up'!$A$22,ROW($B34)-ROW($B$5),COLUMN('Set-up'!$G$22)-1,1,1))</f>
        <v/>
      </c>
      <c r="AN34" s="28" t="str">
        <f ca="1">IF(LEN($A34)&gt;1,IF($E$2="MTD",SUMPRODUCT((TransCat=$A34)*(TransIDDate&gt;=Assets!$J$2)*(TransIDDate&lt;(Assets!$I$2+1))*(TransType="DIS")*(TransRPrev)),SUMPRODUCT((TransCat=$A34)*(TransIDDate&gt;=Assets!$H$2)*(TransIDDate&lt;(Assets!$I$2+1))*(TransType="DIS")*(TransRPrev))),"")</f>
        <v/>
      </c>
      <c r="AO34" s="8" t="str" cm="1">
        <f t="array" aca="1" ref="AO34" ca="1">IF(ROW($B34)-ROW($B$5)&gt;CatCount,"",OFFSET('Set-up'!$A$22,ROW($B34)-ROW($B$5),COLUMN('Set-up'!$I$22)-1,1,1))</f>
        <v/>
      </c>
      <c r="AP34" s="28" t="str">
        <f t="shared" ca="1" si="11"/>
        <v/>
      </c>
      <c r="AQ34" s="8" t="str" cm="1">
        <f t="array" aca="1" ref="AQ34" ca="1">IF(ROW($B34)-ROW($B$5)&gt;CatCount,"",OFFSET('Set-up'!$A$22,ROW($B34)-ROW($B$5),COLUMN('Set-up'!$J$22)-1,1,1))</f>
        <v/>
      </c>
      <c r="AR34" s="28" t="str">
        <f t="shared" ca="1" si="12"/>
        <v/>
      </c>
      <c r="AS34" s="8" t="str" cm="1">
        <f t="array" aca="1" ref="AS34" ca="1">IF(ROW($B34)-ROW($B$5)&gt;CatCount,"",OFFSET('Set-up'!$A$22,ROW($B34)-ROW($B$5),COLUMN('Set-up'!$K$22)-1,1,1))</f>
        <v/>
      </c>
      <c r="AT34" s="28" t="str">
        <f t="shared" ca="1" si="14"/>
        <v/>
      </c>
    </row>
    <row r="35" spans="1:46" ht="16" customHeight="1" x14ac:dyDescent="0.25">
      <c r="A35" s="3" t="str" cm="1">
        <f t="array" aca="1" ref="A35" ca="1">IF(ROW($B35)-ROW($B$5)&gt;CatCount,"",OFFSET('Set-up'!$A$22,ROW($B35)-ROW($B$5),0,1,1))</f>
        <v/>
      </c>
      <c r="B35" s="3" t="str">
        <f t="shared" ca="1" si="0"/>
        <v/>
      </c>
      <c r="C35" s="8" t="str" cm="1">
        <f t="array" aca="1" ref="C35" ca="1">IF(ROW($B35)-ROW($B$5)&gt;CatCount,"",OFFSET('Set-up'!$A$22,ROW($B35)-ROW($B$5),COLUMN('Set-up'!$F$22)-1,1,1))</f>
        <v/>
      </c>
      <c r="D35" s="28" t="str">
        <f t="shared" ca="1" si="1"/>
        <v/>
      </c>
      <c r="E35" s="8" t="str" cm="1">
        <f t="array" aca="1" ref="E35" ca="1">IF(ROW($B35)-ROW($B$5)&gt;CatCount,"",OFFSET('Set-up'!$A$22,ROW($B35)-ROW($B$5),COLUMN('Set-up'!$E$22)-1,1,1))</f>
        <v/>
      </c>
      <c r="F35" s="28" t="str">
        <f t="shared" ca="1" si="2"/>
        <v/>
      </c>
      <c r="G35" s="8" t="str" cm="1">
        <f t="array" aca="1" ref="G35" ca="1">IF(ROW($B35)-ROW($B$5)&gt;CatCount,"",OFFSET('Set-up'!$A$22,ROW($B35)-ROW($B$5),COLUMN('Set-up'!$G$22)-1,1,1))</f>
        <v/>
      </c>
      <c r="H35" s="28" t="str">
        <f t="shared" ca="1" si="3"/>
        <v/>
      </c>
      <c r="I35" s="8" t="str" cm="1">
        <f t="array" aca="1" ref="I35" ca="1">IF(ROW($B35)-ROW($B$5)&gt;CatCount,"",OFFSET('Set-up'!$A$22,ROW($B35)-ROW($B$5),COLUMN('Set-up'!$E$22)-1,1,1))</f>
        <v/>
      </c>
      <c r="J35" s="28" t="str">
        <f t="shared" ca="1" si="4"/>
        <v/>
      </c>
      <c r="K35" s="8" t="str" cm="1">
        <f t="array" aca="1" ref="K35" ca="1">IF(ROW($B35)-ROW($B$5)&gt;CatCount,"",OFFSET('Set-up'!$A$22,ROW($B35)-ROW($B$5),COLUMN('Set-up'!$D$22)-1,1,1))</f>
        <v/>
      </c>
      <c r="L35" s="28" t="str">
        <f ca="1">IF(LEN($A35)&gt;1,IF($E$2="MTD",SUMPRODUCT((TransCat=$A35)*(TransIDDate&gt;=Assets!$J$2)*(TransIDDate&lt;(Assets!$I$2+1))*(TransType="ACQ")*(TransAmount)),SUMPRODUCT((TransCat=$A35)*(TransIDDate&gt;=Assets!$H$2)*(TransIDDate&lt;(Assets!$I$2+1))*(TransType="ACQ")*(TransAmount))),"")</f>
        <v/>
      </c>
      <c r="M35" s="8" t="str" cm="1">
        <f t="array" aca="1" ref="M35" ca="1">IF(ROW($B35)-ROW($B$5)&gt;CatCount,"","BANK")</f>
        <v/>
      </c>
      <c r="N35" s="28" t="str">
        <f t="shared" ca="1" si="13"/>
        <v/>
      </c>
      <c r="O35" s="8" t="str" cm="1">
        <f t="array" aca="1" ref="O35" ca="1">IF(ROW($B35)-ROW($B$5)&gt;CatCount,"",OFFSET('Set-up'!$A$22,ROW($B35)-ROW($B$5),COLUMN('Set-up'!$D$22)-1,1,1))</f>
        <v/>
      </c>
      <c r="P35" s="28" t="str">
        <f ca="1">IF(LEN($A35)&gt;1,IF($E$2="MTD",SUMPRODUCT((TransCat=$A35)*(TransIDDate&gt;=Assets!$J$2)*(TransIDDate&lt;(Assets!$I$2+1))*(TransType="REV")*(TransAmount))+SUMPRODUCT((TransCat=$A35)*(TransIDDate&gt;=Assets!$J$2)*(TransIDDate&lt;(Assets!$I$2+1))*(TransType="REV")*(TransImpair))-SUMPRODUCT((TransCat=$A35)*(TransIDDate&gt;=Assets!$J$2)*(TransIDDate&lt;(Assets!$I$2+1))*(TransType="REV")*(TransPCost)),SUMPRODUCT((TransCat=$A35)*(TransIDDate&gt;=Assets!$H$2)*(TransIDDate&lt;(Assets!$I$2+1))*(TransType="REV")*(TransAmount))+SUMPRODUCT((TransCat=$A35)*(TransIDDate&gt;=Assets!$H$2)*(TransIDDate&lt;(Assets!$I$2+1))*(TransType="REV")*(TransImpair))-SUMPRODUCT((TransCat=$A35)*(TransIDDate&gt;=Assets!$H$2)*(TransIDDate&lt;(Assets!$I$2+1))*(TransType="REV")*(TransPCost))),"")</f>
        <v/>
      </c>
      <c r="Q35" s="8" t="str" cm="1">
        <f t="array" aca="1" ref="Q35" ca="1">IF(ROW($B35)-ROW($B$5)&gt;CatCount,"",OFFSET('Set-up'!$A$22,ROW($B35)-ROW($B$5),COLUMN('Set-up'!$G$22)-1,1,1))</f>
        <v/>
      </c>
      <c r="R35" s="28" t="str">
        <f t="shared" ca="1" si="5"/>
        <v/>
      </c>
      <c r="S35" s="8" t="str" cm="1">
        <f t="array" aca="1" ref="S35" ca="1">IF(ROW($B35)-ROW($B$5)&gt;CatCount,"",OFFSET('Set-up'!$A$22,ROW($B35)-ROW($B$5),COLUMN('Set-up'!$G$22)-1,1,1))</f>
        <v/>
      </c>
      <c r="T35" s="28" t="str">
        <f ca="1">IF(LEN($A35)&gt;1,IF($E$2="MTD",-SUMPRODUCT((TransCat=$A35)*(TransIDDate&gt;=Assets!$J$2)*(TransIDDate&lt;(Assets!$I$2+1))*(TransType="REV")*(TransCAccDep)),-SUMPRODUCT((TransCat=$A35)*(TransIDDate&gt;=Assets!$H$2)*(TransIDDate&lt;(Assets!$I$2+1))*(TransType="REV")*(TransCAccDep))),"")</f>
        <v/>
      </c>
      <c r="U35" s="8" t="str" cm="1">
        <f t="array" aca="1" ref="U35" ca="1">IF(ROW($B35)-ROW($B$5)&gt;CatCount,"",OFFSET('Set-up'!$A$22,ROW($B35)-ROW($B$5),COLUMN('Set-up'!$E$22)-1,1,1))</f>
        <v/>
      </c>
      <c r="V35" s="28" t="str">
        <f t="shared" ca="1" si="6"/>
        <v/>
      </c>
      <c r="W35" s="8" t="str" cm="1">
        <f t="array" aca="1" ref="W35" ca="1">IF(ROW($B35)-ROW($B$5)&gt;CatCount,"",OFFSET('Set-up'!$A$22,ROW($B35)-ROW($B$5),COLUMN('Set-up'!$H$22)-1,1,1))</f>
        <v/>
      </c>
      <c r="X35" s="28" t="str">
        <f ca="1">IF(LEN($A35)&gt;1,IF($E$2="MTD",SUMPRODUCT((TransCat=$A35)*(TransIDDate&gt;=Assets!$J$2)*(TransIDDate&lt;(Assets!$I$2+1))*(TransType="REV")*(TransImpair)),SUMPRODUCT((TransCat=$A35)*(TransIDDate&gt;=Assets!$H$2)*(TransIDDate&lt;(Assets!$I$2+1))*(TransType="REV")*(TransImpair))),"")</f>
        <v/>
      </c>
      <c r="Y35" s="8" t="str" cm="1">
        <f t="array" aca="1" ref="Y35" ca="1">IF(ROW($B35)-ROW($B$5)&gt;CatCount,"",OFFSET('Set-up'!$A$22,ROW($B35)-ROW($B$5),COLUMN('Set-up'!$D$22)-1,1,1))</f>
        <v/>
      </c>
      <c r="Z35" s="28" t="str">
        <f t="shared" ca="1" si="7"/>
        <v/>
      </c>
      <c r="AA35" s="8" t="str" cm="1">
        <f t="array" aca="1" ref="AA35" ca="1">IF(ROW($B35)-ROW($B$5)&gt;CatCount,"","BANK")</f>
        <v/>
      </c>
      <c r="AB35" s="28" t="str">
        <f ca="1">IF(LEN($A35)&gt;1,IF($E$2="MTD",SUMPRODUCT((TransCat=$A35)*(TransIDDate&gt;=Assets!$J$2)*(TransIDDate&lt;(Assets!$I$2+1))*(TransType="DIS")*(TransProceeds)),SUMPRODUCT((TransCat=$A35)*(TransIDDate&gt;=Assets!$H$2)*(TransIDDate&lt;(Assets!$I$2+1))*(TransType="DIS")*(TransProceeds))),"")</f>
        <v/>
      </c>
      <c r="AC35" s="8" t="str" cm="1">
        <f t="array" aca="1" ref="AC35" ca="1">IF(ROW($B35)-ROW($B$5)&gt;CatCount,"",OFFSET('Set-up'!$A$22,ROW($B35)-ROW($B$5),COLUMN('Set-up'!$I$22)-1,1,1))</f>
        <v/>
      </c>
      <c r="AD35" s="28" t="str">
        <f t="shared" ca="1" si="8"/>
        <v/>
      </c>
      <c r="AE35" s="8" t="str" cm="1">
        <f t="array" aca="1" ref="AE35" ca="1">IF(ROW($B35)-ROW($B$5)&gt;CatCount,"",OFFSET('Set-up'!$A$22,ROW($B35)-ROW($B$5),COLUMN('Set-up'!$I$22)-1,1,1))</f>
        <v/>
      </c>
      <c r="AF35" s="28" t="str">
        <f ca="1">IF(LEN($A35)&gt;1,IF($E$2="MTD",SUMPRODUCT((TransCat=$A35)*(TransIDDate&gt;=Assets!$J$2)*(TransIDDate&lt;(Assets!$I$2+1))*(TransType="DIS")*(TransPCost)),SUMPRODUCT((TransCat=$A35)*(TransIDDate&gt;=Assets!$H$2)*(TransIDDate&lt;(Assets!$I$2+1))*(TransType="DIS")*(TransPCost))),"")</f>
        <v/>
      </c>
      <c r="AG35" s="8" t="str" cm="1">
        <f t="array" aca="1" ref="AG35" ca="1">IF(ROW($B35)-ROW($B$5)&gt;CatCount,"",OFFSET('Set-up'!$A$22,ROW($B35)-ROW($B$5),COLUMN('Set-up'!$D$22)-1,1,1))</f>
        <v/>
      </c>
      <c r="AH35" s="28" t="str">
        <f t="shared" ca="1" si="9"/>
        <v/>
      </c>
      <c r="AI35" s="8" t="str" cm="1">
        <f t="array" aca="1" ref="AI35" ca="1">IF(ROW($B35)-ROW($B$5)&gt;CatCount,"",OFFSET('Set-up'!$A$22,ROW($B35)-ROW($B$5),COLUMN('Set-up'!$E$22)-1,1,1))</f>
        <v/>
      </c>
      <c r="AJ35" s="28" t="str">
        <f ca="1">IF(LEN($A35)&gt;1,IF($E$2="MTD",SUMPRODUCT((TransCat=$A35)*(TransIDDate&gt;=Assets!$J$2)*(TransIDDate&lt;(Assets!$I$2+1))*(TransType="DIS")*(TransCAccDep)),SUMPRODUCT((TransCat=$A35)*(TransIDDate&gt;=Assets!$H$2)*(TransIDDate&lt;(Assets!$I$2+1))*(TransType="DIS")*(TransCAccDep))),"")</f>
        <v/>
      </c>
      <c r="AK35" s="8" t="str" cm="1">
        <f t="array" aca="1" ref="AK35" ca="1">IF(ROW($B35)-ROW($B$5)&gt;CatCount,"",OFFSET('Set-up'!$A$22,ROW($B35)-ROW($B$5),COLUMN('Set-up'!$I$22)-1,1,1))</f>
        <v/>
      </c>
      <c r="AL35" s="28" t="str">
        <f t="shared" ca="1" si="10"/>
        <v/>
      </c>
      <c r="AM35" s="8" t="str" cm="1">
        <f t="array" aca="1" ref="AM35" ca="1">IF(ROW($B35)-ROW($B$5)&gt;CatCount,"",OFFSET('Set-up'!$A$22,ROW($B35)-ROW($B$5),COLUMN('Set-up'!$G$22)-1,1,1))</f>
        <v/>
      </c>
      <c r="AN35" s="28" t="str">
        <f ca="1">IF(LEN($A35)&gt;1,IF($E$2="MTD",SUMPRODUCT((TransCat=$A35)*(TransIDDate&gt;=Assets!$J$2)*(TransIDDate&lt;(Assets!$I$2+1))*(TransType="DIS")*(TransRPrev)),SUMPRODUCT((TransCat=$A35)*(TransIDDate&gt;=Assets!$H$2)*(TransIDDate&lt;(Assets!$I$2+1))*(TransType="DIS")*(TransRPrev))),"")</f>
        <v/>
      </c>
      <c r="AO35" s="8" t="str" cm="1">
        <f t="array" aca="1" ref="AO35" ca="1">IF(ROW($B35)-ROW($B$5)&gt;CatCount,"",OFFSET('Set-up'!$A$22,ROW($B35)-ROW($B$5),COLUMN('Set-up'!$I$22)-1,1,1))</f>
        <v/>
      </c>
      <c r="AP35" s="28" t="str">
        <f t="shared" ca="1" si="11"/>
        <v/>
      </c>
      <c r="AQ35" s="8" t="str" cm="1">
        <f t="array" aca="1" ref="AQ35" ca="1">IF(ROW($B35)-ROW($B$5)&gt;CatCount,"",OFFSET('Set-up'!$A$22,ROW($B35)-ROW($B$5),COLUMN('Set-up'!$J$22)-1,1,1))</f>
        <v/>
      </c>
      <c r="AR35" s="28" t="str">
        <f t="shared" ca="1" si="12"/>
        <v/>
      </c>
      <c r="AS35" s="8" t="str" cm="1">
        <f t="array" aca="1" ref="AS35" ca="1">IF(ROW($B35)-ROW($B$5)&gt;CatCount,"",OFFSET('Set-up'!$A$22,ROW($B35)-ROW($B$5),COLUMN('Set-up'!$K$22)-1,1,1))</f>
        <v/>
      </c>
      <c r="AT35" s="28" t="str">
        <f t="shared" ca="1" si="14"/>
        <v/>
      </c>
    </row>
  </sheetData>
  <mergeCells count="11">
    <mergeCell ref="AA4:AD4"/>
    <mergeCell ref="AE4:AH4"/>
    <mergeCell ref="AQ4:AT4"/>
    <mergeCell ref="AI4:AL4"/>
    <mergeCell ref="C4:F4"/>
    <mergeCell ref="G4:J4"/>
    <mergeCell ref="AM4:AP4"/>
    <mergeCell ref="K4:N4"/>
    <mergeCell ref="O4:R4"/>
    <mergeCell ref="S4:V4"/>
    <mergeCell ref="W4:Z4"/>
  </mergeCells>
  <dataValidations count="1">
    <dataValidation type="list" allowBlank="1" showInputMessage="1" showErrorMessage="1" errorTitle="Invalid Data" error="Select a valid item from the list box." sqref="E2" xr:uid="{00000000-0002-0000-0900-000000000000}">
      <formula1>"MTD,YTD"</formula1>
    </dataValidation>
  </dataValidations>
  <pageMargins left="0.55118110236220474" right="0.55118110236220474" top="0.59055118110236227" bottom="0.59055118110236227" header="0.39370078740157483" footer="0.39370078740157483"/>
  <pageSetup paperSize="9" scale="60" orientation="landscape" r:id="rId1"/>
  <headerFooter>
    <oddFooter>&amp;C&amp;9Page &amp;P of &amp;N</oddFooter>
  </headerFooter>
  <colBreaks count="3" manualBreakCount="3">
    <brk id="14" max="1048575" man="1"/>
    <brk id="26" max="1048575" man="1"/>
    <brk id="38" max="1048575" man="1"/>
  </colBreaks>
  <ignoredErrors>
    <ignoredError sqref="R6:R35 AD6:AD35" formula="1"/>
  </ignoredErrors>
  <drawing r:id="rId2"/>
</worksheet>
</file>

<file path=customUI/customUI.xml><?xml version="1.0" encoding="utf-8"?>
<customUI xmlns="http://schemas.microsoft.com/office/2006/01/customui">
  <commands>
    <command idMso="FileSave" enabled="false"/>
    <command idMso="FileSaveAs" enabled="false"/>
    <command idMso="FileSaveAsMenu" enabled="false"/>
    <command idMso="FileSaveAsOtherFormats" enabled="false"/>
    <command idMso="FilePrintMenu" enabled="false"/>
    <command idMso="FilePrint" enabled="false"/>
    <command idMso="FilePrintQuick" enabled="false"/>
    <command idMso="FilePrintPreview" enabled="false"/>
    <command idMso="PageSetupPageDialog" enabled="false"/>
    <command idMso="FileSendMenu" enabled="false"/>
    <command idMso="ReviewSendForReview" enabled="false"/>
    <command idMso="SendCopySendNow" enabled="false"/>
    <command idMso="SendCopyToMailRecipient" enabled="false"/>
  </commands>
</customUI>
</file>

<file path=customUI/customUI14.xml><?xml version="1.0" encoding="utf-8"?>
<customUI xmlns="http://schemas.microsoft.com/office/2009/07/customui">
  <commands>
    <command idMso="FileSave" enabled="false"/>
    <command idMso="FileSaveAs" enabled="false"/>
    <command idMso="FileSaveAsMenu" enabled="false"/>
    <command idMso="FileSaveAsOtherFormats" enabled="false"/>
    <command idMso="FilePrintMenu" enabled="false"/>
    <command idMso="FilePrintQuick" enabled="false"/>
    <command idMso="FilePrintPreview" enabled="false"/>
    <command idMso="PrintPreviewAndPrint" enabled="false"/>
    <command idMso="GroupPrintPreviewPrint" enabled="false"/>
    <command idMso="FileSendMenu" enabled="false"/>
    <command idMso="ReviewSendForReview" enabled="false"/>
    <command idMso="SendCopySendNow" enabled="false"/>
    <command idMso="SendCopyToMailRecipient" enabled="false"/>
  </commands>
  <backstage>
    <tab idMso="TabShare" visible="false"/>
    <tab idMso="TabPrint" visible="false"/>
    <tab idMso="TabPublish" visible="false"/>
    <tab idMso="Publish2Tab" visible="false"/>
    <tab idMso="TabSave" visible="false"/>
  </backstage>
</customUI>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63</vt:i4>
      </vt:variant>
    </vt:vector>
  </HeadingPairs>
  <TitlesOfParts>
    <vt:vector size="65" baseType="lpstr">
      <vt:lpstr>Info</vt:lpstr>
      <vt:lpstr>Set-up</vt:lpstr>
      <vt:lpstr>AssetAll</vt:lpstr>
      <vt:lpstr>AssetCAdd</vt:lpstr>
      <vt:lpstr>AssetCat</vt:lpstr>
      <vt:lpstr>AssetCDis</vt:lpstr>
      <vt:lpstr>AssetCImp</vt:lpstr>
      <vt:lpstr>AssetClass</vt:lpstr>
      <vt:lpstr>AssetCOB</vt:lpstr>
      <vt:lpstr>AssetCode</vt:lpstr>
      <vt:lpstr>AssetCRev</vt:lpstr>
      <vt:lpstr>AssetDDepC</vt:lpstr>
      <vt:lpstr>AssetDDepR</vt:lpstr>
      <vt:lpstr>AssetDDis</vt:lpstr>
      <vt:lpstr>AssetDOB</vt:lpstr>
      <vt:lpstr>AssetDRev</vt:lpstr>
      <vt:lpstr>AssetErrorCode</vt:lpstr>
      <vt:lpstr>AssetIWO</vt:lpstr>
      <vt:lpstr>AssetMCost</vt:lpstr>
      <vt:lpstr>AssetMDTax</vt:lpstr>
      <vt:lpstr>AssetMRev</vt:lpstr>
      <vt:lpstr>AssetNo</vt:lpstr>
      <vt:lpstr>AssetPLoss</vt:lpstr>
      <vt:lpstr>AssetRMove</vt:lpstr>
      <vt:lpstr>AssetROB</vt:lpstr>
      <vt:lpstr>AssetYDTax</vt:lpstr>
      <vt:lpstr>MonthNames</vt:lpstr>
      <vt:lpstr>Instructions!Print_Area</vt:lpstr>
      <vt:lpstr>Assets!Print_Titles</vt:lpstr>
      <vt:lpstr>Category!Print_Titles</vt:lpstr>
      <vt:lpstr>Class!Print_Titles</vt:lpstr>
      <vt:lpstr>Instructions!Print_Titles</vt:lpstr>
      <vt:lpstr>Journals!Print_Titles</vt:lpstr>
      <vt:lpstr>Transact!Print_Titles</vt:lpstr>
      <vt:lpstr>TransAll</vt:lpstr>
      <vt:lpstr>TransAmount</vt:lpstr>
      <vt:lpstr>TransAsset</vt:lpstr>
      <vt:lpstr>TransCAccDep</vt:lpstr>
      <vt:lpstr>TransCat</vt:lpstr>
      <vt:lpstr>TransCCMDep</vt:lpstr>
      <vt:lpstr>TransCCYDep</vt:lpstr>
      <vt:lpstr>TransCCYDep2</vt:lpstr>
      <vt:lpstr>TransCLife</vt:lpstr>
      <vt:lpstr>TransCRes</vt:lpstr>
      <vt:lpstr>TransCTMDep</vt:lpstr>
      <vt:lpstr>TransCTYDep</vt:lpstr>
      <vt:lpstr>TransDate</vt:lpstr>
      <vt:lpstr>TransError</vt:lpstr>
      <vt:lpstr>TransHCost</vt:lpstr>
      <vt:lpstr>TransIDDate</vt:lpstr>
      <vt:lpstr>TransImpair</vt:lpstr>
      <vt:lpstr>TransPCAccDep</vt:lpstr>
      <vt:lpstr>TransPCost</vt:lpstr>
      <vt:lpstr>TransPDate</vt:lpstr>
      <vt:lpstr>TransPLife</vt:lpstr>
      <vt:lpstr>TransPMAccDep</vt:lpstr>
      <vt:lpstr>TransPRes</vt:lpstr>
      <vt:lpstr>TransProceeds</vt:lpstr>
      <vt:lpstr>TransProfit</vt:lpstr>
      <vt:lpstr>TransRAccDep</vt:lpstr>
      <vt:lpstr>TransRPAccDep</vt:lpstr>
      <vt:lpstr>TransRPrev</vt:lpstr>
      <vt:lpstr>TransRSurplus</vt:lpstr>
      <vt:lpstr>TransTDCost</vt:lpstr>
      <vt:lpstr>TransType</vt:lpstr>
    </vt:vector>
  </TitlesOfParts>
  <Company>Excel Skills International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IFRS Fixed Assets Register Template - Excel Skills</dc:title>
  <dc:subject>Fixed Assets</dc:subject>
  <dc:creator>Excel Skills International</dc:creator>
  <cp:keywords>fixed assets template</cp:keywords>
  <cp:lastModifiedBy>app</cp:lastModifiedBy>
  <cp:lastPrinted>2020-09-28T11:44:36Z</cp:lastPrinted>
  <dcterms:created xsi:type="dcterms:W3CDTF">2009-06-23T14:20:26Z</dcterms:created>
  <dcterms:modified xsi:type="dcterms:W3CDTF">2024-01-30T15:56:31Z</dcterms:modified>
  <cp:category>Excel 2007+</cp:category>
  <cp:contentStatus>Version 1.0</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a014a2e7-92d0-4d77-8d93-be6f3465aca4</vt:lpwstr>
  </property>
</Properties>
</file>