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drawings/drawing6.xml" ContentType="application/vnd.openxmlformats-officedocument.drawing+xml"/>
  <Override PartName="/xl/tables/table2.xml" ContentType="application/vnd.openxmlformats-officedocument.spreadsheetml.tabl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0c1c593807c04f22" Type="http://schemas.microsoft.com/office/2006/relationships/ui/extensibility" Target="customUI/customUI.xml"/><Relationship Id="Rd3475424acaa4c13" Type="http://schemas.microsoft.com/office/2007/relationships/ui/extensibility" Target="customUI/customUI14.xml"/><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codeName="ThisWorkbook" hidePivotFieldList="1"/>
  <mc:AlternateContent xmlns:mc="http://schemas.openxmlformats.org/markup-compatibility/2006">
    <mc:Choice Requires="x15">
      <x15ac:absPath xmlns:x15ac="http://schemas.microsoft.com/office/spreadsheetml/2010/11/ac" url="D:\fc\fcproduction\files_vol\task\65b91c299b26bf4627058c5f\"/>
    </mc:Choice>
  </mc:AlternateContent>
  <xr:revisionPtr revIDLastSave="0" documentId="8_{235337A0-67E2-421A-9D4D-A5BB114D44EC}" xr6:coauthVersionLast="47" xr6:coauthVersionMax="47" xr10:uidLastSave="{00000000-0000-0000-0000-000000000000}"/>
  <bookViews>
    <workbookView xWindow="1520" yWindow="1520" windowWidth="16800" windowHeight="9760" tabRatio="793" xr2:uid="{00000000-000D-0000-FFFF-FFFF00000000}"/>
  </bookViews>
  <sheets>
    <sheet name="Info" sheetId="24" r:id="rId1"/>
    <sheet name="Trial" sheetId="23" state="veryHidden" r:id="rId2"/>
    <sheet name="Instructions" sheetId="11" state="veryHidden" r:id="rId3"/>
    <sheet name="Set-up" sheetId="13" state="veryHidden" r:id="rId4"/>
    <sheet name="Assets" sheetId="25" state="veryHidden" r:id="rId5"/>
    <sheet name="Transact" sheetId="14" state="veryHidden" r:id="rId6"/>
    <sheet name="Category" sheetId="27" state="veryHidden" r:id="rId7"/>
    <sheet name="Class" sheetId="28" state="veryHidden" r:id="rId8"/>
    <sheet name="Journals" sheetId="30" state="veryHidden" r:id="rId9"/>
  </sheets>
  <definedNames>
    <definedName name="_xlnm._FilterDatabase" localSheetId="4" hidden="1">Assets!$A$4:$AS$44</definedName>
    <definedName name="_xlnm._FilterDatabase" localSheetId="5" hidden="1">Transact!$A$4:$P$47</definedName>
    <definedName name="AssetAll">Asset[#Data]</definedName>
    <definedName name="AssetCAdd">Asset[[#Data],[Additions]]</definedName>
    <definedName name="AssetCat">Asset[[#Data],[Category]]</definedName>
    <definedName name="AssetCDis">Asset[[#Data],[Disposals: Cost]]</definedName>
    <definedName name="AssetClass">Asset[[#Data],[Class]]</definedName>
    <definedName name="AssetCOB">Asset[[#Data],[Opening Balance]]</definedName>
    <definedName name="AssetCode">Asset[[#Data],[Asset Number]]</definedName>
    <definedName name="AssetDDep">Asset[[#Data],[YTD Depreciation]]</definedName>
    <definedName name="AssetDDis">Asset[[#Data],[Accum Depr: Disposals]]</definedName>
    <definedName name="AssetDisDate">Asset[[#Data],[Disposal Date]]</definedName>
    <definedName name="AssetDOB">Asset[[#Data],[Accum Depr: Opening]]</definedName>
    <definedName name="AssetErrorCode">Asset[[#Data],[Error Code]]</definedName>
    <definedName name="AssetMDep">Asset[[#Data],[MTD Depreciation]]</definedName>
    <definedName name="AssetNo">Asset[[#Data],[Asset Number]]</definedName>
    <definedName name="AssetPLoss">Asset[[#Data],[Profit / (Loss) on Disposal]]</definedName>
    <definedName name="CatAll">OFFSET('Set-up'!$A$26,1,0,ROW('Set-up'!$A$38)-ROW('Set-up'!$A$26)-1,11)</definedName>
    <definedName name="CatCode">OFFSET('Set-up'!$A$26,1,0,ROW('Set-up'!$A$38)-ROW('Set-up'!$A$26)-1,1)</definedName>
    <definedName name="CatCount">COUNTA(CatCode)</definedName>
    <definedName name="CatSumCount">COUNTA(OFFSET(Category!$A$5,1,0,Records,1))</definedName>
    <definedName name="ClassAll">OFFSET('Set-up'!$A$16,1,0,ROW('Set-up'!$A$23)-ROW('Set-up'!$A$16)-1,2)</definedName>
    <definedName name="ClassCode">OFFSET('Set-up'!$A$16,1,0,ROW('Set-up'!$A$23)-ROW('Set-up'!$A$16)-1,1)</definedName>
    <definedName name="ClassCount">COUNTA(ClassCode)</definedName>
    <definedName name="ClassSumCount">COUNTA(OFFSET(Class!$A$5,1,0,Records,1))</definedName>
    <definedName name="JnlCount">COUNTA(OFFSET(Category!$A$5,1,0,Records,1))</definedName>
    <definedName name="MaxPeriod">50000</definedName>
    <definedName name="MonthNames">'Set-up'!$A$53:$A$64</definedName>
    <definedName name="_xlnm.Print_Area" localSheetId="4">Assets!$A$1:$Y$44</definedName>
    <definedName name="_xlnm.Print_Area" localSheetId="2">Instructions!$A$1:$A$228</definedName>
    <definedName name="_xlnm.Print_Titles" localSheetId="4">Assets!$A:$C,Assets!$1:$4</definedName>
    <definedName name="_xlnm.Print_Titles" localSheetId="6">Category!$A:$B,Category!$1:$5</definedName>
    <definedName name="_xlnm.Print_Titles" localSheetId="7">Class!$A:$B,Class!$1:$5</definedName>
    <definedName name="_xlnm.Print_Titles" localSheetId="2">Instructions!$1:$4</definedName>
    <definedName name="_xlnm.Print_Titles" localSheetId="8">Journals!$A:$B,Journals!$1:$5</definedName>
    <definedName name="_xlnm.Print_Titles" localSheetId="5">Transact!$A:$C,Transact!$1:$4</definedName>
    <definedName name="Records">1000</definedName>
    <definedName name="TransAll">Transaction[#Data]</definedName>
    <definedName name="TransAmount">Transaction[[#Data],[Transaction Amount]]</definedName>
    <definedName name="TransAsset">Transaction[[#Data],[Asset Number]]</definedName>
    <definedName name="TransCat">Transaction[[#Data],[Category]]</definedName>
    <definedName name="TransDate">Transaction[[#Data],[Transaction Date]]</definedName>
    <definedName name="TransError">Transaction[[#Data],[Error Code]]</definedName>
    <definedName name="TransHCost">Transaction[[#Data],[Historical 
Cost]]</definedName>
    <definedName name="TransIDDate">Transaction[[#Data],[Transaction Date ID]]</definedName>
    <definedName name="TransLife">Transaction[[#Data],[Current Lifetime]]</definedName>
    <definedName name="TransProceeds">Transaction[[#Data],[Proceeds on Sale]]</definedName>
    <definedName name="TransRes">Transaction[[#Data],[Current Residual]]</definedName>
    <definedName name="TransType">Transaction[[#Data],[Transaction Type]]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4" i="28" l="1" a="1"/>
  <c r="A34" i="28" s="1"/>
  <c r="A33" i="28" a="1"/>
  <c r="A33" i="28" s="1"/>
  <c r="A32" i="28" a="1"/>
  <c r="A32" i="28" s="1"/>
  <c r="A31" i="28" a="1"/>
  <c r="A31" i="28" s="1"/>
  <c r="A30" i="28" a="1"/>
  <c r="A30" i="28" s="1"/>
  <c r="A29" i="28" a="1"/>
  <c r="A29" i="28" s="1"/>
  <c r="A28" i="28" a="1"/>
  <c r="A28" i="28" s="1"/>
  <c r="A27" i="28" a="1"/>
  <c r="A27" i="28" s="1"/>
  <c r="A26" i="28" a="1"/>
  <c r="A26" i="28" s="1"/>
  <c r="A25" i="28" a="1"/>
  <c r="A25" i="28" s="1"/>
  <c r="A24" i="28" a="1"/>
  <c r="A24" i="28" s="1"/>
  <c r="A23" i="28" a="1"/>
  <c r="A23" i="28" s="1"/>
  <c r="A22" i="28" a="1"/>
  <c r="A22" i="28" s="1"/>
  <c r="A21" i="28" a="1"/>
  <c r="A21" i="28" s="1"/>
  <c r="A20" i="28" a="1"/>
  <c r="A20" i="28" s="1"/>
  <c r="A19" i="28" a="1"/>
  <c r="A19" i="28" s="1"/>
  <c r="A18" i="28" a="1"/>
  <c r="A18" i="28" s="1"/>
  <c r="A17" i="28" a="1"/>
  <c r="A17" i="28" s="1"/>
  <c r="A16" i="28" a="1"/>
  <c r="A16" i="28" s="1"/>
  <c r="A15" i="28" a="1"/>
  <c r="A15" i="28" s="1"/>
  <c r="A14" i="28" a="1"/>
  <c r="A14" i="28" s="1"/>
  <c r="A13" i="28" a="1"/>
  <c r="A13" i="28" s="1"/>
  <c r="A12" i="28" a="1"/>
  <c r="A12" i="28" s="1"/>
  <c r="A11" i="28" a="1"/>
  <c r="A11" i="28" s="1"/>
  <c r="A10" i="28" a="1"/>
  <c r="A10" i="28" s="1"/>
  <c r="A9" i="28" a="1"/>
  <c r="A9" i="28" s="1"/>
  <c r="A8" i="28" a="1"/>
  <c r="A8" i="28" s="1"/>
  <c r="A7" i="28" a="1"/>
  <c r="A7" i="28" s="1"/>
  <c r="A6" i="28" a="1"/>
  <c r="A6" i="28" s="1"/>
  <c r="U35" i="30" a="1"/>
  <c r="U35" i="30" s="1"/>
  <c r="S35" i="30" a="1"/>
  <c r="S35" i="30" s="1"/>
  <c r="Q35" i="30" a="1"/>
  <c r="Q35" i="30" s="1"/>
  <c r="O35" i="30" a="1"/>
  <c r="O35" i="30" s="1"/>
  <c r="M35" i="30" a="1"/>
  <c r="M35" i="30" s="1"/>
  <c r="K35" i="30" a="1"/>
  <c r="K35" i="30" s="1"/>
  <c r="I35" i="30" a="1"/>
  <c r="I35" i="30" s="1"/>
  <c r="G35" i="30" a="1"/>
  <c r="G35" i="30" s="1"/>
  <c r="E35" i="30" a="1"/>
  <c r="E35" i="30" s="1"/>
  <c r="C35" i="30" a="1"/>
  <c r="C35" i="30" s="1"/>
  <c r="A35" i="30" a="1"/>
  <c r="A35" i="30" s="1"/>
  <c r="U34" i="30" a="1"/>
  <c r="U34" i="30" s="1"/>
  <c r="S34" i="30" a="1"/>
  <c r="S34" i="30" s="1"/>
  <c r="Q34" i="30" a="1"/>
  <c r="Q34" i="30" s="1"/>
  <c r="O34" i="30" a="1"/>
  <c r="O34" i="30" s="1"/>
  <c r="M34" i="30" a="1"/>
  <c r="M34" i="30" s="1"/>
  <c r="K34" i="30" a="1"/>
  <c r="K34" i="30" s="1"/>
  <c r="I34" i="30" a="1"/>
  <c r="I34" i="30" s="1"/>
  <c r="G34" i="30" a="1"/>
  <c r="G34" i="30" s="1"/>
  <c r="E34" i="30" a="1"/>
  <c r="E34" i="30" s="1"/>
  <c r="C34" i="30" a="1"/>
  <c r="C34" i="30" s="1"/>
  <c r="A34" i="30" a="1"/>
  <c r="A34" i="30" s="1"/>
  <c r="U33" i="30" a="1"/>
  <c r="U33" i="30" s="1"/>
  <c r="S33" i="30" a="1"/>
  <c r="S33" i="30" s="1"/>
  <c r="Q33" i="30" a="1"/>
  <c r="Q33" i="30" s="1"/>
  <c r="O33" i="30" a="1"/>
  <c r="O33" i="30" s="1"/>
  <c r="M33" i="30" a="1"/>
  <c r="M33" i="30" s="1"/>
  <c r="K33" i="30" a="1"/>
  <c r="K33" i="30" s="1"/>
  <c r="I33" i="30" a="1"/>
  <c r="I33" i="30" s="1"/>
  <c r="G33" i="30" a="1"/>
  <c r="G33" i="30" s="1"/>
  <c r="E33" i="30" a="1"/>
  <c r="E33" i="30" s="1"/>
  <c r="C33" i="30" a="1"/>
  <c r="C33" i="30" s="1"/>
  <c r="A33" i="30" a="1"/>
  <c r="A33" i="30" s="1"/>
  <c r="U32" i="30" a="1"/>
  <c r="U32" i="30" s="1"/>
  <c r="S32" i="30" a="1"/>
  <c r="S32" i="30" s="1"/>
  <c r="Q32" i="30" a="1"/>
  <c r="Q32" i="30" s="1"/>
  <c r="O32" i="30" a="1"/>
  <c r="O32" i="30" s="1"/>
  <c r="M32" i="30" a="1"/>
  <c r="M32" i="30" s="1"/>
  <c r="K32" i="30" a="1"/>
  <c r="K32" i="30" s="1"/>
  <c r="I32" i="30" a="1"/>
  <c r="I32" i="30" s="1"/>
  <c r="G32" i="30" a="1"/>
  <c r="G32" i="30" s="1"/>
  <c r="E32" i="30" a="1"/>
  <c r="E32" i="30" s="1"/>
  <c r="C32" i="30" a="1"/>
  <c r="C32" i="30" s="1"/>
  <c r="A32" i="30" a="1"/>
  <c r="A32" i="30" s="1"/>
  <c r="U31" i="30" a="1"/>
  <c r="U31" i="30" s="1"/>
  <c r="S31" i="30" a="1"/>
  <c r="S31" i="30" s="1"/>
  <c r="Q31" i="30" a="1"/>
  <c r="Q31" i="30" s="1"/>
  <c r="O31" i="30" a="1"/>
  <c r="O31" i="30" s="1"/>
  <c r="M31" i="30" a="1"/>
  <c r="M31" i="30" s="1"/>
  <c r="K31" i="30" a="1"/>
  <c r="K31" i="30" s="1"/>
  <c r="I31" i="30" a="1"/>
  <c r="I31" i="30" s="1"/>
  <c r="G31" i="30" a="1"/>
  <c r="G31" i="30" s="1"/>
  <c r="E31" i="30" a="1"/>
  <c r="E31" i="30" s="1"/>
  <c r="C31" i="30" a="1"/>
  <c r="C31" i="30" s="1"/>
  <c r="A31" i="30" a="1"/>
  <c r="A31" i="30" s="1"/>
  <c r="U30" i="30" a="1"/>
  <c r="U30" i="30" s="1"/>
  <c r="S30" i="30" a="1"/>
  <c r="S30" i="30" s="1"/>
  <c r="Q30" i="30" a="1"/>
  <c r="Q30" i="30" s="1"/>
  <c r="O30" i="30" a="1"/>
  <c r="O30" i="30" s="1"/>
  <c r="M30" i="30" a="1"/>
  <c r="M30" i="30" s="1"/>
  <c r="K30" i="30" a="1"/>
  <c r="K30" i="30" s="1"/>
  <c r="I30" i="30" a="1"/>
  <c r="I30" i="30" s="1"/>
  <c r="G30" i="30" a="1"/>
  <c r="G30" i="30" s="1"/>
  <c r="E30" i="30" a="1"/>
  <c r="E30" i="30" s="1"/>
  <c r="C30" i="30" a="1"/>
  <c r="C30" i="30" s="1"/>
  <c r="A30" i="30" a="1"/>
  <c r="A30" i="30" s="1"/>
  <c r="U29" i="30" a="1"/>
  <c r="U29" i="30" s="1"/>
  <c r="S29" i="30" a="1"/>
  <c r="S29" i="30" s="1"/>
  <c r="Q29" i="30" a="1"/>
  <c r="Q29" i="30" s="1"/>
  <c r="O29" i="30" a="1"/>
  <c r="O29" i="30" s="1"/>
  <c r="M29" i="30" a="1"/>
  <c r="M29" i="30" s="1"/>
  <c r="K29" i="30" a="1"/>
  <c r="K29" i="30" s="1"/>
  <c r="I29" i="30" a="1"/>
  <c r="I29" i="30" s="1"/>
  <c r="G29" i="30" a="1"/>
  <c r="G29" i="30" s="1"/>
  <c r="E29" i="30" a="1"/>
  <c r="E29" i="30" s="1"/>
  <c r="C29" i="30" a="1"/>
  <c r="C29" i="30" s="1"/>
  <c r="A29" i="30" a="1"/>
  <c r="A29" i="30" s="1"/>
  <c r="U28" i="30" a="1"/>
  <c r="U28" i="30" s="1"/>
  <c r="S28" i="30" a="1"/>
  <c r="S28" i="30" s="1"/>
  <c r="Q28" i="30" a="1"/>
  <c r="Q28" i="30" s="1"/>
  <c r="O28" i="30" a="1"/>
  <c r="O28" i="30" s="1"/>
  <c r="M28" i="30" a="1"/>
  <c r="M28" i="30" s="1"/>
  <c r="K28" i="30" a="1"/>
  <c r="K28" i="30" s="1"/>
  <c r="I28" i="30" a="1"/>
  <c r="I28" i="30" s="1"/>
  <c r="G28" i="30" a="1"/>
  <c r="G28" i="30" s="1"/>
  <c r="E28" i="30" a="1"/>
  <c r="E28" i="30" s="1"/>
  <c r="C28" i="30" a="1"/>
  <c r="C28" i="30" s="1"/>
  <c r="A28" i="30" a="1"/>
  <c r="A28" i="30" s="1"/>
  <c r="U27" i="30" a="1"/>
  <c r="U27" i="30" s="1"/>
  <c r="S27" i="30" a="1"/>
  <c r="S27" i="30" s="1"/>
  <c r="Q27" i="30" a="1"/>
  <c r="Q27" i="30" s="1"/>
  <c r="O27" i="30" a="1"/>
  <c r="O27" i="30" s="1"/>
  <c r="M27" i="30" a="1"/>
  <c r="M27" i="30" s="1"/>
  <c r="K27" i="30" a="1"/>
  <c r="K27" i="30" s="1"/>
  <c r="I27" i="30" a="1"/>
  <c r="I27" i="30" s="1"/>
  <c r="G27" i="30" a="1"/>
  <c r="G27" i="30" s="1"/>
  <c r="E27" i="30" a="1"/>
  <c r="E27" i="30" s="1"/>
  <c r="C27" i="30" a="1"/>
  <c r="C27" i="30" s="1"/>
  <c r="A27" i="30" a="1"/>
  <c r="A27" i="30" s="1"/>
  <c r="U26" i="30" a="1"/>
  <c r="U26" i="30" s="1"/>
  <c r="S26" i="30" a="1"/>
  <c r="S26" i="30" s="1"/>
  <c r="Q26" i="30" a="1"/>
  <c r="Q26" i="30" s="1"/>
  <c r="O26" i="30" a="1"/>
  <c r="O26" i="30" s="1"/>
  <c r="M26" i="30" a="1"/>
  <c r="M26" i="30" s="1"/>
  <c r="K26" i="30" a="1"/>
  <c r="K26" i="30" s="1"/>
  <c r="I26" i="30" a="1"/>
  <c r="I26" i="30" s="1"/>
  <c r="G26" i="30" a="1"/>
  <c r="G26" i="30" s="1"/>
  <c r="E26" i="30" a="1"/>
  <c r="E26" i="30" s="1"/>
  <c r="C26" i="30" a="1"/>
  <c r="C26" i="30" s="1"/>
  <c r="A26" i="30" a="1"/>
  <c r="A26" i="30" s="1"/>
  <c r="U25" i="30" a="1"/>
  <c r="U25" i="30" s="1"/>
  <c r="S25" i="30" a="1"/>
  <c r="S25" i="30" s="1"/>
  <c r="Q25" i="30" a="1"/>
  <c r="Q25" i="30" s="1"/>
  <c r="O25" i="30" a="1"/>
  <c r="O25" i="30" s="1"/>
  <c r="M25" i="30" a="1"/>
  <c r="M25" i="30" s="1"/>
  <c r="K25" i="30" a="1"/>
  <c r="K25" i="30" s="1"/>
  <c r="I25" i="30" a="1"/>
  <c r="I25" i="30" s="1"/>
  <c r="G25" i="30" a="1"/>
  <c r="G25" i="30" s="1"/>
  <c r="E25" i="30" a="1"/>
  <c r="E25" i="30" s="1"/>
  <c r="C25" i="30" a="1"/>
  <c r="C25" i="30" s="1"/>
  <c r="A25" i="30" a="1"/>
  <c r="A25" i="30" s="1"/>
  <c r="U24" i="30" a="1"/>
  <c r="U24" i="30" s="1"/>
  <c r="S24" i="30" a="1"/>
  <c r="S24" i="30" s="1"/>
  <c r="Q24" i="30" a="1"/>
  <c r="Q24" i="30" s="1"/>
  <c r="O24" i="30" a="1"/>
  <c r="O24" i="30" s="1"/>
  <c r="M24" i="30" a="1"/>
  <c r="M24" i="30" s="1"/>
  <c r="K24" i="30" a="1"/>
  <c r="K24" i="30" s="1"/>
  <c r="I24" i="30" a="1"/>
  <c r="I24" i="30" s="1"/>
  <c r="G24" i="30" a="1"/>
  <c r="G24" i="30" s="1"/>
  <c r="E24" i="30" a="1"/>
  <c r="E24" i="30" s="1"/>
  <c r="C24" i="30" a="1"/>
  <c r="C24" i="30" s="1"/>
  <c r="A24" i="30" a="1"/>
  <c r="A24" i="30" s="1"/>
  <c r="U23" i="30" a="1"/>
  <c r="U23" i="30" s="1"/>
  <c r="S23" i="30" a="1"/>
  <c r="S23" i="30" s="1"/>
  <c r="Q23" i="30" a="1"/>
  <c r="Q23" i="30" s="1"/>
  <c r="O23" i="30" a="1"/>
  <c r="O23" i="30" s="1"/>
  <c r="M23" i="30" a="1"/>
  <c r="M23" i="30" s="1"/>
  <c r="K23" i="30" a="1"/>
  <c r="K23" i="30" s="1"/>
  <c r="I23" i="30" a="1"/>
  <c r="I23" i="30" s="1"/>
  <c r="G23" i="30" a="1"/>
  <c r="G23" i="30" s="1"/>
  <c r="E23" i="30" a="1"/>
  <c r="E23" i="30" s="1"/>
  <c r="C23" i="30" a="1"/>
  <c r="C23" i="30" s="1"/>
  <c r="A23" i="30" a="1"/>
  <c r="A23" i="30" s="1"/>
  <c r="U22" i="30" a="1"/>
  <c r="U22" i="30" s="1"/>
  <c r="S22" i="30" a="1"/>
  <c r="S22" i="30" s="1"/>
  <c r="Q22" i="30" a="1"/>
  <c r="Q22" i="30" s="1"/>
  <c r="O22" i="30" a="1"/>
  <c r="O22" i="30" s="1"/>
  <c r="M22" i="30" a="1"/>
  <c r="M22" i="30" s="1"/>
  <c r="K22" i="30" a="1"/>
  <c r="K22" i="30" s="1"/>
  <c r="I22" i="30" a="1"/>
  <c r="I22" i="30" s="1"/>
  <c r="G22" i="30" a="1"/>
  <c r="G22" i="30" s="1"/>
  <c r="E22" i="30" a="1"/>
  <c r="E22" i="30" s="1"/>
  <c r="C22" i="30" a="1"/>
  <c r="C22" i="30" s="1"/>
  <c r="A22" i="30" a="1"/>
  <c r="A22" i="30" s="1"/>
  <c r="U21" i="30" a="1"/>
  <c r="U21" i="30" s="1"/>
  <c r="S21" i="30" a="1"/>
  <c r="S21" i="30" s="1"/>
  <c r="Q21" i="30" a="1"/>
  <c r="Q21" i="30" s="1"/>
  <c r="O21" i="30" a="1"/>
  <c r="O21" i="30" s="1"/>
  <c r="M21" i="30" a="1"/>
  <c r="M21" i="30" s="1"/>
  <c r="K21" i="30" a="1"/>
  <c r="K21" i="30" s="1"/>
  <c r="I21" i="30" a="1"/>
  <c r="I21" i="30" s="1"/>
  <c r="G21" i="30" a="1"/>
  <c r="G21" i="30" s="1"/>
  <c r="E21" i="30" a="1"/>
  <c r="E21" i="30" s="1"/>
  <c r="C21" i="30" a="1"/>
  <c r="C21" i="30" s="1"/>
  <c r="A21" i="30" a="1"/>
  <c r="A21" i="30" s="1"/>
  <c r="U20" i="30" a="1"/>
  <c r="U20" i="30" s="1"/>
  <c r="S20" i="30" a="1"/>
  <c r="S20" i="30" s="1"/>
  <c r="Q20" i="30" a="1"/>
  <c r="Q20" i="30" s="1"/>
  <c r="O20" i="30" a="1"/>
  <c r="O20" i="30" s="1"/>
  <c r="M20" i="30" a="1"/>
  <c r="M20" i="30" s="1"/>
  <c r="K20" i="30" a="1"/>
  <c r="K20" i="30" s="1"/>
  <c r="I20" i="30" a="1"/>
  <c r="I20" i="30" s="1"/>
  <c r="G20" i="30" a="1"/>
  <c r="G20" i="30" s="1"/>
  <c r="E20" i="30" a="1"/>
  <c r="E20" i="30" s="1"/>
  <c r="C20" i="30" a="1"/>
  <c r="C20" i="30" s="1"/>
  <c r="A20" i="30" a="1"/>
  <c r="A20" i="30" s="1"/>
  <c r="U19" i="30" a="1"/>
  <c r="U19" i="30" s="1"/>
  <c r="S19" i="30" a="1"/>
  <c r="S19" i="30" s="1"/>
  <c r="Q19" i="30" a="1"/>
  <c r="Q19" i="30" s="1"/>
  <c r="O19" i="30" a="1"/>
  <c r="O19" i="30" s="1"/>
  <c r="M19" i="30" a="1"/>
  <c r="M19" i="30" s="1"/>
  <c r="K19" i="30" a="1"/>
  <c r="K19" i="30" s="1"/>
  <c r="I19" i="30" a="1"/>
  <c r="I19" i="30" s="1"/>
  <c r="G19" i="30" a="1"/>
  <c r="G19" i="30" s="1"/>
  <c r="E19" i="30" a="1"/>
  <c r="E19" i="30" s="1"/>
  <c r="C19" i="30" a="1"/>
  <c r="C19" i="30" s="1"/>
  <c r="A19" i="30" a="1"/>
  <c r="A19" i="30" s="1"/>
  <c r="U18" i="30" a="1"/>
  <c r="U18" i="30" s="1"/>
  <c r="S18" i="30" a="1"/>
  <c r="S18" i="30" s="1"/>
  <c r="Q18" i="30" a="1"/>
  <c r="Q18" i="30" s="1"/>
  <c r="O18" i="30" a="1"/>
  <c r="O18" i="30" s="1"/>
  <c r="M18" i="30" a="1"/>
  <c r="M18" i="30" s="1"/>
  <c r="K18" i="30" a="1"/>
  <c r="K18" i="30" s="1"/>
  <c r="I18" i="30" a="1"/>
  <c r="I18" i="30" s="1"/>
  <c r="G18" i="30" a="1"/>
  <c r="G18" i="30" s="1"/>
  <c r="E18" i="30" a="1"/>
  <c r="E18" i="30" s="1"/>
  <c r="C18" i="30" a="1"/>
  <c r="C18" i="30" s="1"/>
  <c r="A18" i="30" a="1"/>
  <c r="A18" i="30" s="1"/>
  <c r="U17" i="30" a="1"/>
  <c r="U17" i="30" s="1"/>
  <c r="S17" i="30" a="1"/>
  <c r="S17" i="30" s="1"/>
  <c r="Q17" i="30" a="1"/>
  <c r="Q17" i="30" s="1"/>
  <c r="O17" i="30" a="1"/>
  <c r="O17" i="30" s="1"/>
  <c r="M17" i="30" a="1"/>
  <c r="M17" i="30" s="1"/>
  <c r="K17" i="30" a="1"/>
  <c r="K17" i="30" s="1"/>
  <c r="I17" i="30" a="1"/>
  <c r="I17" i="30" s="1"/>
  <c r="G17" i="30" a="1"/>
  <c r="G17" i="30" s="1"/>
  <c r="E17" i="30" a="1"/>
  <c r="E17" i="30" s="1"/>
  <c r="C17" i="30" a="1"/>
  <c r="C17" i="30" s="1"/>
  <c r="A17" i="30" a="1"/>
  <c r="A17" i="30" s="1"/>
  <c r="U16" i="30" a="1"/>
  <c r="U16" i="30" s="1"/>
  <c r="S16" i="30" a="1"/>
  <c r="S16" i="30" s="1"/>
  <c r="Q16" i="30" a="1"/>
  <c r="Q16" i="30" s="1"/>
  <c r="O16" i="30" a="1"/>
  <c r="O16" i="30" s="1"/>
  <c r="M16" i="30" a="1"/>
  <c r="M16" i="30" s="1"/>
  <c r="K16" i="30" a="1"/>
  <c r="K16" i="30" s="1"/>
  <c r="I16" i="30" a="1"/>
  <c r="I16" i="30" s="1"/>
  <c r="G16" i="30" a="1"/>
  <c r="G16" i="30" s="1"/>
  <c r="E16" i="30" a="1"/>
  <c r="E16" i="30" s="1"/>
  <c r="C16" i="30" a="1"/>
  <c r="C16" i="30" s="1"/>
  <c r="A16" i="30" a="1"/>
  <c r="A16" i="30" s="1"/>
  <c r="U15" i="30" a="1"/>
  <c r="U15" i="30" s="1"/>
  <c r="S15" i="30" a="1"/>
  <c r="S15" i="30" s="1"/>
  <c r="Q15" i="30" a="1"/>
  <c r="Q15" i="30" s="1"/>
  <c r="O15" i="30" a="1"/>
  <c r="O15" i="30" s="1"/>
  <c r="M15" i="30" a="1"/>
  <c r="M15" i="30" s="1"/>
  <c r="K15" i="30" a="1"/>
  <c r="K15" i="30" s="1"/>
  <c r="I15" i="30" a="1"/>
  <c r="I15" i="30" s="1"/>
  <c r="G15" i="30" a="1"/>
  <c r="G15" i="30" s="1"/>
  <c r="E15" i="30" a="1"/>
  <c r="E15" i="30" s="1"/>
  <c r="C15" i="30" a="1"/>
  <c r="C15" i="30" s="1"/>
  <c r="A15" i="30" a="1"/>
  <c r="A15" i="30" s="1"/>
  <c r="U14" i="30" a="1"/>
  <c r="U14" i="30" s="1"/>
  <c r="S14" i="30" a="1"/>
  <c r="S14" i="30" s="1"/>
  <c r="Q14" i="30" a="1"/>
  <c r="Q14" i="30" s="1"/>
  <c r="O14" i="30" a="1"/>
  <c r="O14" i="30" s="1"/>
  <c r="M14" i="30" a="1"/>
  <c r="M14" i="30" s="1"/>
  <c r="K14" i="30" a="1"/>
  <c r="K14" i="30" s="1"/>
  <c r="I14" i="30" a="1"/>
  <c r="I14" i="30" s="1"/>
  <c r="G14" i="30" a="1"/>
  <c r="G14" i="30" s="1"/>
  <c r="E14" i="30" a="1"/>
  <c r="E14" i="30" s="1"/>
  <c r="C14" i="30" a="1"/>
  <c r="C14" i="30" s="1"/>
  <c r="A14" i="30" a="1"/>
  <c r="A14" i="30" s="1"/>
  <c r="U13" i="30" a="1"/>
  <c r="U13" i="30" s="1"/>
  <c r="S13" i="30" a="1"/>
  <c r="S13" i="30" s="1"/>
  <c r="Q13" i="30" a="1"/>
  <c r="Q13" i="30" s="1"/>
  <c r="O13" i="30" a="1"/>
  <c r="O13" i="30" s="1"/>
  <c r="M13" i="30" a="1"/>
  <c r="M13" i="30" s="1"/>
  <c r="K13" i="30" a="1"/>
  <c r="K13" i="30" s="1"/>
  <c r="I13" i="30" a="1"/>
  <c r="I13" i="30" s="1"/>
  <c r="G13" i="30" a="1"/>
  <c r="G13" i="30" s="1"/>
  <c r="E13" i="30" a="1"/>
  <c r="E13" i="30" s="1"/>
  <c r="C13" i="30" a="1"/>
  <c r="C13" i="30" s="1"/>
  <c r="A13" i="30" a="1"/>
  <c r="A13" i="30" s="1"/>
  <c r="U12" i="30" a="1"/>
  <c r="U12" i="30" s="1"/>
  <c r="S12" i="30" a="1"/>
  <c r="S12" i="30" s="1"/>
  <c r="Q12" i="30" a="1"/>
  <c r="Q12" i="30" s="1"/>
  <c r="O12" i="30" a="1"/>
  <c r="O12" i="30" s="1"/>
  <c r="M12" i="30" a="1"/>
  <c r="M12" i="30" s="1"/>
  <c r="K12" i="30" a="1"/>
  <c r="K12" i="30" s="1"/>
  <c r="I12" i="30" a="1"/>
  <c r="I12" i="30" s="1"/>
  <c r="G12" i="30" a="1"/>
  <c r="G12" i="30" s="1"/>
  <c r="E12" i="30" a="1"/>
  <c r="E12" i="30" s="1"/>
  <c r="C12" i="30" a="1"/>
  <c r="C12" i="30" s="1"/>
  <c r="A12" i="30" a="1"/>
  <c r="A12" i="30" s="1"/>
  <c r="U11" i="30" a="1"/>
  <c r="U11" i="30" s="1"/>
  <c r="S11" i="30" a="1"/>
  <c r="S11" i="30" s="1"/>
  <c r="Q11" i="30" a="1"/>
  <c r="Q11" i="30" s="1"/>
  <c r="O11" i="30" a="1"/>
  <c r="O11" i="30" s="1"/>
  <c r="M11" i="30" a="1"/>
  <c r="M11" i="30" s="1"/>
  <c r="K11" i="30" a="1"/>
  <c r="K11" i="30" s="1"/>
  <c r="I11" i="30" a="1"/>
  <c r="I11" i="30" s="1"/>
  <c r="G11" i="30" a="1"/>
  <c r="G11" i="30" s="1"/>
  <c r="E11" i="30" a="1"/>
  <c r="E11" i="30" s="1"/>
  <c r="C11" i="30" a="1"/>
  <c r="C11" i="30" s="1"/>
  <c r="A11" i="30" a="1"/>
  <c r="A11" i="30" s="1"/>
  <c r="U10" i="30" a="1"/>
  <c r="U10" i="30" s="1"/>
  <c r="S10" i="30" a="1"/>
  <c r="S10" i="30" s="1"/>
  <c r="Q10" i="30" a="1"/>
  <c r="Q10" i="30" s="1"/>
  <c r="O10" i="30" a="1"/>
  <c r="O10" i="30" s="1"/>
  <c r="M10" i="30" a="1"/>
  <c r="M10" i="30" s="1"/>
  <c r="K10" i="30" a="1"/>
  <c r="K10" i="30" s="1"/>
  <c r="I10" i="30" a="1"/>
  <c r="I10" i="30" s="1"/>
  <c r="G10" i="30" a="1"/>
  <c r="G10" i="30" s="1"/>
  <c r="E10" i="30" a="1"/>
  <c r="E10" i="30" s="1"/>
  <c r="C10" i="30" a="1"/>
  <c r="C10" i="30" s="1"/>
  <c r="A10" i="30" a="1"/>
  <c r="A10" i="30" s="1"/>
  <c r="U9" i="30" a="1"/>
  <c r="U9" i="30" s="1"/>
  <c r="S9" i="30" a="1"/>
  <c r="S9" i="30" s="1"/>
  <c r="Q9" i="30" a="1"/>
  <c r="Q9" i="30" s="1"/>
  <c r="O9" i="30" a="1"/>
  <c r="O9" i="30" s="1"/>
  <c r="M9" i="30" a="1"/>
  <c r="M9" i="30" s="1"/>
  <c r="K9" i="30" a="1"/>
  <c r="K9" i="30" s="1"/>
  <c r="I9" i="30" a="1"/>
  <c r="I9" i="30" s="1"/>
  <c r="G9" i="30" a="1"/>
  <c r="G9" i="30" s="1"/>
  <c r="E9" i="30" a="1"/>
  <c r="E9" i="30" s="1"/>
  <c r="C9" i="30" a="1"/>
  <c r="C9" i="30" s="1"/>
  <c r="A9" i="30" a="1"/>
  <c r="A9" i="30" s="1"/>
  <c r="U8" i="30" a="1"/>
  <c r="U8" i="30" s="1"/>
  <c r="S8" i="30" a="1"/>
  <c r="S8" i="30" s="1"/>
  <c r="Q8" i="30" a="1"/>
  <c r="Q8" i="30" s="1"/>
  <c r="O8" i="30" a="1"/>
  <c r="O8" i="30" s="1"/>
  <c r="M8" i="30" a="1"/>
  <c r="M8" i="30" s="1"/>
  <c r="K8" i="30" a="1"/>
  <c r="K8" i="30" s="1"/>
  <c r="I8" i="30" a="1"/>
  <c r="I8" i="30" s="1"/>
  <c r="G8" i="30" a="1"/>
  <c r="G8" i="30" s="1"/>
  <c r="E8" i="30" a="1"/>
  <c r="E8" i="30" s="1"/>
  <c r="C8" i="30" a="1"/>
  <c r="C8" i="30" s="1"/>
  <c r="A8" i="30" a="1"/>
  <c r="A8" i="30" s="1"/>
  <c r="U7" i="30" a="1"/>
  <c r="U7" i="30" s="1"/>
  <c r="S7" i="30" a="1"/>
  <c r="S7" i="30" s="1"/>
  <c r="Q7" i="30" a="1"/>
  <c r="Q7" i="30" s="1"/>
  <c r="O7" i="30" a="1"/>
  <c r="O7" i="30" s="1"/>
  <c r="M7" i="30" a="1"/>
  <c r="M7" i="30" s="1"/>
  <c r="K7" i="30" a="1"/>
  <c r="K7" i="30" s="1"/>
  <c r="I7" i="30" a="1"/>
  <c r="I7" i="30" s="1"/>
  <c r="G7" i="30" a="1"/>
  <c r="G7" i="30" s="1"/>
  <c r="E7" i="30" a="1"/>
  <c r="E7" i="30" s="1"/>
  <c r="C7" i="30" a="1"/>
  <c r="C7" i="30" s="1"/>
  <c r="A7" i="30" a="1"/>
  <c r="A7" i="30" s="1"/>
  <c r="U6" i="30" a="1"/>
  <c r="U6" i="30" s="1"/>
  <c r="S6" i="30" a="1"/>
  <c r="S6" i="30" s="1"/>
  <c r="Q6" i="30" a="1"/>
  <c r="Q6" i="30" s="1"/>
  <c r="O6" i="30" a="1"/>
  <c r="O6" i="30" s="1"/>
  <c r="M6" i="30" a="1"/>
  <c r="M6" i="30" s="1"/>
  <c r="K6" i="30" a="1"/>
  <c r="K6" i="30" s="1"/>
  <c r="I6" i="30" a="1"/>
  <c r="I6" i="30" s="1"/>
  <c r="G6" i="30" a="1"/>
  <c r="G6" i="30" s="1"/>
  <c r="E6" i="30" a="1"/>
  <c r="E6" i="30" s="1"/>
  <c r="C6" i="30" a="1"/>
  <c r="C6" i="30" s="1"/>
  <c r="A6" i="30" a="1"/>
  <c r="A6" i="30" s="1"/>
  <c r="A35" i="27" a="1"/>
  <c r="A35" i="27" s="1"/>
  <c r="A34" i="27" a="1"/>
  <c r="A34" i="27" s="1"/>
  <c r="A33" i="27" a="1"/>
  <c r="A33" i="27" s="1"/>
  <c r="A32" i="27" a="1"/>
  <c r="A32" i="27" s="1"/>
  <c r="A31" i="27" a="1"/>
  <c r="A31" i="27" s="1"/>
  <c r="A30" i="27" a="1"/>
  <c r="A30" i="27" s="1"/>
  <c r="A29" i="27" a="1"/>
  <c r="A29" i="27" s="1"/>
  <c r="A28" i="27" a="1"/>
  <c r="A28" i="27" s="1"/>
  <c r="A27" i="27" a="1"/>
  <c r="A27" i="27" s="1"/>
  <c r="A26" i="27" a="1"/>
  <c r="A26" i="27" s="1"/>
  <c r="A25" i="27" a="1"/>
  <c r="A25" i="27" s="1"/>
  <c r="A24" i="27" a="1"/>
  <c r="A24" i="27" s="1"/>
  <c r="A23" i="27" a="1"/>
  <c r="A23" i="27" s="1"/>
  <c r="A22" i="27" a="1"/>
  <c r="A22" i="27" s="1"/>
  <c r="A21" i="27" a="1"/>
  <c r="A21" i="27" s="1"/>
  <c r="A20" i="27" a="1"/>
  <c r="A20" i="27" s="1"/>
  <c r="A19" i="27" a="1"/>
  <c r="A19" i="27" s="1"/>
  <c r="A18" i="27" a="1"/>
  <c r="A18" i="27" s="1"/>
  <c r="A17" i="27" a="1"/>
  <c r="A17" i="27" s="1"/>
  <c r="A16" i="27" a="1"/>
  <c r="A16" i="27" s="1"/>
  <c r="A15" i="27" a="1"/>
  <c r="A15" i="27" s="1"/>
  <c r="A14" i="27" a="1"/>
  <c r="A14" i="27" s="1"/>
  <c r="A13" i="27" a="1"/>
  <c r="A13" i="27" s="1"/>
  <c r="A12" i="27" a="1"/>
  <c r="A12" i="27" s="1"/>
  <c r="A11" i="27" a="1"/>
  <c r="A11" i="27" s="1"/>
  <c r="A10" i="27" a="1"/>
  <c r="A10" i="27" s="1"/>
  <c r="A9" i="27" a="1"/>
  <c r="A9" i="27" s="1"/>
  <c r="A8" i="27" a="1"/>
  <c r="A8" i="27" s="1"/>
  <c r="A7" i="27" a="1"/>
  <c r="A7" i="27" s="1"/>
  <c r="A6" i="27" a="1"/>
  <c r="A6" i="27" s="1"/>
  <c r="N46" i="14" l="1" a="1"/>
  <c r="N46" i="14" s="1"/>
  <c r="N45" i="14" a="1"/>
  <c r="N45" i="14" s="1"/>
  <c r="N44" i="14" a="1"/>
  <c r="N44" i="14" s="1"/>
  <c r="N43" i="14" a="1"/>
  <c r="N43" i="14" s="1"/>
  <c r="N42" i="14" a="1"/>
  <c r="N42" i="14" s="1"/>
  <c r="N41" i="14" a="1"/>
  <c r="N41" i="14" s="1"/>
  <c r="N40" i="14" a="1"/>
  <c r="N40" i="14" s="1"/>
  <c r="N39" i="14" a="1"/>
  <c r="N39" i="14" s="1"/>
  <c r="N38" i="14" a="1"/>
  <c r="N38" i="14" s="1"/>
  <c r="N37" i="14" a="1"/>
  <c r="N37" i="14" s="1"/>
  <c r="N36" i="14" a="1"/>
  <c r="N36" i="14" s="1"/>
  <c r="N35" i="14" a="1"/>
  <c r="N35" i="14" s="1"/>
  <c r="N34" i="14" a="1"/>
  <c r="N34" i="14" s="1"/>
  <c r="N33" i="14" a="1"/>
  <c r="N33" i="14" s="1"/>
  <c r="N32" i="14" a="1"/>
  <c r="N32" i="14" s="1"/>
  <c r="N31" i="14" a="1"/>
  <c r="N31" i="14" s="1"/>
  <c r="N30" i="14" a="1"/>
  <c r="N30" i="14" s="1"/>
  <c r="N29" i="14" a="1"/>
  <c r="N29" i="14" s="1"/>
  <c r="N28" i="14" a="1"/>
  <c r="N28" i="14" s="1"/>
  <c r="N27" i="14" a="1"/>
  <c r="N27" i="14" s="1"/>
  <c r="N26" i="14" a="1"/>
  <c r="N26" i="14" s="1"/>
  <c r="N25" i="14" a="1"/>
  <c r="N25" i="14" s="1"/>
  <c r="N24" i="14" a="1"/>
  <c r="N24" i="14" s="1"/>
  <c r="N23" i="14" a="1"/>
  <c r="N23" i="14" s="1"/>
  <c r="N22" i="14" a="1"/>
  <c r="N22" i="14" s="1"/>
  <c r="N21" i="14" a="1"/>
  <c r="N21" i="14" s="1"/>
  <c r="N20" i="14" a="1"/>
  <c r="N20" i="14" s="1"/>
  <c r="N19" i="14" a="1"/>
  <c r="N19" i="14" s="1"/>
  <c r="N18" i="14" a="1"/>
  <c r="N18" i="14" s="1"/>
  <c r="N17" i="14" a="1"/>
  <c r="N17" i="14" s="1"/>
  <c r="N16" i="14" a="1"/>
  <c r="N16" i="14" s="1"/>
  <c r="N15" i="14" a="1"/>
  <c r="N15" i="14" s="1"/>
  <c r="N14" i="14" a="1"/>
  <c r="N14" i="14" s="1"/>
  <c r="N13" i="14" a="1"/>
  <c r="N13" i="14" s="1"/>
  <c r="N12" i="14" a="1"/>
  <c r="N12" i="14" s="1"/>
  <c r="N11" i="14" a="1"/>
  <c r="N11" i="14" s="1"/>
  <c r="N10" i="14" a="1"/>
  <c r="N10" i="14" s="1"/>
  <c r="N9" i="14" a="1"/>
  <c r="N9" i="14" s="1"/>
  <c r="N8" i="14" a="1"/>
  <c r="N8" i="14" s="1"/>
  <c r="N7" i="14" a="1"/>
  <c r="N7" i="14" s="1"/>
  <c r="N6" i="14" a="1"/>
  <c r="N6" i="14" s="1"/>
  <c r="AS44" i="25"/>
  <c r="AR44" i="25"/>
  <c r="AQ44" i="25"/>
  <c r="AP44" i="25"/>
  <c r="AO44" i="25"/>
  <c r="AN44" i="25"/>
  <c r="AM44" i="25"/>
  <c r="AL44" i="25"/>
  <c r="M44" i="25" a="1"/>
  <c r="M44" i="25" s="1"/>
  <c r="H44" i="25"/>
  <c r="AS43" i="25"/>
  <c r="AR43" i="25"/>
  <c r="AQ43" i="25"/>
  <c r="AP43" i="25"/>
  <c r="AO43" i="25"/>
  <c r="AN43" i="25"/>
  <c r="AM43" i="25"/>
  <c r="AL43" i="25"/>
  <c r="H43" i="25"/>
  <c r="AS42" i="25"/>
  <c r="AR42" i="25"/>
  <c r="AQ42" i="25"/>
  <c r="AP42" i="25"/>
  <c r="AO42" i="25"/>
  <c r="AN42" i="25"/>
  <c r="AM42" i="25"/>
  <c r="AL42" i="25"/>
  <c r="M42" i="25" a="1"/>
  <c r="M42" i="25" s="1"/>
  <c r="H42" i="25"/>
  <c r="AS41" i="25"/>
  <c r="AR41" i="25"/>
  <c r="AQ41" i="25"/>
  <c r="AP41" i="25"/>
  <c r="AO41" i="25"/>
  <c r="AN41" i="25"/>
  <c r="AM41" i="25"/>
  <c r="AL41" i="25"/>
  <c r="M41" i="25" a="1"/>
  <c r="M41" i="25" s="1"/>
  <c r="H41" i="25"/>
  <c r="AS40" i="25"/>
  <c r="AR40" i="25"/>
  <c r="AQ40" i="25"/>
  <c r="AP40" i="25"/>
  <c r="AO40" i="25"/>
  <c r="AN40" i="25"/>
  <c r="AM40" i="25"/>
  <c r="AL40" i="25"/>
  <c r="M40" i="25" a="1"/>
  <c r="M40" i="25" s="1"/>
  <c r="H40" i="25"/>
  <c r="AS39" i="25"/>
  <c r="AR39" i="25"/>
  <c r="AQ39" i="25"/>
  <c r="AP39" i="25"/>
  <c r="AO39" i="25"/>
  <c r="AN39" i="25"/>
  <c r="AM39" i="25"/>
  <c r="AL39" i="25"/>
  <c r="M39" i="25" a="1"/>
  <c r="M39" i="25" s="1"/>
  <c r="H39" i="25"/>
  <c r="AS38" i="25"/>
  <c r="AR38" i="25"/>
  <c r="AQ38" i="25"/>
  <c r="AP38" i="25"/>
  <c r="AO38" i="25"/>
  <c r="AN38" i="25"/>
  <c r="AM38" i="25"/>
  <c r="AL38" i="25"/>
  <c r="M38" i="25" a="1"/>
  <c r="M38" i="25" s="1"/>
  <c r="H38" i="25"/>
  <c r="AS37" i="25"/>
  <c r="AR37" i="25"/>
  <c r="AQ37" i="25"/>
  <c r="AP37" i="25"/>
  <c r="AO37" i="25"/>
  <c r="AN37" i="25"/>
  <c r="AM37" i="25"/>
  <c r="AL37" i="25"/>
  <c r="M37" i="25" a="1"/>
  <c r="M37" i="25" s="1"/>
  <c r="H37" i="25"/>
  <c r="AS36" i="25"/>
  <c r="AR36" i="25"/>
  <c r="AQ36" i="25"/>
  <c r="AP36" i="25"/>
  <c r="AO36" i="25"/>
  <c r="AN36" i="25"/>
  <c r="AM36" i="25"/>
  <c r="AL36" i="25"/>
  <c r="M36" i="25" a="1"/>
  <c r="M36" i="25" s="1"/>
  <c r="H36" i="25"/>
  <c r="AS35" i="25"/>
  <c r="AR35" i="25"/>
  <c r="AQ35" i="25"/>
  <c r="AP35" i="25"/>
  <c r="AO35" i="25"/>
  <c r="AN35" i="25"/>
  <c r="AM35" i="25"/>
  <c r="AL35" i="25"/>
  <c r="M35" i="25" a="1"/>
  <c r="M35" i="25" s="1"/>
  <c r="H35" i="25"/>
  <c r="AS34" i="25"/>
  <c r="AR34" i="25"/>
  <c r="AQ34" i="25"/>
  <c r="AP34" i="25"/>
  <c r="AO34" i="25"/>
  <c r="AN34" i="25"/>
  <c r="AM34" i="25"/>
  <c r="AL34" i="25"/>
  <c r="M34" i="25" a="1"/>
  <c r="M34" i="25" s="1"/>
  <c r="H34" i="25"/>
  <c r="AS33" i="25"/>
  <c r="AR33" i="25"/>
  <c r="AQ33" i="25"/>
  <c r="AP33" i="25"/>
  <c r="AO33" i="25"/>
  <c r="AN33" i="25"/>
  <c r="AM33" i="25"/>
  <c r="AL33" i="25"/>
  <c r="M33" i="25" a="1"/>
  <c r="M33" i="25" s="1"/>
  <c r="H33" i="25"/>
  <c r="AS32" i="25"/>
  <c r="AR32" i="25"/>
  <c r="AQ32" i="25"/>
  <c r="AP32" i="25"/>
  <c r="AO32" i="25"/>
  <c r="AN32" i="25"/>
  <c r="AM32" i="25"/>
  <c r="AL32" i="25"/>
  <c r="M32" i="25" a="1"/>
  <c r="M32" i="25" s="1"/>
  <c r="H32" i="25"/>
  <c r="AS31" i="25"/>
  <c r="AR31" i="25"/>
  <c r="AQ31" i="25"/>
  <c r="AP31" i="25"/>
  <c r="AO31" i="25"/>
  <c r="AN31" i="25"/>
  <c r="AM31" i="25"/>
  <c r="AL31" i="25"/>
  <c r="M31" i="25" a="1"/>
  <c r="M31" i="25" s="1"/>
  <c r="H31" i="25"/>
  <c r="AS30" i="25"/>
  <c r="AR30" i="25"/>
  <c r="AQ30" i="25"/>
  <c r="AP30" i="25"/>
  <c r="AO30" i="25"/>
  <c r="AN30" i="25"/>
  <c r="AM30" i="25"/>
  <c r="AL30" i="25"/>
  <c r="M30" i="25" a="1"/>
  <c r="M30" i="25" s="1"/>
  <c r="H30" i="25"/>
  <c r="AS29" i="25"/>
  <c r="AR29" i="25"/>
  <c r="AQ29" i="25"/>
  <c r="AP29" i="25"/>
  <c r="AO29" i="25"/>
  <c r="AN29" i="25"/>
  <c r="AM29" i="25"/>
  <c r="AL29" i="25"/>
  <c r="M29" i="25" a="1"/>
  <c r="M29" i="25" s="1"/>
  <c r="H29" i="25"/>
  <c r="AS28" i="25"/>
  <c r="AR28" i="25"/>
  <c r="AQ28" i="25"/>
  <c r="AP28" i="25"/>
  <c r="AO28" i="25"/>
  <c r="AN28" i="25"/>
  <c r="AM28" i="25"/>
  <c r="AL28" i="25"/>
  <c r="M28" i="25" a="1"/>
  <c r="M28" i="25" s="1"/>
  <c r="H28" i="25"/>
  <c r="AS27" i="25"/>
  <c r="AR27" i="25"/>
  <c r="AQ27" i="25"/>
  <c r="AP27" i="25"/>
  <c r="AO27" i="25"/>
  <c r="AN27" i="25"/>
  <c r="AM27" i="25"/>
  <c r="AL27" i="25"/>
  <c r="M27" i="25" a="1"/>
  <c r="M27" i="25" s="1"/>
  <c r="H27" i="25"/>
  <c r="AS26" i="25"/>
  <c r="AR26" i="25"/>
  <c r="AQ26" i="25"/>
  <c r="AP26" i="25"/>
  <c r="AO26" i="25"/>
  <c r="AN26" i="25"/>
  <c r="AM26" i="25"/>
  <c r="AL26" i="25"/>
  <c r="M26" i="25" a="1"/>
  <c r="M26" i="25" s="1"/>
  <c r="H26" i="25"/>
  <c r="AS25" i="25"/>
  <c r="AR25" i="25"/>
  <c r="AQ25" i="25"/>
  <c r="AP25" i="25"/>
  <c r="AO25" i="25"/>
  <c r="AN25" i="25"/>
  <c r="AM25" i="25"/>
  <c r="AL25" i="25"/>
  <c r="M25" i="25" a="1"/>
  <c r="M25" i="25" s="1"/>
  <c r="H25" i="25"/>
  <c r="AS24" i="25"/>
  <c r="AR24" i="25"/>
  <c r="AQ24" i="25"/>
  <c r="AP24" i="25"/>
  <c r="AO24" i="25"/>
  <c r="AN24" i="25"/>
  <c r="AM24" i="25"/>
  <c r="AL24" i="25"/>
  <c r="M24" i="25" a="1"/>
  <c r="M24" i="25" s="1"/>
  <c r="H24" i="25"/>
  <c r="AS23" i="25"/>
  <c r="AR23" i="25"/>
  <c r="AQ23" i="25"/>
  <c r="AP23" i="25"/>
  <c r="AO23" i="25"/>
  <c r="AN23" i="25"/>
  <c r="AM23" i="25"/>
  <c r="AL23" i="25"/>
  <c r="M23" i="25" a="1"/>
  <c r="M23" i="25" s="1"/>
  <c r="H23" i="25"/>
  <c r="AS22" i="25"/>
  <c r="AR22" i="25"/>
  <c r="AQ22" i="25"/>
  <c r="AP22" i="25"/>
  <c r="AO22" i="25"/>
  <c r="AN22" i="25"/>
  <c r="AM22" i="25"/>
  <c r="AL22" i="25"/>
  <c r="M22" i="25" a="1"/>
  <c r="M22" i="25" s="1"/>
  <c r="H22" i="25"/>
  <c r="AS21" i="25"/>
  <c r="AR21" i="25"/>
  <c r="AQ21" i="25"/>
  <c r="AP21" i="25"/>
  <c r="AO21" i="25"/>
  <c r="AN21" i="25"/>
  <c r="AM21" i="25"/>
  <c r="AL21" i="25"/>
  <c r="M21" i="25" a="1"/>
  <c r="M21" i="25" s="1"/>
  <c r="H21" i="25"/>
  <c r="AS20" i="25"/>
  <c r="AR20" i="25"/>
  <c r="AQ20" i="25"/>
  <c r="AP20" i="25"/>
  <c r="AO20" i="25"/>
  <c r="AN20" i="25"/>
  <c r="AM20" i="25"/>
  <c r="AL20" i="25"/>
  <c r="M20" i="25" a="1"/>
  <c r="M20" i="25" s="1"/>
  <c r="H20" i="25"/>
  <c r="AS19" i="25"/>
  <c r="AR19" i="25"/>
  <c r="AQ19" i="25"/>
  <c r="AP19" i="25"/>
  <c r="AO19" i="25"/>
  <c r="AN19" i="25"/>
  <c r="AM19" i="25"/>
  <c r="AL19" i="25"/>
  <c r="M19" i="25" a="1"/>
  <c r="M19" i="25" s="1"/>
  <c r="H19" i="25"/>
  <c r="AS18" i="25"/>
  <c r="AR18" i="25"/>
  <c r="AQ18" i="25"/>
  <c r="AP18" i="25"/>
  <c r="AO18" i="25"/>
  <c r="AN18" i="25"/>
  <c r="AM18" i="25"/>
  <c r="AL18" i="25"/>
  <c r="M18" i="25" a="1"/>
  <c r="M18" i="25" s="1"/>
  <c r="H18" i="25"/>
  <c r="AS17" i="25"/>
  <c r="AR17" i="25"/>
  <c r="AQ17" i="25"/>
  <c r="AP17" i="25"/>
  <c r="AO17" i="25"/>
  <c r="AN17" i="25"/>
  <c r="AM17" i="25"/>
  <c r="AL17" i="25"/>
  <c r="M17" i="25" a="1"/>
  <c r="M17" i="25" s="1"/>
  <c r="H17" i="25"/>
  <c r="AS16" i="25"/>
  <c r="AR16" i="25"/>
  <c r="AQ16" i="25"/>
  <c r="AP16" i="25"/>
  <c r="AO16" i="25"/>
  <c r="AN16" i="25"/>
  <c r="AM16" i="25"/>
  <c r="AL16" i="25"/>
  <c r="H16" i="25"/>
  <c r="AS15" i="25"/>
  <c r="AR15" i="25"/>
  <c r="AQ15" i="25"/>
  <c r="AP15" i="25"/>
  <c r="AO15" i="25"/>
  <c r="AN15" i="25"/>
  <c r="AM15" i="25"/>
  <c r="AL15" i="25"/>
  <c r="M15" i="25" a="1"/>
  <c r="M15" i="25" s="1"/>
  <c r="H15" i="25"/>
  <c r="AS14" i="25"/>
  <c r="AR14" i="25"/>
  <c r="AQ14" i="25"/>
  <c r="AP14" i="25"/>
  <c r="AO14" i="25"/>
  <c r="AN14" i="25"/>
  <c r="AM14" i="25"/>
  <c r="AL14" i="25"/>
  <c r="M14" i="25" a="1"/>
  <c r="M14" i="25" s="1"/>
  <c r="H14" i="25"/>
  <c r="AS13" i="25"/>
  <c r="AR13" i="25"/>
  <c r="AQ13" i="25"/>
  <c r="AP13" i="25"/>
  <c r="AO13" i="25"/>
  <c r="AN13" i="25"/>
  <c r="AM13" i="25"/>
  <c r="AL13" i="25"/>
  <c r="M13" i="25"/>
  <c r="M13" i="25" a="1"/>
  <c r="H13" i="25"/>
  <c r="AS12" i="25"/>
  <c r="AR12" i="25"/>
  <c r="AQ12" i="25"/>
  <c r="AP12" i="25"/>
  <c r="AO12" i="25"/>
  <c r="AN12" i="25"/>
  <c r="AM12" i="25"/>
  <c r="AL12" i="25"/>
  <c r="M12" i="25" a="1"/>
  <c r="M12" i="25" s="1"/>
  <c r="H12" i="25"/>
  <c r="AS11" i="25"/>
  <c r="AR11" i="25"/>
  <c r="AQ11" i="25"/>
  <c r="AP11" i="25"/>
  <c r="AO11" i="25"/>
  <c r="AN11" i="25"/>
  <c r="AM11" i="25"/>
  <c r="AL11" i="25"/>
  <c r="M11" i="25" a="1"/>
  <c r="M11" i="25" s="1"/>
  <c r="H11" i="25"/>
  <c r="AS10" i="25"/>
  <c r="AR10" i="25"/>
  <c r="AQ10" i="25"/>
  <c r="AP10" i="25"/>
  <c r="AO10" i="25"/>
  <c r="AN10" i="25"/>
  <c r="AM10" i="25"/>
  <c r="AL10" i="25"/>
  <c r="M10" i="25" a="1"/>
  <c r="M10" i="25" s="1"/>
  <c r="H10" i="25"/>
  <c r="AS9" i="25"/>
  <c r="AR9" i="25"/>
  <c r="AQ9" i="25"/>
  <c r="AP9" i="25"/>
  <c r="AO9" i="25"/>
  <c r="AN9" i="25"/>
  <c r="AM9" i="25"/>
  <c r="AL9" i="25"/>
  <c r="M9" i="25"/>
  <c r="M9" i="25" a="1"/>
  <c r="H9" i="25"/>
  <c r="AS8" i="25"/>
  <c r="AR8" i="25"/>
  <c r="AQ8" i="25"/>
  <c r="AP8" i="25"/>
  <c r="AO8" i="25"/>
  <c r="AN8" i="25"/>
  <c r="AM8" i="25"/>
  <c r="AL8" i="25"/>
  <c r="M8" i="25" a="1"/>
  <c r="M8" i="25" s="1"/>
  <c r="H8" i="25"/>
  <c r="AS7" i="25"/>
  <c r="AR7" i="25"/>
  <c r="AQ7" i="25"/>
  <c r="AP7" i="25"/>
  <c r="AO7" i="25"/>
  <c r="AN7" i="25"/>
  <c r="AM7" i="25"/>
  <c r="AL7" i="25"/>
  <c r="M7" i="25" a="1"/>
  <c r="M7" i="25" s="1"/>
  <c r="H7" i="25"/>
  <c r="AS6" i="25"/>
  <c r="AR6" i="25"/>
  <c r="AQ6" i="25"/>
  <c r="AP6" i="25"/>
  <c r="AO6" i="25"/>
  <c r="AN6" i="25"/>
  <c r="AM6" i="25"/>
  <c r="AL6" i="25"/>
  <c r="M6" i="25" a="1"/>
  <c r="M6" i="25" s="1"/>
  <c r="H6" i="25"/>
  <c r="N5" i="14" a="1"/>
  <c r="N5" i="14" s="1"/>
  <c r="M5" i="25" a="1"/>
  <c r="M5" i="25" s="1"/>
  <c r="E9" i="13" l="1"/>
  <c r="L46" i="14"/>
  <c r="L45" i="14"/>
  <c r="J45" i="14" s="1" a="1"/>
  <c r="J45" i="14" s="1"/>
  <c r="L44" i="14"/>
  <c r="J44" i="14" s="1" a="1"/>
  <c r="J44" i="14" s="1"/>
  <c r="L43" i="14"/>
  <c r="J43" i="14" s="1" a="1"/>
  <c r="J43" i="14" s="1"/>
  <c r="L42" i="14"/>
  <c r="J42" i="14" s="1" a="1"/>
  <c r="J42" i="14" s="1"/>
  <c r="L41" i="14"/>
  <c r="L40" i="14"/>
  <c r="J40" i="14" s="1" a="1"/>
  <c r="J40" i="14" s="1"/>
  <c r="L39" i="14"/>
  <c r="J39" i="14" s="1" a="1"/>
  <c r="J39" i="14" s="1"/>
  <c r="L38" i="14"/>
  <c r="J38" i="14" s="1" a="1"/>
  <c r="J38" i="14" s="1"/>
  <c r="L37" i="14"/>
  <c r="J37" i="14" s="1" a="1"/>
  <c r="J37" i="14" s="1"/>
  <c r="L36" i="14"/>
  <c r="J36" i="14" s="1" a="1"/>
  <c r="J36" i="14" s="1"/>
  <c r="L35" i="14"/>
  <c r="J35" i="14" s="1" a="1"/>
  <c r="J35" i="14" s="1"/>
  <c r="L34" i="14"/>
  <c r="J34" i="14" s="1" a="1"/>
  <c r="J34" i="14" s="1"/>
  <c r="L33" i="14"/>
  <c r="J33" i="14" s="1" a="1"/>
  <c r="J33" i="14" s="1"/>
  <c r="L32" i="14"/>
  <c r="J32" i="14" s="1" a="1"/>
  <c r="J32" i="14" s="1"/>
  <c r="L31" i="14"/>
  <c r="J31" i="14" s="1" a="1"/>
  <c r="J31" i="14" s="1"/>
  <c r="L30" i="14"/>
  <c r="J30" i="14" s="1" a="1"/>
  <c r="J30" i="14" s="1"/>
  <c r="L29" i="14"/>
  <c r="J29" i="14" s="1" a="1"/>
  <c r="J29" i="14" s="1"/>
  <c r="L28" i="14"/>
  <c r="J28" i="14" s="1" a="1"/>
  <c r="J28" i="14" s="1"/>
  <c r="L27" i="14"/>
  <c r="J27" i="14" s="1" a="1"/>
  <c r="J27" i="14" s="1"/>
  <c r="L26" i="14"/>
  <c r="J26" i="14" s="1" a="1"/>
  <c r="J26" i="14" s="1"/>
  <c r="L25" i="14"/>
  <c r="J25" i="14" s="1" a="1"/>
  <c r="J25" i="14" s="1"/>
  <c r="L24" i="14"/>
  <c r="L23" i="14"/>
  <c r="J23" i="14" s="1" a="1"/>
  <c r="J23" i="14" s="1"/>
  <c r="L22" i="14"/>
  <c r="J22" i="14" s="1" a="1"/>
  <c r="J22" i="14" s="1"/>
  <c r="L21" i="14"/>
  <c r="J21" i="14" s="1" a="1"/>
  <c r="J21" i="14" s="1"/>
  <c r="L20" i="14"/>
  <c r="J20" i="14" s="1" a="1"/>
  <c r="J20" i="14" s="1"/>
  <c r="L19" i="14"/>
  <c r="J19" i="14" s="1" a="1"/>
  <c r="J19" i="14" s="1"/>
  <c r="L18" i="14"/>
  <c r="J18" i="14" s="1" a="1"/>
  <c r="J18" i="14" s="1"/>
  <c r="L17" i="14"/>
  <c r="J17" i="14" s="1" a="1"/>
  <c r="J17" i="14" s="1"/>
  <c r="L16" i="14"/>
  <c r="J16" i="14" s="1" a="1"/>
  <c r="J16" i="14" s="1"/>
  <c r="L15" i="14"/>
  <c r="J15" i="14" s="1" a="1"/>
  <c r="J15" i="14" s="1"/>
  <c r="L14" i="14"/>
  <c r="J14" i="14" s="1" a="1"/>
  <c r="J14" i="14" s="1"/>
  <c r="L13" i="14"/>
  <c r="J13" i="14" s="1" a="1"/>
  <c r="J13" i="14" s="1"/>
  <c r="L12" i="14"/>
  <c r="L11" i="14"/>
  <c r="J11" i="14" s="1" a="1"/>
  <c r="J11" i="14" s="1"/>
  <c r="L10" i="14"/>
  <c r="J10" i="14" s="1" a="1"/>
  <c r="J10" i="14" s="1"/>
  <c r="L9" i="14"/>
  <c r="J9" i="14" s="1" a="1"/>
  <c r="J9" i="14" s="1"/>
  <c r="L8" i="14"/>
  <c r="J8" i="14" s="1" a="1"/>
  <c r="J8" i="14" s="1"/>
  <c r="L7" i="14"/>
  <c r="J7" i="14" s="1" a="1"/>
  <c r="J7" i="14" s="1"/>
  <c r="L6" i="14"/>
  <c r="J6" i="14" s="1" a="1"/>
  <c r="J6" i="14" s="1"/>
  <c r="L5" i="14"/>
  <c r="E13" i="13"/>
  <c r="E11" i="13"/>
  <c r="H2" i="25"/>
  <c r="A64" i="13"/>
  <c r="A63" i="13"/>
  <c r="A62" i="13"/>
  <c r="A61" i="13"/>
  <c r="A60" i="13"/>
  <c r="A59" i="13"/>
  <c r="A58" i="13"/>
  <c r="A57" i="13"/>
  <c r="A56" i="13"/>
  <c r="A55" i="13"/>
  <c r="A54" i="13"/>
  <c r="A53" i="13"/>
  <c r="P46" i="14"/>
  <c r="O46" i="14"/>
  <c r="M46" i="14"/>
  <c r="K46" i="14"/>
  <c r="P45" i="14"/>
  <c r="O45" i="14"/>
  <c r="M45" i="14"/>
  <c r="K45" i="14"/>
  <c r="P44" i="14"/>
  <c r="O44" i="14"/>
  <c r="M44" i="14"/>
  <c r="K44" i="14"/>
  <c r="P43" i="14"/>
  <c r="O43" i="14"/>
  <c r="M43" i="14"/>
  <c r="K43" i="14"/>
  <c r="P42" i="14"/>
  <c r="O42" i="14"/>
  <c r="M42" i="14"/>
  <c r="K42" i="14"/>
  <c r="P41" i="14"/>
  <c r="O41" i="14"/>
  <c r="M41" i="14"/>
  <c r="K41" i="14"/>
  <c r="P40" i="14"/>
  <c r="O40" i="14"/>
  <c r="M40" i="14"/>
  <c r="K40" i="14"/>
  <c r="P39" i="14"/>
  <c r="O39" i="14"/>
  <c r="M39" i="14"/>
  <c r="K39" i="14"/>
  <c r="P38" i="14"/>
  <c r="O38" i="14"/>
  <c r="M38" i="14"/>
  <c r="K38" i="14"/>
  <c r="P37" i="14"/>
  <c r="O37" i="14"/>
  <c r="M37" i="14"/>
  <c r="K37" i="14"/>
  <c r="P36" i="14"/>
  <c r="O36" i="14"/>
  <c r="M36" i="14"/>
  <c r="K36" i="14"/>
  <c r="P35" i="14"/>
  <c r="O35" i="14"/>
  <c r="M35" i="14"/>
  <c r="K35" i="14"/>
  <c r="P34" i="14"/>
  <c r="O34" i="14"/>
  <c r="M34" i="14"/>
  <c r="K34" i="14"/>
  <c r="P33" i="14"/>
  <c r="O33" i="14"/>
  <c r="M33" i="14"/>
  <c r="K33" i="14"/>
  <c r="P32" i="14"/>
  <c r="O32" i="14"/>
  <c r="M32" i="14"/>
  <c r="K32" i="14"/>
  <c r="P31" i="14"/>
  <c r="O31" i="14"/>
  <c r="M31" i="14"/>
  <c r="K31" i="14"/>
  <c r="P30" i="14"/>
  <c r="O30" i="14"/>
  <c r="M30" i="14"/>
  <c r="K30" i="14"/>
  <c r="P29" i="14"/>
  <c r="O29" i="14"/>
  <c r="M29" i="14"/>
  <c r="K29" i="14"/>
  <c r="P28" i="14"/>
  <c r="O28" i="14"/>
  <c r="M28" i="14"/>
  <c r="K28" i="14"/>
  <c r="P27" i="14"/>
  <c r="O27" i="14"/>
  <c r="M27" i="14"/>
  <c r="K27" i="14"/>
  <c r="P26" i="14"/>
  <c r="O26" i="14"/>
  <c r="M26" i="14"/>
  <c r="K26" i="14"/>
  <c r="P25" i="14"/>
  <c r="O25" i="14"/>
  <c r="M25" i="14"/>
  <c r="K25" i="14"/>
  <c r="P24" i="14"/>
  <c r="O24" i="14"/>
  <c r="M24" i="14"/>
  <c r="K24" i="14"/>
  <c r="P23" i="14"/>
  <c r="O23" i="14"/>
  <c r="M23" i="14"/>
  <c r="K23" i="14"/>
  <c r="P22" i="14"/>
  <c r="O22" i="14"/>
  <c r="M22" i="14"/>
  <c r="K22" i="14"/>
  <c r="P21" i="14"/>
  <c r="O21" i="14"/>
  <c r="M21" i="14"/>
  <c r="K21" i="14"/>
  <c r="P20" i="14"/>
  <c r="O20" i="14"/>
  <c r="M20" i="14"/>
  <c r="K20" i="14"/>
  <c r="P19" i="14"/>
  <c r="O19" i="14"/>
  <c r="M19" i="14"/>
  <c r="K19" i="14"/>
  <c r="P18" i="14"/>
  <c r="O18" i="14"/>
  <c r="M18" i="14"/>
  <c r="K18" i="14"/>
  <c r="P17" i="14"/>
  <c r="O17" i="14"/>
  <c r="M17" i="14"/>
  <c r="K17" i="14"/>
  <c r="P16" i="14"/>
  <c r="O16" i="14"/>
  <c r="M16" i="14"/>
  <c r="K16" i="14"/>
  <c r="P15" i="14"/>
  <c r="O15" i="14"/>
  <c r="M15" i="14"/>
  <c r="K15" i="14"/>
  <c r="P14" i="14"/>
  <c r="O14" i="14"/>
  <c r="M14" i="14"/>
  <c r="K14" i="14"/>
  <c r="P13" i="14"/>
  <c r="O13" i="14"/>
  <c r="M13" i="14"/>
  <c r="K13" i="14"/>
  <c r="P12" i="14"/>
  <c r="O12" i="14"/>
  <c r="M12" i="14"/>
  <c r="K12" i="14"/>
  <c r="P11" i="14"/>
  <c r="O11" i="14"/>
  <c r="M11" i="14"/>
  <c r="K11" i="14"/>
  <c r="P10" i="14"/>
  <c r="O10" i="14"/>
  <c r="M10" i="14"/>
  <c r="K10" i="14"/>
  <c r="P9" i="14"/>
  <c r="O9" i="14"/>
  <c r="M9" i="14"/>
  <c r="K9" i="14"/>
  <c r="P8" i="14"/>
  <c r="O8" i="14"/>
  <c r="M8" i="14"/>
  <c r="K8" i="14"/>
  <c r="P7" i="14"/>
  <c r="O7" i="14"/>
  <c r="M7" i="14"/>
  <c r="K7" i="14"/>
  <c r="P6" i="14"/>
  <c r="O6" i="14"/>
  <c r="M6" i="14"/>
  <c r="K6" i="14"/>
  <c r="P5" i="14"/>
  <c r="O5" i="14"/>
  <c r="M5" i="14"/>
  <c r="K5" i="14"/>
  <c r="H5" i="25"/>
  <c r="I2" i="25"/>
  <c r="N17" i="25" s="1" a="1"/>
  <c r="N17" i="25" s="1"/>
  <c r="A1" i="30"/>
  <c r="A1" i="28"/>
  <c r="A1" i="25"/>
  <c r="A1" i="27"/>
  <c r="A1" i="14"/>
  <c r="A1" i="13"/>
  <c r="AO5" i="25"/>
  <c r="AL5" i="25"/>
  <c r="AN5" i="25"/>
  <c r="AM5" i="25"/>
  <c r="AS5" i="25"/>
  <c r="AQ5" i="25"/>
  <c r="AP5" i="25"/>
  <c r="AR5" i="25"/>
  <c r="J24" i="14" l="1" a="1"/>
  <c r="J24" i="14" s="1"/>
  <c r="J12" i="14" a="1"/>
  <c r="J12" i="14" s="1"/>
  <c r="J41" i="14" a="1"/>
  <c r="J41" i="14" s="1"/>
  <c r="I37" i="25" a="1"/>
  <c r="I37" i="25" s="1"/>
  <c r="J5" i="14" a="1"/>
  <c r="J5" i="14" s="1"/>
  <c r="J46" i="14" a="1"/>
  <c r="J46" i="14" s="1"/>
  <c r="I35" i="25" a="1"/>
  <c r="I35" i="25" s="1"/>
  <c r="J35" i="25" s="1"/>
  <c r="I9" i="25" a="1"/>
  <c r="I9" i="25" s="1"/>
  <c r="J9" i="25" s="1"/>
  <c r="I17" i="25" a="1"/>
  <c r="I17" i="25" s="1"/>
  <c r="L17" i="25" s="1"/>
  <c r="I18" i="25" a="1"/>
  <c r="I18" i="25" s="1"/>
  <c r="J18" i="25" s="1"/>
  <c r="X8" i="25"/>
  <c r="I36" i="25" a="1"/>
  <c r="I36" i="25" s="1"/>
  <c r="J36" i="25" s="1"/>
  <c r="I10" i="25" a="1"/>
  <c r="I10" i="25" s="1"/>
  <c r="L10" i="25" s="1"/>
  <c r="I23" i="25" a="1"/>
  <c r="I23" i="25" s="1"/>
  <c r="J23" i="25" s="1"/>
  <c r="I29" i="25" a="1"/>
  <c r="I29" i="25" s="1"/>
  <c r="L29" i="25" s="1"/>
  <c r="I44" i="25" a="1"/>
  <c r="I44" i="25" s="1"/>
  <c r="G44" i="25" s="1" a="1"/>
  <c r="G44" i="25" s="1"/>
  <c r="I11" i="25" a="1"/>
  <c r="I11" i="25" s="1"/>
  <c r="L11" i="25" s="1"/>
  <c r="I24" i="25" a="1"/>
  <c r="I24" i="25" s="1"/>
  <c r="G24" i="25" s="1" a="1"/>
  <c r="G24" i="25" s="1"/>
  <c r="I19" i="25" a="1"/>
  <c r="I19" i="25" s="1"/>
  <c r="J19" i="25" s="1"/>
  <c r="I21" i="25" a="1"/>
  <c r="I21" i="25" s="1"/>
  <c r="I43" i="25" a="1"/>
  <c r="I43" i="25" s="1"/>
  <c r="J43" i="25" s="1"/>
  <c r="I12" i="25" a="1"/>
  <c r="I12" i="25" s="1"/>
  <c r="L12" i="25" s="1"/>
  <c r="I25" i="25" a="1"/>
  <c r="I25" i="25" s="1"/>
  <c r="J25" i="25" s="1"/>
  <c r="I30" i="25" a="1"/>
  <c r="I30" i="25" s="1"/>
  <c r="G30" i="25" s="1" a="1"/>
  <c r="G30" i="25" s="1"/>
  <c r="I33" i="25" a="1"/>
  <c r="I33" i="25" s="1"/>
  <c r="L33" i="25" s="1"/>
  <c r="I40" i="25" a="1"/>
  <c r="I40" i="25" s="1"/>
  <c r="G40" i="25" s="1" a="1"/>
  <c r="G40" i="25" s="1"/>
  <c r="I13" i="25" a="1"/>
  <c r="I13" i="25" s="1"/>
  <c r="L13" i="25" s="1"/>
  <c r="I26" i="25" a="1"/>
  <c r="I26" i="25" s="1"/>
  <c r="I31" i="25" a="1"/>
  <c r="I31" i="25" s="1"/>
  <c r="J31" i="25" s="1"/>
  <c r="I22" i="25" a="1"/>
  <c r="I22" i="25" s="1"/>
  <c r="J22" i="25" s="1"/>
  <c r="I38" i="25" a="1"/>
  <c r="I38" i="25" s="1"/>
  <c r="K38" i="25" s="1"/>
  <c r="I6" i="25" a="1"/>
  <c r="I6" i="25" s="1"/>
  <c r="L6" i="25" s="1"/>
  <c r="I14" i="25" a="1"/>
  <c r="I14" i="25" s="1"/>
  <c r="J14" i="25" s="1"/>
  <c r="I27" i="25" a="1"/>
  <c r="I27" i="25" s="1"/>
  <c r="K27" i="25" s="1"/>
  <c r="I41" i="25" a="1"/>
  <c r="I41" i="25" s="1"/>
  <c r="L41" i="25" s="1"/>
  <c r="I39" i="25" a="1"/>
  <c r="I39" i="25" s="1"/>
  <c r="K39" i="25" s="1"/>
  <c r="I7" i="25" a="1"/>
  <c r="I7" i="25" s="1"/>
  <c r="G7" i="25" s="1" a="1"/>
  <c r="G7" i="25" s="1"/>
  <c r="I15" i="25" a="1"/>
  <c r="I15" i="25" s="1"/>
  <c r="L15" i="25" s="1"/>
  <c r="I28" i="25" a="1"/>
  <c r="I28" i="25" s="1"/>
  <c r="J28" i="25" s="1"/>
  <c r="I20" i="25" a="1"/>
  <c r="I20" i="25" s="1"/>
  <c r="L20" i="25" s="1"/>
  <c r="I34" i="25" a="1"/>
  <c r="I34" i="25" s="1"/>
  <c r="G34" i="25" s="1" a="1"/>
  <c r="G34" i="25" s="1"/>
  <c r="I8" i="25" a="1"/>
  <c r="I8" i="25" s="1"/>
  <c r="L8" i="25" s="1"/>
  <c r="I16" i="25" a="1"/>
  <c r="I16" i="25" s="1"/>
  <c r="L16" i="25" s="1"/>
  <c r="I42" i="25" a="1"/>
  <c r="I42" i="25" s="1"/>
  <c r="K42" i="25" s="1"/>
  <c r="I32" i="25" a="1"/>
  <c r="I32" i="25" s="1"/>
  <c r="J32" i="25" s="1"/>
  <c r="N13" i="25" a="1"/>
  <c r="N13" i="25" s="1"/>
  <c r="N38" i="25" a="1"/>
  <c r="N38" i="25" s="1"/>
  <c r="N8" i="25" a="1"/>
  <c r="N8" i="25" s="1"/>
  <c r="U30" i="25"/>
  <c r="U17" i="25"/>
  <c r="U44" i="25"/>
  <c r="X9" i="25"/>
  <c r="O33" i="25" a="1"/>
  <c r="O33" i="25" s="1"/>
  <c r="N24" i="25" a="1"/>
  <c r="N24" i="25" s="1"/>
  <c r="O22" i="25" a="1"/>
  <c r="O22" i="25" s="1"/>
  <c r="N15" i="25" a="1"/>
  <c r="N15" i="25" s="1"/>
  <c r="U25" i="25"/>
  <c r="X11" i="25"/>
  <c r="U42" i="25"/>
  <c r="X7" i="25"/>
  <c r="U33" i="25"/>
  <c r="X38" i="25"/>
  <c r="O21" i="25" a="1"/>
  <c r="O21" i="25" s="1"/>
  <c r="N39" i="25" a="1"/>
  <c r="N39" i="25" s="1"/>
  <c r="N31" i="25" a="1"/>
  <c r="N31" i="25" s="1"/>
  <c r="O26" i="25" a="1"/>
  <c r="O26" i="25" s="1"/>
  <c r="O28" i="25" a="1"/>
  <c r="O28" i="25" s="1"/>
  <c r="X42" i="25"/>
  <c r="U12" i="25"/>
  <c r="N14" i="25" a="1"/>
  <c r="N14" i="25" s="1"/>
  <c r="O9" i="25" a="1"/>
  <c r="O9" i="25" s="1"/>
  <c r="N11" i="25" a="1"/>
  <c r="N11" i="25" s="1"/>
  <c r="M43" i="25" a="1"/>
  <c r="M43" i="25" s="1"/>
  <c r="X41" i="25"/>
  <c r="O37" i="25" a="1"/>
  <c r="O37" i="25" s="1"/>
  <c r="N34" i="25" a="1"/>
  <c r="N34" i="25" s="1"/>
  <c r="N21" i="25" a="1"/>
  <c r="N21" i="25" s="1"/>
  <c r="X31" i="25"/>
  <c r="X22" i="25"/>
  <c r="X21" i="25"/>
  <c r="N12" i="25" a="1"/>
  <c r="N12" i="25" s="1"/>
  <c r="X24" i="25"/>
  <c r="U15" i="25"/>
  <c r="U11" i="25"/>
  <c r="O6" i="25" a="1"/>
  <c r="O6" i="25" s="1"/>
  <c r="Q43" i="25"/>
  <c r="Q41" i="25"/>
  <c r="P43" i="25"/>
  <c r="P41" i="25"/>
  <c r="P39" i="25"/>
  <c r="Q44" i="25"/>
  <c r="Q42" i="25"/>
  <c r="E13" i="27" s="1" a="1"/>
  <c r="E13" i="27" s="1"/>
  <c r="Q40" i="25"/>
  <c r="P44" i="25"/>
  <c r="P42" i="25"/>
  <c r="D13" i="27" s="1" a="1"/>
  <c r="D13" i="27" s="1"/>
  <c r="P40" i="25"/>
  <c r="P38" i="25"/>
  <c r="P37" i="25"/>
  <c r="Q34" i="25"/>
  <c r="O32" i="25" a="1"/>
  <c r="O32" i="25" s="1"/>
  <c r="P29" i="25"/>
  <c r="Q26" i="25"/>
  <c r="O40" i="25" a="1"/>
  <c r="O40" i="25" s="1"/>
  <c r="P34" i="25"/>
  <c r="Q31" i="25"/>
  <c r="P26" i="25"/>
  <c r="O44" i="25" a="1"/>
  <c r="O44" i="25" s="1"/>
  <c r="X37" i="25"/>
  <c r="Q36" i="25"/>
  <c r="O34" i="25" a="1"/>
  <c r="O34" i="25" s="1"/>
  <c r="P31" i="25"/>
  <c r="X29" i="25"/>
  <c r="Q28" i="25"/>
  <c r="Q25" i="25"/>
  <c r="P36" i="25"/>
  <c r="Q33" i="25"/>
  <c r="P28" i="25"/>
  <c r="P25" i="25"/>
  <c r="P23" i="25"/>
  <c r="P21" i="25"/>
  <c r="Q39" i="25"/>
  <c r="P33" i="25"/>
  <c r="Q30" i="25"/>
  <c r="Q35" i="25"/>
  <c r="P30" i="25"/>
  <c r="Q27" i="25"/>
  <c r="Q38" i="25"/>
  <c r="Q37" i="25"/>
  <c r="P35" i="25"/>
  <c r="P22" i="25"/>
  <c r="Q18" i="25"/>
  <c r="Q17" i="25"/>
  <c r="Q15" i="25"/>
  <c r="O38" i="25" a="1"/>
  <c r="O38" i="25" s="1"/>
  <c r="O35" i="25" a="1"/>
  <c r="O35" i="25" s="1"/>
  <c r="Q32" i="25"/>
  <c r="X30" i="25"/>
  <c r="Q19" i="25"/>
  <c r="P18" i="25"/>
  <c r="P17" i="25"/>
  <c r="P15" i="25"/>
  <c r="O41" i="25" a="1"/>
  <c r="O41" i="25" s="1"/>
  <c r="P32" i="25"/>
  <c r="O30" i="25" a="1"/>
  <c r="O30" i="25" s="1"/>
  <c r="Q29" i="25"/>
  <c r="P27" i="25"/>
  <c r="P19" i="25"/>
  <c r="O27" i="25" a="1"/>
  <c r="O27" i="25" s="1"/>
  <c r="Q23" i="25"/>
  <c r="Q24" i="25"/>
  <c r="Q20" i="25"/>
  <c r="P24" i="25"/>
  <c r="P20" i="25"/>
  <c r="U20" i="25"/>
  <c r="X19" i="25"/>
  <c r="X13" i="25"/>
  <c r="O13" i="25" a="1"/>
  <c r="O13" i="25" s="1"/>
  <c r="U10" i="25"/>
  <c r="O20" i="25" a="1"/>
  <c r="O20" i="25" s="1"/>
  <c r="Q14" i="25"/>
  <c r="P14" i="25"/>
  <c r="Q8" i="25"/>
  <c r="O12" i="25" a="1"/>
  <c r="O12" i="25" s="1"/>
  <c r="X33" i="25"/>
  <c r="Q21" i="25"/>
  <c r="O18" i="25" a="1"/>
  <c r="O18" i="25" s="1"/>
  <c r="Q16" i="25"/>
  <c r="Q7" i="25"/>
  <c r="P16" i="25"/>
  <c r="Q10" i="25"/>
  <c r="Q9" i="25"/>
  <c r="P8" i="25"/>
  <c r="P7" i="25"/>
  <c r="Q6" i="25"/>
  <c r="X12" i="25"/>
  <c r="Q12" i="25"/>
  <c r="Q11" i="25"/>
  <c r="P10" i="25"/>
  <c r="P9" i="25"/>
  <c r="P6" i="25"/>
  <c r="P13" i="25"/>
  <c r="O10" i="25" a="1"/>
  <c r="O10" i="25" s="1"/>
  <c r="Q22" i="25"/>
  <c r="Q13" i="25"/>
  <c r="P12" i="25"/>
  <c r="P11" i="25"/>
  <c r="N35" i="25" a="1"/>
  <c r="N35" i="25" s="1"/>
  <c r="N40" i="25" a="1"/>
  <c r="N40" i="25" s="1"/>
  <c r="U27" i="25"/>
  <c r="U38" i="25"/>
  <c r="N29" i="25" a="1"/>
  <c r="N29" i="25" s="1"/>
  <c r="U34" i="25"/>
  <c r="N36" i="25" a="1"/>
  <c r="N36" i="25" s="1"/>
  <c r="X20" i="25"/>
  <c r="X36" i="25"/>
  <c r="U9" i="25"/>
  <c r="N18" i="25" a="1"/>
  <c r="N18" i="25" s="1"/>
  <c r="U24" i="25"/>
  <c r="O7" i="25" a="1"/>
  <c r="O7" i="25" s="1"/>
  <c r="N7" i="25" a="1"/>
  <c r="N7" i="25" s="1"/>
  <c r="X17" i="25"/>
  <c r="K21" i="25"/>
  <c r="J21" i="25"/>
  <c r="G21" i="25" a="1"/>
  <c r="G21" i="25" s="1"/>
  <c r="L21" i="25"/>
  <c r="N41" i="25" a="1"/>
  <c r="N41" i="25" s="1"/>
  <c r="N37" i="25" a="1"/>
  <c r="N37" i="25" s="1"/>
  <c r="U36" i="25"/>
  <c r="U31" i="25"/>
  <c r="O39" i="25" a="1"/>
  <c r="O39" i="25" s="1"/>
  <c r="U39" i="25"/>
  <c r="O31" i="25" a="1"/>
  <c r="O31" i="25" s="1"/>
  <c r="U21" i="25"/>
  <c r="O25" i="25" a="1"/>
  <c r="O25" i="25" s="1"/>
  <c r="O23" i="25" a="1"/>
  <c r="O23" i="25" s="1"/>
  <c r="U8" i="25"/>
  <c r="N9" i="25" a="1"/>
  <c r="N9" i="25" s="1"/>
  <c r="U18" i="25"/>
  <c r="O14" i="25" a="1"/>
  <c r="O14" i="25" s="1"/>
  <c r="U14" i="25"/>
  <c r="X15" i="25"/>
  <c r="U13" i="25"/>
  <c r="N30" i="25" a="1"/>
  <c r="N30" i="25" s="1"/>
  <c r="N32" i="25" a="1"/>
  <c r="N32" i="25" s="1"/>
  <c r="N33" i="25" a="1"/>
  <c r="N33" i="25" s="1"/>
  <c r="N28" i="25" a="1"/>
  <c r="N28" i="25" s="1"/>
  <c r="N25" i="25" a="1"/>
  <c r="N25" i="25" s="1"/>
  <c r="N23" i="25" a="1"/>
  <c r="N23" i="25" s="1"/>
  <c r="N10" i="25" a="1"/>
  <c r="N10" i="25" s="1"/>
  <c r="O29" i="25" a="1"/>
  <c r="O29" i="25" s="1"/>
  <c r="N44" i="25" a="1"/>
  <c r="N44" i="25" s="1"/>
  <c r="O36" i="25" a="1"/>
  <c r="O36" i="25" s="1"/>
  <c r="U26" i="25"/>
  <c r="U22" i="25"/>
  <c r="N42" i="25" a="1"/>
  <c r="N42" i="25" s="1"/>
  <c r="X25" i="25"/>
  <c r="X23" i="25"/>
  <c r="X18" i="25"/>
  <c r="X14" i="25"/>
  <c r="O15" i="25" a="1"/>
  <c r="O15" i="25" s="1"/>
  <c r="O8" i="25" a="1"/>
  <c r="O8" i="25" s="1"/>
  <c r="U6" i="25"/>
  <c r="J37" i="25"/>
  <c r="G37" i="25" a="1"/>
  <c r="G37" i="25" s="1"/>
  <c r="L37" i="25"/>
  <c r="K37" i="25"/>
  <c r="G13" i="25" a="1"/>
  <c r="G13" i="25" s="1"/>
  <c r="J26" i="25"/>
  <c r="K26" i="25"/>
  <c r="G26" i="25" a="1"/>
  <c r="G26" i="25" s="1"/>
  <c r="L26" i="25"/>
  <c r="N27" i="25" a="1"/>
  <c r="N27" i="25" s="1"/>
  <c r="U40" i="25"/>
  <c r="X34" i="25"/>
  <c r="U37" i="25"/>
  <c r="U29" i="25"/>
  <c r="U23" i="25"/>
  <c r="N26" i="25" a="1"/>
  <c r="N26" i="25" s="1"/>
  <c r="N22" i="25" a="1"/>
  <c r="N22" i="25" s="1"/>
  <c r="O42" i="25" a="1"/>
  <c r="O42" i="25" s="1"/>
  <c r="C13" i="27" s="1" a="1"/>
  <c r="C13" i="27" s="1"/>
  <c r="N19" i="25" a="1"/>
  <c r="N19" i="25" s="1"/>
  <c r="O24" i="25" a="1"/>
  <c r="O24" i="25" s="1"/>
  <c r="O11" i="25" a="1"/>
  <c r="O11" i="25" s="1"/>
  <c r="X6" i="25"/>
  <c r="O17" i="25" a="1"/>
  <c r="O17" i="25" s="1"/>
  <c r="M16" i="25" a="1"/>
  <c r="M16" i="25" s="1"/>
  <c r="U41" i="25"/>
  <c r="X35" i="25"/>
  <c r="X27" i="25"/>
  <c r="X32" i="25"/>
  <c r="X40" i="25"/>
  <c r="U35" i="25"/>
  <c r="X44" i="25"/>
  <c r="U32" i="25"/>
  <c r="N20" i="25" a="1"/>
  <c r="N20" i="25" s="1"/>
  <c r="U28" i="25"/>
  <c r="X39" i="25"/>
  <c r="X26" i="25"/>
  <c r="X28" i="25"/>
  <c r="O19" i="25" a="1"/>
  <c r="O19" i="25" s="1"/>
  <c r="U19" i="25"/>
  <c r="X10" i="25"/>
  <c r="U7" i="25"/>
  <c r="N6" i="25" a="1"/>
  <c r="N6" i="25" s="1"/>
  <c r="H34" i="30" a="1"/>
  <c r="H34" i="30" s="1"/>
  <c r="T34" i="30" a="1"/>
  <c r="T34" i="30" s="1"/>
  <c r="D34" i="30" a="1"/>
  <c r="D34" i="30" s="1"/>
  <c r="P34" i="30" a="1"/>
  <c r="P34" i="30" s="1"/>
  <c r="L34" i="30" a="1"/>
  <c r="L34" i="30" s="1"/>
  <c r="L29" i="27" a="1"/>
  <c r="L29" i="27" s="1"/>
  <c r="E29" i="27" a="1"/>
  <c r="E29" i="27" s="1"/>
  <c r="I29" i="27" a="1"/>
  <c r="I29" i="27" s="1"/>
  <c r="D29" i="27" a="1"/>
  <c r="D29" i="27" s="1"/>
  <c r="M29" i="27" a="1"/>
  <c r="M29" i="27" s="1"/>
  <c r="H29" i="27" a="1"/>
  <c r="H29" i="27" s="1"/>
  <c r="G29" i="27" a="1"/>
  <c r="G29" i="27" s="1"/>
  <c r="C29" i="27" a="1"/>
  <c r="C29" i="27" s="1"/>
  <c r="L21" i="27" a="1"/>
  <c r="L21" i="27" s="1"/>
  <c r="E21" i="27" a="1"/>
  <c r="E21" i="27" s="1"/>
  <c r="D21" i="27" a="1"/>
  <c r="D21" i="27" s="1"/>
  <c r="C21" i="27" a="1"/>
  <c r="C21" i="27" s="1"/>
  <c r="M21" i="27" a="1"/>
  <c r="M21" i="27" s="1"/>
  <c r="H21" i="27" a="1"/>
  <c r="H21" i="27" s="1"/>
  <c r="I21" i="27" a="1"/>
  <c r="I21" i="27" s="1"/>
  <c r="G21" i="27" a="1"/>
  <c r="G21" i="27" s="1"/>
  <c r="L17" i="28" a="1"/>
  <c r="L17" i="28" s="1"/>
  <c r="I17" i="28" a="1"/>
  <c r="I17" i="28" s="1"/>
  <c r="H17" i="28" a="1"/>
  <c r="H17" i="28" s="1"/>
  <c r="D17" i="28" a="1"/>
  <c r="D17" i="28" s="1"/>
  <c r="C17" i="28" a="1"/>
  <c r="C17" i="28" s="1"/>
  <c r="G17" i="28" a="1"/>
  <c r="G17" i="28" s="1"/>
  <c r="M17" i="28" a="1"/>
  <c r="M17" i="28" s="1"/>
  <c r="E17" i="28" a="1"/>
  <c r="E17" i="28" s="1"/>
  <c r="L25" i="28" a="1"/>
  <c r="L25" i="28" s="1"/>
  <c r="I25" i="28" a="1"/>
  <c r="I25" i="28" s="1"/>
  <c r="H25" i="28" a="1"/>
  <c r="H25" i="28" s="1"/>
  <c r="D25" i="28" a="1"/>
  <c r="D25" i="28" s="1"/>
  <c r="G25" i="28" a="1"/>
  <c r="G25" i="28" s="1"/>
  <c r="E25" i="28" a="1"/>
  <c r="E25" i="28" s="1"/>
  <c r="C25" i="28" a="1"/>
  <c r="C25" i="28" s="1"/>
  <c r="M25" i="28" a="1"/>
  <c r="M25" i="28" s="1"/>
  <c r="I33" i="28" a="1"/>
  <c r="I33" i="28" s="1"/>
  <c r="D33" i="28" a="1"/>
  <c r="D33" i="28" s="1"/>
  <c r="H33" i="28" a="1"/>
  <c r="H33" i="28" s="1"/>
  <c r="G33" i="28" a="1"/>
  <c r="G33" i="28" s="1"/>
  <c r="E33" i="28" a="1"/>
  <c r="E33" i="28" s="1"/>
  <c r="M33" i="28" a="1"/>
  <c r="M33" i="28" s="1"/>
  <c r="C33" i="28" a="1"/>
  <c r="C33" i="28" s="1"/>
  <c r="L33" i="28" a="1"/>
  <c r="L33" i="28" s="1"/>
  <c r="T11" i="30" a="1"/>
  <c r="T11" i="30" s="1"/>
  <c r="D11" i="30" a="1"/>
  <c r="D11" i="30" s="1"/>
  <c r="P11" i="30" a="1"/>
  <c r="P11" i="30" s="1"/>
  <c r="L11" i="30" a="1"/>
  <c r="L11" i="30" s="1"/>
  <c r="H11" i="30" a="1"/>
  <c r="H11" i="30" s="1"/>
  <c r="T19" i="30" a="1"/>
  <c r="T19" i="30" s="1"/>
  <c r="D19" i="30" a="1"/>
  <c r="D19" i="30" s="1"/>
  <c r="P19" i="30" a="1"/>
  <c r="P19" i="30" s="1"/>
  <c r="H19" i="30" a="1"/>
  <c r="H19" i="30" s="1"/>
  <c r="L19" i="30" a="1"/>
  <c r="L19" i="30" s="1"/>
  <c r="T27" i="30" a="1"/>
  <c r="T27" i="30" s="1"/>
  <c r="D27" i="30" a="1"/>
  <c r="D27" i="30" s="1"/>
  <c r="P27" i="30" a="1"/>
  <c r="P27" i="30" s="1"/>
  <c r="H27" i="30" a="1"/>
  <c r="H27" i="30" s="1"/>
  <c r="L27" i="30" a="1"/>
  <c r="L27" i="30" s="1"/>
  <c r="T35" i="30" a="1"/>
  <c r="T35" i="30" s="1"/>
  <c r="D35" i="30" a="1"/>
  <c r="D35" i="30" s="1"/>
  <c r="P35" i="30" a="1"/>
  <c r="P35" i="30" s="1"/>
  <c r="L35" i="30" a="1"/>
  <c r="L35" i="30" s="1"/>
  <c r="H35" i="30" a="1"/>
  <c r="H35" i="30" s="1"/>
  <c r="L22" i="27" a="1"/>
  <c r="L22" i="27" s="1"/>
  <c r="E22" i="27" a="1"/>
  <c r="E22" i="27" s="1"/>
  <c r="D22" i="27" a="1"/>
  <c r="D22" i="27" s="1"/>
  <c r="C22" i="27" a="1"/>
  <c r="C22" i="27" s="1"/>
  <c r="M22" i="27" a="1"/>
  <c r="M22" i="27" s="1"/>
  <c r="H22" i="27" a="1"/>
  <c r="H22" i="27" s="1"/>
  <c r="I22" i="27" a="1"/>
  <c r="I22" i="27" s="1"/>
  <c r="G22" i="27" a="1"/>
  <c r="G22" i="27" s="1"/>
  <c r="I32" i="28" a="1"/>
  <c r="I32" i="28" s="1"/>
  <c r="D32" i="28" a="1"/>
  <c r="D32" i="28" s="1"/>
  <c r="H32" i="28" a="1"/>
  <c r="H32" i="28" s="1"/>
  <c r="G32" i="28" a="1"/>
  <c r="G32" i="28" s="1"/>
  <c r="E32" i="28" a="1"/>
  <c r="E32" i="28" s="1"/>
  <c r="M32" i="28" a="1"/>
  <c r="M32" i="28" s="1"/>
  <c r="L32" i="28" a="1"/>
  <c r="L32" i="28" s="1"/>
  <c r="C32" i="28" a="1"/>
  <c r="C32" i="28" s="1"/>
  <c r="L28" i="27" a="1"/>
  <c r="L28" i="27" s="1"/>
  <c r="E28" i="27" a="1"/>
  <c r="E28" i="27" s="1"/>
  <c r="I28" i="27" a="1"/>
  <c r="I28" i="27" s="1"/>
  <c r="D28" i="27" a="1"/>
  <c r="D28" i="27" s="1"/>
  <c r="M28" i="27" a="1"/>
  <c r="M28" i="27" s="1"/>
  <c r="H28" i="27" a="1"/>
  <c r="H28" i="27" s="1"/>
  <c r="G28" i="27" a="1"/>
  <c r="G28" i="27" s="1"/>
  <c r="C28" i="27" a="1"/>
  <c r="C28" i="27" s="1"/>
  <c r="L20" i="27" a="1"/>
  <c r="L20" i="27" s="1"/>
  <c r="E20" i="27" a="1"/>
  <c r="E20" i="27" s="1"/>
  <c r="D20" i="27" a="1"/>
  <c r="D20" i="27" s="1"/>
  <c r="C20" i="27" a="1"/>
  <c r="C20" i="27" s="1"/>
  <c r="M20" i="27" a="1"/>
  <c r="M20" i="27" s="1"/>
  <c r="H20" i="27" a="1"/>
  <c r="H20" i="27" s="1"/>
  <c r="I20" i="27" a="1"/>
  <c r="I20" i="27" s="1"/>
  <c r="G20" i="27" a="1"/>
  <c r="G20" i="27" s="1"/>
  <c r="H18" i="28" a="1"/>
  <c r="H18" i="28" s="1"/>
  <c r="G18" i="28" a="1"/>
  <c r="G18" i="28" s="1"/>
  <c r="E18" i="28" a="1"/>
  <c r="E18" i="28" s="1"/>
  <c r="L18" i="28" a="1"/>
  <c r="L18" i="28" s="1"/>
  <c r="M18" i="28" a="1"/>
  <c r="M18" i="28" s="1"/>
  <c r="I18" i="28" a="1"/>
  <c r="I18" i="28" s="1"/>
  <c r="D18" i="28" a="1"/>
  <c r="D18" i="28" s="1"/>
  <c r="C18" i="28" a="1"/>
  <c r="C18" i="28" s="1"/>
  <c r="I26" i="28" a="1"/>
  <c r="I26" i="28" s="1"/>
  <c r="H26" i="28" a="1"/>
  <c r="H26" i="28" s="1"/>
  <c r="G26" i="28" a="1"/>
  <c r="G26" i="28" s="1"/>
  <c r="E26" i="28" a="1"/>
  <c r="E26" i="28" s="1"/>
  <c r="M26" i="28" a="1"/>
  <c r="M26" i="28" s="1"/>
  <c r="C26" i="28" a="1"/>
  <c r="C26" i="28" s="1"/>
  <c r="L26" i="28" a="1"/>
  <c r="L26" i="28" s="1"/>
  <c r="D26" i="28" a="1"/>
  <c r="D26" i="28" s="1"/>
  <c r="I34" i="28" a="1"/>
  <c r="I34" i="28" s="1"/>
  <c r="D34" i="28" a="1"/>
  <c r="D34" i="28" s="1"/>
  <c r="H34" i="28" a="1"/>
  <c r="H34" i="28" s="1"/>
  <c r="G34" i="28" a="1"/>
  <c r="G34" i="28" s="1"/>
  <c r="E34" i="28" a="1"/>
  <c r="E34" i="28" s="1"/>
  <c r="M34" i="28" a="1"/>
  <c r="M34" i="28" s="1"/>
  <c r="C34" i="28" a="1"/>
  <c r="C34" i="28" s="1"/>
  <c r="L34" i="28" a="1"/>
  <c r="L34" i="28" s="1"/>
  <c r="P12" i="30" a="1"/>
  <c r="P12" i="30" s="1"/>
  <c r="L12" i="30" a="1"/>
  <c r="L12" i="30" s="1"/>
  <c r="H12" i="30" a="1"/>
  <c r="H12" i="30" s="1"/>
  <c r="P20" i="30" a="1"/>
  <c r="P20" i="30" s="1"/>
  <c r="L20" i="30" a="1"/>
  <c r="L20" i="30" s="1"/>
  <c r="T20" i="30" a="1"/>
  <c r="T20" i="30" s="1"/>
  <c r="H20" i="30" a="1"/>
  <c r="H20" i="30" s="1"/>
  <c r="D20" i="30" a="1"/>
  <c r="D20" i="30" s="1"/>
  <c r="P28" i="30" a="1"/>
  <c r="P28" i="30" s="1"/>
  <c r="L28" i="30" a="1"/>
  <c r="L28" i="30" s="1"/>
  <c r="T28" i="30" a="1"/>
  <c r="T28" i="30" s="1"/>
  <c r="H28" i="30" a="1"/>
  <c r="H28" i="30" s="1"/>
  <c r="D28" i="30" a="1"/>
  <c r="D28" i="30" s="1"/>
  <c r="L35" i="27" a="1"/>
  <c r="L35" i="27" s="1"/>
  <c r="E35" i="27" a="1"/>
  <c r="E35" i="27" s="1"/>
  <c r="I35" i="27" a="1"/>
  <c r="I35" i="27" s="1"/>
  <c r="D35" i="27" a="1"/>
  <c r="D35" i="27" s="1"/>
  <c r="H35" i="27" a="1"/>
  <c r="H35" i="27" s="1"/>
  <c r="G35" i="27" a="1"/>
  <c r="G35" i="27" s="1"/>
  <c r="C35" i="27" a="1"/>
  <c r="C35" i="27" s="1"/>
  <c r="M35" i="27" a="1"/>
  <c r="M35" i="27" s="1"/>
  <c r="L27" i="27" a="1"/>
  <c r="L27" i="27" s="1"/>
  <c r="E27" i="27" a="1"/>
  <c r="E27" i="27" s="1"/>
  <c r="I27" i="27" a="1"/>
  <c r="I27" i="27" s="1"/>
  <c r="D27" i="27" a="1"/>
  <c r="D27" i="27" s="1"/>
  <c r="H27" i="27" a="1"/>
  <c r="H27" i="27" s="1"/>
  <c r="G27" i="27" a="1"/>
  <c r="G27" i="27" s="1"/>
  <c r="C27" i="27" a="1"/>
  <c r="C27" i="27" s="1"/>
  <c r="M27" i="27" a="1"/>
  <c r="M27" i="27" s="1"/>
  <c r="H19" i="27" a="1"/>
  <c r="H19" i="27" s="1"/>
  <c r="C19" i="27" a="1"/>
  <c r="C19" i="27" s="1"/>
  <c r="M19" i="27" a="1"/>
  <c r="M19" i="27" s="1"/>
  <c r="G19" i="27" a="1"/>
  <c r="G19" i="27" s="1"/>
  <c r="D19" i="27" a="1"/>
  <c r="D19" i="27" s="1"/>
  <c r="L19" i="27" a="1"/>
  <c r="L19" i="27" s="1"/>
  <c r="I19" i="27" a="1"/>
  <c r="I19" i="27" s="1"/>
  <c r="E19" i="27" a="1"/>
  <c r="E19" i="27" s="1"/>
  <c r="H11" i="27" a="1"/>
  <c r="H11" i="27" s="1"/>
  <c r="C11" i="27" a="1"/>
  <c r="C11" i="27" s="1"/>
  <c r="M11" i="27" a="1"/>
  <c r="M11" i="27" s="1"/>
  <c r="G11" i="27" a="1"/>
  <c r="G11" i="27" s="1"/>
  <c r="D11" i="27" a="1"/>
  <c r="D11" i="27" s="1"/>
  <c r="L11" i="27" a="1"/>
  <c r="L11" i="27" s="1"/>
  <c r="I11" i="27" a="1"/>
  <c r="I11" i="27" s="1"/>
  <c r="E11" i="27" a="1"/>
  <c r="E11" i="27" s="1"/>
  <c r="G19" i="28" a="1"/>
  <c r="G19" i="28" s="1"/>
  <c r="E19" i="28" a="1"/>
  <c r="E19" i="28" s="1"/>
  <c r="D19" i="28" a="1"/>
  <c r="D19" i="28" s="1"/>
  <c r="M19" i="28" a="1"/>
  <c r="M19" i="28" s="1"/>
  <c r="C19" i="28" a="1"/>
  <c r="C19" i="28" s="1"/>
  <c r="H19" i="28" a="1"/>
  <c r="H19" i="28" s="1"/>
  <c r="I19" i="28" a="1"/>
  <c r="I19" i="28" s="1"/>
  <c r="L19" i="28" a="1"/>
  <c r="L19" i="28" s="1"/>
  <c r="I27" i="28" a="1"/>
  <c r="I27" i="28" s="1"/>
  <c r="D27" i="28" a="1"/>
  <c r="D27" i="28" s="1"/>
  <c r="H27" i="28" a="1"/>
  <c r="H27" i="28" s="1"/>
  <c r="G27" i="28" a="1"/>
  <c r="G27" i="28" s="1"/>
  <c r="E27" i="28" a="1"/>
  <c r="E27" i="28" s="1"/>
  <c r="M27" i="28" a="1"/>
  <c r="M27" i="28" s="1"/>
  <c r="L27" i="28" a="1"/>
  <c r="L27" i="28" s="1"/>
  <c r="C27" i="28" a="1"/>
  <c r="C27" i="28" s="1"/>
  <c r="L13" i="30" a="1"/>
  <c r="L13" i="30" s="1"/>
  <c r="H13" i="30" a="1"/>
  <c r="H13" i="30" s="1"/>
  <c r="P13" i="30" a="1"/>
  <c r="P13" i="30" s="1"/>
  <c r="L21" i="30" a="1"/>
  <c r="L21" i="30" s="1"/>
  <c r="H21" i="30" a="1"/>
  <c r="H21" i="30" s="1"/>
  <c r="T21" i="30" a="1"/>
  <c r="T21" i="30" s="1"/>
  <c r="P21" i="30" a="1"/>
  <c r="P21" i="30" s="1"/>
  <c r="D21" i="30" a="1"/>
  <c r="D21" i="30" s="1"/>
  <c r="L29" i="30" a="1"/>
  <c r="L29" i="30" s="1"/>
  <c r="H29" i="30" a="1"/>
  <c r="H29" i="30" s="1"/>
  <c r="D29" i="30" a="1"/>
  <c r="D29" i="30" s="1"/>
  <c r="T29" i="30" a="1"/>
  <c r="T29" i="30" s="1"/>
  <c r="P29" i="30" a="1"/>
  <c r="P29" i="30" s="1"/>
  <c r="H10" i="30" a="1"/>
  <c r="H10" i="30" s="1"/>
  <c r="T10" i="30" a="1"/>
  <c r="T10" i="30" s="1"/>
  <c r="D10" i="30" a="1"/>
  <c r="D10" i="30" s="1"/>
  <c r="P10" i="30" a="1"/>
  <c r="P10" i="30" s="1"/>
  <c r="L10" i="30" a="1"/>
  <c r="L10" i="30" s="1"/>
  <c r="L26" i="27" a="1"/>
  <c r="L26" i="27" s="1"/>
  <c r="E26" i="27" a="1"/>
  <c r="E26" i="27" s="1"/>
  <c r="I26" i="27" a="1"/>
  <c r="I26" i="27" s="1"/>
  <c r="D26" i="27" a="1"/>
  <c r="D26" i="27" s="1"/>
  <c r="C26" i="27" a="1"/>
  <c r="C26" i="27" s="1"/>
  <c r="H26" i="27" a="1"/>
  <c r="H26" i="27" s="1"/>
  <c r="G26" i="27" a="1"/>
  <c r="G26" i="27" s="1"/>
  <c r="M26" i="27" a="1"/>
  <c r="M26" i="27" s="1"/>
  <c r="H6" i="30" a="1"/>
  <c r="H6" i="30" s="1"/>
  <c r="P6" i="30" a="1"/>
  <c r="P6" i="30" s="1"/>
  <c r="L6" i="30" a="1"/>
  <c r="L6" i="30" s="1"/>
  <c r="H30" i="30" a="1"/>
  <c r="H30" i="30" s="1"/>
  <c r="T30" i="30" a="1"/>
  <c r="T30" i="30" s="1"/>
  <c r="D30" i="30" a="1"/>
  <c r="D30" i="30" s="1"/>
  <c r="P30" i="30" a="1"/>
  <c r="P30" i="30" s="1"/>
  <c r="L30" i="30" a="1"/>
  <c r="L30" i="30" s="1"/>
  <c r="I5" i="25" a="1"/>
  <c r="I5" i="25" s="1"/>
  <c r="G5" i="25" s="1" a="1"/>
  <c r="G5" i="25" s="1"/>
  <c r="H18" i="30" a="1"/>
  <c r="H18" i="30" s="1"/>
  <c r="T18" i="30" a="1"/>
  <c r="T18" i="30" s="1"/>
  <c r="D18" i="30" a="1"/>
  <c r="D18" i="30" s="1"/>
  <c r="P18" i="30" a="1"/>
  <c r="P18" i="30" s="1"/>
  <c r="L18" i="30" a="1"/>
  <c r="L18" i="30" s="1"/>
  <c r="L34" i="27" a="1"/>
  <c r="L34" i="27" s="1"/>
  <c r="E34" i="27" a="1"/>
  <c r="E34" i="27" s="1"/>
  <c r="I34" i="27" a="1"/>
  <c r="I34" i="27" s="1"/>
  <c r="D34" i="27" a="1"/>
  <c r="D34" i="27" s="1"/>
  <c r="C34" i="27" a="1"/>
  <c r="C34" i="27" s="1"/>
  <c r="H34" i="27" a="1"/>
  <c r="H34" i="27" s="1"/>
  <c r="M34" i="27" a="1"/>
  <c r="M34" i="27" s="1"/>
  <c r="G34" i="27" a="1"/>
  <c r="G34" i="27" s="1"/>
  <c r="D12" i="28" a="1"/>
  <c r="D12" i="28" s="1"/>
  <c r="M12" i="28" a="1"/>
  <c r="M12" i="28" s="1"/>
  <c r="C12" i="28" a="1"/>
  <c r="C12" i="28" s="1"/>
  <c r="L12" i="28" a="1"/>
  <c r="L12" i="28" s="1"/>
  <c r="I12" i="28" a="1"/>
  <c r="I12" i="28" s="1"/>
  <c r="G12" i="28" a="1"/>
  <c r="G12" i="28" s="1"/>
  <c r="H12" i="28" a="1"/>
  <c r="H12" i="28" s="1"/>
  <c r="E12" i="28" a="1"/>
  <c r="E12" i="28" s="1"/>
  <c r="D20" i="28" a="1"/>
  <c r="D20" i="28" s="1"/>
  <c r="M20" i="28" a="1"/>
  <c r="M20" i="28" s="1"/>
  <c r="C20" i="28" a="1"/>
  <c r="C20" i="28" s="1"/>
  <c r="L20" i="28" a="1"/>
  <c r="L20" i="28" s="1"/>
  <c r="I20" i="28" a="1"/>
  <c r="I20" i="28" s="1"/>
  <c r="G20" i="28" a="1"/>
  <c r="G20" i="28" s="1"/>
  <c r="H20" i="28" a="1"/>
  <c r="H20" i="28" s="1"/>
  <c r="E20" i="28" a="1"/>
  <c r="E20" i="28" s="1"/>
  <c r="H22" i="30" a="1"/>
  <c r="H22" i="30" s="1"/>
  <c r="T22" i="30" a="1"/>
  <c r="T22" i="30" s="1"/>
  <c r="D22" i="30" a="1"/>
  <c r="D22" i="30" s="1"/>
  <c r="P22" i="30" a="1"/>
  <c r="P22" i="30" s="1"/>
  <c r="L22" i="30" a="1"/>
  <c r="L22" i="30" s="1"/>
  <c r="L33" i="27" a="1"/>
  <c r="L33" i="27" s="1"/>
  <c r="E33" i="27" a="1"/>
  <c r="E33" i="27" s="1"/>
  <c r="I33" i="27" a="1"/>
  <c r="I33" i="27" s="1"/>
  <c r="D33" i="27" a="1"/>
  <c r="D33" i="27" s="1"/>
  <c r="M33" i="27" a="1"/>
  <c r="M33" i="27" s="1"/>
  <c r="G33" i="27" a="1"/>
  <c r="G33" i="27" s="1"/>
  <c r="C33" i="27" a="1"/>
  <c r="C33" i="27" s="1"/>
  <c r="H33" i="27" a="1"/>
  <c r="H33" i="27" s="1"/>
  <c r="L25" i="27" a="1"/>
  <c r="L25" i="27" s="1"/>
  <c r="E25" i="27" a="1"/>
  <c r="E25" i="27" s="1"/>
  <c r="D25" i="27" a="1"/>
  <c r="D25" i="27" s="1"/>
  <c r="C25" i="27" a="1"/>
  <c r="C25" i="27" s="1"/>
  <c r="M25" i="27" a="1"/>
  <c r="M25" i="27" s="1"/>
  <c r="H25" i="27" a="1"/>
  <c r="H25" i="27" s="1"/>
  <c r="I25" i="27" a="1"/>
  <c r="I25" i="27" s="1"/>
  <c r="G25" i="27" a="1"/>
  <c r="G25" i="27" s="1"/>
  <c r="H17" i="27" a="1"/>
  <c r="H17" i="27" s="1"/>
  <c r="C17" i="27" a="1"/>
  <c r="C17" i="27" s="1"/>
  <c r="M17" i="27" a="1"/>
  <c r="M17" i="27" s="1"/>
  <c r="G17" i="27" a="1"/>
  <c r="G17" i="27" s="1"/>
  <c r="L17" i="27" a="1"/>
  <c r="L17" i="27" s="1"/>
  <c r="I17" i="27" a="1"/>
  <c r="I17" i="27" s="1"/>
  <c r="E17" i="27" a="1"/>
  <c r="E17" i="27" s="1"/>
  <c r="D17" i="27" a="1"/>
  <c r="D17" i="27" s="1"/>
  <c r="L13" i="28" a="1"/>
  <c r="L13" i="28" s="1"/>
  <c r="I13" i="28" a="1"/>
  <c r="I13" i="28" s="1"/>
  <c r="H13" i="28" a="1"/>
  <c r="H13" i="28" s="1"/>
  <c r="D13" i="28" a="1"/>
  <c r="D13" i="28" s="1"/>
  <c r="E13" i="28" a="1"/>
  <c r="E13" i="28" s="1"/>
  <c r="M13" i="28" a="1"/>
  <c r="M13" i="28" s="1"/>
  <c r="G13" i="28" a="1"/>
  <c r="G13" i="28" s="1"/>
  <c r="C13" i="28" a="1"/>
  <c r="C13" i="28" s="1"/>
  <c r="L21" i="28" a="1"/>
  <c r="L21" i="28" s="1"/>
  <c r="I21" i="28" a="1"/>
  <c r="I21" i="28" s="1"/>
  <c r="H21" i="28" a="1"/>
  <c r="H21" i="28" s="1"/>
  <c r="D21" i="28" a="1"/>
  <c r="D21" i="28" s="1"/>
  <c r="E21" i="28" a="1"/>
  <c r="E21" i="28" s="1"/>
  <c r="C21" i="28" a="1"/>
  <c r="C21" i="28" s="1"/>
  <c r="M21" i="28" a="1"/>
  <c r="M21" i="28" s="1"/>
  <c r="G21" i="28" a="1"/>
  <c r="G21" i="28" s="1"/>
  <c r="I29" i="28" a="1"/>
  <c r="I29" i="28" s="1"/>
  <c r="D29" i="28" a="1"/>
  <c r="D29" i="28" s="1"/>
  <c r="H29" i="28" a="1"/>
  <c r="H29" i="28" s="1"/>
  <c r="G29" i="28" a="1"/>
  <c r="G29" i="28" s="1"/>
  <c r="E29" i="28" a="1"/>
  <c r="E29" i="28" s="1"/>
  <c r="M29" i="28" a="1"/>
  <c r="M29" i="28" s="1"/>
  <c r="L29" i="28" a="1"/>
  <c r="L29" i="28" s="1"/>
  <c r="C29" i="28" a="1"/>
  <c r="C29" i="28" s="1"/>
  <c r="L7" i="30" a="1"/>
  <c r="L7" i="30" s="1"/>
  <c r="H7" i="30" a="1"/>
  <c r="H7" i="30" s="1"/>
  <c r="P7" i="30" a="1"/>
  <c r="P7" i="30" s="1"/>
  <c r="P15" i="30" a="1"/>
  <c r="P15" i="30" s="1"/>
  <c r="L15" i="30" a="1"/>
  <c r="L15" i="30" s="1"/>
  <c r="H15" i="30" a="1"/>
  <c r="H15" i="30" s="1"/>
  <c r="T23" i="30" a="1"/>
  <c r="T23" i="30" s="1"/>
  <c r="D23" i="30" a="1"/>
  <c r="D23" i="30" s="1"/>
  <c r="P23" i="30" a="1"/>
  <c r="P23" i="30" s="1"/>
  <c r="L23" i="30" a="1"/>
  <c r="L23" i="30" s="1"/>
  <c r="H23" i="30" a="1"/>
  <c r="H23" i="30" s="1"/>
  <c r="T31" i="30" a="1"/>
  <c r="T31" i="30" s="1"/>
  <c r="D31" i="30" a="1"/>
  <c r="D31" i="30" s="1"/>
  <c r="P31" i="30" a="1"/>
  <c r="P31" i="30" s="1"/>
  <c r="L31" i="30" a="1"/>
  <c r="L31" i="30" s="1"/>
  <c r="H31" i="30" a="1"/>
  <c r="H31" i="30" s="1"/>
  <c r="O5" i="25" a="1"/>
  <c r="O5" i="25" s="1"/>
  <c r="C6" i="27" s="1" a="1"/>
  <c r="C6" i="27" s="1"/>
  <c r="L30" i="27" a="1"/>
  <c r="L30" i="27" s="1"/>
  <c r="E30" i="27" a="1"/>
  <c r="E30" i="27" s="1"/>
  <c r="I30" i="27" a="1"/>
  <c r="I30" i="27" s="1"/>
  <c r="D30" i="27" a="1"/>
  <c r="D30" i="27" s="1"/>
  <c r="C30" i="27" a="1"/>
  <c r="C30" i="27" s="1"/>
  <c r="H30" i="27" a="1"/>
  <c r="H30" i="27" s="1"/>
  <c r="M30" i="27" a="1"/>
  <c r="M30" i="27" s="1"/>
  <c r="G30" i="27" a="1"/>
  <c r="G30" i="27" s="1"/>
  <c r="D24" i="28" a="1"/>
  <c r="D24" i="28" s="1"/>
  <c r="M24" i="28" a="1"/>
  <c r="M24" i="28" s="1"/>
  <c r="C24" i="28" a="1"/>
  <c r="C24" i="28" s="1"/>
  <c r="L24" i="28" a="1"/>
  <c r="L24" i="28" s="1"/>
  <c r="I24" i="28" a="1"/>
  <c r="I24" i="28" s="1"/>
  <c r="G24" i="28" a="1"/>
  <c r="G24" i="28" s="1"/>
  <c r="H24" i="28" a="1"/>
  <c r="H24" i="28" s="1"/>
  <c r="E24" i="28" a="1"/>
  <c r="E24" i="28" s="1"/>
  <c r="H10" i="27" a="1"/>
  <c r="H10" i="27" s="1"/>
  <c r="C10" i="27" a="1"/>
  <c r="C10" i="27" s="1"/>
  <c r="M10" i="27" a="1"/>
  <c r="M10" i="27" s="1"/>
  <c r="G10" i="27" a="1"/>
  <c r="G10" i="27" s="1"/>
  <c r="L10" i="27" a="1"/>
  <c r="L10" i="27" s="1"/>
  <c r="I10" i="27" a="1"/>
  <c r="I10" i="27" s="1"/>
  <c r="E10" i="27" a="1"/>
  <c r="E10" i="27" s="1"/>
  <c r="D10" i="27" a="1"/>
  <c r="D10" i="27" s="1"/>
  <c r="H14" i="30" a="1"/>
  <c r="H14" i="30" s="1"/>
  <c r="L14" i="30" a="1"/>
  <c r="L14" i="30" s="1"/>
  <c r="P14" i="30" a="1"/>
  <c r="P14" i="30" s="1"/>
  <c r="L32" i="27" a="1"/>
  <c r="L32" i="27" s="1"/>
  <c r="E32" i="27" a="1"/>
  <c r="E32" i="27" s="1"/>
  <c r="I32" i="27" a="1"/>
  <c r="I32" i="27" s="1"/>
  <c r="D32" i="27" a="1"/>
  <c r="D32" i="27" s="1"/>
  <c r="M32" i="27" a="1"/>
  <c r="M32" i="27" s="1"/>
  <c r="H32" i="27" a="1"/>
  <c r="H32" i="27" s="1"/>
  <c r="G32" i="27" a="1"/>
  <c r="G32" i="27" s="1"/>
  <c r="C32" i="27" a="1"/>
  <c r="C32" i="27" s="1"/>
  <c r="L24" i="27" a="1"/>
  <c r="L24" i="27" s="1"/>
  <c r="E24" i="27" a="1"/>
  <c r="E24" i="27" s="1"/>
  <c r="D24" i="27" a="1"/>
  <c r="D24" i="27" s="1"/>
  <c r="C24" i="27" a="1"/>
  <c r="C24" i="27" s="1"/>
  <c r="M24" i="27" a="1"/>
  <c r="M24" i="27" s="1"/>
  <c r="H24" i="27" a="1"/>
  <c r="H24" i="27" s="1"/>
  <c r="I24" i="27" a="1"/>
  <c r="I24" i="27" s="1"/>
  <c r="G24" i="27" a="1"/>
  <c r="G24" i="27" s="1"/>
  <c r="H8" i="27" a="1"/>
  <c r="H8" i="27" s="1"/>
  <c r="C8" i="27" a="1"/>
  <c r="C8" i="27" s="1"/>
  <c r="M8" i="27" a="1"/>
  <c r="M8" i="27" s="1"/>
  <c r="G8" i="27" a="1"/>
  <c r="G8" i="27" s="1"/>
  <c r="E8" i="27" a="1"/>
  <c r="E8" i="27" s="1"/>
  <c r="D8" i="27" a="1"/>
  <c r="D8" i="27" s="1"/>
  <c r="L8" i="27" a="1"/>
  <c r="L8" i="27" s="1"/>
  <c r="I8" i="27" a="1"/>
  <c r="I8" i="27" s="1"/>
  <c r="H14" i="28" a="1"/>
  <c r="H14" i="28" s="1"/>
  <c r="G14" i="28" a="1"/>
  <c r="G14" i="28" s="1"/>
  <c r="E14" i="28" a="1"/>
  <c r="E14" i="28" s="1"/>
  <c r="L14" i="28" a="1"/>
  <c r="L14" i="28" s="1"/>
  <c r="M14" i="28" a="1"/>
  <c r="M14" i="28" s="1"/>
  <c r="I14" i="28" a="1"/>
  <c r="I14" i="28" s="1"/>
  <c r="D14" i="28" a="1"/>
  <c r="D14" i="28" s="1"/>
  <c r="C14" i="28" a="1"/>
  <c r="C14" i="28" s="1"/>
  <c r="H22" i="28" a="1"/>
  <c r="H22" i="28" s="1"/>
  <c r="G22" i="28" a="1"/>
  <c r="G22" i="28" s="1"/>
  <c r="E22" i="28" a="1"/>
  <c r="E22" i="28" s="1"/>
  <c r="L22" i="28" a="1"/>
  <c r="L22" i="28" s="1"/>
  <c r="M22" i="28" a="1"/>
  <c r="M22" i="28" s="1"/>
  <c r="I22" i="28" a="1"/>
  <c r="I22" i="28" s="1"/>
  <c r="D22" i="28" a="1"/>
  <c r="D22" i="28" s="1"/>
  <c r="C22" i="28" a="1"/>
  <c r="C22" i="28" s="1"/>
  <c r="I30" i="28" a="1"/>
  <c r="I30" i="28" s="1"/>
  <c r="D30" i="28" a="1"/>
  <c r="D30" i="28" s="1"/>
  <c r="H30" i="28" a="1"/>
  <c r="H30" i="28" s="1"/>
  <c r="G30" i="28" a="1"/>
  <c r="G30" i="28" s="1"/>
  <c r="E30" i="28" a="1"/>
  <c r="E30" i="28" s="1"/>
  <c r="M30" i="28" a="1"/>
  <c r="M30" i="28" s="1"/>
  <c r="L30" i="28" a="1"/>
  <c r="L30" i="28" s="1"/>
  <c r="C30" i="28" a="1"/>
  <c r="C30" i="28" s="1"/>
  <c r="P8" i="30" a="1"/>
  <c r="P8" i="30" s="1"/>
  <c r="L8" i="30" a="1"/>
  <c r="L8" i="30" s="1"/>
  <c r="H8" i="30" a="1"/>
  <c r="H8" i="30" s="1"/>
  <c r="D8" i="30" a="1"/>
  <c r="D8" i="30" s="1"/>
  <c r="T8" i="30" a="1"/>
  <c r="T8" i="30" s="1"/>
  <c r="P16" i="30" a="1"/>
  <c r="P16" i="30" s="1"/>
  <c r="L16" i="30" a="1"/>
  <c r="L16" i="30" s="1"/>
  <c r="H16" i="30" a="1"/>
  <c r="H16" i="30" s="1"/>
  <c r="P24" i="30" a="1"/>
  <c r="P24" i="30" s="1"/>
  <c r="L24" i="30" a="1"/>
  <c r="L24" i="30" s="1"/>
  <c r="T24" i="30" a="1"/>
  <c r="T24" i="30" s="1"/>
  <c r="H24" i="30" a="1"/>
  <c r="H24" i="30" s="1"/>
  <c r="D24" i="30" a="1"/>
  <c r="D24" i="30" s="1"/>
  <c r="P32" i="30" a="1"/>
  <c r="P32" i="30" s="1"/>
  <c r="L32" i="30" a="1"/>
  <c r="L32" i="30" s="1"/>
  <c r="T32" i="30" a="1"/>
  <c r="T32" i="30" s="1"/>
  <c r="D32" i="30" a="1"/>
  <c r="D32" i="30" s="1"/>
  <c r="H32" i="30" a="1"/>
  <c r="H32" i="30" s="1"/>
  <c r="N5" i="25" a="1"/>
  <c r="N5" i="25" s="1"/>
  <c r="D16" i="28" a="1"/>
  <c r="D16" i="28" s="1"/>
  <c r="M16" i="28" a="1"/>
  <c r="M16" i="28" s="1"/>
  <c r="C16" i="28" a="1"/>
  <c r="C16" i="28" s="1"/>
  <c r="L16" i="28" a="1"/>
  <c r="L16" i="28" s="1"/>
  <c r="I16" i="28" a="1"/>
  <c r="I16" i="28" s="1"/>
  <c r="G16" i="28" a="1"/>
  <c r="G16" i="28" s="1"/>
  <c r="H16" i="28" a="1"/>
  <c r="H16" i="28" s="1"/>
  <c r="E16" i="28" a="1"/>
  <c r="E16" i="28" s="1"/>
  <c r="H26" i="30" a="1"/>
  <c r="H26" i="30" s="1"/>
  <c r="T26" i="30" a="1"/>
  <c r="T26" i="30" s="1"/>
  <c r="D26" i="30" a="1"/>
  <c r="D26" i="30" s="1"/>
  <c r="P26" i="30" a="1"/>
  <c r="P26" i="30" s="1"/>
  <c r="L26" i="30" a="1"/>
  <c r="L26" i="30" s="1"/>
  <c r="H18" i="27" a="1"/>
  <c r="H18" i="27" s="1"/>
  <c r="C18" i="27" a="1"/>
  <c r="C18" i="27" s="1"/>
  <c r="M18" i="27" a="1"/>
  <c r="M18" i="27" s="1"/>
  <c r="G18" i="27" a="1"/>
  <c r="G18" i="27" s="1"/>
  <c r="L18" i="27" a="1"/>
  <c r="L18" i="27" s="1"/>
  <c r="I18" i="27" a="1"/>
  <c r="I18" i="27" s="1"/>
  <c r="E18" i="27" a="1"/>
  <c r="E18" i="27" s="1"/>
  <c r="D18" i="27" a="1"/>
  <c r="D18" i="27" s="1"/>
  <c r="I28" i="28" a="1"/>
  <c r="I28" i="28" s="1"/>
  <c r="D28" i="28" a="1"/>
  <c r="D28" i="28" s="1"/>
  <c r="H28" i="28" a="1"/>
  <c r="H28" i="28" s="1"/>
  <c r="G28" i="28" a="1"/>
  <c r="G28" i="28" s="1"/>
  <c r="E28" i="28" a="1"/>
  <c r="E28" i="28" s="1"/>
  <c r="M28" i="28" a="1"/>
  <c r="M28" i="28" s="1"/>
  <c r="L28" i="28" a="1"/>
  <c r="L28" i="28" s="1"/>
  <c r="C28" i="28" a="1"/>
  <c r="C28" i="28" s="1"/>
  <c r="L31" i="27" a="1"/>
  <c r="L31" i="27" s="1"/>
  <c r="E31" i="27" a="1"/>
  <c r="E31" i="27" s="1"/>
  <c r="I31" i="27" a="1"/>
  <c r="I31" i="27" s="1"/>
  <c r="D31" i="27" a="1"/>
  <c r="D31" i="27" s="1"/>
  <c r="H31" i="27" a="1"/>
  <c r="H31" i="27" s="1"/>
  <c r="G31" i="27" a="1"/>
  <c r="G31" i="27" s="1"/>
  <c r="C31" i="27" a="1"/>
  <c r="C31" i="27" s="1"/>
  <c r="M31" i="27" a="1"/>
  <c r="M31" i="27" s="1"/>
  <c r="L23" i="27" a="1"/>
  <c r="L23" i="27" s="1"/>
  <c r="E23" i="27" a="1"/>
  <c r="E23" i="27" s="1"/>
  <c r="D23" i="27" a="1"/>
  <c r="D23" i="27" s="1"/>
  <c r="C23" i="27" a="1"/>
  <c r="C23" i="27" s="1"/>
  <c r="M23" i="27" a="1"/>
  <c r="M23" i="27" s="1"/>
  <c r="H23" i="27" a="1"/>
  <c r="H23" i="27" s="1"/>
  <c r="G23" i="27" a="1"/>
  <c r="G23" i="27" s="1"/>
  <c r="I23" i="27" a="1"/>
  <c r="I23" i="27" s="1"/>
  <c r="G15" i="28" a="1"/>
  <c r="G15" i="28" s="1"/>
  <c r="E15" i="28" a="1"/>
  <c r="E15" i="28" s="1"/>
  <c r="D15" i="28" a="1"/>
  <c r="D15" i="28" s="1"/>
  <c r="M15" i="28" a="1"/>
  <c r="M15" i="28" s="1"/>
  <c r="C15" i="28" a="1"/>
  <c r="C15" i="28" s="1"/>
  <c r="H15" i="28" a="1"/>
  <c r="H15" i="28" s="1"/>
  <c r="I15" i="28" a="1"/>
  <c r="I15" i="28" s="1"/>
  <c r="L15" i="28" a="1"/>
  <c r="L15" i="28" s="1"/>
  <c r="G23" i="28" a="1"/>
  <c r="G23" i="28" s="1"/>
  <c r="E23" i="28" a="1"/>
  <c r="E23" i="28" s="1"/>
  <c r="D23" i="28" a="1"/>
  <c r="D23" i="28" s="1"/>
  <c r="M23" i="28" a="1"/>
  <c r="M23" i="28" s="1"/>
  <c r="C23" i="28" a="1"/>
  <c r="C23" i="28" s="1"/>
  <c r="H23" i="28" a="1"/>
  <c r="H23" i="28" s="1"/>
  <c r="L23" i="28" a="1"/>
  <c r="L23" i="28" s="1"/>
  <c r="I23" i="28" a="1"/>
  <c r="I23" i="28" s="1"/>
  <c r="I31" i="28" a="1"/>
  <c r="I31" i="28" s="1"/>
  <c r="D31" i="28" a="1"/>
  <c r="D31" i="28" s="1"/>
  <c r="H31" i="28" a="1"/>
  <c r="H31" i="28" s="1"/>
  <c r="G31" i="28" a="1"/>
  <c r="G31" i="28" s="1"/>
  <c r="E31" i="28" a="1"/>
  <c r="E31" i="28" s="1"/>
  <c r="M31" i="28" a="1"/>
  <c r="M31" i="28" s="1"/>
  <c r="C31" i="28" a="1"/>
  <c r="C31" i="28" s="1"/>
  <c r="L31" i="28" a="1"/>
  <c r="L31" i="28" s="1"/>
  <c r="L9" i="30" a="1"/>
  <c r="L9" i="30" s="1"/>
  <c r="P9" i="30" a="1"/>
  <c r="P9" i="30" s="1"/>
  <c r="H9" i="30" a="1"/>
  <c r="H9" i="30" s="1"/>
  <c r="L17" i="30" a="1"/>
  <c r="L17" i="30" s="1"/>
  <c r="H17" i="30" a="1"/>
  <c r="H17" i="30" s="1"/>
  <c r="T17" i="30" a="1"/>
  <c r="T17" i="30" s="1"/>
  <c r="D17" i="30" a="1"/>
  <c r="D17" i="30" s="1"/>
  <c r="P17" i="30" a="1"/>
  <c r="P17" i="30" s="1"/>
  <c r="L25" i="30" a="1"/>
  <c r="L25" i="30" s="1"/>
  <c r="H25" i="30" a="1"/>
  <c r="H25" i="30" s="1"/>
  <c r="D25" i="30" a="1"/>
  <c r="D25" i="30" s="1"/>
  <c r="P25" i="30" a="1"/>
  <c r="P25" i="30" s="1"/>
  <c r="T25" i="30" a="1"/>
  <c r="T25" i="30" s="1"/>
  <c r="L33" i="30" a="1"/>
  <c r="L33" i="30" s="1"/>
  <c r="H33" i="30" a="1"/>
  <c r="H33" i="30" s="1"/>
  <c r="P33" i="30" a="1"/>
  <c r="P33" i="30" s="1"/>
  <c r="D33" i="30" a="1"/>
  <c r="D33" i="30" s="1"/>
  <c r="T33" i="30" a="1"/>
  <c r="T33" i="30" s="1"/>
  <c r="B11" i="30"/>
  <c r="B8" i="30"/>
  <c r="B12" i="30"/>
  <c r="B16" i="30"/>
  <c r="J28" i="30"/>
  <c r="B7" i="30"/>
  <c r="B9" i="30"/>
  <c r="B13" i="30"/>
  <c r="V17" i="30"/>
  <c r="R25" i="30"/>
  <c r="R29" i="30"/>
  <c r="B14" i="30"/>
  <c r="J30" i="30"/>
  <c r="B6" i="30"/>
  <c r="B9" i="28"/>
  <c r="K17" i="28"/>
  <c r="F17" i="28"/>
  <c r="J17" i="28"/>
  <c r="B25" i="28"/>
  <c r="K25" i="28"/>
  <c r="F25" i="28"/>
  <c r="J25" i="28"/>
  <c r="F29" i="28"/>
  <c r="K29" i="28"/>
  <c r="J29" i="28"/>
  <c r="J33" i="28"/>
  <c r="K33" i="28"/>
  <c r="F33" i="28"/>
  <c r="B10" i="28"/>
  <c r="K18" i="28"/>
  <c r="J18" i="28"/>
  <c r="F18" i="28"/>
  <c r="B7" i="28"/>
  <c r="B11" i="28"/>
  <c r="J15" i="28"/>
  <c r="F15" i="28"/>
  <c r="K15" i="28"/>
  <c r="J19" i="28"/>
  <c r="F19" i="28"/>
  <c r="K19" i="28"/>
  <c r="J23" i="28"/>
  <c r="F23" i="28"/>
  <c r="K23" i="28"/>
  <c r="J27" i="28"/>
  <c r="F27" i="28"/>
  <c r="K27" i="28"/>
  <c r="J31" i="28"/>
  <c r="F31" i="28"/>
  <c r="K31" i="28"/>
  <c r="K13" i="28"/>
  <c r="J13" i="28"/>
  <c r="F13" i="28"/>
  <c r="B21" i="28"/>
  <c r="K21" i="28"/>
  <c r="J21" i="28"/>
  <c r="F21" i="28"/>
  <c r="B14" i="28"/>
  <c r="J14" i="28"/>
  <c r="F14" i="28"/>
  <c r="K14" i="28"/>
  <c r="K22" i="28"/>
  <c r="F22" i="28"/>
  <c r="J22" i="28"/>
  <c r="K26" i="28"/>
  <c r="F26" i="28"/>
  <c r="J26" i="28"/>
  <c r="K30" i="28"/>
  <c r="F30" i="28"/>
  <c r="J30" i="28"/>
  <c r="B34" i="28"/>
  <c r="K34" i="28"/>
  <c r="J34" i="28"/>
  <c r="F34" i="28"/>
  <c r="B8" i="28"/>
  <c r="K12" i="28"/>
  <c r="J12" i="28"/>
  <c r="F12" i="28"/>
  <c r="K16" i="28"/>
  <c r="J16" i="28"/>
  <c r="F16" i="28"/>
  <c r="K20" i="28"/>
  <c r="J20" i="28"/>
  <c r="F20" i="28"/>
  <c r="K24" i="28"/>
  <c r="J24" i="28"/>
  <c r="F24" i="28"/>
  <c r="K28" i="28"/>
  <c r="J28" i="28"/>
  <c r="F28" i="28"/>
  <c r="K32" i="28"/>
  <c r="J32" i="28"/>
  <c r="F32" i="28"/>
  <c r="B6" i="28"/>
  <c r="B29" i="27"/>
  <c r="K29" i="27"/>
  <c r="J29" i="27"/>
  <c r="F29" i="27"/>
  <c r="J32" i="27"/>
  <c r="F32" i="27"/>
  <c r="K32" i="27"/>
  <c r="J28" i="27"/>
  <c r="F28" i="27"/>
  <c r="K28" i="27"/>
  <c r="J24" i="27"/>
  <c r="F24" i="27"/>
  <c r="K24" i="27"/>
  <c r="J20" i="27"/>
  <c r="F20" i="27"/>
  <c r="K20" i="27"/>
  <c r="B16" i="27"/>
  <c r="B12" i="27"/>
  <c r="B8" i="27"/>
  <c r="B21" i="27"/>
  <c r="K21" i="27"/>
  <c r="J21" i="27"/>
  <c r="F21" i="27"/>
  <c r="B13" i="27"/>
  <c r="F35" i="27"/>
  <c r="K35" i="27"/>
  <c r="J35" i="27"/>
  <c r="B31" i="27"/>
  <c r="F31" i="27"/>
  <c r="K31" i="27"/>
  <c r="J31" i="27"/>
  <c r="K27" i="27"/>
  <c r="F27" i="27"/>
  <c r="J27" i="27"/>
  <c r="K23" i="27"/>
  <c r="J23" i="27"/>
  <c r="F23" i="27"/>
  <c r="K19" i="27"/>
  <c r="J19" i="27"/>
  <c r="F19" i="27"/>
  <c r="B15" i="27"/>
  <c r="B11" i="27"/>
  <c r="B7" i="27"/>
  <c r="K33" i="27"/>
  <c r="J33" i="27"/>
  <c r="F33" i="27"/>
  <c r="K25" i="27"/>
  <c r="J25" i="27"/>
  <c r="F25" i="27"/>
  <c r="K17" i="27"/>
  <c r="J17" i="27"/>
  <c r="F17" i="27"/>
  <c r="B9" i="27"/>
  <c r="K34" i="27"/>
  <c r="J34" i="27"/>
  <c r="F34" i="27"/>
  <c r="K30" i="27"/>
  <c r="J30" i="27"/>
  <c r="F30" i="27"/>
  <c r="K26" i="27"/>
  <c r="J26" i="27"/>
  <c r="F26" i="27"/>
  <c r="K22" i="27"/>
  <c r="J22" i="27"/>
  <c r="F22" i="27"/>
  <c r="K18" i="27"/>
  <c r="J18" i="27"/>
  <c r="F18" i="27"/>
  <c r="B14" i="27"/>
  <c r="B10" i="27"/>
  <c r="B6" i="27"/>
  <c r="Q5" i="25"/>
  <c r="E6" i="27" s="1" a="1"/>
  <c r="E6" i="27" s="1"/>
  <c r="P5" i="25"/>
  <c r="D6" i="27" s="1" a="1"/>
  <c r="D6" i="27" s="1"/>
  <c r="K2" i="25"/>
  <c r="A3" i="27"/>
  <c r="N21" i="30"/>
  <c r="J2" i="25"/>
  <c r="A3" i="28"/>
  <c r="F32" i="30"/>
  <c r="R20" i="30"/>
  <c r="J20" i="30"/>
  <c r="B29" i="30"/>
  <c r="V21" i="30"/>
  <c r="N20" i="30"/>
  <c r="J33" i="30"/>
  <c r="F29" i="30"/>
  <c r="J17" i="30"/>
  <c r="V29" i="30"/>
  <c r="B19" i="28"/>
  <c r="F33" i="30"/>
  <c r="B17" i="30"/>
  <c r="B33" i="30"/>
  <c r="R33" i="30"/>
  <c r="V33" i="30"/>
  <c r="N33" i="30"/>
  <c r="R21" i="30"/>
  <c r="J29" i="30"/>
  <c r="N29" i="30"/>
  <c r="V23" i="30"/>
  <c r="V27" i="30"/>
  <c r="B23" i="30"/>
  <c r="R27" i="30"/>
  <c r="J19" i="30"/>
  <c r="B24" i="30"/>
  <c r="F20" i="30"/>
  <c r="B20" i="30"/>
  <c r="J27" i="30"/>
  <c r="R35" i="30"/>
  <c r="V31" i="30"/>
  <c r="V19" i="30"/>
  <c r="B23" i="27"/>
  <c r="F24" i="30"/>
  <c r="V20" i="30"/>
  <c r="V32" i="30"/>
  <c r="B33" i="27"/>
  <c r="B25" i="27"/>
  <c r="B32" i="27"/>
  <c r="B35" i="27"/>
  <c r="B28" i="27"/>
  <c r="F22" i="30"/>
  <c r="R18" i="30"/>
  <c r="B18" i="30"/>
  <c r="B20" i="28"/>
  <c r="J22" i="30"/>
  <c r="F26" i="30"/>
  <c r="B17" i="27"/>
  <c r="B22" i="30"/>
  <c r="R22" i="30"/>
  <c r="B12" i="28"/>
  <c r="N18" i="30"/>
  <c r="V18" i="30"/>
  <c r="V22" i="30"/>
  <c r="N22" i="30"/>
  <c r="B30" i="27"/>
  <c r="B27" i="27"/>
  <c r="B19" i="30"/>
  <c r="F19" i="30"/>
  <c r="J21" i="30"/>
  <c r="B19" i="27"/>
  <c r="B26" i="27"/>
  <c r="B18" i="27"/>
  <c r="F23" i="30"/>
  <c r="J23" i="30"/>
  <c r="N23" i="30"/>
  <c r="R23" i="30"/>
  <c r="B27" i="30"/>
  <c r="F27" i="30"/>
  <c r="N27" i="30"/>
  <c r="B30" i="30"/>
  <c r="N30" i="30"/>
  <c r="B34" i="27"/>
  <c r="B20" i="27"/>
  <c r="B24" i="27"/>
  <c r="B22" i="27"/>
  <c r="B16" i="28"/>
  <c r="B24" i="28"/>
  <c r="B28" i="28"/>
  <c r="B32" i="28"/>
  <c r="F18" i="30"/>
  <c r="J18" i="30"/>
  <c r="N19" i="30"/>
  <c r="F21" i="30"/>
  <c r="B21" i="30"/>
  <c r="R19" i="30"/>
  <c r="J31" i="30"/>
  <c r="B31" i="30"/>
  <c r="F31" i="30"/>
  <c r="V25" i="30"/>
  <c r="R31" i="30"/>
  <c r="N31" i="30"/>
  <c r="B34" i="30"/>
  <c r="V30" i="30"/>
  <c r="J34" i="30"/>
  <c r="F30" i="30"/>
  <c r="B25" i="30"/>
  <c r="V28" i="30"/>
  <c r="B26" i="28"/>
  <c r="B28" i="30"/>
  <c r="N34" i="30"/>
  <c r="B22" i="28"/>
  <c r="N32" i="30"/>
  <c r="F34" i="30"/>
  <c r="R34" i="30"/>
  <c r="F25" i="30"/>
  <c r="B32" i="30"/>
  <c r="F28" i="30"/>
  <c r="B18" i="28"/>
  <c r="B30" i="28"/>
  <c r="R30" i="30"/>
  <c r="V34" i="30"/>
  <c r="N25" i="30"/>
  <c r="J25" i="30"/>
  <c r="N28" i="30"/>
  <c r="R32" i="30"/>
  <c r="R28" i="30"/>
  <c r="J32" i="30"/>
  <c r="B15" i="28"/>
  <c r="B27" i="28"/>
  <c r="B31" i="28"/>
  <c r="F17" i="30"/>
  <c r="R17" i="30"/>
  <c r="N17" i="30"/>
  <c r="V26" i="30"/>
  <c r="R26" i="30"/>
  <c r="N26" i="30"/>
  <c r="B26" i="30"/>
  <c r="J26" i="30"/>
  <c r="J35" i="30"/>
  <c r="V35" i="30"/>
  <c r="N35" i="30"/>
  <c r="F35" i="30"/>
  <c r="B35" i="30"/>
  <c r="B23" i="28"/>
  <c r="B13" i="28"/>
  <c r="B17" i="28"/>
  <c r="B29" i="28"/>
  <c r="B33" i="28"/>
  <c r="B10" i="30"/>
  <c r="B15" i="30"/>
  <c r="V24" i="30"/>
  <c r="R24" i="30"/>
  <c r="J24" i="30"/>
  <c r="N24" i="30"/>
  <c r="G36" i="25" l="1" a="1"/>
  <c r="G36" i="25" s="1"/>
  <c r="G41" i="25" a="1"/>
  <c r="G41" i="25" s="1"/>
  <c r="K36" i="25"/>
  <c r="L36" i="25"/>
  <c r="L39" i="25"/>
  <c r="G39" i="25" a="1"/>
  <c r="G39" i="25" s="1"/>
  <c r="J39" i="25"/>
  <c r="L32" i="25"/>
  <c r="J10" i="25"/>
  <c r="L31" i="25"/>
  <c r="G10" i="25" a="1"/>
  <c r="G10" i="25" s="1"/>
  <c r="K22" i="25"/>
  <c r="AG22" i="25" s="1"/>
  <c r="J27" i="25"/>
  <c r="L3" i="30" a="1"/>
  <c r="L3" i="30" s="1"/>
  <c r="P3" i="30" a="1"/>
  <c r="P3" i="30" s="1"/>
  <c r="H3" i="30" a="1"/>
  <c r="H3" i="30" s="1"/>
  <c r="G6" i="25" a="1"/>
  <c r="G6" i="25" s="1"/>
  <c r="K30" i="25"/>
  <c r="AG30" i="25" s="1"/>
  <c r="L30" i="25"/>
  <c r="J30" i="25"/>
  <c r="J44" i="25"/>
  <c r="K44" i="25"/>
  <c r="AG44" i="25" s="1"/>
  <c r="L44" i="25"/>
  <c r="J6" i="25"/>
  <c r="K6" i="25"/>
  <c r="AG6" i="25" s="1"/>
  <c r="L9" i="25"/>
  <c r="J7" i="25"/>
  <c r="L14" i="25"/>
  <c r="G29" i="25" a="1"/>
  <c r="G29" i="25" s="1"/>
  <c r="G38" i="25" a="1"/>
  <c r="G38" i="25" s="1"/>
  <c r="K35" i="25"/>
  <c r="AG35" i="25" s="1"/>
  <c r="K25" i="25"/>
  <c r="AG25" i="25" s="1"/>
  <c r="L35" i="25"/>
  <c r="G20" i="25" a="1"/>
  <c r="G20" i="25" s="1"/>
  <c r="G35" i="25" a="1"/>
  <c r="G35" i="25" s="1"/>
  <c r="J20" i="25"/>
  <c r="R17" i="25"/>
  <c r="G32" i="25" a="1"/>
  <c r="G32" i="25" s="1"/>
  <c r="J33" i="25"/>
  <c r="K43" i="25"/>
  <c r="AD43" i="25" s="1"/>
  <c r="AE43" i="25" s="1"/>
  <c r="AF43" i="25" s="1"/>
  <c r="G11" i="25" a="1"/>
  <c r="G11" i="25" s="1"/>
  <c r="K7" i="25"/>
  <c r="AG7" i="25" s="1"/>
  <c r="J34" i="25"/>
  <c r="L43" i="25"/>
  <c r="J11" i="25"/>
  <c r="L7" i="25"/>
  <c r="K32" i="25"/>
  <c r="AG32" i="25" s="1"/>
  <c r="K14" i="25"/>
  <c r="AD14" i="25" s="1"/>
  <c r="AE14" i="25" s="1"/>
  <c r="G31" i="25" a="1"/>
  <c r="G31" i="25" s="1"/>
  <c r="K10" i="25"/>
  <c r="AD10" i="25" s="1"/>
  <c r="AE10" i="25" s="1"/>
  <c r="G14" i="25" a="1"/>
  <c r="G14" i="25" s="1"/>
  <c r="K31" i="25"/>
  <c r="AG31" i="25" s="1"/>
  <c r="G33" i="25" a="1"/>
  <c r="G33" i="25" s="1"/>
  <c r="K34" i="25"/>
  <c r="AG34" i="25" s="1"/>
  <c r="K33" i="25"/>
  <c r="AG33" i="25" s="1"/>
  <c r="G43" i="25" a="1"/>
  <c r="G43" i="25" s="1"/>
  <c r="K11" i="25"/>
  <c r="AD11" i="25" s="1"/>
  <c r="AE11" i="25" s="1"/>
  <c r="L34" i="25"/>
  <c r="J40" i="25"/>
  <c r="G17" i="25" a="1"/>
  <c r="G17" i="25" s="1"/>
  <c r="K40" i="25"/>
  <c r="AG40" i="25" s="1"/>
  <c r="K23" i="25"/>
  <c r="AD23" i="25" s="1"/>
  <c r="AE23" i="25" s="1"/>
  <c r="J17" i="25"/>
  <c r="J8" i="25"/>
  <c r="R33" i="25"/>
  <c r="K17" i="25"/>
  <c r="AG17" i="25" s="1"/>
  <c r="L24" i="25"/>
  <c r="L27" i="25"/>
  <c r="L40" i="25"/>
  <c r="G15" i="25" a="1"/>
  <c r="G15" i="25" s="1"/>
  <c r="J24" i="25"/>
  <c r="G27" i="25" a="1"/>
  <c r="G27" i="25" s="1"/>
  <c r="R42" i="25"/>
  <c r="K15" i="25"/>
  <c r="AG15" i="25" s="1"/>
  <c r="K9" i="25"/>
  <c r="AD9" i="25" s="1"/>
  <c r="AE9" i="25" s="1"/>
  <c r="G42" i="25" a="1"/>
  <c r="G42" i="25" s="1"/>
  <c r="L22" i="25"/>
  <c r="K12" i="25"/>
  <c r="AD12" i="25" s="1"/>
  <c r="AE12" i="25" s="1"/>
  <c r="G9" i="25" a="1"/>
  <c r="G9" i="25" s="1"/>
  <c r="G22" i="25" a="1"/>
  <c r="G22" i="25" s="1"/>
  <c r="G12" i="25" a="1"/>
  <c r="G12" i="25" s="1"/>
  <c r="R31" i="25"/>
  <c r="E9" i="28" a="1"/>
  <c r="E9" i="28" s="1"/>
  <c r="G23" i="25" a="1"/>
  <c r="G23" i="25" s="1"/>
  <c r="D15" i="27" a="1"/>
  <c r="D15" i="27" s="1"/>
  <c r="J42" i="25"/>
  <c r="L42" i="25"/>
  <c r="K20" i="25"/>
  <c r="AD20" i="25" s="1"/>
  <c r="AE20" i="25" s="1"/>
  <c r="K18" i="25"/>
  <c r="AG18" i="25" s="1"/>
  <c r="K8" i="25"/>
  <c r="AD8" i="25" s="1"/>
  <c r="AE8" i="25" s="1"/>
  <c r="D8" i="28" a="1"/>
  <c r="D8" i="28" s="1"/>
  <c r="R29" i="25"/>
  <c r="E8" i="28" a="1"/>
  <c r="E8" i="28" s="1"/>
  <c r="D9" i="28" a="1"/>
  <c r="D9" i="28" s="1"/>
  <c r="R39" i="25"/>
  <c r="R20" i="25"/>
  <c r="G8" i="25" a="1"/>
  <c r="G8" i="25" s="1"/>
  <c r="J12" i="25"/>
  <c r="J15" i="25"/>
  <c r="K24" i="25"/>
  <c r="AD24" i="25" s="1"/>
  <c r="AE24" i="25" s="1"/>
  <c r="L23" i="25"/>
  <c r="R18" i="25"/>
  <c r="R41" i="25"/>
  <c r="D12" i="27" a="1"/>
  <c r="D12" i="27" s="1"/>
  <c r="R11" i="25"/>
  <c r="E10" i="28" a="1"/>
  <c r="E10" i="28" s="1"/>
  <c r="R19" i="25"/>
  <c r="L18" i="25"/>
  <c r="G18" i="25" a="1"/>
  <c r="G18" i="25" s="1"/>
  <c r="J41" i="25"/>
  <c r="L38" i="25"/>
  <c r="J13" i="25"/>
  <c r="L25" i="25"/>
  <c r="R14" i="25"/>
  <c r="J29" i="25"/>
  <c r="K41" i="25"/>
  <c r="AG41" i="25" s="1"/>
  <c r="J38" i="25"/>
  <c r="G25" i="25" a="1"/>
  <c r="G25" i="25" s="1"/>
  <c r="R10" i="25"/>
  <c r="E9" i="27" a="1"/>
  <c r="E9" i="27" s="1"/>
  <c r="R38" i="25"/>
  <c r="D9" i="27" a="1"/>
  <c r="D9" i="27" s="1"/>
  <c r="R34" i="25"/>
  <c r="D16" i="27" a="1"/>
  <c r="D16" i="27" s="1"/>
  <c r="E11" i="28" a="1"/>
  <c r="E11" i="28" s="1"/>
  <c r="G19" i="25" a="1"/>
  <c r="G19" i="25" s="1"/>
  <c r="K19" i="25"/>
  <c r="AG19" i="25" s="1"/>
  <c r="G28" i="25" a="1"/>
  <c r="G28" i="25" s="1"/>
  <c r="G16" i="25" a="1"/>
  <c r="G16" i="25" s="1"/>
  <c r="L19" i="25"/>
  <c r="K28" i="25"/>
  <c r="AD28" i="25" s="1"/>
  <c r="AE28" i="25" s="1"/>
  <c r="J16" i="25"/>
  <c r="K13" i="25"/>
  <c r="AG13" i="25" s="1"/>
  <c r="K29" i="25"/>
  <c r="AG29" i="25" s="1"/>
  <c r="L28" i="25"/>
  <c r="K16" i="25"/>
  <c r="AG16" i="25" s="1"/>
  <c r="R13" i="25"/>
  <c r="E7" i="28" a="1"/>
  <c r="E7" i="28" s="1"/>
  <c r="D7" i="28" a="1"/>
  <c r="D7" i="28" s="1"/>
  <c r="R7" i="25"/>
  <c r="R22" i="25"/>
  <c r="R37" i="25"/>
  <c r="C12" i="27" a="1"/>
  <c r="C12" i="27" s="1"/>
  <c r="R36" i="25"/>
  <c r="R12" i="25"/>
  <c r="R27" i="25"/>
  <c r="R32" i="25"/>
  <c r="C9" i="27" a="1"/>
  <c r="C9" i="27" s="1"/>
  <c r="C6" i="28" a="1"/>
  <c r="C6" i="28" s="1"/>
  <c r="AG26" i="25"/>
  <c r="AD26" i="25"/>
  <c r="AE26" i="25" s="1"/>
  <c r="AG21" i="25"/>
  <c r="AD21" i="25"/>
  <c r="AE21" i="25" s="1"/>
  <c r="AG39" i="25"/>
  <c r="AD39" i="25"/>
  <c r="AE39" i="25" s="1"/>
  <c r="R44" i="25"/>
  <c r="R28" i="25"/>
  <c r="C15" i="27" a="1"/>
  <c r="C15" i="27" s="1"/>
  <c r="E16" i="27" a="1"/>
  <c r="E16" i="27" s="1"/>
  <c r="E14" i="27" a="1"/>
  <c r="E14" i="27" s="1"/>
  <c r="R8" i="25"/>
  <c r="R23" i="25"/>
  <c r="AG42" i="25"/>
  <c r="AD42" i="25"/>
  <c r="AE42" i="25" s="1"/>
  <c r="AG37" i="25"/>
  <c r="AD37" i="25"/>
  <c r="AE37" i="25" s="1"/>
  <c r="C9" i="28" a="1"/>
  <c r="C9" i="28" s="1"/>
  <c r="C14" i="27" a="1"/>
  <c r="C14" i="27" s="1"/>
  <c r="R15" i="25"/>
  <c r="R25" i="25"/>
  <c r="X43" i="25"/>
  <c r="U43" i="25"/>
  <c r="N43" i="25" a="1"/>
  <c r="N43" i="25" s="1"/>
  <c r="S43" i="25"/>
  <c r="O43" i="25" a="1"/>
  <c r="O43" i="25" s="1"/>
  <c r="R43" i="25" s="1"/>
  <c r="R21" i="25"/>
  <c r="L5" i="25"/>
  <c r="C10" i="28" a="1"/>
  <c r="C10" i="28" s="1"/>
  <c r="AG27" i="25"/>
  <c r="AD27" i="25"/>
  <c r="AE27" i="25" s="1"/>
  <c r="AG38" i="25"/>
  <c r="AD38" i="25"/>
  <c r="AE38" i="25" s="1"/>
  <c r="R24" i="25"/>
  <c r="R30" i="25"/>
  <c r="R6" i="25"/>
  <c r="R9" i="25"/>
  <c r="R26" i="25"/>
  <c r="R12" i="30"/>
  <c r="N16" i="25" a="1"/>
  <c r="N16" i="25" s="1"/>
  <c r="O16" i="25" a="1"/>
  <c r="O16" i="25" s="1"/>
  <c r="R16" i="25" s="1"/>
  <c r="AD36" i="25"/>
  <c r="AE36" i="25" s="1"/>
  <c r="AG36" i="25"/>
  <c r="R35" i="25"/>
  <c r="R40" i="25"/>
  <c r="E7" i="27" a="1"/>
  <c r="E7" i="27" s="1"/>
  <c r="E15" i="27" a="1"/>
  <c r="E15" i="27" s="1"/>
  <c r="D6" i="28" a="1"/>
  <c r="D6" i="28" s="1"/>
  <c r="D11" i="28" a="1"/>
  <c r="D11" i="28" s="1"/>
  <c r="E12" i="27" a="1"/>
  <c r="E12" i="27" s="1"/>
  <c r="D10" i="28" a="1"/>
  <c r="D10" i="28" s="1"/>
  <c r="E6" i="28" a="1"/>
  <c r="E6" i="28" s="1"/>
  <c r="C8" i="28" a="1"/>
  <c r="C8" i="28" s="1"/>
  <c r="D7" i="27" a="1"/>
  <c r="D7" i="27" s="1"/>
  <c r="D14" i="27" a="1"/>
  <c r="D14" i="27" s="1"/>
  <c r="A3" i="30"/>
  <c r="N11" i="30"/>
  <c r="J12" i="30"/>
  <c r="R6" i="30"/>
  <c r="R9" i="30"/>
  <c r="R8" i="30"/>
  <c r="J16" i="30"/>
  <c r="N14" i="30"/>
  <c r="N9" i="30"/>
  <c r="R10" i="30"/>
  <c r="N15" i="30"/>
  <c r="J10" i="30"/>
  <c r="N12" i="30"/>
  <c r="N10" i="30"/>
  <c r="R13" i="30"/>
  <c r="R7" i="30"/>
  <c r="J13" i="30"/>
  <c r="J6" i="30"/>
  <c r="J14" i="30"/>
  <c r="J11" i="30"/>
  <c r="J15" i="30"/>
  <c r="N8" i="30"/>
  <c r="N7" i="30"/>
  <c r="R16" i="30"/>
  <c r="R15" i="30"/>
  <c r="R11" i="30"/>
  <c r="J9" i="30"/>
  <c r="N13" i="30"/>
  <c r="N16" i="30"/>
  <c r="J8" i="30"/>
  <c r="J7" i="30"/>
  <c r="R14" i="30"/>
  <c r="J11" i="27"/>
  <c r="J10" i="27"/>
  <c r="J8" i="27"/>
  <c r="J5" i="25"/>
  <c r="F13" i="27"/>
  <c r="F10" i="27"/>
  <c r="F11" i="27"/>
  <c r="F8" i="27"/>
  <c r="K5" i="25"/>
  <c r="S5" i="25" s="1"/>
  <c r="Q2" i="25"/>
  <c r="P2" i="25"/>
  <c r="N6" i="30"/>
  <c r="U5" i="25"/>
  <c r="X5" i="25"/>
  <c r="L13" i="27" a="1"/>
  <c r="L13" i="27" s="1"/>
  <c r="AD22" i="25" l="1"/>
  <c r="AE22" i="25" s="1"/>
  <c r="AD7" i="25"/>
  <c r="AE7" i="25" s="1"/>
  <c r="E3" i="28" a="1"/>
  <c r="E3" i="28" s="1"/>
  <c r="AD15" i="25"/>
  <c r="AE15" i="25" s="1"/>
  <c r="AD30" i="25"/>
  <c r="AE30" i="25" s="1"/>
  <c r="AF30" i="25" s="1"/>
  <c r="AD17" i="25"/>
  <c r="AE17" i="25" s="1"/>
  <c r="AC17" i="25" s="1"/>
  <c r="AG10" i="25"/>
  <c r="AK10" i="25" s="1"/>
  <c r="AG23" i="25"/>
  <c r="AA23" i="25" s="1"/>
  <c r="S23" i="25" s="1"/>
  <c r="J3" i="30" a="1"/>
  <c r="J3" i="30" s="1"/>
  <c r="AD34" i="25"/>
  <c r="AE34" i="25" s="1"/>
  <c r="AF34" i="25" s="1"/>
  <c r="AG12" i="25"/>
  <c r="AC12" i="25" s="1"/>
  <c r="R3" i="30" a="1"/>
  <c r="R3" i="30" s="1"/>
  <c r="AD44" i="25"/>
  <c r="AE44" i="25" s="1"/>
  <c r="AB44" i="25" s="1"/>
  <c r="N3" i="30" a="1"/>
  <c r="N3" i="30" s="1"/>
  <c r="D3" i="28" a="1"/>
  <c r="D3" i="28" s="1"/>
  <c r="E3" i="27" a="1"/>
  <c r="E3" i="27" s="1"/>
  <c r="AG43" i="25"/>
  <c r="D3" i="27" a="1"/>
  <c r="D3" i="27" s="1"/>
  <c r="AG20" i="25"/>
  <c r="AD25" i="25"/>
  <c r="AE25" i="25" s="1"/>
  <c r="AA25" i="25" s="1"/>
  <c r="S25" i="25" s="1"/>
  <c r="AG11" i="25"/>
  <c r="Z11" i="25" s="1"/>
  <c r="AD6" i="25"/>
  <c r="AE6" i="25" s="1"/>
  <c r="AH6" i="25" s="1"/>
  <c r="AG14" i="25"/>
  <c r="AJ14" i="25" s="1"/>
  <c r="AD33" i="25"/>
  <c r="AE33" i="25" s="1"/>
  <c r="AI33" i="25" s="1"/>
  <c r="AD32" i="25"/>
  <c r="AE32" i="25" s="1"/>
  <c r="AF32" i="25" s="1"/>
  <c r="AD35" i="25"/>
  <c r="AE35" i="25" s="1"/>
  <c r="AB35" i="25" s="1"/>
  <c r="AB7" i="25"/>
  <c r="AD31" i="25"/>
  <c r="AE31" i="25" s="1"/>
  <c r="AA31" i="25" s="1"/>
  <c r="S31" i="25" s="1"/>
  <c r="AG9" i="25"/>
  <c r="AB9" i="25" s="1"/>
  <c r="AD40" i="25"/>
  <c r="AE40" i="25" s="1"/>
  <c r="AB40" i="25" s="1"/>
  <c r="AG8" i="25"/>
  <c r="AC8" i="25" s="1"/>
  <c r="AD18" i="25"/>
  <c r="AE18" i="25" s="1"/>
  <c r="AI18" i="25" s="1"/>
  <c r="AD16" i="25"/>
  <c r="AE16" i="25" s="1"/>
  <c r="AF16" i="25" s="1"/>
  <c r="AB42" i="25"/>
  <c r="AG24" i="25"/>
  <c r="AC24" i="25" s="1"/>
  <c r="AD29" i="25"/>
  <c r="AE29" i="25" s="1"/>
  <c r="AC29" i="25" s="1"/>
  <c r="AB39" i="25"/>
  <c r="AJ43" i="25"/>
  <c r="C7" i="28" a="1"/>
  <c r="C7" i="28" s="1"/>
  <c r="AD19" i="25"/>
  <c r="AE19" i="25" s="1"/>
  <c r="AA19" i="25" s="1"/>
  <c r="S19" i="25" s="1"/>
  <c r="AB22" i="25"/>
  <c r="AG28" i="25"/>
  <c r="AB28" i="25" s="1"/>
  <c r="AH43" i="25"/>
  <c r="AC43" i="25"/>
  <c r="AD41" i="25"/>
  <c r="AE41" i="25" s="1"/>
  <c r="AB41" i="25" s="1"/>
  <c r="AK43" i="25"/>
  <c r="Z43" i="25"/>
  <c r="AD13" i="25"/>
  <c r="AE13" i="25" s="1"/>
  <c r="AB13" i="25" s="1"/>
  <c r="AB37" i="25"/>
  <c r="AB43" i="25"/>
  <c r="AB38" i="25"/>
  <c r="AB20" i="25"/>
  <c r="AB15" i="25"/>
  <c r="AF9" i="25"/>
  <c r="AF22" i="25"/>
  <c r="AJ22" i="25"/>
  <c r="AH22" i="25"/>
  <c r="AC22" i="25"/>
  <c r="AK22" i="25"/>
  <c r="Z22" i="25"/>
  <c r="AI22" i="25"/>
  <c r="AA22" i="25"/>
  <c r="S22" i="25" s="1"/>
  <c r="AF24" i="25"/>
  <c r="AF8" i="25"/>
  <c r="AF39" i="25"/>
  <c r="AC39" i="25"/>
  <c r="AJ39" i="25"/>
  <c r="AH39" i="25"/>
  <c r="AI39" i="25"/>
  <c r="Z39" i="25"/>
  <c r="AA39" i="25"/>
  <c r="S39" i="25" s="1"/>
  <c r="AK39" i="25"/>
  <c r="AA44" i="25"/>
  <c r="AJ44" i="25"/>
  <c r="AF38" i="25"/>
  <c r="Z38" i="25"/>
  <c r="AK38" i="25"/>
  <c r="AH38" i="25"/>
  <c r="AA38" i="25"/>
  <c r="AI38" i="25"/>
  <c r="AJ38" i="25"/>
  <c r="AC38" i="25"/>
  <c r="AF28" i="25"/>
  <c r="AK28" i="25"/>
  <c r="AF36" i="25"/>
  <c r="AK36" i="25"/>
  <c r="AI36" i="25"/>
  <c r="Z36" i="25"/>
  <c r="AC36" i="25"/>
  <c r="AJ36" i="25"/>
  <c r="AH36" i="25"/>
  <c r="AA36" i="25"/>
  <c r="AB12" i="25"/>
  <c r="AF37" i="25"/>
  <c r="AA37" i="25"/>
  <c r="S37" i="25" s="1"/>
  <c r="AK37" i="25"/>
  <c r="AJ37" i="25"/>
  <c r="AI37" i="25"/>
  <c r="AC37" i="25"/>
  <c r="Z37" i="25"/>
  <c r="Y37" i="25" s="1"/>
  <c r="AH37" i="25"/>
  <c r="AF25" i="25"/>
  <c r="AF23" i="25"/>
  <c r="AF31" i="25"/>
  <c r="AB36" i="25"/>
  <c r="AB26" i="25"/>
  <c r="AA43" i="25"/>
  <c r="AF11" i="25"/>
  <c r="AF14" i="25"/>
  <c r="AF20" i="25"/>
  <c r="AK20" i="25"/>
  <c r="Z20" i="25"/>
  <c r="AH20" i="25"/>
  <c r="AI20" i="25"/>
  <c r="AJ20" i="25"/>
  <c r="AA20" i="25"/>
  <c r="S20" i="25" s="1"/>
  <c r="AC20" i="25"/>
  <c r="AF10" i="25"/>
  <c r="AB21" i="25"/>
  <c r="C7" i="27" a="1"/>
  <c r="C7" i="27" s="1"/>
  <c r="F7" i="27" s="1"/>
  <c r="AF12" i="25"/>
  <c r="AK12" i="25"/>
  <c r="AI12" i="25"/>
  <c r="Z12" i="25"/>
  <c r="AB27" i="25"/>
  <c r="AI43" i="25"/>
  <c r="AF21" i="25"/>
  <c r="AC21" i="25"/>
  <c r="AA21" i="25"/>
  <c r="S21" i="25" s="1"/>
  <c r="AH21" i="25"/>
  <c r="AI21" i="25"/>
  <c r="Z21" i="25"/>
  <c r="AJ21" i="25"/>
  <c r="AK21" i="25"/>
  <c r="AF7" i="25"/>
  <c r="Z7" i="25"/>
  <c r="Y7" i="25" s="1"/>
  <c r="AC7" i="25"/>
  <c r="AA7" i="25"/>
  <c r="S7" i="25" s="1"/>
  <c r="AH7" i="25"/>
  <c r="AK7" i="25"/>
  <c r="AJ7" i="25"/>
  <c r="AI7" i="25"/>
  <c r="AF15" i="25"/>
  <c r="AC15" i="25"/>
  <c r="Z15" i="25"/>
  <c r="AH15" i="25"/>
  <c r="AK15" i="25"/>
  <c r="AA15" i="25"/>
  <c r="S15" i="25" s="1"/>
  <c r="AI15" i="25"/>
  <c r="AJ15" i="25"/>
  <c r="AF27" i="25"/>
  <c r="AH27" i="25"/>
  <c r="Z27" i="25"/>
  <c r="AC27" i="25"/>
  <c r="AA27" i="25"/>
  <c r="S27" i="25" s="1"/>
  <c r="AI27" i="25"/>
  <c r="AK27" i="25"/>
  <c r="AJ27" i="25"/>
  <c r="AF35" i="25"/>
  <c r="AI35" i="25"/>
  <c r="AK35" i="25"/>
  <c r="AH35" i="25"/>
  <c r="AA35" i="25"/>
  <c r="AJ35" i="25"/>
  <c r="AC35" i="25"/>
  <c r="Z35" i="25"/>
  <c r="AF42" i="25"/>
  <c r="AH42" i="25"/>
  <c r="AI42" i="25"/>
  <c r="Z42" i="25"/>
  <c r="AK42" i="25"/>
  <c r="AJ42" i="25"/>
  <c r="AA42" i="25"/>
  <c r="S42" i="25" s="1"/>
  <c r="AC42" i="25"/>
  <c r="AF26" i="25"/>
  <c r="AI26" i="25"/>
  <c r="AH26" i="25"/>
  <c r="AA26" i="25"/>
  <c r="S26" i="25" s="1"/>
  <c r="Z26" i="25"/>
  <c r="AC26" i="25"/>
  <c r="AK26" i="25"/>
  <c r="AJ26" i="25"/>
  <c r="I10" i="28" a="1"/>
  <c r="I10" i="28" s="1"/>
  <c r="I15" i="27" a="1"/>
  <c r="I15" i="27" s="1"/>
  <c r="T15" i="30" a="1"/>
  <c r="T15" i="30" s="1"/>
  <c r="T14" i="30" a="1"/>
  <c r="T14" i="30" s="1"/>
  <c r="I9" i="28" a="1"/>
  <c r="I9" i="28" s="1"/>
  <c r="I14" i="27" a="1"/>
  <c r="I14" i="27" s="1"/>
  <c r="C11" i="28" a="1"/>
  <c r="C11" i="28" s="1"/>
  <c r="F11" i="28" s="1"/>
  <c r="C16" i="27" a="1"/>
  <c r="C16" i="27" s="1"/>
  <c r="F16" i="27" s="1"/>
  <c r="L6" i="27" a="1"/>
  <c r="L6" i="27" s="1"/>
  <c r="L6" i="28" a="1"/>
  <c r="L6" i="28" s="1"/>
  <c r="G6" i="28" a="1"/>
  <c r="G6" i="28" s="1"/>
  <c r="G6" i="27" a="1"/>
  <c r="G6" i="27" s="1"/>
  <c r="I12" i="27" a="1"/>
  <c r="I12" i="27" s="1"/>
  <c r="I8" i="28" a="1"/>
  <c r="I8" i="28" s="1"/>
  <c r="T12" i="30" a="1"/>
  <c r="T12" i="30" s="1"/>
  <c r="T9" i="30" a="1"/>
  <c r="T9" i="30" s="1"/>
  <c r="I9" i="27" a="1"/>
  <c r="I9" i="27" s="1"/>
  <c r="I6" i="27" a="1"/>
  <c r="I6" i="27" s="1"/>
  <c r="T6" i="30" a="1"/>
  <c r="T6" i="30" s="1"/>
  <c r="I6" i="28" a="1"/>
  <c r="I6" i="28" s="1"/>
  <c r="I13" i="27" a="1"/>
  <c r="I13" i="27" s="1"/>
  <c r="T13" i="30" a="1"/>
  <c r="T13" i="30" s="1"/>
  <c r="L8" i="28" a="1"/>
  <c r="L8" i="28" s="1"/>
  <c r="L12" i="27" a="1"/>
  <c r="L12" i="27" s="1"/>
  <c r="L9" i="28" a="1"/>
  <c r="L9" i="28" s="1"/>
  <c r="L14" i="27" a="1"/>
  <c r="L14" i="27" s="1"/>
  <c r="L9" i="27" a="1"/>
  <c r="L9" i="27" s="1"/>
  <c r="L10" i="28" a="1"/>
  <c r="L10" i="28" s="1"/>
  <c r="L15" i="27" a="1"/>
  <c r="L15" i="27" s="1"/>
  <c r="F14" i="27"/>
  <c r="K8" i="27"/>
  <c r="F10" i="28"/>
  <c r="K10" i="27"/>
  <c r="F8" i="28"/>
  <c r="K11" i="27"/>
  <c r="F15" i="27"/>
  <c r="F9" i="27"/>
  <c r="F9" i="28"/>
  <c r="F12" i="27"/>
  <c r="O2" i="25"/>
  <c r="R2" i="25" s="1"/>
  <c r="R5" i="25"/>
  <c r="Y5" i="25"/>
  <c r="T5" i="25"/>
  <c r="AD5" i="25"/>
  <c r="AE5" i="25" s="1"/>
  <c r="AG5" i="25"/>
  <c r="AH12" i="25" l="1"/>
  <c r="AJ12" i="25"/>
  <c r="AA12" i="25"/>
  <c r="S12" i="25" s="1"/>
  <c r="AB14" i="25"/>
  <c r="Z34" i="25"/>
  <c r="AB19" i="25"/>
  <c r="AH30" i="25"/>
  <c r="AA30" i="25"/>
  <c r="S30" i="25" s="1"/>
  <c r="AI10" i="25"/>
  <c r="Z10" i="25"/>
  <c r="T10" i="25" s="1"/>
  <c r="V10" i="25" s="1"/>
  <c r="W10" i="25" s="1"/>
  <c r="AK17" i="25"/>
  <c r="AJ17" i="25"/>
  <c r="Z30" i="25"/>
  <c r="AI17" i="25"/>
  <c r="AI30" i="25"/>
  <c r="AH44" i="25"/>
  <c r="AH17" i="25"/>
  <c r="AC30" i="25"/>
  <c r="AF17" i="25"/>
  <c r="Z17" i="25"/>
  <c r="AA11" i="25"/>
  <c r="S11" i="25" s="1"/>
  <c r="AJ30" i="25"/>
  <c r="AB17" i="25"/>
  <c r="Y17" i="25" s="1"/>
  <c r="AA17" i="25"/>
  <c r="S17" i="25" s="1"/>
  <c r="AK30" i="25"/>
  <c r="AA9" i="25"/>
  <c r="S9" i="25" s="1"/>
  <c r="AB30" i="25"/>
  <c r="AJ10" i="25"/>
  <c r="AA10" i="25"/>
  <c r="S10" i="25" s="1"/>
  <c r="AH10" i="25"/>
  <c r="AC10" i="25"/>
  <c r="AH23" i="25"/>
  <c r="AJ33" i="25"/>
  <c r="Z8" i="25"/>
  <c r="AB23" i="25"/>
  <c r="Z23" i="25"/>
  <c r="T23" i="25" s="1"/>
  <c r="V23" i="25" s="1"/>
  <c r="W23" i="25" s="1"/>
  <c r="AK23" i="25"/>
  <c r="AB10" i="25"/>
  <c r="AI23" i="25"/>
  <c r="AJ23" i="25"/>
  <c r="AC23" i="25"/>
  <c r="AJ32" i="25"/>
  <c r="AC32" i="25"/>
  <c r="AH32" i="25"/>
  <c r="AI40" i="25"/>
  <c r="AC6" i="25"/>
  <c r="AA32" i="25"/>
  <c r="S32" i="25" s="1"/>
  <c r="AK34" i="25"/>
  <c r="AI32" i="25"/>
  <c r="AH34" i="25"/>
  <c r="AB32" i="25"/>
  <c r="AK32" i="25"/>
  <c r="Z32" i="25"/>
  <c r="AC33" i="25"/>
  <c r="AH33" i="25"/>
  <c r="Z33" i="25"/>
  <c r="AK33" i="25"/>
  <c r="AA33" i="25"/>
  <c r="S33" i="25" s="1"/>
  <c r="AB8" i="25"/>
  <c r="AJ8" i="25"/>
  <c r="AF33" i="25"/>
  <c r="AB33" i="25"/>
  <c r="AH8" i="25"/>
  <c r="AJ34" i="25"/>
  <c r="AK44" i="25"/>
  <c r="AH14" i="25"/>
  <c r="AI11" i="25"/>
  <c r="AA34" i="25"/>
  <c r="AC44" i="25"/>
  <c r="AI34" i="25"/>
  <c r="AI44" i="25"/>
  <c r="S44" i="25" s="1"/>
  <c r="AC34" i="25"/>
  <c r="Z44" i="25"/>
  <c r="AB34" i="25"/>
  <c r="AF44" i="25"/>
  <c r="AA6" i="25"/>
  <c r="S6" i="25" s="1"/>
  <c r="AF40" i="25"/>
  <c r="AK11" i="25"/>
  <c r="AB11" i="25"/>
  <c r="Y11" i="25" s="1"/>
  <c r="Z6" i="25"/>
  <c r="AI6" i="25"/>
  <c r="AC40" i="25"/>
  <c r="AH11" i="25"/>
  <c r="C3" i="28" a="1"/>
  <c r="C3" i="28" s="1"/>
  <c r="AJ6" i="25"/>
  <c r="Z40" i="25"/>
  <c r="Y40" i="25" s="1"/>
  <c r="AB6" i="25"/>
  <c r="AJ11" i="25"/>
  <c r="AK6" i="25"/>
  <c r="AA40" i="25"/>
  <c r="S40" i="25" s="1"/>
  <c r="AC11" i="25"/>
  <c r="AF6" i="25"/>
  <c r="AH40" i="25"/>
  <c r="AK40" i="25"/>
  <c r="AJ40" i="25"/>
  <c r="AC9" i="25"/>
  <c r="AH31" i="25"/>
  <c r="AJ25" i="25"/>
  <c r="AC31" i="25"/>
  <c r="AC25" i="25"/>
  <c r="AA41" i="25"/>
  <c r="S41" i="25" s="1"/>
  <c r="Z31" i="25"/>
  <c r="Z25" i="25"/>
  <c r="T25" i="25" s="1"/>
  <c r="V25" i="25" s="1"/>
  <c r="W25" i="25" s="1"/>
  <c r="AF41" i="25"/>
  <c r="AK31" i="25"/>
  <c r="AH25" i="25"/>
  <c r="AJ31" i="25"/>
  <c r="AI25" i="25"/>
  <c r="AB18" i="25"/>
  <c r="AB25" i="25"/>
  <c r="F7" i="28"/>
  <c r="AB31" i="25"/>
  <c r="AI31" i="25"/>
  <c r="AK25" i="25"/>
  <c r="AH13" i="25"/>
  <c r="AI14" i="25"/>
  <c r="AA14" i="25"/>
  <c r="S14" i="25" s="1"/>
  <c r="Z14" i="25"/>
  <c r="Y14" i="25" s="1"/>
  <c r="AK14" i="25"/>
  <c r="AB24" i="25"/>
  <c r="AC14" i="25"/>
  <c r="C3" i="27" a="1"/>
  <c r="C3" i="27" s="1"/>
  <c r="AH9" i="25"/>
  <c r="AK9" i="25"/>
  <c r="AH24" i="25"/>
  <c r="Z9" i="25"/>
  <c r="Y9" i="25" s="1"/>
  <c r="AK19" i="25"/>
  <c r="AJ24" i="25"/>
  <c r="AI9" i="25"/>
  <c r="Z19" i="25"/>
  <c r="T19" i="25" s="1"/>
  <c r="V19" i="25" s="1"/>
  <c r="W19" i="25" s="1"/>
  <c r="AI24" i="25"/>
  <c r="AJ9" i="25"/>
  <c r="AJ19" i="25"/>
  <c r="AI19" i="25"/>
  <c r="AA8" i="25"/>
  <c r="S8" i="25" s="1"/>
  <c r="Z24" i="25"/>
  <c r="AC19" i="25"/>
  <c r="AK8" i="25"/>
  <c r="AK24" i="25"/>
  <c r="AJ18" i="25"/>
  <c r="AH19" i="25"/>
  <c r="AI8" i="25"/>
  <c r="AA24" i="25"/>
  <c r="S24" i="25" s="1"/>
  <c r="AF19" i="25"/>
  <c r="AK18" i="25"/>
  <c r="AA18" i="25"/>
  <c r="S18" i="25" s="1"/>
  <c r="AF18" i="25"/>
  <c r="AH18" i="25"/>
  <c r="Z18" i="25"/>
  <c r="AC18" i="25"/>
  <c r="AH29" i="25"/>
  <c r="AH16" i="25"/>
  <c r="AB16" i="25"/>
  <c r="AF29" i="25"/>
  <c r="AK16" i="25"/>
  <c r="AJ16" i="25"/>
  <c r="AC16" i="25"/>
  <c r="U16" i="25" s="1"/>
  <c r="X16" i="25" s="1"/>
  <c r="AA16" i="25"/>
  <c r="S16" i="25" s="1"/>
  <c r="AI16" i="25"/>
  <c r="AA29" i="25"/>
  <c r="S29" i="25" s="1"/>
  <c r="AK29" i="25"/>
  <c r="Z29" i="25"/>
  <c r="AB29" i="25"/>
  <c r="AI29" i="25"/>
  <c r="Z16" i="25"/>
  <c r="AJ29" i="25"/>
  <c r="Y10" i="25"/>
  <c r="AC13" i="25"/>
  <c r="AF13" i="25"/>
  <c r="AI13" i="25"/>
  <c r="Y26" i="25"/>
  <c r="AJ13" i="25"/>
  <c r="T22" i="25"/>
  <c r="V22" i="25" s="1"/>
  <c r="W22" i="25" s="1"/>
  <c r="AA13" i="25"/>
  <c r="S13" i="25" s="1"/>
  <c r="Z13" i="25"/>
  <c r="Y13" i="25" s="1"/>
  <c r="Y42" i="25"/>
  <c r="AK13" i="25"/>
  <c r="AJ28" i="25"/>
  <c r="Y43" i="25"/>
  <c r="AA28" i="25"/>
  <c r="S28" i="25" s="1"/>
  <c r="Z28" i="25"/>
  <c r="Y28" i="25" s="1"/>
  <c r="AC28" i="25"/>
  <c r="AH28" i="25"/>
  <c r="AI28" i="25"/>
  <c r="AK41" i="25"/>
  <c r="Y22" i="25"/>
  <c r="AJ41" i="25"/>
  <c r="AH41" i="25"/>
  <c r="AI41" i="25"/>
  <c r="T38" i="25"/>
  <c r="Z41" i="25"/>
  <c r="Y41" i="25" s="1"/>
  <c r="T43" i="25"/>
  <c r="V43" i="25" s="1"/>
  <c r="W43" i="25" s="1"/>
  <c r="AC41" i="25"/>
  <c r="Y27" i="25"/>
  <c r="Y36" i="25"/>
  <c r="Y38" i="25"/>
  <c r="T36" i="25"/>
  <c r="T35" i="25"/>
  <c r="T12" i="25"/>
  <c r="V12" i="25" s="1"/>
  <c r="W12" i="25" s="1"/>
  <c r="T27" i="25"/>
  <c r="V27" i="25" s="1"/>
  <c r="W27" i="25" s="1"/>
  <c r="T20" i="25"/>
  <c r="V20" i="25" s="1"/>
  <c r="W20" i="25" s="1"/>
  <c r="T37" i="25"/>
  <c r="V37" i="25" s="1"/>
  <c r="W37" i="25" s="1"/>
  <c r="T21" i="25"/>
  <c r="V21" i="25" s="1"/>
  <c r="W21" i="25" s="1"/>
  <c r="Y35" i="25"/>
  <c r="S36" i="25"/>
  <c r="T30" i="25"/>
  <c r="V30" i="25" s="1"/>
  <c r="W30" i="25" s="1"/>
  <c r="Y30" i="25"/>
  <c r="Y12" i="25"/>
  <c r="Y20" i="25"/>
  <c r="T42" i="25"/>
  <c r="V42" i="25" s="1"/>
  <c r="W42" i="25" s="1"/>
  <c r="T11" i="25"/>
  <c r="V11" i="25" s="1"/>
  <c r="W11" i="25" s="1"/>
  <c r="Y21" i="25"/>
  <c r="T7" i="25"/>
  <c r="V7" i="25" s="1"/>
  <c r="W7" i="25" s="1"/>
  <c r="Y15" i="25"/>
  <c r="T15" i="25"/>
  <c r="V15" i="25" s="1"/>
  <c r="W15" i="25" s="1"/>
  <c r="S38" i="25"/>
  <c r="T39" i="25"/>
  <c r="V39" i="25" s="1"/>
  <c r="W39" i="25" s="1"/>
  <c r="Y39" i="25"/>
  <c r="T26" i="25"/>
  <c r="V26" i="25" s="1"/>
  <c r="W26" i="25" s="1"/>
  <c r="S35" i="25"/>
  <c r="H6" i="28" a="1"/>
  <c r="H6" i="28" s="1"/>
  <c r="H6" i="27" a="1"/>
  <c r="H6" i="27" s="1"/>
  <c r="D6" i="30" a="1"/>
  <c r="D6" i="30" s="1"/>
  <c r="M6" i="28" a="1"/>
  <c r="M6" i="28" s="1"/>
  <c r="M6" i="27" a="1"/>
  <c r="M6" i="27" s="1"/>
  <c r="F6" i="28"/>
  <c r="AF5" i="25"/>
  <c r="AJ5" i="25"/>
  <c r="AH5" i="25"/>
  <c r="AC5" i="25"/>
  <c r="AK5" i="25"/>
  <c r="AB5" i="25"/>
  <c r="AA5" i="25"/>
  <c r="Z5" i="25"/>
  <c r="AI5" i="25"/>
  <c r="G13" i="27" a="1"/>
  <c r="G13" i="27" s="1"/>
  <c r="V5" i="25"/>
  <c r="F6" i="27"/>
  <c r="F3" i="27" s="1" a="1"/>
  <c r="F3" i="27" s="1"/>
  <c r="Y24" i="25" l="1"/>
  <c r="Y44" i="25"/>
  <c r="Y23" i="25"/>
  <c r="T17" i="25"/>
  <c r="V17" i="25" s="1"/>
  <c r="W17" i="25" s="1"/>
  <c r="Y8" i="25"/>
  <c r="Y19" i="25"/>
  <c r="T34" i="25"/>
  <c r="S34" i="25"/>
  <c r="T32" i="25"/>
  <c r="V32" i="25" s="1"/>
  <c r="W32" i="25" s="1"/>
  <c r="Y34" i="25"/>
  <c r="T33" i="25"/>
  <c r="V33" i="25" s="1"/>
  <c r="W33" i="25" s="1"/>
  <c r="T44" i="25"/>
  <c r="V44" i="25" s="1"/>
  <c r="W44" i="25" s="1"/>
  <c r="Y32" i="25"/>
  <c r="Y6" i="25"/>
  <c r="Y33" i="25"/>
  <c r="F3" i="28" a="1"/>
  <c r="F3" i="28" s="1"/>
  <c r="T6" i="25"/>
  <c r="V6" i="25" s="1"/>
  <c r="W6" i="25" s="1"/>
  <c r="V38" i="25"/>
  <c r="W38" i="25" s="1"/>
  <c r="T8" i="25"/>
  <c r="V8" i="25" s="1"/>
  <c r="W8" i="25" s="1"/>
  <c r="Y16" i="25"/>
  <c r="T18" i="25"/>
  <c r="V18" i="25" s="1"/>
  <c r="W18" i="25" s="1"/>
  <c r="T24" i="25"/>
  <c r="V24" i="25" s="1"/>
  <c r="W24" i="25" s="1"/>
  <c r="Y31" i="25"/>
  <c r="T40" i="25"/>
  <c r="V40" i="25" s="1"/>
  <c r="W40" i="25" s="1"/>
  <c r="Y25" i="25"/>
  <c r="T31" i="25"/>
  <c r="V31" i="25" s="1"/>
  <c r="W31" i="25" s="1"/>
  <c r="T14" i="25"/>
  <c r="V14" i="25" s="1"/>
  <c r="W14" i="25" s="1"/>
  <c r="T9" i="25"/>
  <c r="V9" i="25" s="1"/>
  <c r="W9" i="25" s="1"/>
  <c r="Y18" i="25"/>
  <c r="T29" i="25"/>
  <c r="V29" i="25" s="1"/>
  <c r="W29" i="25" s="1"/>
  <c r="T16" i="25"/>
  <c r="V16" i="25" s="1"/>
  <c r="W16" i="25" s="1"/>
  <c r="Y29" i="25"/>
  <c r="V35" i="25"/>
  <c r="W35" i="25" s="1"/>
  <c r="T41" i="25"/>
  <c r="V41" i="25" s="1"/>
  <c r="W41" i="25" s="1"/>
  <c r="T28" i="25"/>
  <c r="V28" i="25" s="1"/>
  <c r="W28" i="25" s="1"/>
  <c r="T13" i="25"/>
  <c r="V13" i="25" s="1"/>
  <c r="W13" i="25" s="1"/>
  <c r="V36" i="25"/>
  <c r="W36" i="25" s="1"/>
  <c r="T7" i="30" a="1"/>
  <c r="T7" i="30" s="1"/>
  <c r="I7" i="27" a="1"/>
  <c r="I7" i="27" s="1"/>
  <c r="I7" i="28" a="1"/>
  <c r="I7" i="28" s="1"/>
  <c r="G9" i="27" a="1"/>
  <c r="G9" i="27" s="1"/>
  <c r="G9" i="28" a="1"/>
  <c r="G9" i="28" s="1"/>
  <c r="G14" i="27" a="1"/>
  <c r="G14" i="27" s="1"/>
  <c r="G7" i="28" a="1"/>
  <c r="G7" i="28" s="1"/>
  <c r="G12" i="27" a="1"/>
  <c r="G12" i="27" s="1"/>
  <c r="G8" i="28" a="1"/>
  <c r="G8" i="28" s="1"/>
  <c r="M13" i="27" a="1"/>
  <c r="M13" i="27" s="1"/>
  <c r="G7" i="27" a="1"/>
  <c r="G7" i="27" s="1"/>
  <c r="V14" i="30"/>
  <c r="V10" i="30"/>
  <c r="V8" i="30"/>
  <c r="V11" i="30"/>
  <c r="V9" i="30"/>
  <c r="V13" i="30"/>
  <c r="V12" i="30"/>
  <c r="V15" i="30"/>
  <c r="W5" i="25"/>
  <c r="V34" i="25" l="1"/>
  <c r="W34" i="25" s="1"/>
  <c r="V7" i="30"/>
  <c r="M11" i="28" a="1"/>
  <c r="M11" i="28" s="1"/>
  <c r="M16" i="27" a="1"/>
  <c r="M16" i="27" s="1"/>
  <c r="G10" i="28" a="1"/>
  <c r="G10" i="28" s="1"/>
  <c r="G15" i="27" a="1"/>
  <c r="G15" i="27" s="1"/>
  <c r="M12" i="27" a="1"/>
  <c r="M12" i="27" s="1"/>
  <c r="M8" i="28" a="1"/>
  <c r="M8" i="28" s="1"/>
  <c r="H9" i="27" a="1"/>
  <c r="H9" i="27" s="1"/>
  <c r="J9" i="27" s="1"/>
  <c r="K9" i="27" s="1"/>
  <c r="D9" i="30" a="1"/>
  <c r="D9" i="30" s="1"/>
  <c r="F9" i="30" s="1"/>
  <c r="M7" i="27" a="1"/>
  <c r="M7" i="27" s="1"/>
  <c r="M7" i="28" a="1"/>
  <c r="M7" i="28" s="1"/>
  <c r="D15" i="30" a="1"/>
  <c r="D15" i="30" s="1"/>
  <c r="H10" i="28" a="1"/>
  <c r="H10" i="28" s="1"/>
  <c r="H15" i="27" a="1"/>
  <c r="H15" i="27" s="1"/>
  <c r="G11" i="28" a="1"/>
  <c r="G11" i="28" s="1"/>
  <c r="G3" i="28" s="1" a="1"/>
  <c r="G3" i="28" s="1"/>
  <c r="G16" i="27" a="1"/>
  <c r="G16" i="27" s="1"/>
  <c r="D13" i="30" a="1"/>
  <c r="D13" i="30" s="1"/>
  <c r="F13" i="30" s="1"/>
  <c r="H13" i="27" a="1"/>
  <c r="H13" i="27" s="1"/>
  <c r="J13" i="27" s="1"/>
  <c r="K13" i="27" s="1"/>
  <c r="D7" i="30" a="1"/>
  <c r="D7" i="30" s="1"/>
  <c r="F7" i="30" s="1"/>
  <c r="H7" i="28" a="1"/>
  <c r="H7" i="28" s="1"/>
  <c r="H7" i="27" a="1"/>
  <c r="H7" i="27" s="1"/>
  <c r="D14" i="30" a="1"/>
  <c r="D14" i="30" s="1"/>
  <c r="F14" i="30" s="1"/>
  <c r="H9" i="28" a="1"/>
  <c r="H9" i="28" s="1"/>
  <c r="J9" i="28" s="1"/>
  <c r="K9" i="28" s="1"/>
  <c r="H14" i="27" a="1"/>
  <c r="H14" i="27" s="1"/>
  <c r="J14" i="27" s="1"/>
  <c r="K14" i="27" s="1"/>
  <c r="I11" i="28" a="1"/>
  <c r="I11" i="28" s="1"/>
  <c r="I3" i="28" s="1" a="1"/>
  <c r="I3" i="28" s="1"/>
  <c r="I16" i="27" a="1"/>
  <c r="I16" i="27" s="1"/>
  <c r="I3" i="27" s="1" a="1"/>
  <c r="I3" i="27" s="1"/>
  <c r="T16" i="30" a="1"/>
  <c r="T16" i="30" s="1"/>
  <c r="T3" i="30" s="1" a="1"/>
  <c r="T3" i="30" s="1"/>
  <c r="L7" i="27" a="1"/>
  <c r="L7" i="27" s="1"/>
  <c r="L7" i="28" a="1"/>
  <c r="L7" i="28" s="1"/>
  <c r="M14" i="27" a="1"/>
  <c r="M14" i="27" s="1"/>
  <c r="M9" i="28" a="1"/>
  <c r="M9" i="28" s="1"/>
  <c r="M9" i="27" a="1"/>
  <c r="M9" i="27" s="1"/>
  <c r="H12" i="27" a="1"/>
  <c r="H12" i="27" s="1"/>
  <c r="J12" i="27" s="1"/>
  <c r="K12" i="27" s="1"/>
  <c r="H8" i="28" a="1"/>
  <c r="H8" i="28" s="1"/>
  <c r="J8" i="28" s="1"/>
  <c r="K8" i="28" s="1"/>
  <c r="D12" i="30" a="1"/>
  <c r="D12" i="30" s="1"/>
  <c r="F12" i="30" s="1"/>
  <c r="M15" i="27" a="1"/>
  <c r="M15" i="27" s="1"/>
  <c r="M10" i="28" a="1"/>
  <c r="M10" i="28" s="1"/>
  <c r="H16" i="27" a="1"/>
  <c r="H16" i="27" s="1"/>
  <c r="D16" i="30" a="1"/>
  <c r="D16" i="30" s="1"/>
  <c r="F16" i="30" s="1"/>
  <c r="H11" i="28" a="1"/>
  <c r="H11" i="28" s="1"/>
  <c r="U2" i="25"/>
  <c r="F15" i="30"/>
  <c r="X2" i="25"/>
  <c r="Y2" i="25"/>
  <c r="S2" i="25"/>
  <c r="T2" i="25"/>
  <c r="F11" i="30"/>
  <c r="V6" i="30"/>
  <c r="F10" i="30"/>
  <c r="F8" i="30"/>
  <c r="G3" i="27" l="1" a="1"/>
  <c r="G3" i="27" s="1"/>
  <c r="V16" i="30"/>
  <c r="V3" i="30" a="1"/>
  <c r="V3" i="30" s="1"/>
  <c r="D3" i="30" a="1"/>
  <c r="D3" i="30" s="1"/>
  <c r="H3" i="28" a="1"/>
  <c r="H3" i="28" s="1"/>
  <c r="M3" i="28" a="1"/>
  <c r="M3" i="28" s="1"/>
  <c r="J7" i="27"/>
  <c r="K7" i="27" s="1"/>
  <c r="H3" i="27" a="1"/>
  <c r="H3" i="27" s="1"/>
  <c r="M3" i="27" a="1"/>
  <c r="M3" i="27" s="1"/>
  <c r="L11" i="28" a="1"/>
  <c r="L11" i="28" s="1"/>
  <c r="L3" i="28" s="1" a="1"/>
  <c r="L3" i="28" s="1"/>
  <c r="L16" i="27" a="1"/>
  <c r="L16" i="27" s="1"/>
  <c r="L3" i="27" s="1" a="1"/>
  <c r="L3" i="27" s="1"/>
  <c r="J16" i="27"/>
  <c r="K16" i="27" s="1"/>
  <c r="J7" i="28"/>
  <c r="K7" i="28" s="1"/>
  <c r="J11" i="28"/>
  <c r="K11" i="28" s="1"/>
  <c r="J15" i="27"/>
  <c r="K15" i="27" s="1"/>
  <c r="J10" i="28"/>
  <c r="K10" i="28" s="1"/>
  <c r="V2" i="25"/>
  <c r="W2" i="25" s="1"/>
  <c r="J6" i="28"/>
  <c r="J6" i="27"/>
  <c r="F6" i="30"/>
  <c r="F3" i="30" s="1" a="1"/>
  <c r="F3" i="30" s="1"/>
  <c r="J3" i="28" l="1" a="1"/>
  <c r="J3" i="28" s="1"/>
  <c r="J3" i="27" a="1"/>
  <c r="J3" i="27" s="1"/>
  <c r="K6" i="27"/>
  <c r="K3" i="27" s="1" a="1"/>
  <c r="K3" i="27" s="1"/>
  <c r="K6" i="28"/>
  <c r="K3" i="28" s="1" a="1"/>
  <c r="K3" i="2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<sst xmlns="http://schemas.openxmlformats.org/spreadsheetml/2006/main" count="807" uniqueCount="442">
  <si>
    <t>The following sheets are included in this template:</t>
  </si>
  <si>
    <t>Example (Pty) Ltd</t>
  </si>
  <si>
    <t>If you experience any difficulty while using this template and you are not able to find the appropriate guidance in these instructions, please e-mail us at support@excel-skills.com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</si>
  <si>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Help &amp; Customization</t>
  </si>
  <si>
    <t>Supplier</t>
  </si>
  <si>
    <t>Description</t>
  </si>
  <si>
    <t>Instructions</t>
  </si>
  <si>
    <t>www.excel-skills.com</t>
  </si>
  <si>
    <t>Business Name</t>
  </si>
  <si>
    <t>Business Details</t>
  </si>
  <si>
    <t>Code</t>
  </si>
  <si>
    <t>Error Code</t>
  </si>
  <si>
    <t>Reason</t>
  </si>
  <si>
    <t>E1</t>
  </si>
  <si>
    <t>E2</t>
  </si>
  <si>
    <t>E3</t>
  </si>
  <si>
    <t>Input Error Codes</t>
  </si>
  <si>
    <t>Error Codes</t>
  </si>
  <si>
    <t>Asset Number</t>
  </si>
  <si>
    <t>Asset ID Number</t>
  </si>
  <si>
    <t>Class</t>
  </si>
  <si>
    <t>Category</t>
  </si>
  <si>
    <t>FF-00003</t>
  </si>
  <si>
    <t xml:space="preserve">Starrag -Triple Copy Mill </t>
  </si>
  <si>
    <t>Hydrovane 170 Air Compressor</t>
  </si>
  <si>
    <t>Kraft Vertical Bandsaw</t>
  </si>
  <si>
    <t>Churchill - RH8 Shaver</t>
  </si>
  <si>
    <t>V25 Machining centre x 1</t>
  </si>
  <si>
    <t>Supertech Grinder Mod G30A-50 x1</t>
  </si>
  <si>
    <t>Collet Chuck</t>
  </si>
  <si>
    <t>LTC-20B Cnc Turning Centre</t>
  </si>
  <si>
    <t>Leaderway 450 M/centre</t>
  </si>
  <si>
    <t>Supertec Cnc Angular Wheel Grinder</t>
  </si>
  <si>
    <t>Toyota FG 1.8 Ton Forklift</t>
  </si>
  <si>
    <t>IM4 Engraver</t>
  </si>
  <si>
    <t>Yun Shuen 4Hkv Std Milling Machine</t>
  </si>
  <si>
    <t>37KV Compressor</t>
  </si>
  <si>
    <t>ST Drill Sharp Slib8n 4-30</t>
  </si>
  <si>
    <t>Briquetting Press</t>
  </si>
  <si>
    <t>Colt Rodeo 3.0(1)</t>
  </si>
  <si>
    <t>Asset Classes</t>
  </si>
  <si>
    <t>PM</t>
  </si>
  <si>
    <t>CE</t>
  </si>
  <si>
    <t>OE</t>
  </si>
  <si>
    <t>FF</t>
  </si>
  <si>
    <t>MV</t>
  </si>
  <si>
    <t>Computer Equipment</t>
  </si>
  <si>
    <t>Office Equipment</t>
  </si>
  <si>
    <t>Motor Vehicles</t>
  </si>
  <si>
    <t>ZZ</t>
  </si>
  <si>
    <t>End of list</t>
  </si>
  <si>
    <t>Asset Categories</t>
  </si>
  <si>
    <t>Main Production Plant</t>
  </si>
  <si>
    <t>Secondary Plant</t>
  </si>
  <si>
    <t>Primary Equipment</t>
  </si>
  <si>
    <t>Secondary Equipment</t>
  </si>
  <si>
    <t>Small Assets</t>
  </si>
  <si>
    <t>IS-401</t>
  </si>
  <si>
    <t>IS-402</t>
  </si>
  <si>
    <t>IS-403</t>
  </si>
  <si>
    <t>IS-404</t>
  </si>
  <si>
    <t>IS-405</t>
  </si>
  <si>
    <t>IS-406</t>
  </si>
  <si>
    <t>IS-411</t>
  </si>
  <si>
    <t>IS-412</t>
  </si>
  <si>
    <t>IS-421</t>
  </si>
  <si>
    <t>IS-431</t>
  </si>
  <si>
    <t>IS-442</t>
  </si>
  <si>
    <t>BS-151</t>
  </si>
  <si>
    <t>BS-152</t>
  </si>
  <si>
    <t>BS-153</t>
  </si>
  <si>
    <t>BS-154</t>
  </si>
  <si>
    <t>BS-155</t>
  </si>
  <si>
    <t>BS-156</t>
  </si>
  <si>
    <t>BS-161</t>
  </si>
  <si>
    <t>BS-162</t>
  </si>
  <si>
    <t>BS-171</t>
  </si>
  <si>
    <t>BS-181</t>
  </si>
  <si>
    <t>BS-192</t>
  </si>
  <si>
    <t>ACQ</t>
  </si>
  <si>
    <t>Asset Transactions</t>
  </si>
  <si>
    <t>Transaction Date</t>
  </si>
  <si>
    <t>Transaction Type</t>
  </si>
  <si>
    <t>Document Number</t>
  </si>
  <si>
    <t>Amount</t>
  </si>
  <si>
    <t>Asset Set-up</t>
  </si>
  <si>
    <t>Template Set-up</t>
  </si>
  <si>
    <t>Lifetime in Years</t>
  </si>
  <si>
    <t>Transaction Date ID</t>
  </si>
  <si>
    <t>Furniture &amp; Fixtures</t>
  </si>
  <si>
    <t>Owned</t>
  </si>
  <si>
    <t>Asset Type</t>
  </si>
  <si>
    <t>Residual Value</t>
  </si>
  <si>
    <t>Proceeds on Sale</t>
  </si>
  <si>
    <t>Acquisition Date</t>
  </si>
  <si>
    <t>DIS</t>
  </si>
  <si>
    <t>Profit / (Loss) on Disposal</t>
  </si>
  <si>
    <t>Year-End Month</t>
  </si>
  <si>
    <t>Review Date</t>
  </si>
  <si>
    <t>Opening Balance</t>
  </si>
  <si>
    <t>Additions</t>
  </si>
  <si>
    <t>Disposals</t>
  </si>
  <si>
    <t>Closing Balance</t>
  </si>
  <si>
    <t>Assets at Cost</t>
  </si>
  <si>
    <t>Accumulated Depreciation</t>
  </si>
  <si>
    <t>Closing Carrying Value</t>
  </si>
  <si>
    <t>Transaction Amount</t>
  </si>
  <si>
    <t>Asset Category Summary</t>
  </si>
  <si>
    <t>Cost</t>
  </si>
  <si>
    <t>Proceeds on Disposal</t>
  </si>
  <si>
    <t>MTD From</t>
  </si>
  <si>
    <t>Asset Class Summary</t>
  </si>
  <si>
    <t>BS-101</t>
  </si>
  <si>
    <t>BS-102</t>
  </si>
  <si>
    <t>BS-103</t>
  </si>
  <si>
    <t>BS-104</t>
  </si>
  <si>
    <t>BS-105</t>
  </si>
  <si>
    <t>BS-106</t>
  </si>
  <si>
    <t>BS-111</t>
  </si>
  <si>
    <t>BS-112</t>
  </si>
  <si>
    <t>BS-121</t>
  </si>
  <si>
    <t>BS-131</t>
  </si>
  <si>
    <t>BS-142</t>
  </si>
  <si>
    <t>Journal Summary</t>
  </si>
  <si>
    <t>Acc Depr</t>
  </si>
  <si>
    <t>Depr</t>
  </si>
  <si>
    <t>Period</t>
  </si>
  <si>
    <t>Profit</t>
  </si>
  <si>
    <t>IS-408</t>
  </si>
  <si>
    <t>Disposals - Cost</t>
  </si>
  <si>
    <t>Disposals - Proceeds</t>
  </si>
  <si>
    <t>Disposals - Accumulated Depreciation</t>
  </si>
  <si>
    <t>Account</t>
  </si>
  <si>
    <t>Asset category does not exist.</t>
  </si>
  <si>
    <t>Current Lifetime</t>
  </si>
  <si>
    <t>Current Residual</t>
  </si>
  <si>
    <t>E4</t>
  </si>
  <si>
    <t>E5</t>
  </si>
  <si>
    <t>Duplicate asset additions recorded.</t>
  </si>
  <si>
    <t>E6</t>
  </si>
  <si>
    <t>E7</t>
  </si>
  <si>
    <t>Invalid asset lifetime for the selected transaction type.</t>
  </si>
  <si>
    <t>E8</t>
  </si>
  <si>
    <t>E9</t>
  </si>
  <si>
    <t>Invalid transaction amount for the selected transaction type.</t>
  </si>
  <si>
    <t>Invalid residual value for the selected transaction type.</t>
  </si>
  <si>
    <t>Invalid proceeds from disposal of asset.</t>
  </si>
  <si>
    <t>E10</t>
  </si>
  <si>
    <t>Asset acquisition not recorded.</t>
  </si>
  <si>
    <t>YTD From</t>
  </si>
  <si>
    <t>YTD To</t>
  </si>
  <si>
    <t>MTD To</t>
  </si>
  <si>
    <t>Transaction type is blank or invalid.</t>
  </si>
  <si>
    <t>Leaderway V650 CNC</t>
  </si>
  <si>
    <t>Surface Grinder</t>
  </si>
  <si>
    <t>Pollard 8 Spindle</t>
  </si>
  <si>
    <t>Centre Bore</t>
  </si>
  <si>
    <t>RH8 Hobbing Machine (ex CME)</t>
  </si>
  <si>
    <t>YTD</t>
  </si>
  <si>
    <t>LB</t>
  </si>
  <si>
    <t>Land &amp; Buildings</t>
  </si>
  <si>
    <t>CHW01</t>
  </si>
  <si>
    <t>CSW01</t>
  </si>
  <si>
    <t>Computer Hardware</t>
  </si>
  <si>
    <t>Computer Software</t>
  </si>
  <si>
    <t>SMA01</t>
  </si>
  <si>
    <t>PPM01</t>
  </si>
  <si>
    <t>PPS02</t>
  </si>
  <si>
    <t>EQP01</t>
  </si>
  <si>
    <t>EQS01</t>
  </si>
  <si>
    <t>LBU01</t>
  </si>
  <si>
    <t>LB-00001</t>
  </si>
  <si>
    <t>Factory Land &amp; Buildings</t>
  </si>
  <si>
    <t>ABC Incorporated</t>
  </si>
  <si>
    <t>P/Agreement</t>
  </si>
  <si>
    <t>Plant &amp; Equipment</t>
  </si>
  <si>
    <t>PP-00001</t>
  </si>
  <si>
    <t>PP-00002</t>
  </si>
  <si>
    <t>PP-00003</t>
  </si>
  <si>
    <t>PP-00004</t>
  </si>
  <si>
    <t>PP-00005</t>
  </si>
  <si>
    <t>PP-00006</t>
  </si>
  <si>
    <t>PP-00007</t>
  </si>
  <si>
    <t>PP-00008</t>
  </si>
  <si>
    <t>PP-00009</t>
  </si>
  <si>
    <t>PP-00010</t>
  </si>
  <si>
    <t>PP-00011</t>
  </si>
  <si>
    <t>PP-00012</t>
  </si>
  <si>
    <t>Aquino V40 X 1 (Melda control)</t>
  </si>
  <si>
    <t>Aquino LTC-10 x 1</t>
  </si>
  <si>
    <t>Aquino V40 Cnc Mill</t>
  </si>
  <si>
    <t>Aquino T7 CNC Machine</t>
  </si>
  <si>
    <t>Aquino T7M</t>
  </si>
  <si>
    <t>PQ-00001</t>
  </si>
  <si>
    <t>PQ-00002</t>
  </si>
  <si>
    <t>PQ-00003</t>
  </si>
  <si>
    <t>PQ-00004</t>
  </si>
  <si>
    <t>PQ-00005</t>
  </si>
  <si>
    <t>PQ-00006</t>
  </si>
  <si>
    <t>Office Chairs (5)</t>
  </si>
  <si>
    <t>Office Desks (5)</t>
  </si>
  <si>
    <t>Dell Desktops (5)</t>
  </si>
  <si>
    <t>Dell Laptop</t>
  </si>
  <si>
    <t>OFE01</t>
  </si>
  <si>
    <t>FFX01</t>
  </si>
  <si>
    <t>MVH01</t>
  </si>
  <si>
    <t>OE-00001</t>
  </si>
  <si>
    <t>OE-00002</t>
  </si>
  <si>
    <t>FF-01</t>
  </si>
  <si>
    <t>FF-02</t>
  </si>
  <si>
    <t>FF-03</t>
  </si>
  <si>
    <t>Nashua Copier</t>
  </si>
  <si>
    <t>CH-01</t>
  </si>
  <si>
    <t>CH-02</t>
  </si>
  <si>
    <t>CH-03</t>
  </si>
  <si>
    <t>OE-01</t>
  </si>
  <si>
    <t>FF-00001</t>
  </si>
  <si>
    <t>FF-00002</t>
  </si>
  <si>
    <t>CH-00001</t>
  </si>
  <si>
    <t>CH-00002</t>
  </si>
  <si>
    <t>CH-00003</t>
  </si>
  <si>
    <t>CS-00001</t>
  </si>
  <si>
    <t>CS-01</t>
  </si>
  <si>
    <t>Accpac</t>
  </si>
  <si>
    <t>I983535</t>
  </si>
  <si>
    <t>MV-00001</t>
  </si>
  <si>
    <t>Leased</t>
  </si>
  <si>
    <t>PP-00013</t>
  </si>
  <si>
    <t>PP-00014</t>
  </si>
  <si>
    <t>PP-00015</t>
  </si>
  <si>
    <t>PP-00016</t>
  </si>
  <si>
    <t>PP-00017</t>
  </si>
  <si>
    <t>EQP Suppliers</t>
  </si>
  <si>
    <t>Toyota</t>
  </si>
  <si>
    <t>IN7736</t>
  </si>
  <si>
    <t>IN9937</t>
  </si>
  <si>
    <t>IN12663</t>
  </si>
  <si>
    <t>IN15776</t>
  </si>
  <si>
    <t>Sandmill</t>
  </si>
  <si>
    <t>PQ-00007</t>
  </si>
  <si>
    <t>PQ-00008</t>
  </si>
  <si>
    <t>PQ-00009</t>
  </si>
  <si>
    <t>PQ-00010</t>
  </si>
  <si>
    <t>PQ-00011</t>
  </si>
  <si>
    <t>2-09847</t>
  </si>
  <si>
    <t>IN7792</t>
  </si>
  <si>
    <t>IN9919</t>
  </si>
  <si>
    <t>IN12690</t>
  </si>
  <si>
    <t>IN15752</t>
  </si>
  <si>
    <t>IN17892</t>
  </si>
  <si>
    <t>MV-00002</t>
  </si>
  <si>
    <t>Toyota Hilux 3.0</t>
  </si>
  <si>
    <t>Lease2</t>
  </si>
  <si>
    <t>Lease1</t>
  </si>
  <si>
    <t>HP Laser Printer</t>
  </si>
  <si>
    <t>OE-02</t>
  </si>
  <si>
    <t>Nashua</t>
  </si>
  <si>
    <t>I99838</t>
  </si>
  <si>
    <t>Sale</t>
  </si>
  <si>
    <t>QS Equipment</t>
  </si>
  <si>
    <t>© www.excel-skills.com</t>
  </si>
  <si>
    <t>Air conditioner Panasonic</t>
  </si>
  <si>
    <t>Microsoft Office 2010</t>
  </si>
  <si>
    <t>Note: All new asset classes must be inserted above the "ZZ" asset class code and a maximum of 30 asset classes can be accommodated in the template.</t>
  </si>
  <si>
    <t>The input error codes at the bottom of the Set-up sheet are included for information purposes only and provide users with a reason for the error codes that may be encountered when entering transactions on the Assets and Transact sheets. These error codes are covered in more detail in the Error Codes section of these instructions.</t>
  </si>
  <si>
    <t>A unique asset number must be created for each fixed asset on the Assets sheet. You can use any asset numbering convention but we strongly recommend using a combination of letters and numbers as illustrated in our example data. We have used an asset numbering convention which starts with two letters followed by a hyphen and five numbers. The letters can be used to distinguish between different asset categories or classes.</t>
  </si>
  <si>
    <t>All the columns with light blue column headings contain calculations which are based on the review date that is entered in cell E2. The date that is entered in this cell therefore determines which transactions are included in the asset balance and depreciation calculations. It is therefore imperative that you enter the correct date in this cell when reviewing the fixed asset register.</t>
  </si>
  <si>
    <t>Note: The review date makes it easy to roll the template forward or back for any subsequent or previous month and all the template calculations are updated automatically. You can therefore simply enter a new date in cell E2 and all the calculations on all the sheets in the template are automatically updated.</t>
  </si>
  <si>
    <t>The following columns are included for information purposes only:</t>
  </si>
  <si>
    <t>Assets at Cost:</t>
  </si>
  <si>
    <t>Accumulated Depreciation:</t>
  </si>
  <si>
    <t>Income Statement Items:</t>
  </si>
  <si>
    <t>Note: All fixed assets must be added to the Assets sheet by assigning a unique asset code to the particular asset. The acquisition of the asset then needs to be recorded on the Transact sheet after which the appropriate values will be reflected on the Assets sheet. Users therefore need to create asset codes for all their assets and record acquisition transactions for all assets on the Transact sheet.</t>
  </si>
  <si>
    <t>The YTD periods are determined based on the year-end period that is selected in cell C7 on the Set-up sheet. All the YTD asset balances and depreciation calculations will therefore be calculated automatically based on the review date and the year-end period that has been specified.</t>
  </si>
  <si>
    <t>We have also included totals above all the column headings that contain amounts. These totals have been calculated by using the SUBTOTAL function which means that if the data on the sheet is filtered, the totals that are calculated will only include the filtered records. The Filter feature can therefore be used to obtain totals based on the filter criteria that are specified by the user and also enables users to view the detailed fixed asset records that make up the summary totals on the Category and Class sheets.</t>
  </si>
  <si>
    <t>All the column headings on the Assets sheet contain a filter selection arrow. These selection arrows indicate that the Filter feature has been activated on the sheet. The Filter feature can be used to filter the data on the sheet in order to display only certain asset records on the sheet.</t>
  </si>
  <si>
    <t>Example: If you want to obtain the fixed asset register totals for all leased assets, you can simply click the selection arrow next to the Asset Type column heading and select the Leased option. The sheet will be filtered and only the leased assets will be visible on the sheet. The totals will also only include the leased assets.</t>
  </si>
  <si>
    <t>Example: If you want to view the detailed asset records that make up one of the category or class totals on the Category or Class sheets, simply click the filter selection arrow next to the Category or Class column headings (column E or column H) and select the appropriate category or class. The sheet will be filtered and only the asset records for the selected category or class will be visible on the sheet. The totals will also only include the appropriate amounts for the selected category or class.</t>
  </si>
  <si>
    <t>Recording Asset Transactions</t>
  </si>
  <si>
    <t>The following user input is required in the user input columns on the Transact sheet (the columns with yellow column headings):</t>
  </si>
  <si>
    <t>Note: Only one acquisition transaction can be recorded for each asset because an asset can only be acquired once. If an asset is scrapped (which is recorded as a disposal) and subsequently needs to be added back to the fixed asset register, a new asset number should be used for this purpose. The recording of duplicate asset acquisitions will result in an input error in the Error Code column and may also result in inaccurate template calculations.</t>
  </si>
  <si>
    <t>All the column headings on the Transact sheet contain a filter selection arrow. These selection arrows indicate that the Filter feature has been activated on the sheet. The Filter feature can be used to filter the data on the sheet in order to display only certain asset records on the sheet.</t>
  </si>
  <si>
    <t>The following error codes may result from inaccurate input on the Assets and Transact sheets and will be displayed in the Error Code columns on the appropriate sheet. The heading of the affected input column will also be highlighted in orange in order to indicate that an error is present in the appropriate column:</t>
  </si>
  <si>
    <t>■ E1 - this error code means that a duplicate asset number has been created on the Assets sheet. If you delete the row that contains the duplicate asset number, the error is resolved.</t>
  </si>
  <si>
    <t>Duplicate asset number.</t>
  </si>
  <si>
    <t>Asset number does not exist.</t>
  </si>
  <si>
    <t>■ E5 - this error code means that more than one acquisition transaction has been recorded for the same asset. An asset can only be acquired once. If you therefore need to bring the asset back into the fixed asset register after perhaps recording a disposal transaction, a new asset number must be used.</t>
  </si>
  <si>
    <t>■ E8 - this error code means that an invalid residual value has been recorded for the selected transaction type. All residual values should be recorded as positive values and a nil residual value needs to be entered for all disposal transactions. Note that the residual value of an asset can also not be greater than the transaction amount that is entered in column F.</t>
  </si>
  <si>
    <t>■ E9 - this error code means that an invalid proceeds on disposal amount has been recorded for the selected transaction type. All proceeds on disposal amounts should be recorded as positive values and you only need to record an amount in this column if a disposal type transaction is recorded. Note that the proceeds on the disposal of an asset can never be less than nil (even if a loss is made on the disposal of an asset) because the proceeds equal the amount that is received after selling the asset. A nil value may however need to be entered if an asset is scrapped without any compensation being received.</t>
  </si>
  <si>
    <t>■ E2 - this error code means that the asset category that needs to be selected in column E on the Assets sheet is blank or does not exist. Select a valid asset category from the list box in order to resolve the error. Note that all the asset categories that are included on the Set-up sheet are included in the list box.</t>
  </si>
  <si>
    <t>■ E3 - this error code means that the asset number that needs to be selected in column C on the Transact sheet is blank or does not exist. Select a valid asset number from the list box in order to resolve the error. Note that all the asset numbers that are recorded on the Assets sheet are included in the list box.</t>
  </si>
  <si>
    <t>■ E4 - this error code means that the transaction type that needs to be selected in column B on the Transact sheet is blank or does not exist. Select a valid transaction type from the list box in order to resolve the error. Note that this error may also be displayed in you attempt to record a transaction for an asset that has been disposed of previously. Once a disposal is recorded for an asset (even if the asset has only been scrapped and not actually disposed of), any subsequent transactions need to be recorded by using a new asset number.</t>
  </si>
  <si>
    <t>Note: Input errors may result in inaccurate template calculations and it is therefore imperative that all errors are resolved before reviewing the fixed asset register balances and processing any general ledger journal entries.</t>
  </si>
  <si>
    <t>Depreciation</t>
  </si>
  <si>
    <t>The Category sheet contains a fixed asset register summary for all the asset categories that are created on the Set-up sheet. Individual assets are linked to a fixed asset category by selecting a category in column E on the Assets sheet. No user input is required on the Category sheet.</t>
  </si>
  <si>
    <t>Note: Only the first 30 asset categories are included on the Category sheet by default but you can add additional asset categories (if required) to the sheet by simply copying the formulas in the last row that contains data into the appropriate number of additional rows.</t>
  </si>
  <si>
    <t>Note: The Category sheet is compiled based on the review date that is specified in cell E2 on the Assets sheet. If you therefore want to amend the reporting period for which the asset category summary is compiled, simply enter a new review date on the Assets sheet.</t>
  </si>
  <si>
    <t>The Class sheet contains a fixed asset register summary for all the asset classes that are created on the Set-up sheet. Individual assets are linked to a fixed asset class by selecting an asset category in column E on the Assets sheet. Each asset category is linked to a separate asset class by selecting the appropriate asset class in the asset category set-up on the Set-up sheet. No user input is required on the Class sheet.</t>
  </si>
  <si>
    <t>Note: The template accommodates a maximum of 30 asset classes on the Class sheet. This should be more than sufficient for any business because the asset classes are used for financial statement reporting purposes.</t>
  </si>
  <si>
    <t>Note: If you want to view the detailed fixed asset records that make up the totals on the Class sheet, you can apply a filter to the Class column on the Assets sheet by clicking the selection arrow next to the column heading and selecting the appropriate asset class. The totals above the column headings will equal the amounts that are reflected on the Class sheet.</t>
  </si>
  <si>
    <t>Fixed Asset Journals</t>
  </si>
  <si>
    <t>Note: Only the first 30 asset categories are included on the Journals sheet by default but you can add additional asset categories (if required) to the sheet by simply copying the formulas in the last row that contains data into the appropriate number of additional rows.</t>
  </si>
  <si>
    <t>Note: The Journals sheet is compiled based on the review date that is specified in cell E2 on the Assets sheet. If you therefore want to amend the reporting period for which the automated journal report is compiled, simply enter a new review date on the Assets sheet.</t>
  </si>
  <si>
    <t>Each general ledger journal entry consists of four columns which contains two sets of accounts and amounts. The account numbers that are included on the Journal sheet are determined based on the general ledger accounts that are linked to each asset category on the Set-up sheet. In terms of the journal entry amounts, a positive value refers to a debit entry and a negative value refers to a credit entry.</t>
  </si>
  <si>
    <t>■ Additions - this journal records fixed asset additions in the general ledger. Note that in most accounting systems, additions will be recorded through cashbook (bank) or trade creditors accounting systems.</t>
  </si>
  <si>
    <t>■ Disposals - Proceeds - this journal records the proceeds on the disposal of an asset in the general ledger. Note that in most accounting systems, the proceeds on disposal will be recorded through cashbook (bank) or trade debtors accounting systems.</t>
  </si>
  <si>
    <t>■ Disposals - Cost - this journal allocates the cost of a disposed asset to the appropriate profit or loss on disposal account that is specified for the asset category on the Set-up sheet.</t>
  </si>
  <si>
    <t>■ Disposals - Accumulated Depreciation - this journal allocates the accumulated depreciation of a disposed asset to the appropriate profit or loss on disposal account that is specified for the asset category on the Set-up sheet.</t>
  </si>
  <si>
    <t>Note: Recording an asset number on the Assets sheet will have no effect in terms of recording the cost of an asset in the fixed asset register. An acquisition transaction needs to be recorded on the Transact sheet for each fixed asset that is acquired before the appropriate asset values will be included in the fixed asset register on the Assets sheet and the summaries on the Category and Class sheets.</t>
  </si>
  <si>
    <t>Note: If you want to analyse the values that have been included on the Journals sheet, we recommend that you refer to the Category sheet or that you apply the Filter feature to the asset records on the Assets sheet in order to analyse the journal amounts for a specific asset category.</t>
  </si>
  <si>
    <t>© Copyright</t>
  </si>
  <si>
    <t>This template remains the intellectual property of www.excel-skills.com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</si>
  <si>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Current Month</t>
  </si>
  <si>
    <t>Depreciation Basis</t>
  </si>
  <si>
    <t>Historical 
Cost</t>
  </si>
  <si>
    <t>PYM</t>
  </si>
  <si>
    <t>CYM</t>
  </si>
  <si>
    <t>PMM</t>
  </si>
  <si>
    <t>No</t>
  </si>
  <si>
    <t>Are assets depreciated in period of disposal?</t>
  </si>
  <si>
    <t>Depreciation calculation period basis</t>
  </si>
  <si>
    <t>Period in which depreciation commences</t>
  </si>
  <si>
    <t>CYNBD</t>
  </si>
  <si>
    <t>PYNBD</t>
  </si>
  <si>
    <t>PMNBD</t>
  </si>
  <si>
    <t>DINBD</t>
  </si>
  <si>
    <t>CYFYD</t>
  </si>
  <si>
    <t>PYFYD</t>
  </si>
  <si>
    <t>PMFYD</t>
  </si>
  <si>
    <t>DIFYD</t>
  </si>
  <si>
    <t>DVR</t>
  </si>
  <si>
    <t>LIFE</t>
  </si>
  <si>
    <t>CYP</t>
  </si>
  <si>
    <t>PYP</t>
  </si>
  <si>
    <t>PMP</t>
  </si>
  <si>
    <t>DISP</t>
  </si>
  <si>
    <t>DISM</t>
  </si>
  <si>
    <t>DDV</t>
  </si>
  <si>
    <t>DV</t>
  </si>
  <si>
    <t>Monthly</t>
  </si>
  <si>
    <t>SL</t>
  </si>
  <si>
    <t>DTYPE</t>
  </si>
  <si>
    <t>DTADJ</t>
  </si>
  <si>
    <t>Note: This template only enables users to enter additions &amp; disposals - if you require a solution which enables you to also enter revaluation &amp; impairment transactions, we suggest that you refer to our IFRS Fixed Asset Register template which accommodates these transactions but only on a straight-line depreciation basis.</t>
  </si>
  <si>
    <t>The template can be customized for your business by editing the business details, asset categories and asset classes on the Set-up sheet. The business name that is entered in cell C5 is used as a heading on all the other sheets and the year-end month that is selected in cell C7 is used in order to calculate all year-to-date balances.</t>
  </si>
  <si>
    <t>The depreciation calculation period basis needs to be selected in cell D9. The template accommodates monthly or daily depreciation calculations. If you select the monthly option, all depreciation calculations will be based on calendar months. If you select the daily option, all depreciation calculations will be based on daily depreciation calculations. The main difference between the two bases is therefore that an asset will start to be depreciated from the date of acquisition if you select the daily basis.</t>
  </si>
  <si>
    <t>Example: If an asset is purchased on the 15th of a month, the default monthly depreciation basis will depreciate the asset from the 1st of the month and calculate a full month's depreciation for the month of acquisition. You can however change the setting in cell D11 so that the asset is only depreciated from the second month which will mean that no depreciation is calculated in the month of acquisition.</t>
  </si>
  <si>
    <t>If the asset in the above example is depreciated on the daily basis, the depreciation will commence on the 15th of the month and be based on the remaining days that are left in the calendar month for the acquisition month. Changing the setting in cell D11 will only result in depreciation being calculated from the 16th of the acquisition month. This is because the aim with daily depreciation calculations is usually to depreciate assets based on the precise days that the asset is held.</t>
  </si>
  <si>
    <t>Note: When deciding between monthly &amp; daily depreciation calculations, we suggest that you also consider what is acceptable based on the tax treatment of depreciation calculations. We do not recommend using the daily basis if your tax deductions are calculated on a monthly basis and vice versa.</t>
  </si>
  <si>
    <t>The Yes or No setting in cell D13 can be used to specify whether assets should be depreciated in the period of disposal. If monthly depreciation calculations are used and you select the Yes option, the assets will be depreciated in the month of disposal. If the No option is selected, the asset will not be depreciated in the month of disposal.</t>
  </si>
  <si>
    <t>If you use daily depreciation calculations, selecting the Yes option will result in the asset being depreciated on the day of disposal. If you select the No option, the asset will not be depreciated on the day of disposal.</t>
  </si>
  <si>
    <t>The template includes 6 default fixed asset classes which can be customized in the cell range from cell A17 to cell B22. The default asset class codes in column A and the default asset class descriptions in column B can be amended and you can add additional asset classes by simply inserting a new row between the first and last class codes, entering a new code for the asset class in column A and entering a description for the new class in column B.</t>
  </si>
  <si>
    <t>The template includes 11 asset categories which can be customized in the cell range from cell A27 to cell G37. Each asset category contains a unique code in column A, is linked to an asset class in column B, contains a description in column C and contains an account number in each of the columns from column D to G.</t>
  </si>
  <si>
    <t>The asset category codes can be in any format but we suggest using a combination of letters and numbers as illustrated with the default category codes. Each category that is created will be included separately on the Category sheet and needs to be linked to one of the asset class codes in cells A17 to A22 by selecting the appropriate asset class code from the list box in column B. The asset categories are therefore in fact sub classes of the main asset classes that are included on the financial statements.</t>
  </si>
  <si>
    <t>The account numbers that need to be entered in columns D to G are included in the automated journal report on the Journal sheet. All fixed asset journals are therefore based on the asset categories that are created which means that a separate asset category is required for each fixed asset account group or depreciation cost centre. The accounts that need to be entered in each column are better described as follows:</t>
  </si>
  <si>
    <t>Each individual fixed asset must be added to the Assets sheet by assigning an asset number to the fixed asset. The Assets sheet is in actual fact a comprehensive fixed asset register which contains all the individual assets that form part of the fixed assets register. All fixed asset transactions need to be recorded on the Transact sheet and the Category and Class sheets contains automated summaries of all the appropriate asset groups.</t>
  </si>
  <si>
    <t>The cell range from cell H2 to cell K2 displays the appropriate year-to-date (YTD) and month-to-date (MTD) from and to dates which are in effect based on the review date that is specified in cell E2. Note that all the template calculations are based on calendar months - even if you enter a review date that does not fall on a month end, the template calculations will still include all the transactions and depreciation calculations for the entire month.</t>
  </si>
  <si>
    <t>The Assets sheet contains 39 calculated columns which all have light blue column headings. The calculations in these columns are all based on the transactions that are entered on the Transact sheet and some of the calculations are for information purposes only while others form an integral part of the fixed asset register. We'll now briefly cover the purpose of each calculated column:</t>
  </si>
  <si>
    <t>Carrying Value or Bookvalue:</t>
  </si>
  <si>
    <t>Current Month:</t>
  </si>
  <si>
    <t>Other Calculated Columns:</t>
  </si>
  <si>
    <t>Note: All the depreciation calculations that form part of the fixed asset register are automated and you therefore do not need to record any transactions in order to record any monthly or annual depreciation amounts. Also note that all the automated calculations in this template are based on the review date that is specified on the Assets sheet. You can therefore roll the template forward for subsequent periods or back to previous periods by simply changing the review date on the Assets sheet.</t>
  </si>
  <si>
    <t>■ E7 - this error code means that an invalid lifetime has been recorded for the selected transaction type. All asset lifetimes should be recorded as positive values and a nil value needs to be entered for all disposal transactions. Note that you can also enter a nil value for asset acquisition type transactions but this means that the asset will not be depreciated.</t>
  </si>
  <si>
    <t>■ E10 - this error code means that a disposal type transaction has been recorded for the appropriate asset on the Transact sheet before an acquisition transaction has been recorded. The first step after adding an asset number to the Assets sheet should be to record an acquisition transaction for the asset on the Transact sheet even if the asset has been donated to the business (use a transaction amount of nil).</t>
  </si>
  <si>
    <t>There are 5 general ledger journal entries on the Journals sheet - the purpose of each of these journal entries can be summarized as follows:</t>
  </si>
  <si>
    <t>■ Depreciation - this is the total depreciation charge for the period which is typically allocated to the income statement and to accumulated depreciation accounts.</t>
  </si>
  <si>
    <t>The calculations in columns Z to AS have been included on the Assets sheet in order to facilitate the automated depreciation calculations. These calculations are quite complex and we will therefore not cover the methodology of each column's calculations in these instructions. The columns will also not form part of the printed cell range but should be copied for all new assets that are added to the Assets sheet.</t>
  </si>
  <si>
    <t>The period in which depreciation commences setting in cell D11 determines whether assets are depreciated in the month of acquisition (when the monthly basis is selected). If you select an option of 1, depreciation will only be calculated from the month after the acquisition. For daily depreciation calculations, selecting a setting of 1 will only mean that depreciation will be calculated from the day after the acquisition date. This setting is therefore intended mainly to be used in order to delay depreciation calculations when the monthly basis is selected.</t>
  </si>
  <si>
    <t>Note: We do not recommend adding or deleting any text or values on the Set-up sheet. The sheet contains some hidden content which may inadvertently be overwritten or deleted if you make changes outside of the template design and which may affect the template calculations.</t>
  </si>
  <si>
    <t>Excel Skills | Basic Fixed Asset Register Template</t>
  </si>
  <si>
    <t>Disposals: Cost</t>
  </si>
  <si>
    <t>Accum Depr: Disposals</t>
  </si>
  <si>
    <t>Accum Depr: Closing</t>
  </si>
  <si>
    <t>Accum Depr: Opening</t>
  </si>
  <si>
    <t>YTD Depreciation</t>
  </si>
  <si>
    <t>MTD Depreciation</t>
  </si>
  <si>
    <t>Disposal Date</t>
  </si>
  <si>
    <t>All the columns on the Assets sheet with yellow column headings require user input while the columns with light blue column headings contain formulas which are automatically copied for each new asset that is added to the sheet. The following user input is required on the Assets sheet:</t>
  </si>
  <si>
    <t>Note: All the columns on the Transact sheet have been included in an Excel table. This feature is extremely useful when entering data in a table format because the formulas that are included in calculated columns (the columns with light blue column headings) are automatically copied when new rows are inserted into the table or when data is entered into the first blank row below the table. You can therefore add a new transaction by simply entering a transaction date in column A - the table will then automatically be extended to include the new transaction.</t>
  </si>
  <si>
    <t>Note: All the columns on the Assets sheet have been included in an Excel table. This feature is extremely useful when entering data in a table format because the formulas that are included in calculated columns (the columns with light blue column headings) are automatically copied when new rows are inserted into the table or when data is entered into the first blank row below the table. You can therefore add a new asset by simply entering an asset number in column A - the table will then automatically be extended to include the new asset.</t>
  </si>
  <si>
    <r>
      <t>Set-up</t>
    </r>
    <r>
      <rPr>
        <sz val="10"/>
        <rFont val="Arial"/>
        <family val="2"/>
      </rPr>
      <t xml:space="preserve"> - the input cells on this sheet enable you to customize the template for your business. You can enter your business name, select a year end period, specify whether depreciation needs to be calculated on a monthly or daily basis, specify how to treat depreciation calculations on additions &amp; disposals, maintain the default fixed asset classes and maintain the default fixed asset categories. A complete list of user input error codes are also included on this sheet for information purposes.</t>
    </r>
  </si>
  <si>
    <r>
      <t>Assets</t>
    </r>
    <r>
      <rPr>
        <sz val="10"/>
        <rFont val="Arial"/>
        <family val="2"/>
      </rPr>
      <t xml:space="preserve"> - this sheet enables users to create a unique asset code for all fixed assets and the columns with the light blue column headings contain all the comprehensive, automated calculations that form part of the fixed asset register. User input is limited to entering an asset identification number, asset description, asset type, asset category and depreciation basis. The period for which the fixed asset register is compiled is determined by the review date that is specified at the top of the sheet.</t>
    </r>
  </si>
  <si>
    <r>
      <t>Transact</t>
    </r>
    <r>
      <rPr>
        <sz val="10"/>
        <rFont val="Arial"/>
        <family val="2"/>
      </rPr>
      <t xml:space="preserve"> - all asset transactions need to be recorded on this sheet. Asset transactions are limited to acquisitions &amp; disposals. User input is limited to entering the transaction date, transaction type, asset number, supplier, document number, transaction amount, asset lifetime, residual value and proceeds on disposal. The columns with light blue column headings contain the formulas that form the basis of all the calculations that are required in order to produce a comprehensive, accurate fixed asset register.</t>
    </r>
  </si>
  <si>
    <r>
      <t>Category</t>
    </r>
    <r>
      <rPr>
        <sz val="10"/>
        <rFont val="Arial"/>
        <family val="2"/>
      </rPr>
      <t xml:space="preserve"> - this sheet contains a fixed assets summary which is based on the fixed asset categories that are created on the Set-up sheet. No user input is required on this sheet and 30 fixed asset categories are accommodated. Additional fixed asset categories can be added by simply copying the formulas in the last row into the required number of additional rows.</t>
    </r>
  </si>
  <si>
    <r>
      <t>Class</t>
    </r>
    <r>
      <rPr>
        <sz val="10"/>
        <rFont val="Arial"/>
        <family val="2"/>
      </rPr>
      <t xml:space="preserve"> - this sheet contains a fixed assets summary which is based on the asset classes that are created on the Set-up sheet. No user input is required on this sheet and a maximum of 30 asset classes are accommodated.</t>
    </r>
  </si>
  <si>
    <r>
      <t>Journals</t>
    </r>
    <r>
      <rPr>
        <sz val="10"/>
        <rFont val="Arial"/>
        <family val="2"/>
      </rPr>
      <t xml:space="preserve"> - this sheet contains an automated journal report for all fixed asset transactions. The journal report can be compiled on a monthly or year-to-date basis and is based on the account numbers that are specified in the asset category set-up on the Set-up sheet. The journal report accommodates 30 asset categories but additional categories can be added by simply copying the formulas in the last row into the required number of additional rows.</t>
    </r>
  </si>
  <si>
    <r>
      <t xml:space="preserve">■ </t>
    </r>
    <r>
      <rPr>
        <i/>
        <sz val="10"/>
        <rFont val="Arial"/>
        <family val="2"/>
      </rPr>
      <t>Cost</t>
    </r>
    <r>
      <rPr>
        <sz val="10"/>
        <rFont val="Arial"/>
        <family val="2"/>
      </rPr>
      <t xml:space="preserve"> - the general ledger accounts that are entered in this column reflect the cost of each asset category. These accounts should therefore be balance sheet accounts.</t>
    </r>
  </si>
  <si>
    <r>
      <t xml:space="preserve">■ </t>
    </r>
    <r>
      <rPr>
        <i/>
        <sz val="10"/>
        <rFont val="Arial"/>
        <family val="2"/>
      </rPr>
      <t>Accum Depr</t>
    </r>
    <r>
      <rPr>
        <sz val="10"/>
        <rFont val="Arial"/>
        <family val="2"/>
      </rPr>
      <t xml:space="preserve"> - the accounts in this column reflect the accumulated depreciation that has been written off against each asset category. These accounts should therefore be balance sheet accounts.</t>
    </r>
  </si>
  <si>
    <r>
      <t xml:space="preserve">■ </t>
    </r>
    <r>
      <rPr>
        <i/>
        <sz val="10"/>
        <rFont val="Arial"/>
        <family val="2"/>
      </rPr>
      <t>Depr</t>
    </r>
    <r>
      <rPr>
        <sz val="10"/>
        <rFont val="Arial"/>
        <family val="2"/>
      </rPr>
      <t xml:space="preserve"> - the total depreciation charges for each asset category is allocated to the accounts in this column. These accounts should therefore be income statement accounts.</t>
    </r>
  </si>
  <si>
    <r>
      <t xml:space="preserve">■ </t>
    </r>
    <r>
      <rPr>
        <i/>
        <sz val="10"/>
        <rFont val="Arial"/>
        <family val="2"/>
      </rPr>
      <t>Profit</t>
    </r>
    <r>
      <rPr>
        <sz val="10"/>
        <rFont val="Arial"/>
        <family val="2"/>
      </rPr>
      <t xml:space="preserve"> - if assets are sold, the profits or losses on the disposal of assets are allocated to the accounts that are specified in this column. You can again use a single account for all asset categories or enter separate accounts for each asset category. These accounts should be income statement accounts.</t>
    </r>
  </si>
  <si>
    <r>
      <rPr>
        <b/>
        <sz val="10"/>
        <rFont val="Arial"/>
        <family val="2"/>
      </rPr>
      <t>Asset Number</t>
    </r>
    <r>
      <rPr>
        <sz val="10"/>
        <rFont val="Arial"/>
        <family val="2"/>
      </rPr>
      <t xml:space="preserve"> - enter a unique asset number for each fixed asset in this column. Duplicate asset numbers may result in inaccurate calculations and it is therefore imperative that each fixed asset has a unique asset number. Similar assets or asset components can be distinguished by adding a "-1" and "-2" at the end of the asset number.</t>
    </r>
  </si>
  <si>
    <r>
      <rPr>
        <b/>
        <sz val="10"/>
        <rFont val="Arial"/>
        <family val="2"/>
      </rPr>
      <t>Asset ID Number</t>
    </r>
    <r>
      <rPr>
        <sz val="10"/>
        <rFont val="Arial"/>
        <family val="2"/>
      </rPr>
      <t xml:space="preserve"> - enter an asset identification number in this column. This number should preferably be applied to the asset in order to facilitate physical verification of assets and assist in identifying each fixed asset that is included in the fixed asset register.</t>
    </r>
  </si>
  <si>
    <r>
      <rPr>
        <b/>
        <sz val="10"/>
        <rFont val="Arial"/>
        <family val="2"/>
      </rPr>
      <t>Description</t>
    </r>
    <r>
      <rPr>
        <sz val="10"/>
        <rFont val="Arial"/>
        <family val="2"/>
      </rPr>
      <t xml:space="preserve"> - enter a comprehensive description of the asset in this column. The asset description should enable users to easily identify the asset and should assist users in distinguishing between similar assets.</t>
    </r>
  </si>
  <si>
    <r>
      <rPr>
        <b/>
        <sz val="10"/>
        <rFont val="Arial"/>
        <family val="2"/>
      </rPr>
      <t>Asset Type</t>
    </r>
    <r>
      <rPr>
        <sz val="10"/>
        <rFont val="Arial"/>
        <family val="2"/>
      </rPr>
      <t xml:space="preserve"> - select an asset type from the list box. This column assists in identifying leased assets and the list boxes in this column therefore include an owned and leased option.</t>
    </r>
  </si>
  <si>
    <r>
      <rPr>
        <b/>
        <sz val="10"/>
        <rFont val="Arial"/>
        <family val="2"/>
      </rPr>
      <t>Category</t>
    </r>
    <r>
      <rPr>
        <sz val="10"/>
        <rFont val="Arial"/>
        <family val="2"/>
      </rPr>
      <t xml:space="preserve"> - select an asset category from the list box in this column. All the asset categories that are created on the Set-up sheet are available for selection. Each asset needs to be linked to an asset category which is linked to an asset class in the Asset Category section on the Set-up sheet.</t>
    </r>
  </si>
  <si>
    <r>
      <rPr>
        <b/>
        <sz val="10"/>
        <rFont val="Arial"/>
        <family val="2"/>
      </rPr>
      <t>Depreciation Basis</t>
    </r>
    <r>
      <rPr>
        <sz val="10"/>
        <rFont val="Arial"/>
        <family val="2"/>
      </rPr>
      <t xml:space="preserve"> - select a depreciation basis from the list box in this column. Select the SL option for the straight-line (primary cost) depreciation method, "DV" for the diminishing (reducing) value depreciation method and "DDV" for the double diminishing value depreciation method. A separate depreciation method can therefore be selected on an individual asset basis.</t>
    </r>
  </si>
  <si>
    <r>
      <rPr>
        <b/>
        <sz val="10"/>
        <rFont val="Arial"/>
        <family val="2"/>
      </rPr>
      <t>Error Code</t>
    </r>
    <r>
      <rPr>
        <sz val="10"/>
        <rFont val="Arial"/>
        <family val="2"/>
      </rPr>
      <t xml:space="preserve"> - if there is a problem with the input in any of the user input columns, an error code will be displayed in this column. Refer to the Set-up sheet for a description of each error code and to the Error Code section of these instructions for more information about the reason for the error code that is displayed.</t>
    </r>
  </si>
  <si>
    <r>
      <rPr>
        <b/>
        <sz val="10"/>
        <rFont val="Arial"/>
        <family val="2"/>
      </rPr>
      <t>Class</t>
    </r>
    <r>
      <rPr>
        <sz val="10"/>
        <rFont val="Arial"/>
        <family val="2"/>
      </rPr>
      <t xml:space="preserve"> - this column contains the asset class that the asset is linked to. The asset class is determined by the asset category that is selected in column E and each asset category is linked to a single asset class in the Asset Category section on the Set-up sheet.</t>
    </r>
  </si>
  <si>
    <r>
      <rPr>
        <b/>
        <sz val="10"/>
        <rFont val="Arial"/>
        <family val="2"/>
      </rPr>
      <t>Acquisition Date</t>
    </r>
    <r>
      <rPr>
        <sz val="10"/>
        <rFont val="Arial"/>
        <family val="2"/>
      </rPr>
      <t xml:space="preserve"> - the asset acquisition date is displayed in this column. After creating an asset number, an acquisition transaction needs to be recorded on the Transact sheet in order to record the acquisition of the asset. If an acquisition transaction has not been recorded for the particular asset, this column will contain an "Add!" message.</t>
    </r>
  </si>
  <si>
    <r>
      <rPr>
        <b/>
        <sz val="10"/>
        <rFont val="Arial"/>
        <family val="2"/>
      </rPr>
      <t>Historical Cost</t>
    </r>
    <r>
      <rPr>
        <sz val="10"/>
        <rFont val="Arial"/>
        <family val="2"/>
      </rPr>
      <t xml:space="preserve"> - the historical cost of all assets is displayed in this column. The historical cost is defined as the transaction amount of the acquisition transaction that is recorded on the Transact sheet for the particular asset.</t>
    </r>
  </si>
  <si>
    <r>
      <rPr>
        <b/>
        <sz val="10"/>
        <rFont val="Arial"/>
        <family val="2"/>
      </rPr>
      <t>Lifetime in Years</t>
    </r>
    <r>
      <rPr>
        <sz val="10"/>
        <rFont val="Arial"/>
        <family val="2"/>
      </rPr>
      <t xml:space="preserve"> - the lifetime that has been recorded on the Transact sheet for the particular asset.</t>
    </r>
  </si>
  <si>
    <r>
      <rPr>
        <b/>
        <sz val="10"/>
        <rFont val="Arial"/>
        <family val="2"/>
      </rPr>
      <t>Residual Value</t>
    </r>
    <r>
      <rPr>
        <sz val="10"/>
        <rFont val="Arial"/>
        <family val="2"/>
      </rPr>
      <t xml:space="preserve"> - the residual value that has been recorded on the Transact sheet for particular asset.</t>
    </r>
  </si>
  <si>
    <r>
      <rPr>
        <b/>
        <sz val="10"/>
        <rFont val="Arial"/>
        <family val="2"/>
      </rPr>
      <t>Disposal Date</t>
    </r>
    <r>
      <rPr>
        <sz val="10"/>
        <rFont val="Arial"/>
        <family val="2"/>
      </rPr>
      <t xml:space="preserve"> - if an asset has been disposed of, the date of disposal as per the Transact sheet will be displayed in this column. Note that a disposal transaction has to be recorded on the Transact sheet for all asset disposals.</t>
    </r>
  </si>
  <si>
    <r>
      <rPr>
        <b/>
        <sz val="10"/>
        <rFont val="Arial"/>
        <family val="2"/>
      </rPr>
      <t>Proceeds on Disposal</t>
    </r>
    <r>
      <rPr>
        <sz val="10"/>
        <rFont val="Arial"/>
        <family val="2"/>
      </rPr>
      <t xml:space="preserve"> - if an asset has been disposed of, the proceeds on disposal as per the Transact sheet will be displayed in this column.</t>
    </r>
  </si>
  <si>
    <r>
      <rPr>
        <b/>
        <sz val="10"/>
        <rFont val="Arial"/>
        <family val="2"/>
      </rPr>
      <t>Opening Balance</t>
    </r>
    <r>
      <rPr>
        <sz val="10"/>
        <rFont val="Arial"/>
        <family val="2"/>
      </rPr>
      <t xml:space="preserve"> - the opening cost or gross carrying value of the asset at the beginning of the current financial period is included in this column.</t>
    </r>
  </si>
  <si>
    <r>
      <rPr>
        <b/>
        <sz val="10"/>
        <rFont val="Arial"/>
        <family val="2"/>
      </rPr>
      <t>Additions</t>
    </r>
    <r>
      <rPr>
        <sz val="10"/>
        <rFont val="Arial"/>
        <family val="2"/>
      </rPr>
      <t xml:space="preserve"> - if an asset has been acquired during the current financial period, the cost of the asset is included in this column. The cost of the asset is entered as the transaction amount when recording an acquisition type transaction on the Transact sheet.</t>
    </r>
  </si>
  <si>
    <r>
      <rPr>
        <b/>
        <sz val="10"/>
        <rFont val="Arial"/>
        <family val="2"/>
      </rPr>
      <t>Closing Balance</t>
    </r>
    <r>
      <rPr>
        <sz val="10"/>
        <rFont val="Arial"/>
        <family val="2"/>
      </rPr>
      <t xml:space="preserve"> - the closing cost or gross carrying value of the asset at the end of the current financial period is included in this column.</t>
    </r>
  </si>
  <si>
    <r>
      <rPr>
        <b/>
        <sz val="10"/>
        <rFont val="Arial"/>
        <family val="2"/>
      </rPr>
      <t>Accum Depr: Opening</t>
    </r>
    <r>
      <rPr>
        <sz val="10"/>
        <rFont val="Arial"/>
        <family val="2"/>
      </rPr>
      <t xml:space="preserve"> - the opening accumulated depreciation balance of the asset at the beginning of the current financial period is included in this column.</t>
    </r>
  </si>
  <si>
    <r>
      <rPr>
        <b/>
        <sz val="10"/>
        <rFont val="Arial"/>
        <family val="2"/>
      </rPr>
      <t>YTD Depreciation</t>
    </r>
    <r>
      <rPr>
        <sz val="10"/>
        <rFont val="Arial"/>
        <family val="2"/>
      </rPr>
      <t xml:space="preserve"> - the year-to-date depreciation which is calculated based on the depreciation basis which has been selected in column F.</t>
    </r>
  </si>
  <si>
    <r>
      <rPr>
        <b/>
        <sz val="10"/>
        <rFont val="Arial"/>
        <family val="2"/>
      </rPr>
      <t>Accum Depr: Disposals</t>
    </r>
    <r>
      <rPr>
        <sz val="10"/>
        <rFont val="Arial"/>
        <family val="2"/>
      </rPr>
      <t xml:space="preserve"> - if an asset has been disposed of during the current financial period, the accumulated depreciation as at the date of the disposal is included in this column as a negative value. This effectively means that the accumulated depreciation of the asset is removed from the fixed asset register.</t>
    </r>
  </si>
  <si>
    <r>
      <rPr>
        <b/>
        <sz val="10"/>
        <rFont val="Arial"/>
        <family val="2"/>
      </rPr>
      <t>Accum Depr Closing</t>
    </r>
    <r>
      <rPr>
        <sz val="10"/>
        <rFont val="Arial"/>
        <family val="2"/>
      </rPr>
      <t xml:space="preserve"> - the closing accumulated depreciation balance of the asset at the end of the current financial period is included in this column.</t>
    </r>
  </si>
  <si>
    <r>
      <rPr>
        <b/>
        <sz val="10"/>
        <rFont val="Arial"/>
        <family val="2"/>
      </rPr>
      <t>Closing Carrying Value</t>
    </r>
    <r>
      <rPr>
        <sz val="10"/>
        <rFont val="Arial"/>
        <family val="2"/>
      </rPr>
      <t xml:space="preserve"> - the difference between the closing cost (or gross carrying value) of an asset and the closing accumulated depreciation balance is included in this column. The amounts in this column reflect the "book value" of an asset at the end of the financial period.</t>
    </r>
  </si>
  <si>
    <r>
      <rPr>
        <b/>
        <sz val="10"/>
        <rFont val="Arial"/>
        <family val="2"/>
      </rPr>
      <t>Profit / (Loss) on Disposal</t>
    </r>
    <r>
      <rPr>
        <sz val="10"/>
        <rFont val="Arial"/>
        <family val="2"/>
      </rPr>
      <t xml:space="preserve"> - if an asset has been disposed of during the current financial period, the profit or loss on disposal as at the date of the disposal is included in this column. The profit or loss on disposal is calculated as the difference between the proceeds on disposal which is recorded on the Transact sheet and the net carrying value (book value) of the asset.</t>
    </r>
  </si>
  <si>
    <r>
      <rPr>
        <b/>
        <sz val="10"/>
        <rFont val="Arial"/>
        <family val="2"/>
      </rPr>
      <t>MTD Depreciation</t>
    </r>
    <r>
      <rPr>
        <sz val="10"/>
        <rFont val="Arial"/>
        <family val="2"/>
      </rPr>
      <t xml:space="preserve"> - this column includes the depreciation charge for the current month. The appropriate month is determined by the review date that is specified in cell E2. Note that this column will only contain a value if the historical cost of an asset has not been fully depreciated.</t>
    </r>
  </si>
  <si>
    <r>
      <rPr>
        <b/>
        <sz val="10"/>
        <rFont val="Arial"/>
        <family val="2"/>
      </rPr>
      <t>Transaction Date</t>
    </r>
    <r>
      <rPr>
        <sz val="10"/>
        <rFont val="Arial"/>
        <family val="2"/>
      </rPr>
      <t xml:space="preserve"> - enter the date of the transaction.</t>
    </r>
  </si>
  <si>
    <r>
      <rPr>
        <b/>
        <sz val="10"/>
        <rFont val="Arial"/>
        <family val="2"/>
      </rPr>
      <t>Transaction Type</t>
    </r>
    <r>
      <rPr>
        <sz val="10"/>
        <rFont val="Arial"/>
        <family val="2"/>
      </rPr>
      <t xml:space="preserve"> - select the transaction type from the list box. The ACQ option should be selected for all asset acquisitions and the DIS option should be selected for all asset disposals.</t>
    </r>
  </si>
  <si>
    <r>
      <rPr>
        <b/>
        <sz val="10"/>
        <rFont val="Arial"/>
        <family val="2"/>
      </rPr>
      <t>Asset Number</t>
    </r>
    <r>
      <rPr>
        <sz val="10"/>
        <rFont val="Arial"/>
        <family val="2"/>
      </rPr>
      <t xml:space="preserve"> - select the appropriate asset number of the asset to which the transaction relates from the list box in this column. All the asset numbers that have been added to the Assets sheet will be available for selection. You therefore need to create an asset number for the appropriate fixed asset on the Assets sheet before you will be able to record any transactions for the particular fixed asset.</t>
    </r>
  </si>
  <si>
    <r>
      <rPr>
        <b/>
        <sz val="10"/>
        <rFont val="Arial"/>
        <family val="2"/>
      </rPr>
      <t>Supplier</t>
    </r>
    <r>
      <rPr>
        <sz val="10"/>
        <rFont val="Arial"/>
        <family val="2"/>
      </rPr>
      <t xml:space="preserve"> - enter the name of the supplier from which the asset has been acquired. If a disposal transaction is recorded, you can enter the name of the customer in this column.</t>
    </r>
  </si>
  <si>
    <r>
      <rPr>
        <b/>
        <sz val="10"/>
        <rFont val="Arial"/>
        <family val="2"/>
      </rPr>
      <t>Document Number</t>
    </r>
    <r>
      <rPr>
        <sz val="10"/>
        <rFont val="Arial"/>
        <family val="2"/>
      </rPr>
      <t xml:space="preserve"> - enter the document number of a supporting document which will enable you to trace the transaction back to its supporting documentation. For acquisitions, this should be the supplier invoice number and for disposals, the customer invoice number.</t>
    </r>
  </si>
  <si>
    <r>
      <rPr>
        <b/>
        <sz val="10"/>
        <rFont val="Arial"/>
        <family val="2"/>
      </rPr>
      <t>Amount</t>
    </r>
    <r>
      <rPr>
        <sz val="10"/>
        <rFont val="Arial"/>
        <family val="2"/>
      </rPr>
      <t xml:space="preserve"> - enter the transaction amount in this column. For acquisitions, the supplier invoice amount should be entered exclusive of any sales tax. For disposals, a nil amount should be entered.</t>
    </r>
  </si>
  <si>
    <r>
      <rPr>
        <b/>
        <sz val="10"/>
        <rFont val="Arial"/>
        <family val="2"/>
      </rPr>
      <t>Lifetime in Years</t>
    </r>
    <r>
      <rPr>
        <sz val="10"/>
        <rFont val="Arial"/>
        <family val="2"/>
      </rPr>
      <t xml:space="preserve"> - enter the estimated lifetime of the asset in years for all acquisition transactions in this column. For disposals, enter a nil value in this column. Note that if an asset should not be depreciated, a nil lifetime needs to be specified in this column.</t>
    </r>
  </si>
  <si>
    <r>
      <rPr>
        <b/>
        <sz val="10"/>
        <rFont val="Arial"/>
        <family val="2"/>
      </rPr>
      <t>Proceeds on Sale</t>
    </r>
    <r>
      <rPr>
        <sz val="10"/>
        <rFont val="Arial"/>
        <family val="2"/>
      </rPr>
      <t xml:space="preserve"> - if a disposal transaction is being recorded, enter the proceeds on the disposal of the asset in this column. The proceeds should equal the total amount that is received for the asset. If an asset is being scrapped, enter nil in this column. A nil value should also be entered for all acquisition transactions.</t>
    </r>
  </si>
  <si>
    <r>
      <rPr>
        <b/>
        <sz val="10"/>
        <rFont val="Arial"/>
        <family val="2"/>
      </rPr>
      <t>Category</t>
    </r>
    <r>
      <rPr>
        <sz val="10"/>
        <rFont val="Arial"/>
        <family val="2"/>
      </rPr>
      <t xml:space="preserve"> - the asset category is looked up on the Assets sheet based on the asset number that is specified in column C. This column is included for information purposes only.</t>
    </r>
  </si>
  <si>
    <r>
      <rPr>
        <b/>
        <sz val="10"/>
        <rFont val="Arial"/>
        <family val="2"/>
      </rPr>
      <t>Transaction Date ID</t>
    </r>
    <r>
      <rPr>
        <sz val="10"/>
        <rFont val="Arial"/>
        <family val="2"/>
      </rPr>
      <t xml:space="preserve"> - the formula in this column is based on the transaction date which is entered in column A.</t>
    </r>
  </si>
  <si>
    <r>
      <rPr>
        <b/>
        <sz val="10"/>
        <rFont val="Arial"/>
        <family val="2"/>
      </rPr>
      <t>Transaction Amount</t>
    </r>
    <r>
      <rPr>
        <sz val="10"/>
        <rFont val="Arial"/>
        <family val="2"/>
      </rPr>
      <t xml:space="preserve"> - the formula in this column is based on the amount which is entered in column F.</t>
    </r>
  </si>
  <si>
    <r>
      <rPr>
        <b/>
        <sz val="10"/>
        <rFont val="Arial"/>
        <family val="2"/>
      </rPr>
      <t>Current Lifetime</t>
    </r>
    <r>
      <rPr>
        <sz val="10"/>
        <rFont val="Arial"/>
        <family val="2"/>
      </rPr>
      <t xml:space="preserve"> - the formula in this column is based on the asset lifetime which is entered in column G.</t>
    </r>
  </si>
  <si>
    <r>
      <rPr>
        <b/>
        <sz val="10"/>
        <rFont val="Arial"/>
        <family val="2"/>
      </rPr>
      <t>Current Residual</t>
    </r>
    <r>
      <rPr>
        <sz val="10"/>
        <rFont val="Arial"/>
        <family val="2"/>
      </rPr>
      <t xml:space="preserve"> - the formula in this column is based on the residual value which is entered in column H.</t>
    </r>
  </si>
  <si>
    <t>This basic asset register template enables users to compile an assets register which incorporates an unlimited number of asset classes and categories; facilitates recording additions &amp; disposals; automatically calculates monthly and year-to-date depreciation charges and includes a comprehensive automated journal report. The template accommodates depreciation calculations based on the straight-line, diminishing value and double diminishing value calculation methods on a monthly or daily basis.</t>
  </si>
  <si>
    <t>The asset classes created on the Set-up sheet should be representative of the asset classes that are included on the financial statements. Some businesses however require more asset classes than what is disclosed on the financial statements in order to accommodate separate allocation in the business accounts. We have therefore created separate asset categories for this purpose.</t>
  </si>
  <si>
    <t>Note: All new asset categories must be inserted above the "ZZ" asset category code. The template accommodates 30 asset categories on the Category sheet but you can add additional asset categories by copying the formulas in the last row into the appropriate number of additional rows. An unlimited number of asset categories are therefore accommodated.</t>
  </si>
  <si>
    <t>Note: We have not included a detailed explanation of each depreciation basis in these instructions because you can easily Google it and find a list of comprehensive explanations. The premise is that the straight-line method is calculated based on the cost of an asset over equal monthly or daily instalments while the diminishing value option is based on the bookvalue of the asset - the annual depreciation amount will differ each year (which is not the case with the straight-line basis). The double diminishing value method uses the same principle as diminishing value but uses double the depreciation percentage.</t>
  </si>
  <si>
    <r>
      <rPr>
        <b/>
        <sz val="10"/>
        <rFont val="Arial"/>
        <family val="2"/>
      </rPr>
      <t>Disposals: Cost</t>
    </r>
    <r>
      <rPr>
        <sz val="10"/>
        <rFont val="Arial"/>
        <family val="2"/>
      </rPr>
      <t xml:space="preserve"> - if an asset has been disposed of during the current financial period, the cost of the asset is included as a negative value. This effectively means that the cost of the asset is removed from the fixed asset register on the date of disposal.</t>
    </r>
  </si>
  <si>
    <t>Note: After reviewing the filtered data, you need to clear the filter to display all the asset records on the sheet. A filter can be cleared by simply clicking the selection arrow next to the column heading again and clicking the "Select All" option.</t>
  </si>
  <si>
    <t>All asset transactions must be recorded on the Transact sheet. There are 2 types of transactions that can be recorded namely acquisitions and disposals. An asset transaction can be recorded by entering data into the user input columns - column headings of all user input columns contain yellow cell backgrounds while the column headings with light blue cell backgrounds indicate that these columns contain formulas which are automatically copied for all new transactions added to the sheet.</t>
  </si>
  <si>
    <r>
      <rPr>
        <b/>
        <sz val="10"/>
        <rFont val="Arial"/>
        <family val="2"/>
      </rPr>
      <t>Residual Value</t>
    </r>
    <r>
      <rPr>
        <sz val="10"/>
        <rFont val="Arial"/>
        <family val="2"/>
      </rPr>
      <t xml:space="preserve"> - if the asset that is being acquired has a residual value, this residual value should be entered in this column. The residual value affects the depreciation calculations in that the residual value is deducted from the cost of an asset to calculate the total amount that will be depreciated over the lifetime of the asset. A nil value should be entered for all disposal transactions.</t>
    </r>
  </si>
  <si>
    <t>The Transact sheet also includes 7 calculated columns - the column headings of all the calculated columns contain light blue cell backgrounds. All of these columns contain formulas which are automatically copied for all new transactions added to the sheet.</t>
  </si>
  <si>
    <r>
      <rPr>
        <b/>
        <sz val="10"/>
        <rFont val="Arial"/>
        <family val="2"/>
      </rPr>
      <t>Historical Cost</t>
    </r>
    <r>
      <rPr>
        <sz val="10"/>
        <rFont val="Arial"/>
        <family val="2"/>
      </rPr>
      <t xml:space="preserve"> -the formula is based on the amount which is entered in column F for all acquisition type transactions.</t>
    </r>
  </si>
  <si>
    <t>■ E6 - this error code means that an invalid transaction amount has been recorded for the selected transaction type. All transaction amounts should be recorded as positive amounts and a nil amount needs to be entered for all disposal transactions.</t>
  </si>
  <si>
    <t>Note: If you want to view the detailed fixed asset records that make up the totals on the Category sheet, you can apply a filter to the Category column on the Assets sheet by clicking the selection arrow next to the column heading and selecting the asset category. The totals above the column headings will equal the amounts reflected on the Category sheet.</t>
  </si>
  <si>
    <t>Note: The Class sheet is compiled based on the review date specified in cell E2 on the Assets sheet. If you want to amend the reporting period for which the asset class summary is compiled, simply enter a new review date on the Assets sheet.</t>
  </si>
  <si>
    <t>The Journals sheet contains an automated report of the recommended journal entries that need to be processed to account for all fixed asset transactions in a general ledger. The general ledger journal entries are compiled on an asset category basis because each asset category is linked to a general ledger account for each of the transaction types that are included in the template.</t>
  </si>
  <si>
    <t>The general ledger journal entries on the Journal sheet can be compiled on a month-to-date (MTD) or a year-to-date (YTD) basis by selecting the period from the list box in cell E2. All the journal entry amount calculations are automatically updated.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</si>
</sst>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
    <numFmt numFmtId="165" formatCode="_(* #,##0_);_(* \(#,##0\);_(* &quot;-&quot;??_);_(@_)"/>
    <numFmt numFmtId="166" formatCode="_(* #,##0.00000_);_(* \(#,##0.00000\);_(* &quot;-&quot;??_);_(@_)"/>
    <numFmt numFmtId="167" formatCode="mmmm"/>
  </numFmts>
  <fonts count="20" x14ac:knownFonts="1">
    <font>
      <sz val="10"/>
      <name val="Century Gothic"/>
      <family val="2"/>
      <scheme val="minor"/>
    </font>
    <font>
      <sz val="10"/>
      <name val="Arial"/>
      <family val="2"/>
    </font>
    <font>
      <sz val="8"/>
      <name val="Arial"/>
      <family val="2"/>
    </font>
    <font>
      <u/>
      <sz val="10"/>
      <color indexed="12"/>
      <name val="Arial"/>
      <family val="2"/>
    </font>
    <font>
      <sz val="11"/>
      <name val="Century Gothic"/>
      <family val="2"/>
      <scheme val="minor"/>
    </font>
    <font>
      <b/>
      <sz val="10"/>
      <name val="Century Gothic"/>
      <family val="2"/>
      <scheme val="minor"/>
    </font>
    <font>
      <sz val="10"/>
      <name val="Century Gothic"/>
      <family val="2"/>
      <scheme val="minor"/>
    </font>
    <font>
      <i/>
      <sz val="10"/>
      <name val="Century Gothic"/>
      <family val="2"/>
      <scheme val="minor"/>
    </font>
    <font>
      <b/>
      <sz val="12"/>
      <name val="Century Gothic"/>
      <family val="2"/>
      <scheme val="minor"/>
    </font>
    <font>
      <b/>
      <u/>
      <sz val="10"/>
      <color indexed="12"/>
      <name val="Century Gothic"/>
      <family val="2"/>
      <scheme val="minor"/>
    </font>
    <font>
      <sz val="10"/>
      <color theme="0"/>
      <name val="Century Gothic"/>
      <family val="2"/>
      <scheme val="minor"/>
    </font>
    <font>
      <b/>
      <u/>
      <sz val="10"/>
      <name val="Century Gothic"/>
      <family val="2"/>
      <scheme val="minor"/>
    </font>
    <font>
      <b/>
      <sz val="10"/>
      <color theme="1"/>
      <name val="Century Gothic"/>
      <family val="2"/>
      <scheme val="minor"/>
    </font>
    <font>
      <i/>
      <sz val="10"/>
      <color indexed="8"/>
      <name val="Century Gothic"/>
      <family val="2"/>
      <scheme val="minor"/>
    </font>
    <font>
      <i/>
      <sz val="10"/>
      <color theme="0"/>
      <name val="Century Gothic"/>
      <family val="2"/>
      <scheme val="minor"/>
    </font>
    <font>
      <b/>
      <sz val="12"/>
      <name val="Arial"/>
      <family val="2"/>
    </font>
    <font>
      <i/>
      <sz val="10"/>
      <name val="Arial"/>
      <family val="2"/>
    </font>
    <font>
      <b/>
      <u/>
      <sz val="10"/>
      <color theme="4" tint="-0.249977111117893"/>
      <name val="Arial"/>
      <family val="2"/>
    </font>
    <font>
      <b/>
      <sz val="10"/>
      <name val="Arial"/>
      <family val="2"/>
    </font>
    <font>
      <b/>
      <sz val="10"/>
      <color indexed="8"/>
      <name val="Arial"/>
      <family val="2"/>
    </font>
  </fonts>
  <fills count="6">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rgb="FFFFFF99"/>
        <bgColor indexed="64"/>
      </patternFill>
    </fill>
    <fill>
      <patternFill patternType="solid">
        <fgColor rgb="FFCCFFFF"/>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43" fontId="1" fillId="0" borderId="0" applyFont="0" applyFill="0" applyBorder="0" applyAlignment="0" applyProtection="0"/>
    <xf numFmtId="0" fontId="3" fillId="0" borderId="0" applyNumberFormat="0" applyFill="0" applyBorder="0" applyAlignment="0" applyProtection="0">
      <alignment vertical="top"/>
      <protection locked="0"/>
    </xf>
    <xf numFmtId="9" fontId="1" fillId="0" borderId="0" applyFont="0" applyFill="0" applyBorder="0" applyAlignment="0" applyProtection="0"/>
  </cellStyleXfs>
  <cellXfs count="121">
    <xf numFmtId="0" fontId="0" fillId="0" borderId="0" xfId="0"/>
    <xf numFmtId="0" fontId="4" fillId="0" borderId="0" xfId="0" applyFont="1"/>
    <xf numFmtId="0" fontId="6" fillId="0" borderId="0" xfId="0" applyFont="1" applyAlignment="1" applyProtection="1">
      <alignment wrapText="1"/>
      <protection hidden="1"/>
    </xf>
    <xf numFmtId="0" fontId="5" fillId="0" borderId="0" xfId="0" applyFont="1" applyProtection="1">
      <protection hidden="1"/>
    </xf>
    <xf numFmtId="0" fontId="6" fillId="0" borderId="0" xfId="0" applyFont="1" applyProtection="1">
      <protection hidden="1"/>
    </xf>
    <xf numFmtId="0" fontId="6" fillId="0" borderId="0" xfId="0" applyFont="1" applyAlignment="1" applyProtection="1">
      <alignment horizontal="center"/>
      <protection hidden="1"/>
    </xf>
    <xf numFmtId="0" fontId="7" fillId="0" borderId="0" xfId="0" applyFont="1" applyProtection="1">
      <protection hidden="1"/>
    </xf>
    <xf numFmtId="0" fontId="9" fillId="0" borderId="0" xfId="2" applyFont="1" applyAlignment="1" applyProtection="1">
      <alignment horizontal="center"/>
      <protection hidden="1"/>
    </xf>
    <xf numFmtId="167" fontId="6" fillId="4" borderId="1" xfId="0" applyNumberFormat="1" applyFont="1" applyFill="1" applyBorder="1" applyAlignment="1" applyProtection="1">
      <alignment horizontal="left"/>
      <protection hidden="1"/>
    </xf>
    <xf numFmtId="0" fontId="6" fillId="0" borderId="0" xfId="0" applyFont="1" applyAlignment="1" applyProtection="1">
      <alignment horizontal="left"/>
      <protection hidden="1"/>
    </xf>
    <xf numFmtId="167" fontId="6" fillId="4" borderId="1" xfId="0" applyNumberFormat="1" applyFont="1" applyFill="1" applyBorder="1" applyAlignment="1" applyProtection="1">
      <alignment horizontal="center"/>
      <protection hidden="1"/>
    </xf>
    <xf numFmtId="0" fontId="10" fillId="0" borderId="0" xfId="0" applyFont="1" applyAlignment="1" applyProtection="1">
      <alignment horizontal="center"/>
      <protection hidden="1"/>
    </xf>
    <xf numFmtId="0" fontId="6" fillId="4" borderId="1" xfId="0" applyFont="1" applyFill="1" applyBorder="1" applyAlignment="1" applyProtection="1">
      <alignment horizontal="center"/>
      <protection hidden="1"/>
    </xf>
    <xf numFmtId="0" fontId="7" fillId="0" borderId="0" xfId="0" applyFont="1" applyAlignment="1" applyProtection="1">
      <alignment horizontal="center"/>
      <protection hidden="1"/>
    </xf>
    <xf numFmtId="0" fontId="6" fillId="4" borderId="1" xfId="0" applyFont="1" applyFill="1" applyBorder="1" applyProtection="1">
      <protection hidden="1"/>
    </xf>
    <xf numFmtId="0" fontId="6" fillId="4" borderId="2" xfId="0" applyFont="1" applyFill="1" applyBorder="1" applyAlignment="1" applyProtection="1">
      <alignment horizontal="left"/>
      <protection hidden="1"/>
    </xf>
    <xf numFmtId="0" fontId="6" fillId="4" borderId="4" xfId="0" applyFont="1" applyFill="1" applyBorder="1" applyAlignment="1" applyProtection="1">
      <alignment horizontal="left"/>
      <protection hidden="1"/>
    </xf>
    <xf numFmtId="0" fontId="6" fillId="4" borderId="3" xfId="0" applyFont="1" applyFill="1" applyBorder="1" applyAlignment="1" applyProtection="1">
      <alignment horizontal="left"/>
      <protection hidden="1"/>
    </xf>
    <xf numFmtId="0" fontId="6" fillId="4" borderId="1" xfId="0" applyFont="1" applyFill="1" applyBorder="1" applyAlignment="1" applyProtection="1">
      <alignment horizontal="left"/>
      <protection hidden="1"/>
    </xf>
    <xf numFmtId="0" fontId="7" fillId="0" borderId="0" xfId="0" applyFont="1" applyAlignment="1" applyProtection="1">
      <alignment horizontal="left"/>
      <protection hidden="1"/>
    </xf>
    <xf numFmtId="164" fontId="6" fillId="0" borderId="0" xfId="3" applyNumberFormat="1" applyFont="1" applyBorder="1" applyAlignment="1" applyProtection="1">
      <alignment horizontal="center"/>
      <protection hidden="1"/>
    </xf>
    <xf numFmtId="9" fontId="6" fillId="0" borderId="0" xfId="0" applyNumberFormat="1" applyFont="1" applyProtection="1">
      <protection hidden="1"/>
    </xf>
    <xf numFmtId="0" fontId="6" fillId="0" borderId="0" xfId="1" applyNumberFormat="1" applyFont="1" applyBorder="1" applyAlignment="1" applyProtection="1">
      <alignment horizontal="center"/>
      <protection hidden="1"/>
    </xf>
    <xf numFmtId="9" fontId="6" fillId="0" borderId="0" xfId="3" applyFont="1" applyProtection="1">
      <protection hidden="1"/>
    </xf>
    <xf numFmtId="0" fontId="6" fillId="5" borderId="1" xfId="0" applyFont="1" applyFill="1" applyBorder="1" applyProtection="1">
      <protection hidden="1"/>
    </xf>
    <xf numFmtId="167" fontId="10" fillId="0" borderId="0" xfId="0" applyNumberFormat="1" applyFont="1" applyAlignment="1" applyProtection="1">
      <alignment horizontal="left"/>
      <protection hidden="1"/>
    </xf>
    <xf numFmtId="0" fontId="11" fillId="0" borderId="0" xfId="0" applyFont="1" applyAlignment="1" applyProtection="1">
      <alignment horizontal="center"/>
      <protection hidden="1"/>
    </xf>
    <xf numFmtId="14" fontId="11" fillId="0" borderId="0" xfId="0" applyNumberFormat="1" applyFont="1" applyAlignment="1" applyProtection="1">
      <alignment horizontal="center"/>
      <protection hidden="1"/>
    </xf>
    <xf numFmtId="165" fontId="11" fillId="0" borderId="0" xfId="0" applyNumberFormat="1" applyFont="1" applyAlignment="1" applyProtection="1">
      <alignment horizontal="center"/>
      <protection hidden="1"/>
    </xf>
    <xf numFmtId="165" fontId="6" fillId="0" borderId="0" xfId="0" applyNumberFormat="1" applyFont="1" applyAlignment="1" applyProtection="1">
      <alignment horizontal="center"/>
      <protection hidden="1"/>
    </xf>
    <xf numFmtId="14" fontId="6" fillId="0" borderId="0" xfId="0" applyNumberFormat="1" applyFont="1" applyAlignment="1" applyProtection="1">
      <alignment horizontal="center"/>
      <protection hidden="1"/>
    </xf>
    <xf numFmtId="165" fontId="6" fillId="0" borderId="0" xfId="1" applyNumberFormat="1" applyFont="1" applyAlignment="1" applyProtection="1">
      <alignment horizontal="center"/>
      <protection hidden="1"/>
    </xf>
    <xf numFmtId="165" fontId="6" fillId="0" borderId="0" xfId="1" applyNumberFormat="1" applyFont="1" applyProtection="1">
      <protection hidden="1"/>
    </xf>
    <xf numFmtId="164" fontId="6" fillId="0" borderId="0" xfId="3" applyNumberFormat="1" applyFont="1" applyAlignment="1" applyProtection="1">
      <alignment horizontal="center"/>
      <protection hidden="1"/>
    </xf>
    <xf numFmtId="0" fontId="6" fillId="0" borderId="0" xfId="3" applyNumberFormat="1" applyFont="1" applyAlignment="1" applyProtection="1">
      <alignment horizontal="center"/>
      <protection hidden="1"/>
    </xf>
    <xf numFmtId="0" fontId="6" fillId="0" borderId="0" xfId="1" applyNumberFormat="1" applyFont="1" applyProtection="1">
      <protection hidden="1"/>
    </xf>
    <xf numFmtId="0" fontId="6" fillId="0" borderId="0" xfId="3" applyNumberFormat="1" applyFont="1" applyProtection="1">
      <protection hidden="1"/>
    </xf>
    <xf numFmtId="0" fontId="5" fillId="0" borderId="0" xfId="0" applyFont="1" applyAlignment="1" applyProtection="1">
      <alignment horizontal="right" indent="1"/>
      <protection hidden="1"/>
    </xf>
    <xf numFmtId="14" fontId="6" fillId="4" borderId="1" xfId="0" applyNumberFormat="1" applyFont="1" applyFill="1" applyBorder="1" applyAlignment="1" applyProtection="1">
      <alignment horizontal="center"/>
      <protection hidden="1"/>
    </xf>
    <xf numFmtId="165" fontId="7" fillId="0" borderId="0" xfId="0" applyNumberFormat="1" applyFont="1" applyProtection="1">
      <protection hidden="1"/>
    </xf>
    <xf numFmtId="14" fontId="7" fillId="0" borderId="0" xfId="0" applyNumberFormat="1" applyFont="1" applyProtection="1">
      <protection hidden="1"/>
    </xf>
    <xf numFmtId="165" fontId="7" fillId="0" borderId="0" xfId="1" applyNumberFormat="1" applyFont="1" applyProtection="1">
      <protection hidden="1"/>
    </xf>
    <xf numFmtId="164" fontId="7" fillId="0" borderId="0" xfId="3" applyNumberFormat="1" applyFont="1" applyAlignment="1" applyProtection="1">
      <alignment horizontal="center"/>
      <protection hidden="1"/>
    </xf>
    <xf numFmtId="0" fontId="7" fillId="0" borderId="0" xfId="3" applyNumberFormat="1" applyFont="1" applyAlignment="1" applyProtection="1">
      <alignment horizontal="center"/>
      <protection hidden="1"/>
    </xf>
    <xf numFmtId="0" fontId="7" fillId="0" borderId="0" xfId="1" applyNumberFormat="1" applyFont="1" applyProtection="1">
      <protection hidden="1"/>
    </xf>
    <xf numFmtId="0" fontId="7" fillId="0" borderId="0" xfId="3" applyNumberFormat="1" applyFont="1" applyProtection="1">
      <protection hidden="1"/>
    </xf>
    <xf numFmtId="0" fontId="10" fillId="0" borderId="0" xfId="0" applyFont="1" applyAlignment="1" applyProtection="1">
      <alignment horizontal="left"/>
      <protection hidden="1"/>
    </xf>
    <xf numFmtId="165" fontId="5" fillId="5" borderId="1" xfId="1" applyNumberFormat="1" applyFont="1" applyFill="1" applyBorder="1" applyAlignment="1" applyProtection="1">
      <alignment horizontal="center"/>
      <protection hidden="1"/>
    </xf>
    <xf numFmtId="0" fontId="12" fillId="4" borderId="6" xfId="0" applyFont="1" applyFill="1" applyBorder="1" applyAlignment="1" applyProtection="1">
      <alignment horizontal="left" wrapText="1"/>
      <protection hidden="1"/>
    </xf>
    <xf numFmtId="0" fontId="12" fillId="4" borderId="6" xfId="0" applyFont="1" applyFill="1" applyBorder="1" applyAlignment="1" applyProtection="1">
      <alignment horizontal="center" wrapText="1"/>
      <protection hidden="1"/>
    </xf>
    <xf numFmtId="0" fontId="12" fillId="5" borderId="6"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wrapText="1"/>
      <protection hidden="1"/>
    </xf>
    <xf numFmtId="165" fontId="12" fillId="5" borderId="6" xfId="1" applyNumberFormat="1" applyFont="1" applyFill="1" applyBorder="1" applyAlignment="1" applyProtection="1">
      <alignment horizontal="center" wrapText="1"/>
      <protection hidden="1"/>
    </xf>
    <xf numFmtId="164" fontId="12" fillId="5" borderId="6" xfId="3" applyNumberFormat="1" applyFont="1" applyFill="1" applyBorder="1" applyAlignment="1" applyProtection="1">
      <alignment horizontal="center" wrapText="1"/>
      <protection hidden="1"/>
    </xf>
    <xf numFmtId="0" fontId="12" fillId="5" borderId="6" xfId="3" applyNumberFormat="1" applyFont="1" applyFill="1" applyBorder="1" applyAlignment="1" applyProtection="1">
      <alignment horizontal="center" wrapText="1"/>
      <protection hidden="1"/>
    </xf>
    <xf numFmtId="0" fontId="12" fillId="0" borderId="0" xfId="0" applyFont="1" applyAlignment="1" applyProtection="1">
      <alignment wrapText="1"/>
      <protection hidden="1"/>
    </xf>
    <xf numFmtId="0" fontId="6" fillId="0" borderId="0" xfId="1" applyNumberFormat="1" applyFont="1" applyAlignment="1" applyProtection="1">
      <alignment horizontal="center"/>
      <protection hidden="1"/>
    </xf>
    <xf numFmtId="166" fontId="6" fillId="0" borderId="0" xfId="1" applyNumberFormat="1" applyFont="1" applyProtection="1">
      <protection hidden="1"/>
    </xf>
    <xf numFmtId="43" fontId="6" fillId="0" borderId="0" xfId="1" applyFont="1" applyProtection="1">
      <protection hidden="1"/>
    </xf>
    <xf numFmtId="43" fontId="6" fillId="0" borderId="0" xfId="1" applyFont="1" applyAlignment="1" applyProtection="1">
      <alignment horizontal="center"/>
      <protection hidden="1"/>
    </xf>
    <xf numFmtId="14" fontId="6" fillId="0" borderId="0" xfId="1" applyNumberFormat="1" applyFont="1" applyAlignment="1" applyProtection="1">
      <alignment horizontal="center"/>
      <protection hidden="1"/>
    </xf>
    <xf numFmtId="14" fontId="7" fillId="0" borderId="0" xfId="0" applyNumberFormat="1" applyFont="1" applyAlignment="1" applyProtection="1">
      <alignment horizontal="left"/>
      <protection hidden="1"/>
    </xf>
    <xf numFmtId="0" fontId="7" fillId="0" borderId="0" xfId="0" applyFont="1" applyAlignment="1" applyProtection="1">
      <alignment horizontal="center" vertical="center"/>
      <protection hidden="1"/>
    </xf>
    <xf numFmtId="0" fontId="7" fillId="0" borderId="0" xfId="0" applyFont="1" applyAlignment="1" applyProtection="1">
      <alignment horizontal="left" vertical="center"/>
      <protection hidden="1"/>
    </xf>
    <xf numFmtId="0" fontId="7" fillId="0" borderId="0" xfId="0" applyFont="1" applyAlignment="1" applyProtection="1">
      <alignment vertical="center"/>
      <protection hidden="1"/>
    </xf>
    <xf numFmtId="43" fontId="13" fillId="0" borderId="0" xfId="1" applyFont="1" applyAlignment="1" applyProtection="1">
      <alignment horizontal="center" vertical="center"/>
      <protection hidden="1"/>
    </xf>
    <xf numFmtId="0" fontId="13" fillId="0" borderId="0" xfId="1" applyNumberFormat="1" applyFont="1" applyAlignment="1" applyProtection="1">
      <alignment horizontal="center" vertical="center"/>
      <protection hidden="1"/>
    </xf>
    <xf numFmtId="14" fontId="13" fillId="0" borderId="0" xfId="1" applyNumberFormat="1" applyFont="1" applyAlignment="1" applyProtection="1">
      <alignment horizontal="center" vertical="center"/>
      <protection hidden="1"/>
    </xf>
    <xf numFmtId="14" fontId="13" fillId="0" borderId="0" xfId="1" applyNumberFormat="1" applyFont="1" applyFill="1" applyAlignment="1" applyProtection="1">
      <alignment horizontal="center" vertical="center"/>
      <protection hidden="1"/>
    </xf>
    <xf numFmtId="43" fontId="13" fillId="0" borderId="0" xfId="1" applyFont="1" applyFill="1" applyAlignment="1" applyProtection="1">
      <alignment horizontal="center" vertical="center"/>
      <protection hidden="1"/>
    </xf>
    <xf numFmtId="14" fontId="12" fillId="2" borderId="6" xfId="0" applyNumberFormat="1" applyFont="1" applyFill="1" applyBorder="1" applyAlignment="1" applyProtection="1">
      <alignment horizontal="center" wrapText="1"/>
      <protection hidden="1"/>
    </xf>
    <xf numFmtId="0" fontId="12" fillId="2" borderId="6" xfId="0" applyFont="1" applyFill="1" applyBorder="1" applyAlignment="1" applyProtection="1">
      <alignment horizontal="center" wrapText="1"/>
      <protection hidden="1"/>
    </xf>
    <xf numFmtId="0" fontId="12" fillId="2" borderId="6" xfId="0" applyFont="1" applyFill="1" applyBorder="1" applyAlignment="1" applyProtection="1">
      <alignment horizontal="left" wrapText="1"/>
      <protection hidden="1"/>
    </xf>
    <xf numFmtId="0" fontId="12" fillId="2" borderId="6" xfId="0" applyFont="1" applyFill="1" applyBorder="1" applyAlignment="1" applyProtection="1">
      <alignment wrapText="1"/>
      <protection hidden="1"/>
    </xf>
    <xf numFmtId="43" fontId="12" fillId="2" borderId="6" xfId="1" applyFont="1" applyFill="1" applyBorder="1" applyAlignment="1" applyProtection="1">
      <alignment horizontal="center" wrapText="1"/>
      <protection hidden="1"/>
    </xf>
    <xf numFmtId="0" fontId="12" fillId="5" borderId="6" xfId="1" applyNumberFormat="1" applyFont="1" applyFill="1" applyBorder="1" applyAlignment="1" applyProtection="1">
      <alignment horizontal="center" wrapText="1"/>
      <protection hidden="1"/>
    </xf>
    <xf numFmtId="43" fontId="12" fillId="5" borderId="6" xfId="1" applyFont="1" applyFill="1" applyBorder="1" applyAlignment="1" applyProtection="1">
      <alignment horizontal="center" wrapText="1"/>
      <protection hidden="1"/>
    </xf>
    <xf numFmtId="14" fontId="12" fillId="3" borderId="6" xfId="1" applyNumberFormat="1" applyFont="1" applyFill="1" applyBorder="1" applyAlignment="1" applyProtection="1">
      <alignment horizontal="center" wrapText="1"/>
      <protection hidden="1"/>
    </xf>
    <xf numFmtId="14" fontId="12" fillId="5" borderId="6" xfId="1" applyNumberFormat="1" applyFont="1" applyFill="1" applyBorder="1" applyAlignment="1" applyProtection="1">
      <alignment horizontal="center" wrapText="1"/>
      <protection hidden="1"/>
    </xf>
    <xf numFmtId="165" fontId="5" fillId="5" borderId="1" xfId="0" applyNumberFormat="1" applyFont="1" applyFill="1" applyBorder="1" applyAlignment="1" applyProtection="1">
      <alignment horizontal="center"/>
      <protection hidden="1"/>
    </xf>
    <xf numFmtId="0" fontId="5" fillId="5" borderId="1" xfId="0" applyFont="1" applyFill="1" applyBorder="1" applyAlignment="1" applyProtection="1">
      <alignment horizontal="left" wrapText="1"/>
      <protection hidden="1"/>
    </xf>
    <xf numFmtId="165" fontId="5" fillId="5" borderId="1" xfId="1" applyNumberFormat="1" applyFont="1" applyFill="1" applyBorder="1" applyAlignment="1" applyProtection="1">
      <alignment horizontal="center" wrapText="1"/>
      <protection hidden="1"/>
    </xf>
    <xf numFmtId="0" fontId="14" fillId="0" borderId="0" xfId="0" applyFont="1" applyAlignment="1" applyProtection="1">
      <alignment horizontal="left"/>
      <protection hidden="1"/>
    </xf>
    <xf numFmtId="0" fontId="5" fillId="0" borderId="0" xfId="1" applyNumberFormat="1" applyFont="1" applyAlignment="1" applyProtection="1">
      <alignment horizontal="right" indent="1"/>
      <protection hidden="1"/>
    </xf>
    <xf numFmtId="43" fontId="7" fillId="0" borderId="0" xfId="1" applyFont="1" applyProtection="1">
      <protection hidden="1"/>
    </xf>
    <xf numFmtId="0" fontId="6" fillId="0" borderId="0" xfId="0" applyFont="1" applyAlignment="1" applyProtection="1">
      <alignment vertical="center"/>
      <protection hidden="1"/>
    </xf>
    <xf numFmtId="0" fontId="5" fillId="5" borderId="1" xfId="0" applyFont="1" applyFill="1" applyBorder="1" applyAlignment="1" applyProtection="1">
      <alignment horizontal="left" vertical="center" wrapText="1"/>
      <protection hidden="1"/>
    </xf>
    <xf numFmtId="0" fontId="5" fillId="5" borderId="1" xfId="1" applyNumberFormat="1" applyFont="1" applyFill="1" applyBorder="1" applyAlignment="1" applyProtection="1">
      <alignment horizontal="center" vertical="center" wrapText="1"/>
      <protection hidden="1"/>
    </xf>
    <xf numFmtId="0" fontId="6" fillId="0" borderId="0" xfId="0" applyFont="1" applyAlignment="1" applyProtection="1">
      <alignment vertical="center" wrapText="1"/>
      <protection hidden="1"/>
    </xf>
    <xf numFmtId="0" fontId="8" fillId="0" borderId="0" xfId="0" applyFont="1" applyAlignment="1" applyProtection="1">
      <alignment horizontal="left"/>
      <protection hidden="1"/>
    </xf>
    <xf numFmtId="14" fontId="8" fillId="0" borderId="0" xfId="0" applyNumberFormat="1" applyFont="1" applyAlignment="1" applyProtection="1">
      <alignment horizontal="left"/>
      <protection hidden="1"/>
    </xf>
    <xf numFmtId="0" fontId="8" fillId="0" borderId="0" xfId="0" applyFont="1" applyProtection="1">
      <protection hidden="1"/>
    </xf>
    <xf numFmtId="0" fontId="1" fillId="0" borderId="0" xfId="0" applyFont="1" applyAlignment="1" applyProtection="1">
      <alignment vertical="center"/>
      <protection hidden="1"/>
    </xf>
    <xf numFmtId="0" fontId="1" fillId="0" borderId="0" xfId="0" applyFont="1" applyAlignment="1" applyProtection="1">
      <alignment horizontal="justify" vertical="center" wrapText="1"/>
      <protection hidden="1"/>
    </xf>
    <xf numFmtId="0" fontId="16" fillId="0" borderId="0" xfId="0" applyFont="1" applyAlignment="1" applyProtection="1">
      <alignment horizontal="justify" vertical="center" wrapText="1"/>
      <protection hidden="1"/>
    </xf>
    <xf numFmtId="0" fontId="18" fillId="0" borderId="0" xfId="0" applyFont="1" applyAlignment="1" applyProtection="1">
      <alignment horizontal="justify" vertical="center" wrapText="1"/>
      <protection hidden="1"/>
    </xf>
    <xf numFmtId="0" fontId="1" fillId="0" borderId="0" xfId="0" applyFont="1" applyAlignment="1" applyProtection="1">
      <alignment horizontal="justify" vertical="top" wrapText="1"/>
      <protection hidden="1"/>
    </xf>
    <xf numFmtId="0" fontId="1" fillId="0" borderId="0" xfId="0" applyFont="1" applyAlignment="1" applyProtection="1">
      <alignment vertical="top" wrapText="1"/>
      <protection hidden="1"/>
    </xf>
    <xf numFmtId="0" fontId="16" fillId="0" borderId="0" xfId="0" applyFont="1" applyAlignment="1" applyProtection="1">
      <alignment horizontal="justify" vertical="top" wrapText="1"/>
      <protection hidden="1"/>
    </xf>
    <xf numFmtId="0" fontId="18" fillId="0" borderId="0" xfId="0" applyFont="1" applyAlignment="1" applyProtection="1">
      <alignment vertical="center"/>
      <protection hidden="1"/>
    </xf>
    <xf numFmtId="0" fontId="18" fillId="0" borderId="0" xfId="0" applyFont="1" applyAlignment="1" applyProtection="1">
      <alignment horizontal="justify" wrapText="1"/>
      <protection hidden="1"/>
    </xf>
    <xf numFmtId="0" fontId="16" fillId="0" borderId="0" xfId="0" applyFont="1" applyAlignment="1" applyProtection="1">
      <alignment horizontal="justify" wrapText="1"/>
      <protection hidden="1"/>
    </xf>
    <xf numFmtId="0" fontId="1" fillId="0" borderId="0" xfId="0" applyFont="1" applyAlignment="1" applyProtection="1">
      <alignment horizontal="justify" wrapText="1"/>
      <protection hidden="1"/>
    </xf>
    <xf numFmtId="0" fontId="19" fillId="0" borderId="0" xfId="0" applyFont="1" applyAlignment="1" applyProtection="1">
      <alignment horizontal="justify" wrapText="1"/>
      <protection hidden="1"/>
    </xf>
    <xf numFmtId="0" fontId="1" fillId="0" borderId="0" xfId="0" applyFont="1" applyAlignment="1" applyProtection="1">
      <alignment wrapText="1"/>
      <protection hidden="1"/>
    </xf>
    <xf numFmtId="0" fontId="15" fillId="0" borderId="0" xfId="0" applyFont="1" applyAlignment="1" applyProtection="1">
      <alignment horizontal="left" vertical="center" wrapText="1"/>
      <protection hidden="1"/>
    </xf>
    <xf numFmtId="0" fontId="16" fillId="0" borderId="0" xfId="0" applyFont="1" applyAlignment="1" applyProtection="1">
      <alignment horizontal="left" vertical="center" wrapText="1"/>
      <protection hidden="1"/>
    </xf>
    <xf numFmtId="0" fontId="17" fillId="0" borderId="0" xfId="2" applyFont="1" applyAlignment="1" applyProtection="1">
      <alignment horizontal="left" vertical="center" wrapText="1"/>
    </xf>
    <xf numFmtId="0" fontId="3" fillId="0" borderId="0" xfId="2" applyAlignment="1" applyProtection="1">
      <alignment horizontal="right" vertical="center" wrapText="1"/>
      <protection hidden="1"/>
    </xf>
    <xf numFmtId="0" fontId="6" fillId="5" borderId="1" xfId="0" applyFont="1" applyFill="1" applyBorder="1" applyAlignment="1" applyProtection="1">
      <alignment horizontal="left"/>
      <protection hidden="1"/>
    </xf>
    <xf numFmtId="0" fontId="6" fillId="4" borderId="1" xfId="0" applyFont="1" applyFill="1" applyBorder="1" applyAlignment="1" applyProtection="1">
      <alignment horizontal="left"/>
      <protection hidden="1"/>
    </xf>
    <xf numFmtId="0" fontId="7" fillId="0" borderId="0" xfId="0" applyFont="1" applyAlignment="1" applyProtection="1">
      <alignment horizontal="left"/>
      <protection hidden="1"/>
    </xf>
    <xf numFmtId="165" fontId="5" fillId="5" borderId="2" xfId="1" applyNumberFormat="1" applyFont="1" applyFill="1" applyBorder="1" applyAlignment="1" applyProtection="1">
      <alignment horizontal="center"/>
      <protection hidden="1"/>
    </xf>
    <xf numFmtId="165" fontId="5" fillId="5" borderId="4" xfId="1" applyNumberFormat="1" applyFont="1" applyFill="1" applyBorder="1" applyAlignment="1" applyProtection="1">
      <alignment horizontal="center"/>
      <protection hidden="1"/>
    </xf>
    <xf numFmtId="165" fontId="5" fillId="5" borderId="3" xfId="1" applyNumberFormat="1" applyFont="1" applyFill="1" applyBorder="1" applyAlignment="1" applyProtection="1">
      <alignment horizontal="center"/>
      <protection hidden="1"/>
    </xf>
    <xf numFmtId="165" fontId="5" fillId="5" borderId="5" xfId="1" applyNumberFormat="1" applyFont="1" applyFill="1" applyBorder="1" applyAlignment="1" applyProtection="1">
      <alignment horizontal="center" vertical="center" wrapText="1"/>
      <protection hidden="1"/>
    </xf>
    <xf numFmtId="165" fontId="5" fillId="5" borderId="6" xfId="1" applyNumberFormat="1" applyFont="1" applyFill="1" applyBorder="1" applyAlignment="1" applyProtection="1">
      <alignment horizontal="center" vertical="center" wrapText="1"/>
      <protection hidden="1"/>
    </xf>
    <xf numFmtId="0" fontId="5" fillId="5" borderId="2" xfId="0" applyFont="1" applyFill="1" applyBorder="1" applyAlignment="1" applyProtection="1">
      <alignment horizontal="center" vertical="center"/>
      <protection hidden="1"/>
    </xf>
    <xf numFmtId="0" fontId="5" fillId="5" borderId="4" xfId="0" applyFont="1" applyFill="1" applyBorder="1" applyAlignment="1" applyProtection="1">
      <alignment horizontal="center" vertical="center"/>
      <protection hidden="1"/>
    </xf>
    <xf numFmtId="0" fontId="5" fillId="5" borderId="3" xfId="0" applyFont="1" applyFill="1" applyBorder="1" applyAlignment="1" applyProtection="1">
      <alignment horizontal="center" vertical="center"/>
      <protection hidden="1"/>
    </xf>
  </cellXfs>
  <cellStyles count="4">
    <cellStyle name="Comma" xfId="1" builtinId="3"/>
    <cellStyle name="Hyperlink" xfId="2" builtinId="8"/>
    <cellStyle name="Normal" xfId="0" builtinId="0" customBuiltin="1"/>
    <cellStyle name="Percent" xfId="3" builtinId="5"/>
  </cellStyles>
  <dxfs count="79">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35" formatCode="_(* #,##0.00_);_(* \(#,##0.00\);_(* &quot;-&quot;??_);_(@_)"/>
      <alignment horizontal="center" vertical="bottom" textRotation="0" wrapText="0" indent="0" justifyLastLine="0" shrinkToFit="0" readingOrder="0"/>
      <protection locked="1" hidden="1"/>
    </dxf>
    <dxf>
      <font>
        <strike val="0"/>
        <outline val="0"/>
        <shadow val="0"/>
        <u val="none"/>
        <vertAlign val="baseline"/>
        <sz val="10"/>
        <name val="Century Gothic"/>
        <family val="2"/>
        <scheme val="minor"/>
      </font>
      <numFmt numFmtId="35" formatCode="_(* #,##0.00_);_(* \(#,##0.00\);_(* &quot;-&quot;??_);_(@_)"/>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8" formatCode="yyyy/mm/dd"/>
      <alignment horizontal="center" vertical="bottom" textRotation="0" wrapText="0" indent="0" justifyLastLine="0" shrinkToFit="0" readingOrder="0"/>
      <protection locked="1" hidden="1"/>
    </dxf>
    <dxf>
      <font>
        <strike val="0"/>
        <outline val="0"/>
        <shadow val="0"/>
        <u val="none"/>
        <vertAlign val="baseline"/>
        <sz val="10"/>
        <name val="Century Gothic"/>
        <family val="2"/>
        <scheme val="minor"/>
      </font>
      <alignment horizontal="center" vertical="bottom" textRotation="0" wrapText="0" indent="0" justifyLastLine="0" shrinkToFit="0" readingOrder="0"/>
      <protection locked="1" hidden="1"/>
    </dxf>
    <dxf>
      <font>
        <strike val="0"/>
        <outline val="0"/>
        <shadow val="0"/>
        <u val="none"/>
        <vertAlign val="baseline"/>
        <sz val="10"/>
        <name val="Century Gothic"/>
        <family val="2"/>
        <scheme val="minor"/>
      </font>
      <numFmt numFmtId="0" formatCode="General"/>
      <alignment horizontal="center" vertical="bottom" textRotation="0" wrapText="0" indent="0" justifyLastLine="0" shrinkToFit="0" readingOrder="0"/>
      <protection locked="1" hidden="1"/>
    </dxf>
    <dxf>
      <font>
        <strike val="0"/>
        <outline val="0"/>
        <shadow val="0"/>
        <u val="none"/>
        <vertAlign val="baseline"/>
        <sz val="10"/>
        <name val="Century Gothic"/>
        <family val="2"/>
        <scheme val="minor"/>
      </font>
      <protection locked="1" hidden="1"/>
    </dxf>
    <dxf>
      <font>
        <strike val="0"/>
        <outline val="0"/>
        <shadow val="0"/>
        <u val="none"/>
        <vertAlign val="baseline"/>
        <sz val="10"/>
        <name val="Century Gothic"/>
        <family val="2"/>
        <scheme val="minor"/>
      </font>
      <protection locked="1" hidden="1"/>
    </dxf>
    <dxf>
      <font>
        <strike val="0"/>
        <outline val="0"/>
        <shadow val="0"/>
        <u val="none"/>
        <vertAlign val="baseline"/>
        <sz val="10"/>
        <name val="Century Gothic"/>
        <family val="2"/>
        <scheme val="minor"/>
      </font>
      <protection locked="1" hidden="1"/>
    </dxf>
    <dxf>
      <font>
        <strike val="0"/>
        <outline val="0"/>
        <shadow val="0"/>
        <u val="none"/>
        <vertAlign val="baseline"/>
        <sz val="10"/>
        <name val="Century Gothic"/>
        <family val="2"/>
        <scheme val="minor"/>
      </font>
      <protection locked="1" hidden="1"/>
    </dxf>
    <dxf>
      <font>
        <strike val="0"/>
        <outline val="0"/>
        <shadow val="0"/>
        <u val="none"/>
        <vertAlign val="baseline"/>
        <sz val="10"/>
        <name val="Century Gothic"/>
        <family val="2"/>
        <scheme val="minor"/>
      </font>
      <numFmt numFmtId="0" formatCode="General"/>
      <protection locked="1" hidden="1"/>
    </dxf>
    <dxf>
      <font>
        <strike val="0"/>
        <outline val="0"/>
        <shadow val="0"/>
        <u val="none"/>
        <vertAlign val="baseline"/>
        <sz val="10"/>
        <name val="Century Gothic"/>
        <family val="2"/>
        <scheme val="minor"/>
      </font>
      <numFmt numFmtId="0" formatCode="General"/>
      <protection locked="1" hidden="1"/>
    </dxf>
    <dxf>
      <font>
        <strike val="0"/>
        <outline val="0"/>
        <shadow val="0"/>
        <u val="none"/>
        <vertAlign val="baseline"/>
        <sz val="10"/>
        <name val="Century Gothic"/>
        <family val="2"/>
        <scheme val="minor"/>
      </font>
      <numFmt numFmtId="0" formatCode="General"/>
      <alignment horizontal="left" vertical="bottom" textRotation="0" wrapText="0" indent="0" justifyLastLine="0" shrinkToFit="0" readingOrder="0"/>
      <protection locked="1" hidden="1"/>
    </dxf>
    <dxf>
      <font>
        <strike val="0"/>
        <outline val="0"/>
        <shadow val="0"/>
        <u val="none"/>
        <vertAlign val="baseline"/>
        <sz val="10"/>
        <name val="Century Gothic"/>
        <family val="2"/>
        <scheme val="minor"/>
      </font>
      <numFmt numFmtId="0" formatCode="General"/>
      <alignment horizontal="center" vertical="bottom" textRotation="0" wrapText="0" indent="0" justifyLastLine="0" shrinkToFit="0" readingOrder="0"/>
      <protection locked="1" hidden="1"/>
    </dxf>
    <dxf>
      <font>
        <strike val="0"/>
        <outline val="0"/>
        <shadow val="0"/>
        <u val="none"/>
        <vertAlign val="baseline"/>
        <sz val="10"/>
        <name val="Century Gothic"/>
        <family val="2"/>
        <scheme val="minor"/>
      </font>
      <numFmt numFmtId="168" formatCode="yyyy/mm/dd"/>
      <alignment horizontal="center" vertical="bottom" textRotation="0" wrapText="0" indent="0" justifyLastLine="0" shrinkToFit="0" readingOrder="0"/>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alignment horizontal="center" vertical="bottom"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fill>
        <patternFill patternType="solid">
          <fgColor indexed="64"/>
          <bgColor rgb="FFCCFFFF"/>
        </patternFill>
      </fill>
      <alignment horizontal="center" vertical="bottom" textRotation="0" wrapText="1" 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4" formatCode="0.0%"/>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5" formatCode="_(* #,##0_);_(* \(#,##0\);_(* &quot;-&quot;??_);_(@_)"/>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8" formatCode="yyyy/mm/dd"/>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165" formatCode="_(* #,##0_);_(* \(#,##0\);_(* &quot;-&quot;??_);_(@_)"/>
      <protection locked="1" hidden="1"/>
    </dxf>
    <dxf>
      <font>
        <b val="0"/>
        <i val="0"/>
        <strike val="0"/>
        <condense val="0"/>
        <extend val="0"/>
        <outline val="0"/>
        <shadow val="0"/>
        <u val="none"/>
        <vertAlign val="baseline"/>
        <sz val="10"/>
        <color auto="1"/>
        <name val="Century Gothic"/>
        <family val="2"/>
        <scheme val="minor"/>
      </font>
      <numFmt numFmtId="168" formatCode="yyyy/mm/dd"/>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center"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lef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left" vertical="bottom" textRotation="0" wrapText="0" indent="0" justifyLastLine="0" shrinkToFit="0" readingOrder="0"/>
      <protection locked="1" hidden="1"/>
    </dxf>
    <dxf>
      <font>
        <b val="0"/>
        <i val="0"/>
        <strike val="0"/>
        <condense val="0"/>
        <extend val="0"/>
        <outline val="0"/>
        <shadow val="0"/>
        <u val="none"/>
        <vertAlign val="baseline"/>
        <sz val="10"/>
        <color auto="1"/>
        <name val="Century Gothic"/>
        <family val="2"/>
        <scheme val="minor"/>
      </font>
      <numFmt numFmtId="0" formatCode="General"/>
      <alignment horizontal="left" vertical="bottom" textRotation="0" wrapText="0" indent="0" justifyLastLine="0" shrinkToFit="0" readingOrder="0"/>
      <protection locked="1" hidden="1"/>
    </dxf>
    <dxf>
      <border outline="0">
        <top style="thin">
          <color indexed="64"/>
        </top>
      </border>
    </dxf>
    <dxf>
      <font>
        <b val="0"/>
        <i val="0"/>
        <strike val="0"/>
        <condense val="0"/>
        <extend val="0"/>
        <outline val="0"/>
        <shadow val="0"/>
        <u val="none"/>
        <vertAlign val="baseline"/>
        <sz val="10"/>
        <color auto="1"/>
        <name val="Century Gothic"/>
        <family val="2"/>
        <scheme val="minor"/>
      </font>
      <numFmt numFmtId="3" formatCode="#,##0"/>
      <alignment horizontal="center" vertical="bottom"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10"/>
        <color theme="1"/>
        <name val="Century Gothic"/>
        <family val="2"/>
        <scheme val="minor"/>
      </font>
      <numFmt numFmtId="3" formatCode="#,##0"/>
      <fill>
        <patternFill patternType="solid">
          <fgColor indexed="64"/>
          <bgColor rgb="FFCCFFFF"/>
        </patternFill>
      </fill>
      <alignment horizontal="center" vertical="bottom" textRotation="0" wrapText="1" indent="0" justifyLastLine="0" shrinkToFit="0" readingOrder="0"/>
      <border diagonalUp="0" diagonalDown="0">
        <left style="thin">
          <color indexed="64"/>
        </left>
        <right style="thin">
          <color indexed="64"/>
        </right>
        <top/>
        <bottom/>
      </border>
      <protection locked="1" hidden="1"/>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
      <font>
        <b/>
        <i val="0"/>
        <color theme="0"/>
      </font>
      <fill>
        <patternFill>
          <bgColor rgb="FFFF6600"/>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excel-skills.com/macro.php?tempno=46"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excel-skills.com/asset-register-template.php" TargetMode="External"/></Relationships>
</file>

<file path=xl/drawings/drawing1.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4C4D39A0-DB20-4004-B00B-C00B62C85318}"/>
            </a:ext>
          </a:extLst>
        </xdr:cNvPr>
        <xdr:cNvGrpSpPr/>
      </xdr:nvGrpSpPr>
      <xdr:grpSpPr>
        <a:xfrm>
          <a:off x="22860" y="22860"/>
          <a:ext cx="9394240" cy="3591600"/>
          <a:chOff x="17134" y="17145"/>
          <a:chExt cx="9252000" cy="3671610"/>
        </a:xfrm>
      </xdr:grpSpPr>
      <xdr:sp macro="" textlink="" fLocksText="0">
        <xdr:nvSpPr>
          <xdr:cNvPr id="5" name="Rectangle 1">
            <a:extLst>
              <a:ext uri="{FF2B5EF4-FFF2-40B4-BE49-F238E27FC236}">
                <a16:creationId xmlns:a16="http://schemas.microsoft.com/office/drawing/2014/main" id="{9569B7E9-D895-450C-80C9-6A9FFE850368}"/>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How to activate our trial version</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Enable our 100% secure trial version macro to display the full version of the template. You should see a security warning message indicating that macros have been disabled - the trail version can be activated by enabling the macro content. Once you enable the macro, all the sheets included in the full version will be visible and you will be able to test the template features.</a:t>
            </a:r>
          </a:p>
          <a:p>
            <a:pPr marL="0" algn="just" rtl="0">
              <a:lnSpc>
                <a:spcPct val="100000"/>
              </a:lnSpc>
              <a:spcBef>
                <a:spcPts val="300"/>
              </a:spcBef>
              <a:spcAft>
                <a:spcPts val="300"/>
              </a:spcAft>
              <a:defRPr sz="1000"/>
            </a:pPr>
            <a:r>
              <a:rPr lang="en-US" sz="1200" b="1" i="0" u="none" strike="noStrike" baseline="0">
                <a:solidFill>
                  <a:srgbClr val="FFFFFF"/>
                </a:solidFill>
                <a:latin typeface="+mn-lt"/>
                <a:cs typeface="Arial" panose="020B0604020202020204" pitchFamily="34" charset="0"/>
              </a:rPr>
              <a:t>Trial version restrictions</a:t>
            </a:r>
          </a:p>
          <a:p>
            <a:pPr marL="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The trial version includes all the functionality of the full version but you cannot save the template or print any of the worksheets. You will also not be able to move or copy any of the worksheets. The aim of the trial version is to illustrate the functionality which is included in the full version and the trial can therefore only be used to try out the template functionality for one session at a time. We only use macros for the trial versions of our templates - none of the full versions of our templates contain any macros!</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9DD85BA3-3994-4DCE-BD22-F6E81D68BCA4}"/>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Go</a:t>
            </a:r>
            <a:r>
              <a:rPr lang="en-ZA" sz="1400" b="1" u="none" baseline="0">
                <a:solidFill>
                  <a:schemeClr val="bg1"/>
                </a:solidFill>
                <a:latin typeface="+mn-lt"/>
              </a:rPr>
              <a:t> to step-by-step macro instructions</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01E98401-8FDB-4AEA-91F8-0071CB6A3874}"/>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31B849C9-9C92-4D9B-84D8-B557055FC7A3}"/>
            </a:ext>
          </a:extLst>
        </xdr:cNvPr>
        <xdr:cNvGrpSpPr/>
      </xdr:nvGrpSpPr>
      <xdr:grpSpPr>
        <a:xfrm>
          <a:off x="22860" y="22860"/>
          <a:ext cx="9394240" cy="3591600"/>
          <a:chOff x="17134" y="17145"/>
          <a:chExt cx="9252000" cy="3671610"/>
        </a:xfrm>
      </xdr:grpSpPr>
      <xdr:sp macro="" textlink="" fLocksText="0">
        <xdr:nvSpPr>
          <xdr:cNvPr id="5" name="Rectangle 1">
            <a:extLst>
              <a:ext uri="{FF2B5EF4-FFF2-40B4-BE49-F238E27FC236}">
                <a16:creationId xmlns:a16="http://schemas.microsoft.com/office/drawing/2014/main" id="{97AD9B10-539D-4F0B-ABEF-A351B329DBF7}"/>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BASIC FIXED ASSETS REGISTER TEMPLATE</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This basic asset register template enables users to compile a complete fixed assets register which incorporates an unlimited number of fixed asset classes and categories; facilitates recording additions &amp; disposals; automatically calculates monthly and year-to-date depreciation charges and includes a comprehensive automated journal report. The template accommodates depreciation calculations based on the straight-line, diminishing value and double diminishing value calculation methods on a monthly or daily basis.</a:t>
            </a:r>
          </a:p>
          <a:p>
            <a:pPr marL="1800000" algn="just" rtl="0">
              <a:lnSpc>
                <a:spcPct val="100000"/>
              </a:lnSpc>
              <a:spcBef>
                <a:spcPts val="1200"/>
              </a:spcBef>
              <a:spcAft>
                <a:spcPts val="300"/>
              </a:spcAft>
              <a:defRPr sz="1000"/>
            </a:pPr>
            <a:r>
              <a:rPr lang="en-US" sz="1200" b="1" i="0" u="none" strike="noStrike" baseline="0">
                <a:solidFill>
                  <a:srgbClr val="FFFFFF"/>
                </a:solidFill>
                <a:latin typeface="+mn-lt"/>
                <a:cs typeface="Arial" panose="020B0604020202020204" pitchFamily="34" charset="0"/>
              </a:rPr>
              <a:t>Get the full version of the template to unlock all the functionality!</a:t>
            </a:r>
          </a:p>
          <a:p>
            <a:pPr marL="180000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This is a trial version of the template created to enable you to try out the template functionality. You will not be able to save or print any of your changes. Get the full version for a fully unprotected version of the template where you have full access to all the template functionality.</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D65B42F4-9394-44FD-AF79-5FD613E1A223}"/>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Get</a:t>
            </a:r>
            <a:r>
              <a:rPr lang="en-ZA" sz="1400" b="1" u="none" baseline="0">
                <a:solidFill>
                  <a:schemeClr val="bg1"/>
                </a:solidFill>
                <a:latin typeface="+mn-lt"/>
              </a:rPr>
              <a:t> the full version of this template!</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72552E4D-656F-4CF2-BCB5-F074386553E8}"/>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pic>
        <xdr:nvPicPr>
          <xdr:cNvPr id="8" name="Picture 7">
            <a:extLst>
              <a:ext uri="{FF2B5EF4-FFF2-40B4-BE49-F238E27FC236}">
                <a16:creationId xmlns:a16="http://schemas.microsoft.com/office/drawing/2014/main" id="{C8227739-5E0E-4AD1-AB33-59120F8728D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36220" y="1912620"/>
            <a:ext cx="1524000" cy="1524000"/>
          </a:xfrm>
          <a:prstGeom prst="rect">
            <a:avLst/>
          </a:prstGeom>
        </xdr:spPr>
      </xdr:pic>
    </xdr:grp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274320</xdr:colOff>
      <xdr:row>4</xdr:row>
      <xdr:rowOff>240960</xdr:rowOff>
    </xdr:from>
    <xdr:ext cx="2781300" cy="1114490"/>
    <xdr:sp macro="" textlink="">
      <xdr:nvSpPr>
        <xdr:cNvPr id="10" name="Rectangle 17">
          <a:extLst>
            <a:ext uri="{FF2B5EF4-FFF2-40B4-BE49-F238E27FC236}">
              <a16:creationId xmlns:a16="http://schemas.microsoft.com/office/drawing/2014/main" id="{A9DC0BDC-46A3-4B6D-9A02-FECD0DBAE922}"/>
            </a:ext>
          </a:extLst>
        </xdr:cNvPr>
        <xdr:cNvSpPr>
          <a:spLocks noChangeArrowheads="1"/>
        </xdr:cNvSpPr>
      </xdr:nvSpPr>
      <xdr:spPr bwMode="auto">
        <a:xfrm>
          <a:off x="7802880" y="987720"/>
          <a:ext cx="2781300" cy="111449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ctr" rtl="0">
            <a:lnSpc>
              <a:spcPts val="1500"/>
            </a:lnSpc>
            <a:defRPr sz="1000"/>
          </a:pPr>
          <a:r>
            <a:rPr lang="en-US" sz="1050" b="1" i="0" u="none" strike="noStrike" baseline="0">
              <a:solidFill>
                <a:schemeClr val="bg1"/>
              </a:solidFill>
              <a:latin typeface="+mn-lt"/>
              <a:cs typeface="Arial"/>
            </a:rPr>
            <a:t>This sheet includes detailed instructions on setting up and using this template.</a:t>
          </a:r>
        </a:p>
      </xdr:txBody>
    </xdr:sp>
    <xdr:clientData fLocksWithSheet="0" fPrintsWithSheet="0"/>
  </xdr:oneCellAnchor>
</xdr:wsDr>
</file>

<file path=xl/drawings/drawing4.xml><?xml version="1.0" encoding="utf-8"?>
<xdr:wsDr xmlns:xdr="http://schemas.openxmlformats.org/drawingml/2006/spreadsheetDrawing" xmlns:a="http://schemas.openxmlformats.org/drawingml/2006/main">
  <xdr:oneCellAnchor>
    <xdr:from>
      <xdr:col>4</xdr:col>
      <xdr:colOff>93133</xdr:colOff>
      <xdr:row>6</xdr:row>
      <xdr:rowOff>81620</xdr:rowOff>
    </xdr:from>
    <xdr:ext cx="7149878" cy="1500622"/>
    <xdr:sp macro="" textlink="">
      <xdr:nvSpPr>
        <xdr:cNvPr id="3" name="Rectangle 17">
          <a:extLst>
            <a:ext uri="{FF2B5EF4-FFF2-40B4-BE49-F238E27FC236}">
              <a16:creationId xmlns:a16="http://schemas.microsoft.com/office/drawing/2014/main" id="{B5BC511F-338B-4788-95DF-E150290B743A}"/>
            </a:ext>
          </a:extLst>
        </xdr:cNvPr>
        <xdr:cNvSpPr>
          <a:spLocks noChangeArrowheads="1"/>
        </xdr:cNvSpPr>
      </xdr:nvSpPr>
      <xdr:spPr bwMode="auto">
        <a:xfrm>
          <a:off x="4320228" y="1284778"/>
          <a:ext cx="7149878"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input cells on this sheet enable you to customize the template for your business. You can enter your business name, select a year end period, select monthly or daily depreciation calculations, specify whether depreciation is calculated in the addition &amp; disposal periods, maintain the default fixed asset classes and maintain the default fixed asset categories. A complete list of user input error codes are also included on this sheet for information purposes.</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dr:oneCellAnchor>
    <xdr:from>
      <xdr:col>0</xdr:col>
      <xdr:colOff>40105</xdr:colOff>
      <xdr:row>11</xdr:row>
      <xdr:rowOff>24136</xdr:rowOff>
    </xdr:from>
    <xdr:ext cx="7587916" cy="1692982"/>
    <xdr:sp macro="" textlink="">
      <xdr:nvSpPr>
        <xdr:cNvPr id="3" name="Rectangle 17">
          <a:extLst>
            <a:ext uri="{FF2B5EF4-FFF2-40B4-BE49-F238E27FC236}">
              <a16:creationId xmlns:a16="http://schemas.microsoft.com/office/drawing/2014/main" id="{51B5D5DC-F0AB-41B4-B87F-2D08005CF725}"/>
            </a:ext>
          </a:extLst>
        </xdr:cNvPr>
        <xdr:cNvSpPr>
          <a:spLocks noChangeArrowheads="1"/>
        </xdr:cNvSpPr>
      </xdr:nvSpPr>
      <xdr:spPr bwMode="auto">
        <a:xfrm>
          <a:off x="40105" y="2350241"/>
          <a:ext cx="7587916"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enables users to create a unique asset number for all fixed assets. User input is limited to entering an asset identification number, asset description, asset type, asset category and depreciation basis. The period for which the fixed asset register is compiled is determined by the review date specified at the top of the sheet. Only the columns with yellow column headings require user input - the columns with light blue column headings contain formulas which are automatically copied for all new fixed assets added to the table. All the calculations that form part of the fixed asset register are therefore automated.</a:t>
          </a:r>
        </a:p>
      </xdr:txBody>
    </xdr:sp>
    <xdr:clientData fLocksWithSheet="0" fPrintsWithSheet="0"/>
  </xdr:oneCellAnchor>
</xdr:wsDr>
</file>

<file path=xl/drawings/drawing6.xml><?xml version="1.0" encoding="utf-8"?>
<xdr:wsDr xmlns:xdr="http://schemas.openxmlformats.org/drawingml/2006/spreadsheetDrawing" xmlns:a="http://schemas.openxmlformats.org/drawingml/2006/main">
  <xdr:oneCellAnchor>
    <xdr:from>
      <xdr:col>3</xdr:col>
      <xdr:colOff>120316</xdr:colOff>
      <xdr:row>10</xdr:row>
      <xdr:rowOff>56219</xdr:rowOff>
    </xdr:from>
    <xdr:ext cx="7459579" cy="1692982"/>
    <xdr:sp macro="" textlink="">
      <xdr:nvSpPr>
        <xdr:cNvPr id="3" name="Rectangle 17">
          <a:extLst>
            <a:ext uri="{FF2B5EF4-FFF2-40B4-BE49-F238E27FC236}">
              <a16:creationId xmlns:a16="http://schemas.microsoft.com/office/drawing/2014/main" id="{112BDD85-440B-4FF6-ACDB-DCC4F62DCAD1}"/>
            </a:ext>
          </a:extLst>
        </xdr:cNvPr>
        <xdr:cNvSpPr>
          <a:spLocks noChangeArrowheads="1"/>
        </xdr:cNvSpPr>
      </xdr:nvSpPr>
      <xdr:spPr bwMode="auto">
        <a:xfrm>
          <a:off x="2863516" y="2133672"/>
          <a:ext cx="7459579"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All fixed asset transactions need to be recorded on this sheet. Asset transactions include acquisitions and disposals. All the depreciation calculations are automated and do not require a depreciation transaction to be entered. Only the columns with yellow column headings require user input - the columns with light blue column headings contain formulas which are automatically copied for all new transactions added to the sheet. All the fixed asset transactions are automatically updated to the fixed asset register on the Assets sheet. </a:t>
          </a:r>
        </a:p>
      </xdr:txBody>
    </xdr:sp>
    <xdr:clientData fLocksWithSheet="0" fPrintsWithSheet="0"/>
  </xdr:oneCellAnchor>
</xdr:wsDr>
</file>

<file path=xl/drawings/drawing7.xml><?xml version="1.0" encoding="utf-8"?>
<xdr:wsDr xmlns:xdr="http://schemas.openxmlformats.org/drawingml/2006/spreadsheetDrawing" xmlns:a="http://schemas.openxmlformats.org/drawingml/2006/main">
  <xdr:oneCellAnchor>
    <xdr:from>
      <xdr:col>2</xdr:col>
      <xdr:colOff>168442</xdr:colOff>
      <xdr:row>16</xdr:row>
      <xdr:rowOff>96326</xdr:rowOff>
    </xdr:from>
    <xdr:ext cx="6954251" cy="1692982"/>
    <xdr:sp macro="" textlink="">
      <xdr:nvSpPr>
        <xdr:cNvPr id="3" name="Rectangle 17">
          <a:extLst>
            <a:ext uri="{FF2B5EF4-FFF2-40B4-BE49-F238E27FC236}">
              <a16:creationId xmlns:a16="http://schemas.microsoft.com/office/drawing/2014/main" id="{A8DD6D96-8788-43D1-818E-DA71D6AC6B6A}"/>
            </a:ext>
          </a:extLst>
        </xdr:cNvPr>
        <xdr:cNvSpPr>
          <a:spLocks noChangeArrowheads="1"/>
        </xdr:cNvSpPr>
      </xdr:nvSpPr>
      <xdr:spPr bwMode="auto">
        <a:xfrm>
          <a:off x="2999874" y="3465168"/>
          <a:ext cx="6954251"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contains a fixed assets summary which is based on the fixed asset categories created on the Set-up sheet. No user input is required on this sheet and 30 fixed asset categories are accommodated. Additional fixed asset categories can be added by simply copying the formulas in the last row into the required number of additional rows. Each asset category is linked to a single asset class on the Set-up sheet - the asset categories are therefore sub classes of the main asset classes which can be used for financial statement reporting purposes.</a:t>
          </a:r>
        </a:p>
      </xdr:txBody>
    </xdr:sp>
    <xdr:clientData fLocksWithSheet="0" fPrintsWithSheet="0"/>
  </xdr:oneCellAnchor>
</xdr:wsDr>
</file>

<file path=xl/drawings/drawing8.xml><?xml version="1.0" encoding="utf-8"?>
<xdr:wsDr xmlns:xdr="http://schemas.openxmlformats.org/drawingml/2006/spreadsheetDrawing" xmlns:a="http://schemas.openxmlformats.org/drawingml/2006/main">
  <xdr:oneCellAnchor>
    <xdr:from>
      <xdr:col>2</xdr:col>
      <xdr:colOff>120316</xdr:colOff>
      <xdr:row>11</xdr:row>
      <xdr:rowOff>104274</xdr:rowOff>
    </xdr:from>
    <xdr:ext cx="6144126" cy="1500622"/>
    <xdr:sp macro="" textlink="">
      <xdr:nvSpPr>
        <xdr:cNvPr id="3" name="Rectangle 17">
          <a:extLst>
            <a:ext uri="{FF2B5EF4-FFF2-40B4-BE49-F238E27FC236}">
              <a16:creationId xmlns:a16="http://schemas.microsoft.com/office/drawing/2014/main" id="{1F4C1295-67C8-4178-B764-D05F71F9ED32}"/>
            </a:ext>
          </a:extLst>
        </xdr:cNvPr>
        <xdr:cNvSpPr>
          <a:spLocks noChangeArrowheads="1"/>
        </xdr:cNvSpPr>
      </xdr:nvSpPr>
      <xdr:spPr bwMode="auto">
        <a:xfrm>
          <a:off x="2951748" y="2470485"/>
          <a:ext cx="6144126"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contains a fixed assets summary which is based on the asset classes created on the Set-up sheet. No user input is required on this sheet and a maximum of 30 asset classes are accommodated. Each fixed asset category on the Categories sheet is linked to a single fixed asset class which can be used for financial statement reporting purposes.</a:t>
          </a:r>
        </a:p>
      </xdr:txBody>
    </xdr:sp>
    <xdr:clientData fLocksWithSheet="0" fPrintsWithSheet="0"/>
  </xdr:oneCellAnchor>
</xdr:wsDr>
</file>

<file path=xl/drawings/drawing9.xml><?xml version="1.0" encoding="utf-8"?>
<xdr:wsDr xmlns:xdr="http://schemas.openxmlformats.org/drawingml/2006/spreadsheetDrawing" xmlns:a="http://schemas.openxmlformats.org/drawingml/2006/main">
  <xdr:oneCellAnchor>
    <xdr:from>
      <xdr:col>2</xdr:col>
      <xdr:colOff>128338</xdr:colOff>
      <xdr:row>16</xdr:row>
      <xdr:rowOff>104346</xdr:rowOff>
    </xdr:from>
    <xdr:ext cx="6063915" cy="1692982"/>
    <xdr:sp macro="" textlink="">
      <xdr:nvSpPr>
        <xdr:cNvPr id="3" name="Rectangle 17">
          <a:extLst>
            <a:ext uri="{FF2B5EF4-FFF2-40B4-BE49-F238E27FC236}">
              <a16:creationId xmlns:a16="http://schemas.microsoft.com/office/drawing/2014/main" id="{3FA3DB98-E047-4B1F-BDF3-C0CD4C2025DD}"/>
            </a:ext>
          </a:extLst>
        </xdr:cNvPr>
        <xdr:cNvSpPr>
          <a:spLocks noChangeArrowheads="1"/>
        </xdr:cNvSpPr>
      </xdr:nvSpPr>
      <xdr:spPr bwMode="auto">
        <a:xfrm>
          <a:off x="3168317" y="3376935"/>
          <a:ext cx="6063915"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contains an automated journal report for all fixed asset transactions. The journal report can be compiled on a monthly or year-to-date basis and is based on the account numbers specified in the asset category set-up on the Set-up sheet. The journal report accommodates 30 asset categories but additional categories can be added by simply copying the formulas in the last row into the required number of additional rows.</a:t>
          </a:r>
        </a:p>
      </xdr:txBody>
    </xdr:sp>
    <xdr:clientData fLocksWithSheet="0" fPrint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Asset" displayName="Asset" ref="A4:AS44" totalsRowShown="0" headerRowDxfId="74" dataDxfId="72" headerRowBorderDxfId="73" tableBorderDxfId="71">
  <autoFilter ref="A4:AS44" xr:uid="{00000000-0009-0000-0100-000001000000}"/>
  <tableColumns count="45">
    <tableColumn id="1" xr3:uid="{00000000-0010-0000-0000-000001000000}" name="Asset Number" dataDxfId="70"/>
    <tableColumn id="2" xr3:uid="{00000000-0010-0000-0000-000002000000}" name="Asset ID Number" dataDxfId="69"/>
    <tableColumn id="3" xr3:uid="{00000000-0010-0000-0000-000003000000}" name="Description" dataDxfId="68"/>
    <tableColumn id="4" xr3:uid="{00000000-0010-0000-0000-000004000000}" name="Asset Type" dataDxfId="67"/>
    <tableColumn id="5" xr3:uid="{00000000-0010-0000-0000-000005000000}" name="Category" dataDxfId="66"/>
    <tableColumn id="6" xr3:uid="{00000000-0010-0000-0000-000006000000}" name="Depreciation Basis" dataDxfId="65"/>
    <tableColumn id="7" xr3:uid="{00000000-0010-0000-0000-000007000000}" name="Error Code" dataDxfId="64">
      <calculatedColumnFormula array="1">IF(COUNTIF(AssetCode,$A5)&gt;1,"E1",IF(ISNA(VLOOKUP($E5,CatAll,1,0))=TRUE,"E2",IF($I5="Add!","E10","-")))</calculatedColumnFormula>
    </tableColumn>
    <tableColumn id="8" xr3:uid="{00000000-0010-0000-0000-000008000000}" name="Class" dataDxfId="63">
      <calculatedColumnFormula>IF(ISNA(VLOOKUP($E5,CatAll,2,0))=TRUE,"error!",VLOOKUP($E5,CatAll,2,0))</calculatedColumnFormula>
    </tableColumn>
    <tableColumn id="9" xr3:uid="{00000000-0010-0000-0000-000009000000}" name="Acquisition Date" dataDxfId="62">
      <calculatedColumnFormula array="1">IF(SUMIFS(TransIDDate,TransAsset,$A5,TransType,"ACQ")=0,"Add!",SUMIFS(TransIDDate,TransAsset,$A5,TransType,"ACQ"))</calculatedColumnFormula>
    </tableColumn>
    <tableColumn id="10" xr3:uid="{00000000-0010-0000-0000-00000A000000}" name="Historical _x000a_Cost" dataDxfId="61" dataCellStyle="Comma">
      <calculatedColumnFormula>SUMIFS(TransAmount,TransAsset,$A5,TransIDDate,$I5)</calculatedColumnFormula>
    </tableColumn>
    <tableColumn id="11" xr3:uid="{00000000-0010-0000-0000-00000B000000}" name="Lifetime in Years" dataDxfId="60" dataCellStyle="Comma">
      <calculatedColumnFormula>SUMIFS(TransLife,TransAsset,$A5,TransIDDate,$I5)</calculatedColumnFormula>
    </tableColumn>
    <tableColumn id="12" xr3:uid="{00000000-0010-0000-0000-00000C000000}" name="Residual Value" dataDxfId="59" dataCellStyle="Comma">
      <calculatedColumnFormula>SUMIFS(TransRes,TransAsset,$A5,TransIDDate,$I5)</calculatedColumnFormula>
    </tableColumn>
    <tableColumn id="13" xr3:uid="{00000000-0010-0000-0000-00000D000000}" name="Disposal Date" dataDxfId="58">
      <calculatedColumnFormula array="1">IF(SUMIFS(TransIDDate,TransAsset,$A5,TransType,"DIS")=0,"-",IF(SUMIFS(TransIDDate,TransAsset,$A5,TransType,"DIS")&lt;=$I$2,SUMIFS(TransIDDate,TransAsset,$A5,TransType,"DIS"),"-"))</calculatedColumnFormula>
    </tableColumn>
    <tableColumn id="14" xr3:uid="{00000000-0010-0000-0000-00000E000000}" name="Proceeds on Disposal" dataDxfId="57" dataCellStyle="Comma">
      <calculatedColumnFormula array="1">IF($M5&lt;=$I$2,SUMIFS(TransProceeds,TransAsset,$A5,TransType,"DIS"),0)</calculatedColumnFormula>
    </tableColumn>
    <tableColumn id="15" xr3:uid="{00000000-0010-0000-0000-00000F000000}" name="Opening Balance" dataDxfId="56" dataCellStyle="Comma">
      <calculatedColumnFormula array="1">IF(AND($M5&lt;&gt;"-",$M5&lt;$H$2),0,SUMIFS(TransAmount,TransAsset,$A5,TransIDDate,"&lt;"&amp;$H$2,TransType,"ACQ"))</calculatedColumnFormula>
    </tableColumn>
    <tableColumn id="16" xr3:uid="{00000000-0010-0000-0000-000010000000}" name="Additions" dataDxfId="55" dataCellStyle="Comma">
      <calculatedColumnFormula>SUMIFS(TransAmount,TransAsset,$A5,TransIDDate,"&gt;="&amp;$H$2,TransIDDate,"&lt;"&amp;($I$2+1),TransType,"ACQ")</calculatedColumnFormula>
    </tableColumn>
    <tableColumn id="17" xr3:uid="{00000000-0010-0000-0000-000011000000}" name="Disposals: Cost" dataDxfId="54" dataCellStyle="Comma">
      <calculatedColumnFormula>-SUMIFS(TransHCost,TransAsset,$A5,TransIDDate,"&gt;="&amp;$H$2,TransIDDate,"&lt;"&amp;($I$2+1),TransType,"DIS")</calculatedColumnFormula>
    </tableColumn>
    <tableColumn id="18" xr3:uid="{00000000-0010-0000-0000-000012000000}" name="Closing Balance" dataDxfId="53" dataCellStyle="Comma">
      <calculatedColumnFormula>IF(ROUND(SUM(O5:Q5),2)=0,0,SUM(O5:Q5))</calculatedColumnFormula>
    </tableColumn>
    <tableColumn id="19" xr3:uid="{00000000-0010-0000-0000-000013000000}" name="Accum Depr: Opening" dataDxfId="52" dataCellStyle="Comma">
      <calculatedColumnFormula>IF(AND($M5&lt;&gt;"-",$M5&lt;$H$2),0,IF($K5=0,0,IF(LEFT($AE5,1)="D",(($J5-$L5)*(1-((1-$AD5)^$AI5)))+(($J5-$L5)*(((1-$AD5)^$AI5)-((1-$AD5)^($AI5+1)))*IF('Set-up'!$E$9="Monthly",($AA5-($AI5*12))/12,$AM5/$AQ5)),($J5-$L5)/$AG5*$AA5)))</calculatedColumnFormula>
    </tableColumn>
    <tableColumn id="20" xr3:uid="{00000000-0010-0000-0000-000014000000}" name="YTD Depreciation" dataDxfId="51" dataCellStyle="Comma">
      <calculatedColumnFormula>IF($K5=0,0,IF(LEFT($AE5,1)="D",((($J5-$L5)*(1-((1-$AD5)^$AH5)))+(($J5-$L5)*(((1-$AD5)^$AH5)-((1-$AD5)^($AH5+1)))*IF('Set-up'!$E$9="Monthly",($Z5-($AH5*12))/12,$AL5/$AP5)))-(($J5-$L5)*(1-((1-$AD5)^$AI5)))-(($J5-$L5)*(((1-$AD5)^$AI5)-((1-$AD5)^($AI5+1)))*IF('Set-up'!$E$9="Monthly",($AA5-($AI5*12))/12,$AM5/$AQ5)),(($J5-$L5)/$AG5*$Z5)-(($J5-$L5)/$AG5*$AA5)))</calculatedColumnFormula>
    </tableColumn>
    <tableColumn id="21" xr3:uid="{00000000-0010-0000-0000-000015000000}" name="Accum Depr: Disposals" dataDxfId="50" dataCellStyle="Comma">
      <calculatedColumnFormula>-IF(AND($M5&gt;=$H$2,$M5&lt;=$I$2),IF(LEFT($AE5,1)="D",(($J5-$L5)*(1-((1-$AD5)^$AK5)))+(($J5-$L5)*(((1-$AD5)^$AK5)-((1-$AD5)^($AK5+1)))*IF('Set-up'!$E$9="Monthly",($AC5-($AK5*12))/12,$AO5/$AS5)),IF($K5=0,0,($J5-$L5)/$AG5*$AC5)),0)</calculatedColumnFormula>
    </tableColumn>
    <tableColumn id="22" xr3:uid="{00000000-0010-0000-0000-000016000000}" name="Accum Depr: Closing" dataDxfId="49" dataCellStyle="Comma">
      <calculatedColumnFormula>IF(ROUND(SUM(S5:U5),2)=0,0,SUM(S5:U5))</calculatedColumnFormula>
    </tableColumn>
    <tableColumn id="23" xr3:uid="{00000000-0010-0000-0000-000017000000}" name="Closing Carrying Value" dataDxfId="48" dataCellStyle="Comma">
      <calculatedColumnFormula>IF(ROUND(SUM(R5,-V5),2)=0,0,SUM(R5,-V5))</calculatedColumnFormula>
    </tableColumn>
    <tableColumn id="24" xr3:uid="{00000000-0010-0000-0000-000018000000}" name="Profit / (Loss) on Disposal" dataDxfId="47" dataCellStyle="Comma">
      <calculatedColumnFormula>IF(AND($M5&gt;=$H$2,$M5&lt;=$I$2),N5+(Q5-U5),0)</calculatedColumnFormula>
    </tableColumn>
    <tableColumn id="25" xr3:uid="{00000000-0010-0000-0000-000019000000}" name="MTD Depreciation" dataDxfId="46" dataCellStyle="Comma">
      <calculatedColumnFormula>IF($K5=0,0,IF(LEFT($AE5,1)="D",((($J5-$L5)*(1-((1-$AD5)^$AH5)))+(($J5-$L5)*(((1-$AD5)^$AH5)-((1-$AD5)^($AH5+1)))*IF('Set-up'!$E$9="Monthly",($Z5-($AH5*12))/12,$AL5/$AP5)))-(($J5-$L5)*(1-((1-$AD5)^$AJ5)))-(($J5-$L5)*(((1-$AD5)^$AJ5)-((1-$AD5)^($AJ5+1)))*IF('Set-up'!$E$9="Monthly",($AB5-($AJ5*12))/12,$AN5/$AR5)),(($J5-$L5)/$AG5*$Z5)-(($J5-$L5)/$AG5*$AB5)))</calculatedColumnFormula>
    </tableColumn>
    <tableColumn id="26" xr3:uid="{00000000-0010-0000-0000-00001A000000}" name="CYP" dataDxfId="45">
      <calculatedColumnFormula>IF('Set-up'!$E$9="Daily",MIN(MAX(((IF($M5="-",$I$2,MIN($I$2,$M5-'Set-up'!$E$13))-(($I5+'Set-up'!$E$11)))+1),0),IF(LEFT($AE5,1)="D",MaxPeriod,$AG5)),MIN(MAX(((IF($M5="-",((YEAR($I$2)*12)+MONTH($I$2)),MIN(((YEAR($I$2)*12)+MONTH($I$2)),((YEAR($M5)*12)+MONTH($M5)-'Set-up'!$E$13)))-(((YEAR($I5)*12)+MONTH($I5)+'Set-up'!$E$11)))+1),0),IF(LEFT($AE5,1)="D",MaxPeriod,$AG5)))</calculatedColumnFormula>
    </tableColumn>
    <tableColumn id="27" xr3:uid="{00000000-0010-0000-0000-00001B000000}" name="PYP" dataDxfId="44">
      <calculatedColumnFormula>IF('Set-up'!$E$9="Daily",MIN(MAX(((IF($M5="-",$H$2-1,MIN($H$2-1,$M5-'Set-up'!$E$13))-($I5+'Set-up'!$E$11))+1),0),IF(LEFT($AE5,1)="D",MaxPeriod,$AG5)),MIN(MAX(((IF($M5="-",((YEAR($H$2)*12)+MONTH($H$2)-1),MIN(((YEAR($H$2)*12)+MONTH($H$2)-1),((YEAR($M5)*12)+MONTH($M5)-'Set-up'!$E$13)))-(((YEAR($I5)*12)+MONTH($I5)+'Set-up'!$E$11)))+1),0),IF(LEFT($AE5,1)="D",MaxPeriod,$AG5)))</calculatedColumnFormula>
    </tableColumn>
    <tableColumn id="28" xr3:uid="{00000000-0010-0000-0000-00001C000000}" name="PMP" dataDxfId="43">
      <calculatedColumnFormula>IF('Set-up'!$E$9="Daily",MIN(MAX(((IF($M5="-",$J$2-1,MIN($J$2-1,$M5-'Set-up'!$E$13))-($I5+'Set-up'!$E$11))+1),0),IF(LEFT($AE5,1)="D",MaxPeriod,$AG5)),MIN(MAX(((IF($M5="-",((YEAR($J$2)*12)+MONTH($J$2)-1),MIN(((YEAR($J$2)*12)+MONTH($J$2)-1),((YEAR($M5)*12)+MONTH($M5)-'Set-up'!$E$13)))-(((YEAR($I5)*12)+MONTH($I5)+'Set-up'!$E$11)))+1),0),IF(LEFT($AE5,1)="D",MaxPeriod,$AG5)))</calculatedColumnFormula>
    </tableColumn>
    <tableColumn id="29" xr3:uid="{00000000-0010-0000-0000-00001D000000}" name="DISP" dataDxfId="42">
      <calculatedColumnFormula>IF('Set-up'!$E$9="Daily",MIN(MAX(((IF($M5="-",0,$M5-'Set-up'!$E$13)-($I5+'Set-up'!$E$11))+1),0),IF(LEFT($AE5,1)="D",MaxPeriod,$AG5)),MIN(MAX(((IF($M5="-",0,((YEAR($M5)*12)+MONTH($M5)-'Set-up'!$E$13))-(((YEAR($I5)*12)+MONTH($I5)+'Set-up'!$E$11)))+1),0),IF(LEFT($AE5,1)="D",MaxPeriod,$AG5)))</calculatedColumnFormula>
    </tableColumn>
    <tableColumn id="30" xr3:uid="{00000000-0010-0000-0000-00001E000000}" name="DVR" dataDxfId="41" dataCellStyle="Percent">
      <calculatedColumnFormula>IF($K5=0,0,IF($F5="DV",1/$K5,IF($F5="DDV",MIN(1/$K5*2,1),0)))</calculatedColumnFormula>
    </tableColumn>
    <tableColumn id="31" xr3:uid="{00000000-0010-0000-0000-00001F000000}" name="DTYPE" dataDxfId="40" dataCellStyle="Percent">
      <calculatedColumnFormula>IF(AD5=1,"SL",F5)</calculatedColumnFormula>
    </tableColumn>
    <tableColumn id="32" xr3:uid="{00000000-0010-0000-0000-000020000000}" name="DTADJ" dataDxfId="39" dataCellStyle="Percent">
      <calculatedColumnFormula>IF(AND($F5="DDV",$AE5="SL",$K5&gt;1),2,1)</calculatedColumnFormula>
    </tableColumn>
    <tableColumn id="33" xr3:uid="{00000000-0010-0000-0000-000021000000}" name="LIFE" dataDxfId="38">
      <calculatedColumnFormula>IF('Set-up'!$E$9="Daily",(DATE(YEAR($I5)+$K5+(1-$AF5),MONTH($I5),DAY($I5))+'Set-up'!$E$11)-($I5+'Set-up'!$E$11),$K5*12)</calculatedColumnFormula>
    </tableColumn>
    <tableColumn id="34" xr3:uid="{00000000-0010-0000-0000-000022000000}" name="CYM" dataDxfId="37">
      <calculatedColumnFormula>ROUNDDOWN(MIN(MAX(((IF($M5="-",((YEAR($I$2)*12)+MONTH($I$2)),MIN(((YEAR($I$2)*12)+MONTH($I$2)),((YEAR($M5)*12)+MONTH($M5)-'Set-up'!$E$13)))-(((YEAR($I5)*12)+MONTH($I5)+'Set-up'!$E$11)))),0),IF(LEFT($AE5,1)="D",MaxPeriod,$AG5))/12,0)</calculatedColumnFormula>
    </tableColumn>
    <tableColumn id="35" xr3:uid="{00000000-0010-0000-0000-000023000000}" name="PYM" dataDxfId="36">
      <calculatedColumnFormula>ROUNDDOWN(MIN(MAX(((IF($M5="-",((YEAR($H$2)*12)+MONTH($H$2)-1),MIN(((YEAR($H$2)*12)+MONTH($H$2)-1),((YEAR($M5)*12)+MONTH($M5)-'Set-up'!$E$13)))-(((YEAR($I5)*12)+MONTH($I5)+'Set-up'!$E$11)))),0),IF(LEFT($AE5,1)="D",MaxPeriod,$AG5))/12,0)</calculatedColumnFormula>
    </tableColumn>
    <tableColumn id="36" xr3:uid="{00000000-0010-0000-0000-000024000000}" name="PMM" dataDxfId="35">
      <calculatedColumnFormula>ROUNDDOWN(MIN(MAX(((IF($M5="-",((YEAR($J$2)*12)+MONTH($J$2)-1),MIN(((YEAR($J$2)*12)+MONTH($J$2)-1),((YEAR($M5)*12)+MONTH($M5)-'Set-up'!$E$13)))-(((YEAR($I5)*12)+MONTH($I5)+'Set-up'!$E$11)))),0),IF(LEFT($AE5,1)="D",MaxPeriod,$AG5))/12,0)</calculatedColumnFormula>
    </tableColumn>
    <tableColumn id="37" xr3:uid="{00000000-0010-0000-0000-000025000000}" name="DISM" dataDxfId="34">
      <calculatedColumnFormula>ROUNDDOWN(MIN(MAX(((IF($M5="-",0,((YEAR($M5)*12)+MONTH($M5)-'Set-up'!$E$13))-(((YEAR($I5)*12)+MONTH($I5)+'Set-up'!$E$11)))),0),IF(LEFT($AE5,1)="D",MaxPeriod,$AG5))/12,0)</calculatedColumnFormula>
    </tableColumn>
    <tableColumn id="38" xr3:uid="{00000000-0010-0000-0000-000026000000}" name="CYNBD" dataDxfId="33">
      <calculatedColumnFormula>IF('Set-up'!$E$9="Daily",MIN(MAX(((IF($M5="-",$I$2,MIN($I$2,$M5-'Set-up'!$E$13))-((DATE(YEAR($I5)+$AH5,MONTH($I5),DAY($I5))+'Set-up'!$E$11)))+1),0),IF(LEFT($AE5,1)="D",MaxPeriod,$AG5)),0)</calculatedColumnFormula>
    </tableColumn>
    <tableColumn id="39" xr3:uid="{00000000-0010-0000-0000-000027000000}" name="PYNBD" dataDxfId="32">
      <calculatedColumnFormula>IF('Set-up'!$E$9="Daily",MIN(MAX(((IF($M5="-",$H$2-1,MIN($H$2-1,$M5-'Set-up'!$E$13))-(DATE(YEAR($I5)+$AI5,MONTH($I5),DAY($I5))+'Set-up'!$E$11))+1),0),IF(LEFT($AE5,1)="D",MaxPeriod,$AG5)),0)</calculatedColumnFormula>
    </tableColumn>
    <tableColumn id="40" xr3:uid="{00000000-0010-0000-0000-000028000000}" name="PMNBD" dataDxfId="31">
      <calculatedColumnFormula>IF('Set-up'!$E$9="Daily",MIN(MAX(((IF($M5="-",$J$2-1,MIN($J$2-1,$M5-'Set-up'!$E$13))-(DATE(YEAR($I5)+$AJ5,MONTH($I5),DAY($I5))+'Set-up'!$E$11))+1),0),IF(LEFT($AE5,1)="D",MaxPeriod,$AG5)),0)</calculatedColumnFormula>
    </tableColumn>
    <tableColumn id="41" xr3:uid="{00000000-0010-0000-0000-000029000000}" name="DINBD" dataDxfId="30">
      <calculatedColumnFormula>IF('Set-up'!$E$9="Daily",MIN(MAX(((IF($M5="-",0,$M5-'Set-up'!$E$13)-(DATE(YEAR($I5)+$AK5,MONTH($I5),DAY($I5))+'Set-up'!$E$11))+1),0),IF(LEFT($AE5,1)="D",MaxPeriod,$AG5)),0)</calculatedColumnFormula>
    </tableColumn>
    <tableColumn id="42" xr3:uid="{00000000-0010-0000-0000-00002A000000}" name="CYFYD" dataDxfId="29">
      <calculatedColumnFormula>IF('Set-up'!$E$9="Daily",DATE(YEAR($I5)+$AH5+1,MONTH($I5),DAY($I5))-DATE(YEAR($I5)+$AH5,MONTH($I5),DAY($I5)),0)</calculatedColumnFormula>
    </tableColumn>
    <tableColumn id="43" xr3:uid="{00000000-0010-0000-0000-00002B000000}" name="PYFYD" dataDxfId="28">
      <calculatedColumnFormula>IF('Set-up'!$E$9="Daily",DATE(YEAR($I5)+$AI5+1,MONTH($I5),DAY($I5))-DATE(YEAR($I5)+$AI5,MONTH($I5),DAY($I5)),0)</calculatedColumnFormula>
    </tableColumn>
    <tableColumn id="44" xr3:uid="{00000000-0010-0000-0000-00002C000000}" name="PMFYD" dataDxfId="27">
      <calculatedColumnFormula>IF('Set-up'!$E$9="Daily",DATE(YEAR($I5)+$AJ5+1,MONTH($I5),DAY($I5))-DATE(YEAR($I5)+$AJ5,MONTH($I5),DAY($I5)),0)</calculatedColumnFormula>
    </tableColumn>
    <tableColumn id="45" xr3:uid="{00000000-0010-0000-0000-00002D000000}" name="DIFYD" dataDxfId="26">
      <calculatedColumnFormula>IF('Set-up'!$E$9="Daily",DATE(YEAR($I5)+$AK5+1,MONTH($I5),DAY($I5))-DATE(YEAR($I5)+$AK5,MONTH($I5),DAY($I5)),0)</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ransaction" displayName="Transaction" ref="A4:P46" totalsRowShown="0" headerRowDxfId="19" dataDxfId="17" headerRowBorderDxfId="18" tableBorderDxfId="16" headerRowCellStyle="Comma" dataCellStyle="Comma">
  <autoFilter ref="A4:P46" xr:uid="{00000000-0009-0000-0100-000002000000}"/>
  <tableColumns count="16">
    <tableColumn id="1" xr3:uid="{00000000-0010-0000-0100-000001000000}" name="Transaction Date" dataDxfId="15"/>
    <tableColumn id="2" xr3:uid="{00000000-0010-0000-0100-000002000000}" name="Transaction Type" dataDxfId="14"/>
    <tableColumn id="3" xr3:uid="{00000000-0010-0000-0100-000003000000}" name="Asset Number" dataDxfId="13"/>
    <tableColumn id="4" xr3:uid="{00000000-0010-0000-0100-000004000000}" name="Supplier" dataDxfId="12"/>
    <tableColumn id="5" xr3:uid="{00000000-0010-0000-0100-000005000000}" name="Document Number" dataDxfId="11"/>
    <tableColumn id="6" xr3:uid="{00000000-0010-0000-0100-000006000000}" name="Amount" dataDxfId="10" dataCellStyle="Comma"/>
    <tableColumn id="7" xr3:uid="{00000000-0010-0000-0100-000007000000}" name="Lifetime in Years" dataDxfId="9" dataCellStyle="Comma"/>
    <tableColumn id="8" xr3:uid="{00000000-0010-0000-0100-000008000000}" name="Residual Value" dataDxfId="8" dataCellStyle="Comma"/>
    <tableColumn id="9" xr3:uid="{00000000-0010-0000-0100-000009000000}" name="Proceeds on Sale" dataDxfId="7" dataCellStyle="Comma"/>
    <tableColumn id="10" xr3:uid="{00000000-0010-0000-0100-00000A000000}" name="Error Code" dataDxfId="6" dataCellStyle="Comma">
      <calculatedColumnFormula array="1">IF(ISNA(VLOOKUP($C5,AssetCode,1,0))=TRUE,"E3",IF(OR(ISBLANK($B5)=TRUE,COUNTIFS(TransAsset,$C5,TransIDDate,"&lt;"&amp;$L5,TransType,"DIS")&gt;0),"E4",IF(COUNTIFS(TransAsset,$C5,TransType,"ACQ")&gt;1,"E5",IF(OR($F5&lt;0,AND(TransType="DIS",$F5&lt;&gt;0)=TRUE),"E6",IF(OR(AND($G5&lt;0,TransType&lt;&gt;"DIS")=TRUE,AND(TransType="DIS",$G5&lt;&gt;0)=TRUE),"E7",IF(OR($H5&lt;0,AND(TransType="DIS",$H5&lt;&gt;0)=TRUE,$H5&gt;$F5),"E8",IF($I5&lt;0,"E9","-")))))))</calculatedColumnFormula>
    </tableColumn>
    <tableColumn id="11" xr3:uid="{00000000-0010-0000-0100-00000B000000}" name="Category" dataDxfId="5" dataCellStyle="Comma">
      <calculatedColumnFormula>IF(ISNA(VLOOKUP($C5,AssetAll,COLUMN(Assets!$E$4),0))=TRUE,"add!",VLOOKUP($C5,AssetAll,COLUMN(Assets!$E$4),0))</calculatedColumnFormula>
    </tableColumn>
    <tableColumn id="12" xr3:uid="{00000000-0010-0000-0100-00000C000000}" name="Transaction Date ID" dataDxfId="4" dataCellStyle="Comma">
      <calculatedColumnFormula>IF(OR(ISBLANK($A5)=TRUE,ISNUMBER($A5)=FALSE),TODAY(),$A5)</calculatedColumnFormula>
    </tableColumn>
    <tableColumn id="13" xr3:uid="{00000000-0010-0000-0100-00000D000000}" name="Transaction Amount" dataDxfId="3" dataCellStyle="Comma">
      <calculatedColumnFormula>IF(ISBLANK($B5)=FALSE,IF(ISNUMBER($F5)=TRUE,$F5,0),0)</calculatedColumnFormula>
    </tableColumn>
    <tableColumn id="14" xr3:uid="{00000000-0010-0000-0100-00000E000000}" name="Historical _x000a_Cost" dataDxfId="2" dataCellStyle="Comma">
      <calculatedColumnFormula array="1">IF(ISBLANK($B5)=FALSE,SUMIFS(TransAmount,TransAsset,$C5,TransType,"ACQ"),0)</calculatedColumnFormula>
    </tableColumn>
    <tableColumn id="15" xr3:uid="{00000000-0010-0000-0100-00000F000000}" name="Current Lifetime" dataDxfId="1" dataCellStyle="Comma">
      <calculatedColumnFormula>IF(ISBLANK($B5)=FALSE,IF(ISNUMBER($G5)=TRUE,$G5,0),0)</calculatedColumnFormula>
    </tableColumn>
    <tableColumn id="16" xr3:uid="{00000000-0010-0000-0100-000010000000}" name="Current Residual" dataDxfId="0" dataCellStyle="Comma">
      <calculatedColumnFormula>IF(ISBLANK($B5)=FALSE,IF(ISNUMBER($H5)=TRUE,$H5,0),0)</calculatedColumnFormula>
    </tableColumn>
  </tableColumns>
  <tableStyleInfo name="TableStyleLight9" showFirstColumn="0" showLastColumn="0" showRowStripes="1" showColumnStripes="0"/>
</table>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Quotable">
  <a:themeElements>
    <a:clrScheme name="Quotable">
      <a:dk1>
        <a:sysClr val="windowText" lastClr="000000"/>
      </a:dk1>
      <a:lt1>
        <a:sysClr val="window" lastClr="FFFFFF"/>
      </a:lt1>
      <a:dk2>
        <a:srgbClr val="212121"/>
      </a:dk2>
      <a:lt2>
        <a:srgbClr val="636363"/>
      </a:lt2>
      <a:accent1>
        <a:srgbClr val="00C6BB"/>
      </a:accent1>
      <a:accent2>
        <a:srgbClr val="6FEBA0"/>
      </a:accent2>
      <a:accent3>
        <a:srgbClr val="B6DF5E"/>
      </a:accent3>
      <a:accent4>
        <a:srgbClr val="EFB251"/>
      </a:accent4>
      <a:accent5>
        <a:srgbClr val="EF755F"/>
      </a:accent5>
      <a:accent6>
        <a:srgbClr val="ED515C"/>
      </a:accent6>
      <a:hlink>
        <a:srgbClr val="8F8F8F"/>
      </a:hlink>
      <a:folHlink>
        <a:srgbClr val="A5A5A5"/>
      </a:folHlink>
    </a:clrScheme>
    <a:fontScheme name="Quotable">
      <a:maj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Quotable">
      <a:fillStyleLst>
        <a:solidFill>
          <a:schemeClr val="phClr"/>
        </a:solidFill>
        <a:gradFill rotWithShape="1">
          <a:gsLst>
            <a:gs pos="0">
              <a:schemeClr val="phClr">
                <a:tint val="80000"/>
                <a:lumMod val="105000"/>
              </a:schemeClr>
            </a:gs>
            <a:gs pos="100000">
              <a:schemeClr val="phClr">
                <a:tint val="90000"/>
              </a:schemeClr>
            </a:gs>
          </a:gsLst>
          <a:lin ang="5400000" scaled="0"/>
        </a:gradFill>
        <a:blipFill rotWithShape="1">
          <a:blip xmlns:r="http://schemas.openxmlformats.org/officeDocument/2006/relationships" r:embed="rId1">
            <a:duotone>
              <a:schemeClr val="phClr">
                <a:tint val="98000"/>
                <a:lumMod val="102000"/>
              </a:schemeClr>
              <a:schemeClr val="phClr">
                <a:shade val="98000"/>
                <a:lumMod val="98000"/>
              </a:schemeClr>
            </a:duotone>
          </a:blip>
          <a:tile tx="0" ty="0" sx="100000" sy="100000" flip="none" algn="tl"/>
        </a:blipFill>
      </a:fillStyleLst>
      <a:lnStyleLst>
        <a:ln w="9525" cap="rnd" cmpd="sng" algn="ctr">
          <a:solidFill>
            <a:schemeClr val="phClr"/>
          </a:solidFill>
          <a:prstDash val="solid"/>
        </a:ln>
        <a:ln w="15875" cap="rnd" cmpd="sng" algn="ctr">
          <a:solidFill>
            <a:schemeClr val="phClr"/>
          </a:solidFill>
          <a:prstDash val="solid"/>
        </a:ln>
        <a:ln w="25400" cap="rnd" cmpd="sng" algn="ctr">
          <a:solidFill>
            <a:schemeClr val="phClr"/>
          </a:solidFill>
          <a:prstDash val="solid"/>
        </a:ln>
      </a:lnStyleLst>
      <a:effectStyleLst>
        <a:effectStyle>
          <a:effectLst/>
        </a:effectStyle>
        <a:effectStyle>
          <a:effectLst/>
        </a:effectStyle>
        <a:effectStyle>
          <a:effectLst>
            <a:innerShdw blurRad="63500" dist="25400" dir="13500000">
              <a:srgbClr val="000000">
                <a:alpha val="75000"/>
              </a:srgbClr>
            </a:innerShdw>
          </a:effectLst>
        </a:effectStyle>
      </a:effectStyleLst>
      <a:bgFillStyleLst>
        <a:solidFill>
          <a:schemeClr val="phClr"/>
        </a:solidFill>
        <a:gradFill rotWithShape="1">
          <a:gsLst>
            <a:gs pos="0">
              <a:schemeClr val="phClr">
                <a:tint val="100000"/>
              </a:schemeClr>
            </a:gs>
            <a:gs pos="100000">
              <a:schemeClr val="phClr">
                <a:tint val="84000"/>
                <a:shade val="84000"/>
                <a:lumMod val="90000"/>
              </a:schemeClr>
            </a:gs>
          </a:gsLst>
          <a:lin ang="5400000" scaled="0"/>
        </a:gradFill>
        <a:gradFill rotWithShape="1">
          <a:gsLst>
            <a:gs pos="0">
              <a:schemeClr val="phClr">
                <a:tint val="84000"/>
                <a:shade val="90000"/>
                <a:satMod val="120000"/>
                <a:lumMod val="90000"/>
              </a:schemeClr>
            </a:gs>
            <a:gs pos="100000">
              <a:schemeClr val="phClr"/>
            </a:gs>
          </a:gsLst>
          <a:lin ang="5400000" scaled="0"/>
        </a:gradFill>
      </a:bgFillStyleLst>
    </a:fmtScheme>
  </a:themeElements>
  <a:objectDefaults/>
  <a:extraClrSchemeLst/>
  <a:extLst>
    <a:ext uri="{05A4C25C-085E-4340-85A3-A5531E510DB2}">
      <thm15:themeFamily xmlns:thm15="http://schemas.microsoft.com/office/thememl/2012/main" name="Quotable" id="{39EC5628-30ED-4578-ACD8-9820EDB8E15A}" vid="{6F3559E9-1A4C-49D8-94D4-F41003531C49}"/>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excel-skills.com/"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tabSelected="1" workbookViewId="0">
      <selection activeCell="B2" sqref="B2"/>
    </sheetView>
  </sheetViews>
  <sheetFormatPr defaultColWidth="8.90625" defaultRowHeight="13.5" x14ac:dyDescent="0.25"/>
  <cols>
    <col min="1" max="14" width="15.6328125" style="1" customWidth="1"/>
    <col min="15" max="16384" width="8.90625" style="1"/>
  </cols>
  <sheetData/>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B2" sqref="B2"/>
    </sheetView>
  </sheetViews>
  <sheetFormatPr defaultColWidth="8.90625" defaultRowHeight="13.5" x14ac:dyDescent="0.25"/>
  <cols>
    <col min="1" max="14" width="15.6328125" style="1" customWidth="1"/>
    <col min="15" max="16384" width="8.90625" style="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228"/>
  <sheetViews>
    <sheetView zoomScaleNormal="100" workbookViewId="0">
      <pane ySplit="3" topLeftCell="A4" activePane="bottomLeft" state="frozen"/>
      <selection pane="bottomLeft"/>
    </sheetView>
  </sheetViews>
  <sheetFormatPr defaultColWidth="9.08984375" defaultRowHeight="12.5" x14ac:dyDescent="0.25"/>
  <cols>
    <col min="1" max="1" width="109.81640625" style="94" customWidth="1"/>
    <col min="2" max="2" width="50.81640625" style="93" customWidth="1"/>
    <col min="3" max="25" width="20.6328125" style="93" customWidth="1"/>
    <col min="26" max="16384" width="9.08984375" style="93"/>
  </cols>
  <sheetData>
    <row r="1" spans="1:1" ht="15.5" x14ac:dyDescent="0.25">
      <c r="A1" s="106" t="s">
        <v>369</v>
      </c>
    </row>
    <row r="2" spans="1:1" ht="15" customHeight="1" x14ac:dyDescent="0.25">
      <c r="A2" s="107" t="s">
        <v>6</v>
      </c>
    </row>
    <row r="3" spans="1:1" ht="15" customHeight="1" x14ac:dyDescent="0.25">
      <c r="A3" s="108" t="s">
        <v>7</v>
      </c>
    </row>
    <row r="4" spans="1:1" x14ac:dyDescent="0.25">
      <c r="A4" s="109"/>
    </row>
    <row r="5" spans="1:1" ht="50" x14ac:dyDescent="0.25">
      <c r="A5" s="94" t="s">
        <v>427</v>
      </c>
    </row>
    <row r="7" spans="1:1" ht="39" x14ac:dyDescent="0.25">
      <c r="A7" s="95" t="s">
        <v>343</v>
      </c>
    </row>
    <row r="9" spans="1:1" x14ac:dyDescent="0.25">
      <c r="A9" s="94" t="s">
        <v>0</v>
      </c>
    </row>
    <row r="10" spans="1:1" ht="50.5" x14ac:dyDescent="0.25">
      <c r="A10" s="96" t="s">
        <v>380</v>
      </c>
    </row>
    <row r="11" spans="1:1" ht="50.5" x14ac:dyDescent="0.25">
      <c r="A11" s="96" t="s">
        <v>381</v>
      </c>
    </row>
    <row r="12" spans="1:1" ht="50.5" x14ac:dyDescent="0.25">
      <c r="A12" s="96" t="s">
        <v>382</v>
      </c>
    </row>
    <row r="13" spans="1:1" ht="38" x14ac:dyDescent="0.25">
      <c r="A13" s="96" t="s">
        <v>383</v>
      </c>
    </row>
    <row r="14" spans="1:1" ht="25.5" x14ac:dyDescent="0.25">
      <c r="A14" s="96" t="s">
        <v>384</v>
      </c>
    </row>
    <row r="15" spans="1:1" ht="50.5" x14ac:dyDescent="0.25">
      <c r="A15" s="96" t="s">
        <v>385</v>
      </c>
    </row>
    <row r="16" spans="1:1" ht="13" x14ac:dyDescent="0.25">
      <c r="A16" s="96"/>
    </row>
    <row r="17" spans="1:1" ht="13" x14ac:dyDescent="0.25">
      <c r="A17" s="96" t="s">
        <v>86</v>
      </c>
    </row>
    <row r="19" spans="1:1" s="98" customFormat="1" ht="37.5" x14ac:dyDescent="0.25">
      <c r="A19" s="97" t="s">
        <v>344</v>
      </c>
    </row>
    <row r="20" spans="1:1" s="98" customFormat="1" x14ac:dyDescent="0.25">
      <c r="A20" s="97"/>
    </row>
    <row r="21" spans="1:1" s="98" customFormat="1" ht="50" x14ac:dyDescent="0.25">
      <c r="A21" s="97" t="s">
        <v>345</v>
      </c>
    </row>
    <row r="22" spans="1:1" s="98" customFormat="1" x14ac:dyDescent="0.25">
      <c r="A22" s="97"/>
    </row>
    <row r="23" spans="1:1" s="98" customFormat="1" ht="52" x14ac:dyDescent="0.25">
      <c r="A23" s="99" t="s">
        <v>346</v>
      </c>
    </row>
    <row r="24" spans="1:1" s="98" customFormat="1" ht="13" x14ac:dyDescent="0.25">
      <c r="A24" s="99"/>
    </row>
    <row r="25" spans="1:1" s="98" customFormat="1" ht="52" x14ac:dyDescent="0.25">
      <c r="A25" s="99" t="s">
        <v>347</v>
      </c>
    </row>
    <row r="26" spans="1:1" s="98" customFormat="1" ht="13" x14ac:dyDescent="0.25">
      <c r="A26" s="99"/>
    </row>
    <row r="27" spans="1:1" s="98" customFormat="1" ht="39" x14ac:dyDescent="0.25">
      <c r="A27" s="99" t="s">
        <v>348</v>
      </c>
    </row>
    <row r="28" spans="1:1" s="98" customFormat="1" ht="13" x14ac:dyDescent="0.25">
      <c r="A28" s="99"/>
    </row>
    <row r="29" spans="1:1" s="98" customFormat="1" ht="62.5" x14ac:dyDescent="0.25">
      <c r="A29" s="97" t="s">
        <v>367</v>
      </c>
    </row>
    <row r="30" spans="1:1" s="98" customFormat="1" x14ac:dyDescent="0.25">
      <c r="A30" s="97"/>
    </row>
    <row r="31" spans="1:1" s="98" customFormat="1" ht="37.5" x14ac:dyDescent="0.25">
      <c r="A31" s="97" t="s">
        <v>349</v>
      </c>
    </row>
    <row r="32" spans="1:1" s="98" customFormat="1" x14ac:dyDescent="0.25">
      <c r="A32" s="97"/>
    </row>
    <row r="33" spans="1:1" s="98" customFormat="1" ht="25" x14ac:dyDescent="0.25">
      <c r="A33" s="97" t="s">
        <v>350</v>
      </c>
    </row>
    <row r="34" spans="1:1" s="98" customFormat="1" x14ac:dyDescent="0.25">
      <c r="A34" s="97"/>
    </row>
    <row r="35" spans="1:1" ht="13" x14ac:dyDescent="0.25">
      <c r="A35" s="95" t="s">
        <v>40</v>
      </c>
    </row>
    <row r="37" spans="1:1" s="100" customFormat="1" ht="50" x14ac:dyDescent="0.25">
      <c r="A37" s="94" t="s">
        <v>351</v>
      </c>
    </row>
    <row r="39" spans="1:1" ht="26" x14ac:dyDescent="0.25">
      <c r="A39" s="95" t="s">
        <v>263</v>
      </c>
    </row>
    <row r="41" spans="1:1" ht="37.5" x14ac:dyDescent="0.25">
      <c r="A41" s="94" t="s">
        <v>428</v>
      </c>
    </row>
    <row r="43" spans="1:1" ht="13" x14ac:dyDescent="0.25">
      <c r="A43" s="95" t="s">
        <v>51</v>
      </c>
    </row>
    <row r="45" spans="1:1" ht="37.5" x14ac:dyDescent="0.25">
      <c r="A45" s="94" t="s">
        <v>352</v>
      </c>
    </row>
    <row r="47" spans="1:1" ht="50" x14ac:dyDescent="0.25">
      <c r="A47" s="94" t="s">
        <v>353</v>
      </c>
    </row>
    <row r="49" spans="1:1" ht="50" x14ac:dyDescent="0.25">
      <c r="A49" s="94" t="s">
        <v>354</v>
      </c>
    </row>
    <row r="50" spans="1:1" ht="25.5" x14ac:dyDescent="0.25">
      <c r="A50" s="94" t="s">
        <v>386</v>
      </c>
    </row>
    <row r="51" spans="1:1" ht="25.5" x14ac:dyDescent="0.25">
      <c r="A51" s="94" t="s">
        <v>387</v>
      </c>
    </row>
    <row r="52" spans="1:1" ht="25.5" x14ac:dyDescent="0.25">
      <c r="A52" s="94" t="s">
        <v>388</v>
      </c>
    </row>
    <row r="53" spans="1:1" ht="38" x14ac:dyDescent="0.25">
      <c r="A53" s="94" t="s">
        <v>389</v>
      </c>
    </row>
    <row r="55" spans="1:1" ht="39" x14ac:dyDescent="0.25">
      <c r="A55" s="95" t="s">
        <v>429</v>
      </c>
    </row>
    <row r="57" spans="1:1" ht="13" x14ac:dyDescent="0.25">
      <c r="A57" s="95" t="s">
        <v>16</v>
      </c>
    </row>
    <row r="59" spans="1:1" ht="37.5" x14ac:dyDescent="0.25">
      <c r="A59" s="94" t="s">
        <v>264</v>
      </c>
    </row>
    <row r="61" spans="1:1" ht="39" x14ac:dyDescent="0.25">
      <c r="A61" s="95" t="s">
        <v>368</v>
      </c>
    </row>
    <row r="63" spans="1:1" ht="13" x14ac:dyDescent="0.25">
      <c r="A63" s="96" t="s">
        <v>85</v>
      </c>
    </row>
    <row r="65" spans="1:1" ht="50" x14ac:dyDescent="0.25">
      <c r="A65" s="94" t="s">
        <v>355</v>
      </c>
    </row>
    <row r="67" spans="1:1" ht="50" x14ac:dyDescent="0.25">
      <c r="A67" s="94" t="s">
        <v>265</v>
      </c>
    </row>
    <row r="69" spans="1:1" ht="52" x14ac:dyDescent="0.25">
      <c r="A69" s="95" t="s">
        <v>272</v>
      </c>
    </row>
    <row r="71" spans="1:1" ht="37.5" x14ac:dyDescent="0.25">
      <c r="A71" s="94" t="s">
        <v>377</v>
      </c>
    </row>
    <row r="72" spans="1:1" ht="38" x14ac:dyDescent="0.25">
      <c r="A72" s="94" t="s">
        <v>390</v>
      </c>
    </row>
    <row r="73" spans="1:1" ht="25.5" x14ac:dyDescent="0.25">
      <c r="A73" s="94" t="s">
        <v>391</v>
      </c>
    </row>
    <row r="74" spans="1:1" ht="25.5" x14ac:dyDescent="0.25">
      <c r="A74" s="94" t="s">
        <v>392</v>
      </c>
    </row>
    <row r="75" spans="1:1" ht="25.5" x14ac:dyDescent="0.25">
      <c r="A75" s="94" t="s">
        <v>393</v>
      </c>
    </row>
    <row r="76" spans="1:1" ht="38" x14ac:dyDescent="0.25">
      <c r="A76" s="94" t="s">
        <v>394</v>
      </c>
    </row>
    <row r="77" spans="1:1" ht="38" x14ac:dyDescent="0.25">
      <c r="A77" s="94" t="s">
        <v>395</v>
      </c>
    </row>
    <row r="79" spans="1:1" ht="65" x14ac:dyDescent="0.25">
      <c r="A79" s="95" t="s">
        <v>430</v>
      </c>
    </row>
    <row r="81" spans="1:1" ht="65" x14ac:dyDescent="0.25">
      <c r="A81" s="95" t="s">
        <v>379</v>
      </c>
    </row>
    <row r="83" spans="1:1" ht="37.5" x14ac:dyDescent="0.25">
      <c r="A83" s="94" t="s">
        <v>266</v>
      </c>
    </row>
    <row r="85" spans="1:1" ht="50" x14ac:dyDescent="0.25">
      <c r="A85" s="94" t="s">
        <v>356</v>
      </c>
    </row>
    <row r="87" spans="1:1" ht="37.5" x14ac:dyDescent="0.25">
      <c r="A87" s="94" t="s">
        <v>273</v>
      </c>
    </row>
    <row r="89" spans="1:1" ht="39" x14ac:dyDescent="0.25">
      <c r="A89" s="95" t="s">
        <v>267</v>
      </c>
    </row>
    <row r="91" spans="1:1" ht="37.5" x14ac:dyDescent="0.25">
      <c r="A91" s="94" t="s">
        <v>357</v>
      </c>
    </row>
    <row r="92" spans="1:1" ht="13" x14ac:dyDescent="0.25">
      <c r="A92" s="95" t="s">
        <v>268</v>
      </c>
    </row>
    <row r="93" spans="1:1" ht="38" x14ac:dyDescent="0.25">
      <c r="A93" s="94" t="s">
        <v>396</v>
      </c>
    </row>
    <row r="94" spans="1:1" ht="25.5" x14ac:dyDescent="0.25">
      <c r="A94" s="94" t="s">
        <v>397</v>
      </c>
    </row>
    <row r="95" spans="1:1" ht="38" x14ac:dyDescent="0.25">
      <c r="A95" s="94" t="s">
        <v>398</v>
      </c>
    </row>
    <row r="96" spans="1:1" ht="25.5" x14ac:dyDescent="0.25">
      <c r="A96" s="94" t="s">
        <v>399</v>
      </c>
    </row>
    <row r="97" spans="1:1" ht="13" x14ac:dyDescent="0.25">
      <c r="A97" s="94" t="s">
        <v>400</v>
      </c>
    </row>
    <row r="98" spans="1:1" ht="13" x14ac:dyDescent="0.25">
      <c r="A98" s="94" t="s">
        <v>401</v>
      </c>
    </row>
    <row r="99" spans="1:1" ht="25.5" x14ac:dyDescent="0.25">
      <c r="A99" s="94" t="s">
        <v>402</v>
      </c>
    </row>
    <row r="100" spans="1:1" ht="25.5" x14ac:dyDescent="0.25">
      <c r="A100" s="94" t="s">
        <v>403</v>
      </c>
    </row>
    <row r="101" spans="1:1" ht="13" x14ac:dyDescent="0.25">
      <c r="A101" s="95" t="s">
        <v>269</v>
      </c>
    </row>
    <row r="102" spans="1:1" ht="25.5" x14ac:dyDescent="0.25">
      <c r="A102" s="94" t="s">
        <v>404</v>
      </c>
    </row>
    <row r="103" spans="1:1" ht="25.5" x14ac:dyDescent="0.25">
      <c r="A103" s="94" t="s">
        <v>405</v>
      </c>
    </row>
    <row r="104" spans="1:1" ht="25.5" x14ac:dyDescent="0.25">
      <c r="A104" s="94" t="s">
        <v>431</v>
      </c>
    </row>
    <row r="105" spans="1:1" ht="25.5" x14ac:dyDescent="0.25">
      <c r="A105" s="94" t="s">
        <v>406</v>
      </c>
    </row>
    <row r="106" spans="1:1" ht="13" x14ac:dyDescent="0.25">
      <c r="A106" s="95" t="s">
        <v>270</v>
      </c>
    </row>
    <row r="107" spans="1:1" ht="25.5" x14ac:dyDescent="0.25">
      <c r="A107" s="94" t="s">
        <v>407</v>
      </c>
    </row>
    <row r="108" spans="1:1" ht="25.5" x14ac:dyDescent="0.25">
      <c r="A108" s="94" t="s">
        <v>408</v>
      </c>
    </row>
    <row r="109" spans="1:1" ht="38" x14ac:dyDescent="0.25">
      <c r="A109" s="94" t="s">
        <v>409</v>
      </c>
    </row>
    <row r="110" spans="1:1" ht="25.5" x14ac:dyDescent="0.25">
      <c r="A110" s="94" t="s">
        <v>410</v>
      </c>
    </row>
    <row r="111" spans="1:1" ht="13" x14ac:dyDescent="0.25">
      <c r="A111" s="95" t="s">
        <v>358</v>
      </c>
    </row>
    <row r="112" spans="1:1" ht="38" x14ac:dyDescent="0.25">
      <c r="A112" s="94" t="s">
        <v>411</v>
      </c>
    </row>
    <row r="113" spans="1:1" ht="13" x14ac:dyDescent="0.25">
      <c r="A113" s="95" t="s">
        <v>271</v>
      </c>
    </row>
    <row r="114" spans="1:1" ht="38" x14ac:dyDescent="0.25">
      <c r="A114" s="94" t="s">
        <v>412</v>
      </c>
    </row>
    <row r="115" spans="1:1" ht="13" x14ac:dyDescent="0.25">
      <c r="A115" s="95" t="s">
        <v>359</v>
      </c>
    </row>
    <row r="116" spans="1:1" ht="38" x14ac:dyDescent="0.25">
      <c r="A116" s="94" t="s">
        <v>413</v>
      </c>
    </row>
    <row r="117" spans="1:1" ht="13" x14ac:dyDescent="0.25">
      <c r="A117" s="95" t="s">
        <v>360</v>
      </c>
    </row>
    <row r="118" spans="1:1" ht="50" x14ac:dyDescent="0.25">
      <c r="A118" s="94" t="s">
        <v>366</v>
      </c>
    </row>
    <row r="119" spans="1:1" ht="13" x14ac:dyDescent="0.25">
      <c r="A119" s="95"/>
    </row>
    <row r="120" spans="1:1" ht="37.5" x14ac:dyDescent="0.25">
      <c r="A120" s="94" t="s">
        <v>275</v>
      </c>
    </row>
    <row r="122" spans="1:1" ht="50" x14ac:dyDescent="0.25">
      <c r="A122" s="94" t="s">
        <v>274</v>
      </c>
    </row>
    <row r="124" spans="1:1" ht="39" x14ac:dyDescent="0.25">
      <c r="A124" s="95" t="s">
        <v>276</v>
      </c>
    </row>
    <row r="126" spans="1:1" ht="52" x14ac:dyDescent="0.25">
      <c r="A126" s="95" t="s">
        <v>277</v>
      </c>
    </row>
    <row r="127" spans="1:1" ht="13" x14ac:dyDescent="0.25">
      <c r="A127" s="95"/>
    </row>
    <row r="128" spans="1:1" ht="26" x14ac:dyDescent="0.25">
      <c r="A128" s="95" t="s">
        <v>432</v>
      </c>
    </row>
    <row r="129" spans="1:1" ht="13" x14ac:dyDescent="0.25">
      <c r="A129" s="95"/>
    </row>
    <row r="130" spans="1:1" ht="13" x14ac:dyDescent="0.25">
      <c r="A130" s="96" t="s">
        <v>278</v>
      </c>
    </row>
    <row r="132" spans="1:1" ht="50" x14ac:dyDescent="0.25">
      <c r="A132" s="94" t="s">
        <v>433</v>
      </c>
    </row>
    <row r="134" spans="1:1" ht="52" x14ac:dyDescent="0.25">
      <c r="A134" s="95" t="s">
        <v>308</v>
      </c>
    </row>
    <row r="136" spans="1:1" ht="65" x14ac:dyDescent="0.25">
      <c r="A136" s="95" t="s">
        <v>378</v>
      </c>
    </row>
    <row r="138" spans="1:1" x14ac:dyDescent="0.25">
      <c r="A138" s="94" t="s">
        <v>279</v>
      </c>
    </row>
    <row r="139" spans="1:1" ht="13" x14ac:dyDescent="0.25">
      <c r="A139" s="94" t="s">
        <v>414</v>
      </c>
    </row>
    <row r="140" spans="1:1" ht="25.5" x14ac:dyDescent="0.25">
      <c r="A140" s="94" t="s">
        <v>415</v>
      </c>
    </row>
    <row r="141" spans="1:1" ht="50.5" x14ac:dyDescent="0.25">
      <c r="A141" s="94" t="s">
        <v>416</v>
      </c>
    </row>
    <row r="142" spans="1:1" ht="25.5" x14ac:dyDescent="0.25">
      <c r="A142" s="94" t="s">
        <v>417</v>
      </c>
    </row>
    <row r="143" spans="1:1" ht="25.5" x14ac:dyDescent="0.25">
      <c r="A143" s="94" t="s">
        <v>418</v>
      </c>
    </row>
    <row r="144" spans="1:1" ht="25.5" x14ac:dyDescent="0.25">
      <c r="A144" s="94" t="s">
        <v>419</v>
      </c>
    </row>
    <row r="145" spans="1:1" ht="25.5" x14ac:dyDescent="0.25">
      <c r="A145" s="94" t="s">
        <v>420</v>
      </c>
    </row>
    <row r="146" spans="1:1" ht="38" x14ac:dyDescent="0.25">
      <c r="A146" s="94" t="s">
        <v>434</v>
      </c>
    </row>
    <row r="147" spans="1:1" ht="38" x14ac:dyDescent="0.25">
      <c r="A147" s="94" t="s">
        <v>421</v>
      </c>
    </row>
    <row r="149" spans="1:1" ht="25" x14ac:dyDescent="0.25">
      <c r="A149" s="94" t="s">
        <v>435</v>
      </c>
    </row>
    <row r="150" spans="1:1" ht="38" x14ac:dyDescent="0.25">
      <c r="A150" s="94" t="s">
        <v>396</v>
      </c>
    </row>
    <row r="151" spans="1:1" ht="25.5" x14ac:dyDescent="0.25">
      <c r="A151" s="94" t="s">
        <v>422</v>
      </c>
    </row>
    <row r="152" spans="1:1" ht="13" x14ac:dyDescent="0.25">
      <c r="A152" s="94" t="s">
        <v>423</v>
      </c>
    </row>
    <row r="153" spans="1:1" ht="13" x14ac:dyDescent="0.25">
      <c r="A153" s="94" t="s">
        <v>424</v>
      </c>
    </row>
    <row r="154" spans="1:1" ht="13" x14ac:dyDescent="0.25">
      <c r="A154" s="94" t="s">
        <v>436</v>
      </c>
    </row>
    <row r="155" spans="1:1" ht="13" x14ac:dyDescent="0.25">
      <c r="A155" s="94" t="s">
        <v>425</v>
      </c>
    </row>
    <row r="156" spans="1:1" ht="13" x14ac:dyDescent="0.25">
      <c r="A156" s="94" t="s">
        <v>426</v>
      </c>
    </row>
    <row r="158" spans="1:1" ht="52" x14ac:dyDescent="0.25">
      <c r="A158" s="95" t="s">
        <v>280</v>
      </c>
    </row>
    <row r="159" spans="1:1" ht="13" x14ac:dyDescent="0.25">
      <c r="A159" s="95"/>
    </row>
    <row r="160" spans="1:1" ht="52" x14ac:dyDescent="0.25">
      <c r="A160" s="95" t="s">
        <v>361</v>
      </c>
    </row>
    <row r="162" spans="1:1" ht="37.5" x14ac:dyDescent="0.25">
      <c r="A162" s="94" t="s">
        <v>281</v>
      </c>
    </row>
    <row r="164" spans="1:1" ht="13" x14ac:dyDescent="0.3">
      <c r="A164" s="101" t="s">
        <v>17</v>
      </c>
    </row>
    <row r="165" spans="1:1" ht="13" x14ac:dyDescent="0.3">
      <c r="A165" s="102"/>
    </row>
    <row r="166" spans="1:1" ht="37.5" x14ac:dyDescent="0.25">
      <c r="A166" s="103" t="s">
        <v>282</v>
      </c>
    </row>
    <row r="167" spans="1:1" ht="13" x14ac:dyDescent="0.3">
      <c r="A167" s="102"/>
    </row>
    <row r="168" spans="1:1" ht="26" x14ac:dyDescent="0.3">
      <c r="A168" s="102" t="s">
        <v>283</v>
      </c>
    </row>
    <row r="169" spans="1:1" ht="39" x14ac:dyDescent="0.3">
      <c r="A169" s="102" t="s">
        <v>289</v>
      </c>
    </row>
    <row r="170" spans="1:1" ht="39" x14ac:dyDescent="0.3">
      <c r="A170" s="102" t="s">
        <v>290</v>
      </c>
    </row>
    <row r="171" spans="1:1" ht="65" x14ac:dyDescent="0.3">
      <c r="A171" s="102" t="s">
        <v>291</v>
      </c>
    </row>
    <row r="172" spans="1:1" ht="39" x14ac:dyDescent="0.3">
      <c r="A172" s="102" t="s">
        <v>286</v>
      </c>
    </row>
    <row r="173" spans="1:1" ht="26" x14ac:dyDescent="0.3">
      <c r="A173" s="102" t="s">
        <v>437</v>
      </c>
    </row>
    <row r="174" spans="1:1" ht="39" x14ac:dyDescent="0.3">
      <c r="A174" s="102" t="s">
        <v>362</v>
      </c>
    </row>
    <row r="175" spans="1:1" ht="39" x14ac:dyDescent="0.3">
      <c r="A175" s="102" t="s">
        <v>287</v>
      </c>
    </row>
    <row r="176" spans="1:1" ht="65" x14ac:dyDescent="0.3">
      <c r="A176" s="102" t="s">
        <v>288</v>
      </c>
    </row>
    <row r="177" spans="1:1" ht="52" x14ac:dyDescent="0.3">
      <c r="A177" s="102" t="s">
        <v>363</v>
      </c>
    </row>
    <row r="178" spans="1:1" ht="13" x14ac:dyDescent="0.3">
      <c r="A178" s="102"/>
    </row>
    <row r="179" spans="1:1" ht="26" x14ac:dyDescent="0.3">
      <c r="A179" s="102" t="s">
        <v>292</v>
      </c>
    </row>
    <row r="181" spans="1:1" ht="13" x14ac:dyDescent="0.25">
      <c r="A181" s="96" t="s">
        <v>107</v>
      </c>
    </row>
    <row r="183" spans="1:1" ht="37.5" x14ac:dyDescent="0.25">
      <c r="A183" s="94" t="s">
        <v>294</v>
      </c>
    </row>
    <row r="185" spans="1:1" ht="39" x14ac:dyDescent="0.25">
      <c r="A185" s="95" t="s">
        <v>295</v>
      </c>
    </row>
    <row r="187" spans="1:1" ht="39" x14ac:dyDescent="0.25">
      <c r="A187" s="95" t="s">
        <v>438</v>
      </c>
    </row>
    <row r="188" spans="1:1" ht="13" x14ac:dyDescent="0.25">
      <c r="A188" s="95"/>
    </row>
    <row r="189" spans="1:1" ht="39" x14ac:dyDescent="0.25">
      <c r="A189" s="95" t="s">
        <v>296</v>
      </c>
    </row>
    <row r="191" spans="1:1" ht="13" x14ac:dyDescent="0.25">
      <c r="A191" s="96" t="s">
        <v>111</v>
      </c>
    </row>
    <row r="193" spans="1:1" ht="50" x14ac:dyDescent="0.25">
      <c r="A193" s="94" t="s">
        <v>297</v>
      </c>
    </row>
    <row r="195" spans="1:1" ht="26" x14ac:dyDescent="0.25">
      <c r="A195" s="95" t="s">
        <v>298</v>
      </c>
    </row>
    <row r="196" spans="1:1" ht="13" x14ac:dyDescent="0.25">
      <c r="A196" s="95"/>
    </row>
    <row r="197" spans="1:1" ht="39" x14ac:dyDescent="0.25">
      <c r="A197" s="95" t="s">
        <v>299</v>
      </c>
    </row>
    <row r="198" spans="1:1" ht="13" x14ac:dyDescent="0.25">
      <c r="A198" s="95"/>
    </row>
    <row r="199" spans="1:1" ht="26" x14ac:dyDescent="0.25">
      <c r="A199" s="95" t="s">
        <v>439</v>
      </c>
    </row>
    <row r="201" spans="1:1" ht="13" x14ac:dyDescent="0.25">
      <c r="A201" s="96" t="s">
        <v>300</v>
      </c>
    </row>
    <row r="203" spans="1:1" ht="37.5" x14ac:dyDescent="0.25">
      <c r="A203" s="94" t="s">
        <v>440</v>
      </c>
    </row>
    <row r="205" spans="1:1" ht="39" x14ac:dyDescent="0.25">
      <c r="A205" s="95" t="s">
        <v>301</v>
      </c>
    </row>
    <row r="207" spans="1:1" ht="39" x14ac:dyDescent="0.25">
      <c r="A207" s="95" t="s">
        <v>302</v>
      </c>
    </row>
    <row r="209" spans="1:1" ht="25" x14ac:dyDescent="0.25">
      <c r="A209" s="94" t="s">
        <v>441</v>
      </c>
    </row>
    <row r="211" spans="1:1" ht="50" x14ac:dyDescent="0.25">
      <c r="A211" s="94" t="s">
        <v>303</v>
      </c>
    </row>
    <row r="213" spans="1:1" ht="25" x14ac:dyDescent="0.25">
      <c r="A213" s="94" t="s">
        <v>364</v>
      </c>
    </row>
    <row r="214" spans="1:1" ht="26" x14ac:dyDescent="0.3">
      <c r="A214" s="102" t="s">
        <v>365</v>
      </c>
    </row>
    <row r="215" spans="1:1" ht="26" x14ac:dyDescent="0.3">
      <c r="A215" s="102" t="s">
        <v>304</v>
      </c>
    </row>
    <row r="216" spans="1:1" ht="26" x14ac:dyDescent="0.3">
      <c r="A216" s="102" t="s">
        <v>305</v>
      </c>
    </row>
    <row r="217" spans="1:1" ht="26" x14ac:dyDescent="0.3">
      <c r="A217" s="102" t="s">
        <v>306</v>
      </c>
    </row>
    <row r="218" spans="1:1" ht="26" x14ac:dyDescent="0.3">
      <c r="A218" s="102" t="s">
        <v>307</v>
      </c>
    </row>
    <row r="220" spans="1:1" ht="39" x14ac:dyDescent="0.25">
      <c r="A220" s="95" t="s">
        <v>309</v>
      </c>
    </row>
    <row r="222" spans="1:1" ht="13" x14ac:dyDescent="0.3">
      <c r="A222" s="104" t="s">
        <v>3</v>
      </c>
    </row>
    <row r="223" spans="1:1" x14ac:dyDescent="0.25">
      <c r="A223" s="103"/>
    </row>
    <row r="224" spans="1:1" ht="50" x14ac:dyDescent="0.25">
      <c r="A224" s="103" t="s">
        <v>2</v>
      </c>
    </row>
    <row r="225" spans="1:1" x14ac:dyDescent="0.25">
      <c r="A225" s="103"/>
    </row>
    <row r="226" spans="1:1" s="105" customFormat="1" ht="13" x14ac:dyDescent="0.3">
      <c r="A226" s="101" t="s">
        <v>310</v>
      </c>
    </row>
    <row r="227" spans="1:1" s="105" customFormat="1" ht="13" x14ac:dyDescent="0.3">
      <c r="A227" s="101"/>
    </row>
    <row r="228" spans="1:1" s="105" customFormat="1" ht="75" x14ac:dyDescent="0.25">
      <c r="A228" s="103" t="s">
        <v>311</v>
      </c>
    </row>
  </sheetData>
  <sheetProtection selectLockedCells="1"/>
  <phoneticPr fontId="2" type="noConversion"/>
  <hyperlinks>
    <hyperlink ref="A3" r:id="rId1" xr:uid="{00000000-0004-0000-0300-000000000000}"/>
  </hyperlinks>
  <pageMargins left="0.39370078740157483" right="0.39370078740157483" top="0.59055118110236227" bottom="0.59055118110236227" header="0.39370078740157483" footer="0.39370078740157483"/>
  <pageSetup paperSize="9" scale="88" fitToHeight="0" orientation="portrait" r:id="rId2"/>
  <headerFooter alignWithMargins="0">
    <oddFooter>&amp;C&amp;9Page &amp;P of &amp;N</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G64"/>
  <sheetViews>
    <sheetView zoomScale="95" zoomScaleNormal="95" workbookViewId="0">
      <selection activeCell="C5" sqref="C5:D5"/>
    </sheetView>
  </sheetViews>
  <sheetFormatPr defaultColWidth="9.08984375" defaultRowHeight="16" customHeight="1" x14ac:dyDescent="0.25"/>
  <cols>
    <col min="1" max="1" width="9.6328125" style="4" customWidth="1"/>
    <col min="2" max="2" width="8.6328125" style="4" customWidth="1"/>
    <col min="3" max="3" width="30.6328125" style="4" customWidth="1"/>
    <col min="4" max="4" width="12.6328125" style="4" customWidth="1"/>
    <col min="5" max="6" width="12.6328125" style="5" customWidth="1"/>
    <col min="7" max="8" width="12.6328125" style="4" customWidth="1"/>
    <col min="9" max="9" width="15.6328125" style="4" customWidth="1"/>
    <col min="10" max="16384" width="9.08984375" style="4"/>
  </cols>
  <sheetData>
    <row r="1" spans="1:6" ht="16" customHeight="1" x14ac:dyDescent="0.3">
      <c r="A1" s="92" t="str">
        <f>$C$5</f>
        <v>Example (Pty) Ltd</v>
      </c>
      <c r="B1" s="3"/>
      <c r="C1" s="3"/>
    </row>
    <row r="2" spans="1:6" ht="16" customHeight="1" x14ac:dyDescent="0.25">
      <c r="A2" s="6" t="s">
        <v>86</v>
      </c>
      <c r="B2" s="6"/>
      <c r="C2" s="6"/>
    </row>
    <row r="3" spans="1:6" ht="16" customHeight="1" x14ac:dyDescent="0.25">
      <c r="F3" s="7"/>
    </row>
    <row r="4" spans="1:6" ht="16" customHeight="1" x14ac:dyDescent="0.25">
      <c r="A4" s="3" t="s">
        <v>9</v>
      </c>
      <c r="B4" s="3"/>
      <c r="C4" s="3"/>
    </row>
    <row r="5" spans="1:6" ht="16" customHeight="1" x14ac:dyDescent="0.25">
      <c r="A5" s="4" t="s">
        <v>8</v>
      </c>
      <c r="C5" s="111" t="s">
        <v>1</v>
      </c>
      <c r="D5" s="111"/>
    </row>
    <row r="6" spans="1:6" ht="16" customHeight="1" x14ac:dyDescent="0.25">
      <c r="E6" s="4"/>
      <c r="F6" s="4"/>
    </row>
    <row r="7" spans="1:6" ht="16" customHeight="1" x14ac:dyDescent="0.25">
      <c r="A7" s="4" t="s">
        <v>97</v>
      </c>
      <c r="C7" s="8">
        <v>42401</v>
      </c>
      <c r="D7" s="9"/>
    </row>
    <row r="8" spans="1:6" ht="16" customHeight="1" x14ac:dyDescent="0.25">
      <c r="D8" s="9"/>
    </row>
    <row r="9" spans="1:6" ht="16" customHeight="1" x14ac:dyDescent="0.25">
      <c r="A9" s="4" t="s">
        <v>320</v>
      </c>
      <c r="D9" s="10" t="s">
        <v>339</v>
      </c>
      <c r="E9" s="11" t="str">
        <f>IF(ISBLANK($D$9),"Monthly",$D$9)</f>
        <v>Monthly</v>
      </c>
    </row>
    <row r="10" spans="1:6" ht="16" customHeight="1" x14ac:dyDescent="0.25">
      <c r="D10" s="9"/>
    </row>
    <row r="11" spans="1:6" ht="16" customHeight="1" x14ac:dyDescent="0.25">
      <c r="A11" s="4" t="s">
        <v>321</v>
      </c>
      <c r="D11" s="12">
        <v>0</v>
      </c>
      <c r="E11" s="11">
        <f>IF(ISBLANK(D11),0,D11)</f>
        <v>0</v>
      </c>
    </row>
    <row r="12" spans="1:6" ht="16" customHeight="1" x14ac:dyDescent="0.25">
      <c r="D12" s="9"/>
    </row>
    <row r="13" spans="1:6" ht="16" customHeight="1" x14ac:dyDescent="0.25">
      <c r="A13" s="4" t="s">
        <v>319</v>
      </c>
      <c r="D13" s="12" t="s">
        <v>318</v>
      </c>
      <c r="E13" s="11">
        <f>IF(ISBLANK(D13),0,IF(D13="No",1,0))</f>
        <v>1</v>
      </c>
    </row>
    <row r="14" spans="1:6" ht="16" customHeight="1" x14ac:dyDescent="0.25">
      <c r="D14" s="9"/>
    </row>
    <row r="15" spans="1:6" ht="16" customHeight="1" x14ac:dyDescent="0.25">
      <c r="A15" s="3" t="s">
        <v>40</v>
      </c>
      <c r="B15" s="3"/>
      <c r="C15" s="3"/>
    </row>
    <row r="16" spans="1:6" s="6" customFormat="1" ht="16" customHeight="1" x14ac:dyDescent="0.25">
      <c r="A16" s="6" t="s">
        <v>10</v>
      </c>
      <c r="B16" s="6" t="s">
        <v>5</v>
      </c>
      <c r="E16" s="13"/>
      <c r="F16" s="13"/>
    </row>
    <row r="17" spans="1:7" ht="16" customHeight="1" x14ac:dyDescent="0.25">
      <c r="A17" s="14" t="s">
        <v>159</v>
      </c>
      <c r="B17" s="15" t="s">
        <v>160</v>
      </c>
      <c r="C17" s="16"/>
      <c r="D17" s="17"/>
    </row>
    <row r="18" spans="1:7" ht="16" customHeight="1" x14ac:dyDescent="0.25">
      <c r="A18" s="14" t="s">
        <v>41</v>
      </c>
      <c r="B18" s="15" t="s">
        <v>175</v>
      </c>
      <c r="C18" s="16"/>
      <c r="D18" s="17"/>
    </row>
    <row r="19" spans="1:7" ht="16" customHeight="1" x14ac:dyDescent="0.25">
      <c r="A19" s="14" t="s">
        <v>42</v>
      </c>
      <c r="B19" s="15" t="s">
        <v>46</v>
      </c>
      <c r="C19" s="16"/>
      <c r="D19" s="17"/>
    </row>
    <row r="20" spans="1:7" ht="16" customHeight="1" x14ac:dyDescent="0.25">
      <c r="A20" s="14" t="s">
        <v>43</v>
      </c>
      <c r="B20" s="15" t="s">
        <v>47</v>
      </c>
      <c r="C20" s="16"/>
      <c r="D20" s="17"/>
    </row>
    <row r="21" spans="1:7" ht="16" customHeight="1" x14ac:dyDescent="0.25">
      <c r="A21" s="14" t="s">
        <v>44</v>
      </c>
      <c r="B21" s="15" t="s">
        <v>89</v>
      </c>
      <c r="C21" s="16"/>
      <c r="D21" s="17"/>
    </row>
    <row r="22" spans="1:7" ht="16" customHeight="1" x14ac:dyDescent="0.25">
      <c r="A22" s="14" t="s">
        <v>45</v>
      </c>
      <c r="B22" s="15" t="s">
        <v>48</v>
      </c>
      <c r="C22" s="16"/>
      <c r="D22" s="17"/>
    </row>
    <row r="23" spans="1:7" s="6" customFormat="1" ht="16" customHeight="1" x14ac:dyDescent="0.25">
      <c r="A23" s="6" t="s">
        <v>49</v>
      </c>
      <c r="B23" s="112" t="s">
        <v>50</v>
      </c>
      <c r="C23" s="112"/>
      <c r="D23" s="112"/>
      <c r="E23" s="13"/>
      <c r="F23" s="13"/>
    </row>
    <row r="24" spans="1:7" ht="16" customHeight="1" x14ac:dyDescent="0.25">
      <c r="B24" s="9"/>
      <c r="C24" s="9"/>
      <c r="D24" s="9"/>
    </row>
    <row r="25" spans="1:7" ht="16" customHeight="1" x14ac:dyDescent="0.25">
      <c r="A25" s="3" t="s">
        <v>51</v>
      </c>
      <c r="B25" s="3"/>
      <c r="C25" s="3"/>
    </row>
    <row r="26" spans="1:7" s="6" customFormat="1" ht="16" customHeight="1" x14ac:dyDescent="0.25">
      <c r="A26" s="6" t="s">
        <v>10</v>
      </c>
      <c r="B26" s="6" t="s">
        <v>20</v>
      </c>
      <c r="C26" s="6" t="s">
        <v>5</v>
      </c>
      <c r="D26" s="13" t="s">
        <v>108</v>
      </c>
      <c r="E26" s="13" t="s">
        <v>124</v>
      </c>
      <c r="F26" s="13" t="s">
        <v>125</v>
      </c>
      <c r="G26" s="13" t="s">
        <v>127</v>
      </c>
    </row>
    <row r="27" spans="1:7" ht="16" customHeight="1" x14ac:dyDescent="0.25">
      <c r="A27" s="14" t="s">
        <v>170</v>
      </c>
      <c r="B27" s="14" t="s">
        <v>159</v>
      </c>
      <c r="C27" s="18" t="s">
        <v>160</v>
      </c>
      <c r="D27" s="12" t="s">
        <v>112</v>
      </c>
      <c r="E27" s="12" t="s">
        <v>68</v>
      </c>
      <c r="F27" s="12" t="s">
        <v>57</v>
      </c>
      <c r="G27" s="12" t="s">
        <v>128</v>
      </c>
    </row>
    <row r="28" spans="1:7" ht="16" customHeight="1" x14ac:dyDescent="0.25">
      <c r="A28" s="14" t="s">
        <v>166</v>
      </c>
      <c r="B28" s="14" t="s">
        <v>41</v>
      </c>
      <c r="C28" s="18" t="s">
        <v>52</v>
      </c>
      <c r="D28" s="12" t="s">
        <v>113</v>
      </c>
      <c r="E28" s="12" t="s">
        <v>69</v>
      </c>
      <c r="F28" s="12" t="s">
        <v>58</v>
      </c>
      <c r="G28" s="12" t="s">
        <v>128</v>
      </c>
    </row>
    <row r="29" spans="1:7" ht="16" customHeight="1" x14ac:dyDescent="0.25">
      <c r="A29" s="14" t="s">
        <v>167</v>
      </c>
      <c r="B29" s="14" t="s">
        <v>41</v>
      </c>
      <c r="C29" s="18" t="s">
        <v>53</v>
      </c>
      <c r="D29" s="12" t="s">
        <v>114</v>
      </c>
      <c r="E29" s="12" t="s">
        <v>70</v>
      </c>
      <c r="F29" s="12" t="s">
        <v>59</v>
      </c>
      <c r="G29" s="12" t="s">
        <v>128</v>
      </c>
    </row>
    <row r="30" spans="1:7" ht="16" customHeight="1" x14ac:dyDescent="0.25">
      <c r="A30" s="14" t="s">
        <v>168</v>
      </c>
      <c r="B30" s="14" t="s">
        <v>41</v>
      </c>
      <c r="C30" s="18" t="s">
        <v>54</v>
      </c>
      <c r="D30" s="12" t="s">
        <v>115</v>
      </c>
      <c r="E30" s="12" t="s">
        <v>71</v>
      </c>
      <c r="F30" s="12" t="s">
        <v>60</v>
      </c>
      <c r="G30" s="12" t="s">
        <v>128</v>
      </c>
    </row>
    <row r="31" spans="1:7" ht="16" customHeight="1" x14ac:dyDescent="0.25">
      <c r="A31" s="14" t="s">
        <v>169</v>
      </c>
      <c r="B31" s="14" t="s">
        <v>41</v>
      </c>
      <c r="C31" s="18" t="s">
        <v>55</v>
      </c>
      <c r="D31" s="12" t="s">
        <v>116</v>
      </c>
      <c r="E31" s="12" t="s">
        <v>72</v>
      </c>
      <c r="F31" s="12" t="s">
        <v>61</v>
      </c>
      <c r="G31" s="12" t="s">
        <v>128</v>
      </c>
    </row>
    <row r="32" spans="1:7" ht="16" customHeight="1" x14ac:dyDescent="0.25">
      <c r="A32" s="14" t="s">
        <v>165</v>
      </c>
      <c r="B32" s="14" t="s">
        <v>41</v>
      </c>
      <c r="C32" s="18" t="s">
        <v>56</v>
      </c>
      <c r="D32" s="12" t="s">
        <v>117</v>
      </c>
      <c r="E32" s="12" t="s">
        <v>73</v>
      </c>
      <c r="F32" s="12" t="s">
        <v>62</v>
      </c>
      <c r="G32" s="12" t="s">
        <v>128</v>
      </c>
    </row>
    <row r="33" spans="1:7" ht="16" customHeight="1" x14ac:dyDescent="0.25">
      <c r="A33" s="14" t="s">
        <v>161</v>
      </c>
      <c r="B33" s="14" t="s">
        <v>42</v>
      </c>
      <c r="C33" s="18" t="s">
        <v>163</v>
      </c>
      <c r="D33" s="12" t="s">
        <v>118</v>
      </c>
      <c r="E33" s="12" t="s">
        <v>74</v>
      </c>
      <c r="F33" s="12" t="s">
        <v>63</v>
      </c>
      <c r="G33" s="12" t="s">
        <v>128</v>
      </c>
    </row>
    <row r="34" spans="1:7" ht="16" customHeight="1" x14ac:dyDescent="0.25">
      <c r="A34" s="14" t="s">
        <v>162</v>
      </c>
      <c r="B34" s="14" t="s">
        <v>42</v>
      </c>
      <c r="C34" s="18" t="s">
        <v>164</v>
      </c>
      <c r="D34" s="12" t="s">
        <v>119</v>
      </c>
      <c r="E34" s="12" t="s">
        <v>75</v>
      </c>
      <c r="F34" s="12" t="s">
        <v>64</v>
      </c>
      <c r="G34" s="12" t="s">
        <v>128</v>
      </c>
    </row>
    <row r="35" spans="1:7" ht="16" customHeight="1" x14ac:dyDescent="0.25">
      <c r="A35" s="14" t="s">
        <v>203</v>
      </c>
      <c r="B35" s="14" t="s">
        <v>43</v>
      </c>
      <c r="C35" s="18" t="s">
        <v>47</v>
      </c>
      <c r="D35" s="12" t="s">
        <v>120</v>
      </c>
      <c r="E35" s="12" t="s">
        <v>76</v>
      </c>
      <c r="F35" s="12" t="s">
        <v>65</v>
      </c>
      <c r="G35" s="12" t="s">
        <v>128</v>
      </c>
    </row>
    <row r="36" spans="1:7" ht="16" customHeight="1" x14ac:dyDescent="0.25">
      <c r="A36" s="14" t="s">
        <v>204</v>
      </c>
      <c r="B36" s="14" t="s">
        <v>44</v>
      </c>
      <c r="C36" s="18" t="s">
        <v>89</v>
      </c>
      <c r="D36" s="12" t="s">
        <v>121</v>
      </c>
      <c r="E36" s="12" t="s">
        <v>77</v>
      </c>
      <c r="F36" s="12" t="s">
        <v>66</v>
      </c>
      <c r="G36" s="12" t="s">
        <v>128</v>
      </c>
    </row>
    <row r="37" spans="1:7" ht="16" customHeight="1" x14ac:dyDescent="0.25">
      <c r="A37" s="14" t="s">
        <v>205</v>
      </c>
      <c r="B37" s="14" t="s">
        <v>45</v>
      </c>
      <c r="C37" s="18" t="s">
        <v>48</v>
      </c>
      <c r="D37" s="12" t="s">
        <v>122</v>
      </c>
      <c r="E37" s="12" t="s">
        <v>78</v>
      </c>
      <c r="F37" s="12" t="s">
        <v>67</v>
      </c>
      <c r="G37" s="12" t="s">
        <v>128</v>
      </c>
    </row>
    <row r="38" spans="1:7" s="6" customFormat="1" ht="16" customHeight="1" x14ac:dyDescent="0.25">
      <c r="A38" s="6" t="s">
        <v>49</v>
      </c>
      <c r="B38" s="19" t="s">
        <v>50</v>
      </c>
      <c r="D38" s="19"/>
      <c r="E38" s="13"/>
      <c r="F38" s="13"/>
    </row>
    <row r="39" spans="1:7" ht="16" customHeight="1" x14ac:dyDescent="0.25">
      <c r="B39" s="9"/>
      <c r="C39" s="9"/>
      <c r="D39" s="5"/>
    </row>
    <row r="40" spans="1:7" ht="16" customHeight="1" x14ac:dyDescent="0.25">
      <c r="A40" s="3" t="s">
        <v>16</v>
      </c>
      <c r="D40" s="5"/>
      <c r="F40" s="20"/>
      <c r="G40" s="21"/>
    </row>
    <row r="41" spans="1:7" ht="16" customHeight="1" x14ac:dyDescent="0.25">
      <c r="A41" s="6" t="s">
        <v>10</v>
      </c>
      <c r="B41" s="6" t="s">
        <v>12</v>
      </c>
      <c r="C41" s="6"/>
      <c r="F41" s="22"/>
      <c r="G41" s="23"/>
    </row>
    <row r="42" spans="1:7" ht="16" customHeight="1" x14ac:dyDescent="0.25">
      <c r="A42" s="24" t="s">
        <v>13</v>
      </c>
      <c r="B42" s="110" t="s">
        <v>284</v>
      </c>
      <c r="C42" s="110"/>
      <c r="D42" s="110"/>
      <c r="E42" s="110"/>
    </row>
    <row r="43" spans="1:7" ht="16" customHeight="1" x14ac:dyDescent="0.25">
      <c r="A43" s="24" t="s">
        <v>14</v>
      </c>
      <c r="B43" s="110" t="s">
        <v>133</v>
      </c>
      <c r="C43" s="110"/>
      <c r="D43" s="110"/>
      <c r="E43" s="110"/>
    </row>
    <row r="44" spans="1:7" ht="16" customHeight="1" x14ac:dyDescent="0.25">
      <c r="A44" s="24" t="s">
        <v>15</v>
      </c>
      <c r="B44" s="110" t="s">
        <v>285</v>
      </c>
      <c r="C44" s="110"/>
      <c r="D44" s="110"/>
      <c r="E44" s="110"/>
    </row>
    <row r="45" spans="1:7" ht="16" customHeight="1" x14ac:dyDescent="0.25">
      <c r="A45" s="24" t="s">
        <v>136</v>
      </c>
      <c r="B45" s="110" t="s">
        <v>152</v>
      </c>
      <c r="C45" s="110"/>
      <c r="D45" s="110"/>
      <c r="E45" s="110"/>
    </row>
    <row r="46" spans="1:7" ht="16" customHeight="1" x14ac:dyDescent="0.25">
      <c r="A46" s="24" t="s">
        <v>137</v>
      </c>
      <c r="B46" s="110" t="s">
        <v>138</v>
      </c>
      <c r="C46" s="110"/>
      <c r="D46" s="110"/>
      <c r="E46" s="110"/>
    </row>
    <row r="47" spans="1:7" ht="16" customHeight="1" x14ac:dyDescent="0.25">
      <c r="A47" s="24" t="s">
        <v>139</v>
      </c>
      <c r="B47" s="110" t="s">
        <v>144</v>
      </c>
      <c r="C47" s="110"/>
      <c r="D47" s="110"/>
      <c r="E47" s="110"/>
    </row>
    <row r="48" spans="1:7" ht="16" customHeight="1" x14ac:dyDescent="0.25">
      <c r="A48" s="24" t="s">
        <v>140</v>
      </c>
      <c r="B48" s="110" t="s">
        <v>141</v>
      </c>
      <c r="C48" s="110"/>
      <c r="D48" s="110"/>
      <c r="E48" s="110"/>
    </row>
    <row r="49" spans="1:5" ht="16" customHeight="1" x14ac:dyDescent="0.25">
      <c r="A49" s="24" t="s">
        <v>142</v>
      </c>
      <c r="B49" s="110" t="s">
        <v>145</v>
      </c>
      <c r="C49" s="110"/>
      <c r="D49" s="110"/>
      <c r="E49" s="110"/>
    </row>
    <row r="50" spans="1:5" ht="16" customHeight="1" x14ac:dyDescent="0.25">
      <c r="A50" s="24" t="s">
        <v>143</v>
      </c>
      <c r="B50" s="110" t="s">
        <v>146</v>
      </c>
      <c r="C50" s="110"/>
      <c r="D50" s="110"/>
      <c r="E50" s="110"/>
    </row>
    <row r="51" spans="1:5" ht="16" customHeight="1" x14ac:dyDescent="0.25">
      <c r="A51" s="24" t="s">
        <v>147</v>
      </c>
      <c r="B51" s="110" t="s">
        <v>148</v>
      </c>
      <c r="C51" s="110"/>
      <c r="D51" s="110"/>
      <c r="E51" s="110"/>
    </row>
    <row r="53" spans="1:5" ht="16" customHeight="1" x14ac:dyDescent="0.25">
      <c r="A53" s="25">
        <f ca="1">DATE(YEAR(TODAY()),1,1)</f>
        <v>45292</v>
      </c>
    </row>
    <row r="54" spans="1:5" ht="16" customHeight="1" x14ac:dyDescent="0.25">
      <c r="A54" s="25">
        <f ca="1">DATE(YEAR(TODAY()),2,1)</f>
        <v>45323</v>
      </c>
    </row>
    <row r="55" spans="1:5" ht="16" customHeight="1" x14ac:dyDescent="0.25">
      <c r="A55" s="25">
        <f ca="1">DATE(YEAR(TODAY()),3,1)</f>
        <v>45352</v>
      </c>
    </row>
    <row r="56" spans="1:5" ht="16" customHeight="1" x14ac:dyDescent="0.25">
      <c r="A56" s="25">
        <f ca="1">DATE(YEAR(TODAY()),4,1)</f>
        <v>45383</v>
      </c>
    </row>
    <row r="57" spans="1:5" ht="16" customHeight="1" x14ac:dyDescent="0.25">
      <c r="A57" s="25">
        <f ca="1">DATE(YEAR(TODAY()),5,1)</f>
        <v>45413</v>
      </c>
    </row>
    <row r="58" spans="1:5" ht="16" customHeight="1" x14ac:dyDescent="0.25">
      <c r="A58" s="25">
        <f ca="1">DATE(YEAR(TODAY()),6,1)</f>
        <v>45444</v>
      </c>
    </row>
    <row r="59" spans="1:5" ht="16" customHeight="1" x14ac:dyDescent="0.25">
      <c r="A59" s="25">
        <f ca="1">DATE(YEAR(TODAY()),7,1)</f>
        <v>45474</v>
      </c>
    </row>
    <row r="60" spans="1:5" ht="16" customHeight="1" x14ac:dyDescent="0.25">
      <c r="A60" s="25">
        <f ca="1">DATE(YEAR(TODAY()),8,1)</f>
        <v>45505</v>
      </c>
    </row>
    <row r="61" spans="1:5" ht="16" customHeight="1" x14ac:dyDescent="0.25">
      <c r="A61" s="25">
        <f ca="1">DATE(YEAR(TODAY()),9,1)</f>
        <v>45536</v>
      </c>
    </row>
    <row r="62" spans="1:5" ht="16" customHeight="1" x14ac:dyDescent="0.25">
      <c r="A62" s="25">
        <f ca="1">DATE(YEAR(TODAY()),10,1)</f>
        <v>45566</v>
      </c>
    </row>
    <row r="63" spans="1:5" ht="16" customHeight="1" x14ac:dyDescent="0.25">
      <c r="A63" s="25">
        <f ca="1">DATE(YEAR(TODAY()),11,1)</f>
        <v>45597</v>
      </c>
    </row>
    <row r="64" spans="1:5" ht="16" customHeight="1" x14ac:dyDescent="0.25">
      <c r="A64" s="25">
        <f ca="1">DATE(YEAR(TODAY()),12,1)</f>
        <v>45627</v>
      </c>
    </row>
  </sheetData>
  <mergeCells count="12">
    <mergeCell ref="B45:E45"/>
    <mergeCell ref="C5:D5"/>
    <mergeCell ref="B23:D23"/>
    <mergeCell ref="B42:E42"/>
    <mergeCell ref="B43:E43"/>
    <mergeCell ref="B44:E44"/>
    <mergeCell ref="B51:E51"/>
    <mergeCell ref="B46:E46"/>
    <mergeCell ref="B47:E47"/>
    <mergeCell ref="B48:E48"/>
    <mergeCell ref="B49:E49"/>
    <mergeCell ref="B50:E50"/>
  </mergeCells>
  <phoneticPr fontId="2" type="noConversion"/>
  <dataValidations count="5">
    <dataValidation type="list" allowBlank="1" showInputMessage="1" showErrorMessage="1" errorTitle="Invalid Data" error="Select a valid item from the list box." sqref="C7" xr:uid="{00000000-0002-0000-0400-000000000000}">
      <formula1>MonthNames</formula1>
    </dataValidation>
    <dataValidation type="list" allowBlank="1" showInputMessage="1" showErrorMessage="1" errorTitle="Invalid Data" error="Select a valid class code from the list box." sqref="B27:B37" xr:uid="{00000000-0002-0000-0400-000001000000}">
      <formula1>ClassCode</formula1>
    </dataValidation>
    <dataValidation type="list" allowBlank="1" showInputMessage="1" showErrorMessage="1" errorTitle="Invalid Data" error="Select a valid entry from the list box." sqref="D11" xr:uid="{00000000-0002-0000-0400-000002000000}">
      <formula1>"0,1"</formula1>
    </dataValidation>
    <dataValidation type="list" allowBlank="1" showInputMessage="1" showErrorMessage="1" errorTitle="Invalid Data" error="Select a valid entry from the list box." sqref="D13" xr:uid="{00000000-0002-0000-0400-000003000000}">
      <formula1>"Yes,No"</formula1>
    </dataValidation>
    <dataValidation type="list" allowBlank="1" showInputMessage="1" showErrorMessage="1" errorTitle="Invalid Data" error="Select a valid item from the list box." sqref="D9" xr:uid="{00000000-0002-0000-0400-000004000000}">
      <formula1>"Monthly,Daily"</formula1>
    </dataValidation>
  </dataValidations>
  <pageMargins left="0.55118110236220474" right="0.55118110236220474" top="0.59055118110236227" bottom="0.59055118110236227" header="0.39370078740157483" footer="0.39370078740157483"/>
  <pageSetup paperSize="9" scale="81" orientation="portrait" r:id="rId1"/>
  <headerFooter alignWithMargins="0">
    <oddFooter>&amp;C&amp;9Page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T44"/>
  <sheetViews>
    <sheetView zoomScale="95" zoomScaleNormal="95" workbookViewId="0">
      <pane xSplit="7" ySplit="4" topLeftCell="H5" activePane="bottomRight" state="frozen"/>
      <selection pane="topRight" activeCell="H1" sqref="H1"/>
      <selection pane="bottomLeft" activeCell="A5" sqref="A5"/>
      <selection pane="bottomRight" activeCell="A4" sqref="A4"/>
    </sheetView>
  </sheetViews>
  <sheetFormatPr defaultColWidth="9.08984375" defaultRowHeight="16" customHeight="1" x14ac:dyDescent="0.25"/>
  <cols>
    <col min="1" max="1" width="12.6328125" style="9" customWidth="1"/>
    <col min="2" max="2" width="14.6328125" style="9" customWidth="1"/>
    <col min="3" max="3" width="40.6328125" style="9" customWidth="1"/>
    <col min="4" max="4" width="13.08984375" style="5" customWidth="1"/>
    <col min="5" max="5" width="11.6328125" style="5" customWidth="1"/>
    <col min="6" max="6" width="13.6328125" style="5" customWidth="1"/>
    <col min="7" max="7" width="8.6328125" style="5" customWidth="1"/>
    <col min="8" max="8" width="13.6328125" style="5" customWidth="1"/>
    <col min="9" max="9" width="13.6328125" style="30" customWidth="1"/>
    <col min="10" max="10" width="13.6328125" style="29" customWidth="1"/>
    <col min="11" max="11" width="13.6328125" style="5" customWidth="1"/>
    <col min="12" max="12" width="12.6328125" style="29" customWidth="1"/>
    <col min="13" max="13" width="12.6328125" style="30" customWidth="1"/>
    <col min="14" max="14" width="12.6328125" style="31" customWidth="1"/>
    <col min="15" max="25" width="14.6328125" style="32" customWidth="1"/>
    <col min="26" max="29" width="9.6328125" style="5" customWidth="1"/>
    <col min="30" max="30" width="9.6328125" style="33" customWidth="1"/>
    <col min="31" max="32" width="9.6328125" style="34" customWidth="1"/>
    <col min="33" max="37" width="9.6328125" style="5" customWidth="1"/>
    <col min="38" max="38" width="9.6328125" style="4" customWidth="1"/>
    <col min="39" max="39" width="9.6328125" style="35" customWidth="1"/>
    <col min="40" max="40" width="9.90625" style="36" customWidth="1"/>
    <col min="41" max="42" width="9.6328125" style="4" customWidth="1"/>
    <col min="43" max="43" width="9.6328125" style="35" customWidth="1"/>
    <col min="44" max="44" width="9.6328125" style="36" customWidth="1"/>
    <col min="45" max="45" width="9.6328125" style="4" customWidth="1"/>
    <col min="46" max="46" width="11.36328125" style="4" customWidth="1"/>
    <col min="47" max="16384" width="9.08984375" style="4"/>
  </cols>
  <sheetData>
    <row r="1" spans="1:45" ht="16" customHeight="1" x14ac:dyDescent="0.3">
      <c r="A1" s="90" t="str">
        <f>'Set-up'!$C$5</f>
        <v>Example (Pty) Ltd</v>
      </c>
      <c r="H1" s="26" t="s">
        <v>149</v>
      </c>
      <c r="I1" s="27" t="s">
        <v>150</v>
      </c>
      <c r="J1" s="28" t="s">
        <v>110</v>
      </c>
      <c r="K1" s="26" t="s">
        <v>151</v>
      </c>
    </row>
    <row r="2" spans="1:45" s="6" customFormat="1" ht="16" customHeight="1" x14ac:dyDescent="0.25">
      <c r="A2" s="19" t="s">
        <v>85</v>
      </c>
      <c r="B2" s="19"/>
      <c r="C2" s="19"/>
      <c r="D2" s="37" t="s">
        <v>98</v>
      </c>
      <c r="E2" s="38">
        <v>44255</v>
      </c>
      <c r="F2" s="4"/>
      <c r="G2" s="5"/>
      <c r="H2" s="30">
        <f ca="1">IF(OR(ISBLANK($E$2)=TRUE,ISNUMBER($E$2)=FALSE),IF(MONTH(TODAY())&lt;=MONTH('Set-up'!$C$7),DATE(YEAR(TODAY())-1,MONTH('Set-up'!$C$7)+1,1),DATE(YEAR(TODAY()),MONTH('Set-up'!$C$7)+1,1)),IF(MONTH($E$2)&lt;=MONTH('Set-up'!$C$7),DATE(YEAR($E$2)-1,MONTH('Set-up'!$C$7)+1,1),DATE(YEAR($E$2),MONTH('Set-up'!$C$7)+1,1)))</f>
        <v>43891</v>
      </c>
      <c r="I2" s="30">
        <f ca="1">IF(OR(ISBLANK($E$2)=TRUE,ISNUMBER($E$2)=FALSE),DATE(YEAR(TODAY()),MONTH(TODAY())+1,0),DATE(YEAR($E$2),MONTH($E$2)+1,0))</f>
        <v>44255</v>
      </c>
      <c r="J2" s="30">
        <f ca="1">DATE(YEAR(I2),MONTH(I2),0)+1</f>
        <v>44228</v>
      </c>
      <c r="K2" s="30">
        <f ca="1">I2</f>
        <v>44255</v>
      </c>
      <c r="L2" s="39"/>
      <c r="M2" s="40"/>
      <c r="N2" s="39"/>
      <c r="O2" s="41">
        <f ca="1">SUBTOTAL(109,AssetCOB)</f>
        <v>7105670</v>
      </c>
      <c r="P2" s="41">
        <f ca="1">SUBTOTAL(109,AssetCAdd)</f>
        <v>375919</v>
      </c>
      <c r="Q2" s="41">
        <f ca="1">SUBTOTAL(109,AssetCDis)</f>
        <v>-660450</v>
      </c>
      <c r="R2" s="41">
        <f ca="1">SUM(O2:Q2)</f>
        <v>6821139</v>
      </c>
      <c r="S2" s="41">
        <f ca="1">SUBTOTAL(109,AssetDOB)</f>
        <v>5134713.3254458178</v>
      </c>
      <c r="T2" s="41">
        <f ca="1">SUBTOTAL(109,AssetDDep)</f>
        <v>482567.27075903054</v>
      </c>
      <c r="U2" s="41">
        <f ca="1">SUBTOTAL(109,AssetDDis)</f>
        <v>-660450</v>
      </c>
      <c r="V2" s="41">
        <f ca="1">SUM(S2:U2)</f>
        <v>4956830.596204848</v>
      </c>
      <c r="W2" s="41">
        <f ca="1">SUM(R2,-V2)</f>
        <v>1864308.403795152</v>
      </c>
      <c r="X2" s="41">
        <f ca="1">SUBTOTAL(109,AssetPLoss)</f>
        <v>150000</v>
      </c>
      <c r="Y2" s="41">
        <f ca="1">SUBTOTAL(109,AssetMDep)</f>
        <v>13821.880788465922</v>
      </c>
      <c r="Z2" s="13"/>
      <c r="AA2" s="13"/>
      <c r="AB2" s="13"/>
      <c r="AC2" s="13"/>
      <c r="AD2" s="42"/>
      <c r="AE2" s="43"/>
      <c r="AF2" s="43"/>
      <c r="AG2" s="13"/>
      <c r="AH2" s="13"/>
      <c r="AI2" s="13"/>
      <c r="AJ2" s="13"/>
      <c r="AK2" s="13"/>
      <c r="AM2" s="44"/>
      <c r="AN2" s="45"/>
      <c r="AQ2" s="44"/>
      <c r="AR2" s="45"/>
    </row>
    <row r="3" spans="1:45" ht="16" customHeight="1" x14ac:dyDescent="0.25">
      <c r="A3" s="46" t="s">
        <v>260</v>
      </c>
      <c r="O3" s="113" t="s">
        <v>103</v>
      </c>
      <c r="P3" s="114"/>
      <c r="Q3" s="114"/>
      <c r="R3" s="115"/>
      <c r="S3" s="113" t="s">
        <v>104</v>
      </c>
      <c r="T3" s="114"/>
      <c r="U3" s="114"/>
      <c r="V3" s="115"/>
      <c r="Y3" s="47" t="s">
        <v>312</v>
      </c>
    </row>
    <row r="4" spans="1:45" s="56" customFormat="1" ht="25" x14ac:dyDescent="0.25">
      <c r="A4" s="48" t="s">
        <v>18</v>
      </c>
      <c r="B4" s="48" t="s">
        <v>19</v>
      </c>
      <c r="C4" s="48" t="s">
        <v>5</v>
      </c>
      <c r="D4" s="49" t="s">
        <v>91</v>
      </c>
      <c r="E4" s="49" t="s">
        <v>21</v>
      </c>
      <c r="F4" s="49" t="s">
        <v>313</v>
      </c>
      <c r="G4" s="50" t="s">
        <v>11</v>
      </c>
      <c r="H4" s="50" t="s">
        <v>20</v>
      </c>
      <c r="I4" s="51" t="s">
        <v>94</v>
      </c>
      <c r="J4" s="52" t="s">
        <v>314</v>
      </c>
      <c r="K4" s="50" t="s">
        <v>87</v>
      </c>
      <c r="L4" s="52" t="s">
        <v>92</v>
      </c>
      <c r="M4" s="51" t="s">
        <v>376</v>
      </c>
      <c r="N4" s="53" t="s">
        <v>109</v>
      </c>
      <c r="O4" s="53" t="s">
        <v>99</v>
      </c>
      <c r="P4" s="53" t="s">
        <v>100</v>
      </c>
      <c r="Q4" s="53" t="s">
        <v>370</v>
      </c>
      <c r="R4" s="53" t="s">
        <v>102</v>
      </c>
      <c r="S4" s="53" t="s">
        <v>373</v>
      </c>
      <c r="T4" s="53" t="s">
        <v>374</v>
      </c>
      <c r="U4" s="53" t="s">
        <v>371</v>
      </c>
      <c r="V4" s="53" t="s">
        <v>372</v>
      </c>
      <c r="W4" s="53" t="s">
        <v>105</v>
      </c>
      <c r="X4" s="53" t="s">
        <v>96</v>
      </c>
      <c r="Y4" s="53" t="s">
        <v>375</v>
      </c>
      <c r="Z4" s="50" t="s">
        <v>332</v>
      </c>
      <c r="AA4" s="50" t="s">
        <v>333</v>
      </c>
      <c r="AB4" s="50" t="s">
        <v>334</v>
      </c>
      <c r="AC4" s="50" t="s">
        <v>335</v>
      </c>
      <c r="AD4" s="54" t="s">
        <v>330</v>
      </c>
      <c r="AE4" s="55" t="s">
        <v>341</v>
      </c>
      <c r="AF4" s="55" t="s">
        <v>342</v>
      </c>
      <c r="AG4" s="50" t="s">
        <v>331</v>
      </c>
      <c r="AH4" s="50" t="s">
        <v>316</v>
      </c>
      <c r="AI4" s="50" t="s">
        <v>315</v>
      </c>
      <c r="AJ4" s="50" t="s">
        <v>317</v>
      </c>
      <c r="AK4" s="50" t="s">
        <v>336</v>
      </c>
      <c r="AL4" s="50" t="s">
        <v>322</v>
      </c>
      <c r="AM4" s="50" t="s">
        <v>323</v>
      </c>
      <c r="AN4" s="50" t="s">
        <v>324</v>
      </c>
      <c r="AO4" s="50" t="s">
        <v>325</v>
      </c>
      <c r="AP4" s="50" t="s">
        <v>326</v>
      </c>
      <c r="AQ4" s="50" t="s">
        <v>327</v>
      </c>
      <c r="AR4" s="50" t="s">
        <v>328</v>
      </c>
      <c r="AS4" s="50" t="s">
        <v>329</v>
      </c>
    </row>
    <row r="5" spans="1:45" ht="16" customHeight="1" x14ac:dyDescent="0.25">
      <c r="A5" s="9" t="s">
        <v>171</v>
      </c>
      <c r="B5" s="9">
        <v>99843</v>
      </c>
      <c r="C5" s="9" t="s">
        <v>172</v>
      </c>
      <c r="D5" s="5" t="s">
        <v>90</v>
      </c>
      <c r="E5" s="5" t="s">
        <v>170</v>
      </c>
      <c r="F5" s="5" t="s">
        <v>340</v>
      </c>
      <c r="G5" s="5" t="str" cm="1">
        <f t="array" aca="1" ref="G5" ca="1">IF(COUNTIF(AssetCode,$A5)&gt;1,"E1",IF(ISNA(VLOOKUP($E5,CatAll,1,0))=TRUE,"E2",IF($I5="Add!","E10","-")))</f>
        <v>-</v>
      </c>
      <c r="H5" s="5" t="str">
        <f t="shared" ref="H5:H44" ca="1" si="0">IF(ISNA(VLOOKUP($E5,CatAll,2,0))=TRUE,"error!",VLOOKUP($E5,CatAll,2,0))</f>
        <v>LB</v>
      </c>
      <c r="I5" s="30" cm="1">
        <f t="array" aca="1" ref="I5" ca="1">IF(SUMIFS(TransIDDate,TransAsset,$A5,TransType,"ACQ")=0,"Add!",SUMIFS(TransIDDate,TransAsset,$A5,TransType,"ACQ"))</f>
        <v>42205</v>
      </c>
      <c r="J5" s="32">
        <f t="shared" ref="J5:J44" ca="1" si="1">SUMIFS(TransAmount,TransAsset,$A5,TransIDDate,$I5)</f>
        <v>1500000</v>
      </c>
      <c r="K5" s="57">
        <f t="shared" ref="K5:K44" ca="1" si="2">SUMIFS(TransLife,TransAsset,$A5,TransIDDate,$I5)</f>
        <v>0</v>
      </c>
      <c r="L5" s="32">
        <f t="shared" ref="L5:L44" ca="1" si="3">SUMIFS(TransRes,TransAsset,$A5,TransIDDate,$I5)</f>
        <v>0</v>
      </c>
      <c r="M5" s="30" t="str" cm="1">
        <f t="array" ref="M5">IF(SUMIFS(TransIDDate,TransAsset,$A5,TransType,"DIS")=0,"-",IF(SUMIFS(TransIDDate,TransAsset,$A5,TransType,"DIS")&lt;=$I$2,SUMIFS(TransIDDate,TransAsset,$A5,TransType,"DIS"),"-"))</f>
        <v>-</v>
      </c>
      <c r="N5" s="31" cm="1">
        <f t="array" aca="1" ref="N5" ca="1">IF($M5&lt;=$I$2,SUMIFS(TransProceeds,TransAsset,$A5,TransType,"DIS"),0)</f>
        <v>0</v>
      </c>
      <c r="O5" s="32" cm="1">
        <f t="array" aca="1" ref="O5" ca="1">IF(AND($M5&lt;&gt;"-",$M5&lt;$H$2),0,SUMIFS(TransAmount,TransAsset,$A5,TransIDDate,"&lt;"&amp;$H$2,TransType,"ACQ"))</f>
        <v>1500000</v>
      </c>
      <c r="P5" s="32">
        <f t="shared" ref="P5:P44" ca="1" si="4">SUMIFS(TransAmount,TransAsset,$A5,TransIDDate,"&gt;="&amp;$H$2,TransIDDate,"&lt;"&amp;($I$2+1),TransType,"ACQ")</f>
        <v>0</v>
      </c>
      <c r="Q5" s="32">
        <f t="shared" ref="Q5:Q44" ca="1" si="5">-SUMIFS(TransHCost,TransAsset,$A5,TransIDDate,"&gt;="&amp;$H$2,TransIDDate,"&lt;"&amp;($I$2+1),TransType,"DIS")</f>
        <v>0</v>
      </c>
      <c r="R5" s="32">
        <f ca="1">IF(ROUND(SUM(O5:Q5),2)=0,0,SUM(O5:Q5))</f>
        <v>1500000</v>
      </c>
      <c r="S5" s="32">
        <f ca="1">IF(AND($M5&lt;&gt;"-",$M5&lt;$H$2),0,IF($K5=0,0,IF(LEFT($AE5,1)="D",(($J5-$L5)*(1-((1-$AD5)^$AI5)))+(($J5-$L5)*(((1-$AD5)^$AI5)-((1-$AD5)^($AI5+1)))*IF('Set-up'!$E$9="Monthly",($AA5-($AI5*12))/12,$AM5/$AQ5)),($J5-$L5)/$AG5*$AA5)))</f>
        <v>0</v>
      </c>
      <c r="T5" s="32">
        <f ca="1">IF($K5=0,0,IF(LEFT($AE5,1)="D",((($J5-$L5)*(1-((1-$AD5)^$AH5)))+(($J5-$L5)*(((1-$AD5)^$AH5)-((1-$AD5)^($AH5+1)))*IF('Set-up'!$E$9="Monthly",($Z5-($AH5*12))/12,$AL5/$AP5)))-(($J5-$L5)*(1-((1-$AD5)^$AI5)))-(($J5-$L5)*(((1-$AD5)^$AI5)-((1-$AD5)^($AI5+1)))*IF('Set-up'!$E$9="Monthly",($AA5-($AI5*12))/12,$AM5/$AQ5)),(($J5-$L5)/$AG5*$Z5)-(($J5-$L5)/$AG5*$AA5)))</f>
        <v>0</v>
      </c>
      <c r="U5" s="32">
        <f ca="1">-IF(AND($M5&gt;=$H$2,$M5&lt;=$I$2),IF(LEFT($AE5,1)="D",(($J5-$L5)*(1-((1-$AD5)^$AK5)))+(($J5-$L5)*(((1-$AD5)^$AK5)-((1-$AD5)^($AK5+1)))*IF('Set-up'!$E$9="Monthly",($AC5-($AK5*12))/12,$AO5/$AS5)),IF($K5=0,0,($J5-$L5)/$AG5*$AC5)),0)</f>
        <v>0</v>
      </c>
      <c r="V5" s="32">
        <f ca="1">IF(ROUND(SUM(S5:U5),2)=0,0,SUM(S5:U5))</f>
        <v>0</v>
      </c>
      <c r="W5" s="32">
        <f ca="1">IF(ROUND(SUM(R5,-V5),2)=0,0,SUM(R5,-V5))</f>
        <v>1500000</v>
      </c>
      <c r="X5" s="32">
        <f ca="1">IF(AND($M5&gt;=$H$2,$M5&lt;=$I$2),N5+(Q5-U5),0)</f>
        <v>0</v>
      </c>
      <c r="Y5" s="32">
        <f ca="1">IF($K5=0,0,IF(LEFT($AE5,1)="D",((($J5-$L5)*(1-((1-$AD5)^$AH5)))+(($J5-$L5)*(((1-$AD5)^$AH5)-((1-$AD5)^($AH5+1)))*IF('Set-up'!$E$9="Monthly",($Z5-($AH5*12))/12,$AL5/$AP5)))-(($J5-$L5)*(1-((1-$AD5)^$AJ5)))-(($J5-$L5)*(((1-$AD5)^$AJ5)-((1-$AD5)^($AJ5+1)))*IF('Set-up'!$E$9="Monthly",($AB5-($AJ5*12))/12,$AN5/$AR5)),(($J5-$L5)/$AG5*$Z5)-(($J5-$L5)/$AG5*$AB5)))</f>
        <v>0</v>
      </c>
      <c r="Z5" s="5">
        <f ca="1">IF('Set-up'!$E$9="Daily",MIN(MAX(((IF($M5="-",$I$2,MIN($I$2,$M5-'Set-up'!$E$13))-(($I5+'Set-up'!$E$11)))+1),0),IF(LEFT($AE5,1)="D",MaxPeriod,$AG5)),MIN(MAX(((IF($M5="-",((YEAR($I$2)*12)+MONTH($I$2)),MIN(((YEAR($I$2)*12)+MONTH($I$2)),((YEAR($M5)*12)+MONTH($M5)-'Set-up'!$E$13)))-(((YEAR($I5)*12)+MONTH($I5)+'Set-up'!$E$11)))+1),0),IF(LEFT($AE5,1)="D",MaxPeriod,$AG5)))</f>
        <v>0</v>
      </c>
      <c r="AA5" s="5">
        <f ca="1">IF('Set-up'!$E$9="Daily",MIN(MAX(((IF($M5="-",$H$2-1,MIN($H$2-1,$M5-'Set-up'!$E$13))-($I5+'Set-up'!$E$11))+1),0),IF(LEFT($AE5,1)="D",MaxPeriod,$AG5)),MIN(MAX(((IF($M5="-",((YEAR($H$2)*12)+MONTH($H$2)-1),MIN(((YEAR($H$2)*12)+MONTH($H$2)-1),((YEAR($M5)*12)+MONTH($M5)-'Set-up'!$E$13)))-(((YEAR($I5)*12)+MONTH($I5)+'Set-up'!$E$11)))+1),0),IF(LEFT($AE5,1)="D",MaxPeriod,$AG5)))</f>
        <v>0</v>
      </c>
      <c r="AB5" s="5">
        <f ca="1">IF('Set-up'!$E$9="Daily",MIN(MAX(((IF($M5="-",$J$2-1,MIN($J$2-1,$M5-'Set-up'!$E$13))-($I5+'Set-up'!$E$11))+1),0),IF(LEFT($AE5,1)="D",MaxPeriod,$AG5)),MIN(MAX(((IF($M5="-",((YEAR($J$2)*12)+MONTH($J$2)-1),MIN(((YEAR($J$2)*12)+MONTH($J$2)-1),((YEAR($M5)*12)+MONTH($M5)-'Set-up'!$E$13)))-(((YEAR($I5)*12)+MONTH($I5)+'Set-up'!$E$11)))+1),0),IF(LEFT($AE5,1)="D",MaxPeriod,$AG5)))</f>
        <v>0</v>
      </c>
      <c r="AC5" s="5">
        <f ca="1">IF('Set-up'!$E$9="Daily",MIN(MAX(((IF($M5="-",0,$M5-'Set-up'!$E$13)-($I5+'Set-up'!$E$11))+1),0),IF(LEFT($AE5,1)="D",MaxPeriod,$AG5)),MIN(MAX(((IF($M5="-",0,((YEAR($M5)*12)+MONTH($M5)-'Set-up'!$E$13))-(((YEAR($I5)*12)+MONTH($I5)+'Set-up'!$E$11)))+1),0),IF(LEFT($AE5,1)="D",MaxPeriod,$AG5)))</f>
        <v>0</v>
      </c>
      <c r="AD5" s="33">
        <f t="shared" ref="AD5:AD44" ca="1" si="6">IF($K5=0,0,IF($F5="DV",1/$K5,IF($F5="DDV",MIN(1/$K5*2,1),0)))</f>
        <v>0</v>
      </c>
      <c r="AE5" s="34" t="str">
        <f ca="1">IF(AD5=1,"SL",F5)</f>
        <v>SL</v>
      </c>
      <c r="AF5" s="34">
        <f ca="1">IF(AND($F5="DDV",$AE5="SL",$K5&gt;1),2,1)</f>
        <v>1</v>
      </c>
      <c r="AG5" s="5">
        <f ca="1">IF('Set-up'!$E$9="Daily",(DATE(YEAR($I5)+$K5+(1-$AF5),MONTH($I5),DAY($I5))+'Set-up'!$E$11)-($I5+'Set-up'!$E$11),$K5*12)</f>
        <v>0</v>
      </c>
      <c r="AH5" s="5">
        <f ca="1">ROUNDDOWN(MIN(MAX(((IF($M5="-",((YEAR($I$2)*12)+MONTH($I$2)),MIN(((YEAR($I$2)*12)+MONTH($I$2)),((YEAR($M5)*12)+MONTH($M5)-'Set-up'!$E$13)))-(((YEAR($I5)*12)+MONTH($I5)+'Set-up'!$E$11)))),0),IF(LEFT($AE5,1)="D",MaxPeriod,$AG5))/12,0)</f>
        <v>0</v>
      </c>
      <c r="AI5" s="5">
        <f ca="1">ROUNDDOWN(MIN(MAX(((IF($M5="-",((YEAR($H$2)*12)+MONTH($H$2)-1),MIN(((YEAR($H$2)*12)+MONTH($H$2)-1),((YEAR($M5)*12)+MONTH($M5)-'Set-up'!$E$13)))-(((YEAR($I5)*12)+MONTH($I5)+'Set-up'!$E$11)))),0),IF(LEFT($AE5,1)="D",MaxPeriod,$AG5))/12,0)</f>
        <v>0</v>
      </c>
      <c r="AJ5" s="5">
        <f ca="1">ROUNDDOWN(MIN(MAX(((IF($M5="-",((YEAR($J$2)*12)+MONTH($J$2)-1),MIN(((YEAR($J$2)*12)+MONTH($J$2)-1),((YEAR($M5)*12)+MONTH($M5)-'Set-up'!$E$13)))-(((YEAR($I5)*12)+MONTH($I5)+'Set-up'!$E$11)))),0),IF(LEFT($AE5,1)="D",MaxPeriod,$AG5))/12,0)</f>
        <v>0</v>
      </c>
      <c r="AK5" s="5">
        <f ca="1">ROUNDDOWN(MIN(MAX(((IF($M5="-",0,((YEAR($M5)*12)+MONTH($M5)-'Set-up'!$E$13))-(((YEAR($I5)*12)+MONTH($I5)+'Set-up'!$E$11)))),0),IF(LEFT($AE5,1)="D",MaxPeriod,$AG5))/12,0)</f>
        <v>0</v>
      </c>
      <c r="AL5" s="5">
        <f>IF('Set-up'!$E$9="Daily",MIN(MAX(((IF($M5="-",$I$2,MIN($I$2,$M5-'Set-up'!$E$13))-((DATE(YEAR($I5)+$AH5,MONTH($I5),DAY($I5))+'Set-up'!$E$11)))+1),0),IF(LEFT($AE5,1)="D",MaxPeriod,$AG5)),0)</f>
        <v>0</v>
      </c>
      <c r="AM5" s="5">
        <f>IF('Set-up'!$E$9="Daily",MIN(MAX(((IF($M5="-",$H$2-1,MIN($H$2-1,$M5-'Set-up'!$E$13))-(DATE(YEAR($I5)+$AI5,MONTH($I5),DAY($I5))+'Set-up'!$E$11))+1),0),IF(LEFT($AE5,1)="D",MaxPeriod,$AG5)),0)</f>
        <v>0</v>
      </c>
      <c r="AN5" s="5">
        <f>IF('Set-up'!$E$9="Daily",MIN(MAX(((IF($M5="-",$J$2-1,MIN($J$2-1,$M5-'Set-up'!$E$13))-(DATE(YEAR($I5)+$AJ5,MONTH($I5),DAY($I5))+'Set-up'!$E$11))+1),0),IF(LEFT($AE5,1)="D",MaxPeriod,$AG5)),0)</f>
        <v>0</v>
      </c>
      <c r="AO5" s="5">
        <f>IF('Set-up'!$E$9="Daily",MIN(MAX(((IF($M5="-",0,$M5-'Set-up'!$E$13)-(DATE(YEAR($I5)+$AK5,MONTH($I5),DAY($I5))+'Set-up'!$E$11))+1),0),IF(LEFT($AE5,1)="D",MaxPeriod,$AG5)),0)</f>
        <v>0</v>
      </c>
      <c r="AP5" s="5">
        <f>IF('Set-up'!$E$9="Daily",DATE(YEAR($I5)+$AH5+1,MONTH($I5),DAY($I5))-DATE(YEAR($I5)+$AH5,MONTH($I5),DAY($I5)),0)</f>
        <v>0</v>
      </c>
      <c r="AQ5" s="5">
        <f>IF('Set-up'!$E$9="Daily",DATE(YEAR($I5)+$AI5+1,MONTH($I5),DAY($I5))-DATE(YEAR($I5)+$AI5,MONTH($I5),DAY($I5)),0)</f>
        <v>0</v>
      </c>
      <c r="AR5" s="5">
        <f>IF('Set-up'!$E$9="Daily",DATE(YEAR($I5)+$AJ5+1,MONTH($I5),DAY($I5))-DATE(YEAR($I5)+$AJ5,MONTH($I5),DAY($I5)),0)</f>
        <v>0</v>
      </c>
      <c r="AS5" s="5">
        <f>IF('Set-up'!$E$9="Daily",DATE(YEAR($I5)+$AK5+1,MONTH($I5),DAY($I5))-DATE(YEAR($I5)+$AK5,MONTH($I5),DAY($I5)),0)</f>
        <v>0</v>
      </c>
    </row>
    <row r="6" spans="1:45" ht="16" customHeight="1" x14ac:dyDescent="0.25">
      <c r="A6" s="9" t="s">
        <v>176</v>
      </c>
      <c r="B6" s="9">
        <v>87978921</v>
      </c>
      <c r="C6" s="9" t="s">
        <v>188</v>
      </c>
      <c r="D6" s="5" t="s">
        <v>90</v>
      </c>
      <c r="E6" s="5" t="s">
        <v>166</v>
      </c>
      <c r="F6" s="5" t="s">
        <v>340</v>
      </c>
      <c r="G6" s="5" t="str" cm="1">
        <f t="array" aca="1" ref="G6" ca="1">IF(COUNTIF(AssetCode,$A6)&gt;1,"E1",IF(ISNA(VLOOKUP($E6,CatAll,1,0))=TRUE,"E2",IF($I6="Add!","E10","-")))</f>
        <v>-</v>
      </c>
      <c r="H6" s="5" t="str">
        <f t="shared" ca="1" si="0"/>
        <v>PM</v>
      </c>
      <c r="I6" s="30" cm="1">
        <f t="array" aca="1" ref="I6" ca="1">IF(SUMIFS(TransIDDate,TransAsset,$A6,TransType,"ACQ")=0,"Add!",SUMIFS(TransIDDate,TransAsset,$A6,TransType,"ACQ"))</f>
        <v>42205</v>
      </c>
      <c r="J6" s="32">
        <f t="shared" ca="1" si="1"/>
        <v>80000</v>
      </c>
      <c r="K6" s="57">
        <f t="shared" ca="1" si="2"/>
        <v>5</v>
      </c>
      <c r="L6" s="32">
        <f t="shared" ca="1" si="3"/>
        <v>0</v>
      </c>
      <c r="M6" s="30" t="str" cm="1">
        <f t="array" ref="M6">IF(SUMIFS(TransIDDate,TransAsset,$A6,TransType,"DIS")=0,"-",IF(SUMIFS(TransIDDate,TransAsset,$A6,TransType,"DIS")&lt;=$I$2,SUMIFS(TransIDDate,TransAsset,$A6,TransType,"DIS"),"-"))</f>
        <v>-</v>
      </c>
      <c r="N6" s="31" cm="1">
        <f t="array" aca="1" ref="N6" ca="1">IF($M6&lt;=$I$2,SUMIFS(TransProceeds,TransAsset,$A6,TransType,"DIS"),0)</f>
        <v>0</v>
      </c>
      <c r="O6" s="32" cm="1">
        <f t="array" aca="1" ref="O6" ca="1">IF(AND($M6&lt;&gt;"-",$M6&lt;$H$2),0,SUMIFS(TransAmount,TransAsset,$A6,TransIDDate,"&lt;"&amp;$H$2,TransType,"ACQ"))</f>
        <v>80000</v>
      </c>
      <c r="P6" s="32">
        <f t="shared" ca="1" si="4"/>
        <v>0</v>
      </c>
      <c r="Q6" s="32">
        <f t="shared" ca="1" si="5"/>
        <v>0</v>
      </c>
      <c r="R6" s="32">
        <f t="shared" ref="R6:R44" ca="1" si="7">IF(ROUND(SUM(O6:Q6),2)=0,0,SUM(O6:Q6))</f>
        <v>80000</v>
      </c>
      <c r="S6" s="32">
        <f ca="1">IF(AND($M6&lt;&gt;"-",$M6&lt;$H$2),0,IF($K6=0,0,IF(LEFT($AE6,1)="D",(($J6-$L6)*(1-((1-$AD6)^$AI6)))+(($J6-$L6)*(((1-$AD6)^$AI6)-((1-$AD6)^($AI6+1)))*IF('Set-up'!$E$9="Monthly",($AA6-($AI6*12))/12,$AM6/$AQ6)),($J6-$L6)/$AG6*$AA6)))</f>
        <v>74666.666666666657</v>
      </c>
      <c r="T6" s="32">
        <f ca="1">IF($K6=0,0,IF(LEFT($AE6,1)="D",((($J6-$L6)*(1-((1-$AD6)^$AH6)))+(($J6-$L6)*(((1-$AD6)^$AH6)-((1-$AD6)^($AH6+1)))*IF('Set-up'!$E$9="Monthly",($Z6-($AH6*12))/12,$AL6/$AP6)))-(($J6-$L6)*(1-((1-$AD6)^$AI6)))-(($J6-$L6)*(((1-$AD6)^$AI6)-((1-$AD6)^($AI6+1)))*IF('Set-up'!$E$9="Monthly",($AA6-($AI6*12))/12,$AM6/$AQ6)),(($J6-$L6)/$AG6*$Z6)-(($J6-$L6)/$AG6*$AA6)))</f>
        <v>5333.333333333343</v>
      </c>
      <c r="U6" s="32">
        <f ca="1">-IF(AND($M6&gt;=$H$2,$M6&lt;=$I$2),IF(LEFT($AE6,1)="D",(($J6-$L6)*(1-((1-$AD6)^$AK6)))+(($J6-$L6)*(((1-$AD6)^$AK6)-((1-$AD6)^($AK6+1)))*IF('Set-up'!$E$9="Monthly",($AC6-($AK6*12))/12,$AO6/$AS6)),IF($K6=0,0,($J6-$L6)/$AG6*$AC6)),0)</f>
        <v>0</v>
      </c>
      <c r="V6" s="32">
        <f t="shared" ref="V6:V44" ca="1" si="8">IF(ROUND(SUM(S6:U6),2)=0,0,SUM(S6:U6))</f>
        <v>80000</v>
      </c>
      <c r="W6" s="32">
        <f t="shared" ref="W6:W44" ca="1" si="9">IF(ROUND(SUM(R6,-V6),2)=0,0,SUM(R6,-V6))</f>
        <v>0</v>
      </c>
      <c r="X6" s="32">
        <f t="shared" ref="X6:X44" ca="1" si="10">IF(AND($M6&gt;=$H$2,$M6&lt;=$I$2),N6+(Q6-U6),0)</f>
        <v>0</v>
      </c>
      <c r="Y6" s="32">
        <f ca="1">IF($K6=0,0,IF(LEFT($AE6,1)="D",((($J6-$L6)*(1-((1-$AD6)^$AH6)))+(($J6-$L6)*(((1-$AD6)^$AH6)-((1-$AD6)^($AH6+1)))*IF('Set-up'!$E$9="Monthly",($Z6-($AH6*12))/12,$AL6/$AP6)))-(($J6-$L6)*(1-((1-$AD6)^$AJ6)))-(($J6-$L6)*(((1-$AD6)^$AJ6)-((1-$AD6)^($AJ6+1)))*IF('Set-up'!$E$9="Monthly",($AB6-($AJ6*12))/12,$AN6/$AR6)),(($J6-$L6)/$AG6*$Z6)-(($J6-$L6)/$AG6*$AB6)))</f>
        <v>0</v>
      </c>
      <c r="Z6" s="5">
        <f ca="1">IF('Set-up'!$E$9="Daily",MIN(MAX(((IF($M6="-",$I$2,MIN($I$2,$M6-'Set-up'!$E$13))-(($I6+'Set-up'!$E$11)))+1),0),IF(LEFT($AE6,1)="D",MaxPeriod,$AG6)),MIN(MAX(((IF($M6="-",((YEAR($I$2)*12)+MONTH($I$2)),MIN(((YEAR($I$2)*12)+MONTH($I$2)),((YEAR($M6)*12)+MONTH($M6)-'Set-up'!$E$13)))-(((YEAR($I6)*12)+MONTH($I6)+'Set-up'!$E$11)))+1),0),IF(LEFT($AE6,1)="D",MaxPeriod,$AG6)))</f>
        <v>60</v>
      </c>
      <c r="AA6" s="5">
        <f ca="1">IF('Set-up'!$E$9="Daily",MIN(MAX(((IF($M6="-",$H$2-1,MIN($H$2-1,$M6-'Set-up'!$E$13))-($I6+'Set-up'!$E$11))+1),0),IF(LEFT($AE6,1)="D",MaxPeriod,$AG6)),MIN(MAX(((IF($M6="-",((YEAR($H$2)*12)+MONTH($H$2)-1),MIN(((YEAR($H$2)*12)+MONTH($H$2)-1),((YEAR($M6)*12)+MONTH($M6)-'Set-up'!$E$13)))-(((YEAR($I6)*12)+MONTH($I6)+'Set-up'!$E$11)))+1),0),IF(LEFT($AE6,1)="D",MaxPeriod,$AG6)))</f>
        <v>56</v>
      </c>
      <c r="AB6" s="5">
        <f ca="1">IF('Set-up'!$E$9="Daily",MIN(MAX(((IF($M6="-",$J$2-1,MIN($J$2-1,$M6-'Set-up'!$E$13))-($I6+'Set-up'!$E$11))+1),0),IF(LEFT($AE6,1)="D",MaxPeriod,$AG6)),MIN(MAX(((IF($M6="-",((YEAR($J$2)*12)+MONTH($J$2)-1),MIN(((YEAR($J$2)*12)+MONTH($J$2)-1),((YEAR($M6)*12)+MONTH($M6)-'Set-up'!$E$13)))-(((YEAR($I6)*12)+MONTH($I6)+'Set-up'!$E$11)))+1),0),IF(LEFT($AE6,1)="D",MaxPeriod,$AG6)))</f>
        <v>60</v>
      </c>
      <c r="AC6" s="5">
        <f ca="1">IF('Set-up'!$E$9="Daily",MIN(MAX(((IF($M6="-",0,$M6-'Set-up'!$E$13)-($I6+'Set-up'!$E$11))+1),0),IF(LEFT($AE6,1)="D",MaxPeriod,$AG6)),MIN(MAX(((IF($M6="-",0,((YEAR($M6)*12)+MONTH($M6)-'Set-up'!$E$13))-(((YEAR($I6)*12)+MONTH($I6)+'Set-up'!$E$11)))+1),0),IF(LEFT($AE6,1)="D",MaxPeriod,$AG6)))</f>
        <v>0</v>
      </c>
      <c r="AD6" s="33">
        <f t="shared" ca="1" si="6"/>
        <v>0</v>
      </c>
      <c r="AE6" s="34" t="str">
        <f t="shared" ref="AE6:AE44" ca="1" si="11">IF(AD6=1,"SL",F6)</f>
        <v>SL</v>
      </c>
      <c r="AF6" s="34">
        <f t="shared" ref="AF6:AF44" ca="1" si="12">IF(AND($F6="DDV",$AE6="SL",$K6&gt;1),2,1)</f>
        <v>1</v>
      </c>
      <c r="AG6" s="5">
        <f ca="1">IF('Set-up'!$E$9="Daily",(DATE(YEAR($I6)+$K6+(1-$AF6),MONTH($I6),DAY($I6))+'Set-up'!$E$11)-($I6+'Set-up'!$E$11),$K6*12)</f>
        <v>60</v>
      </c>
      <c r="AH6" s="5">
        <f ca="1">ROUNDDOWN(MIN(MAX(((IF($M6="-",((YEAR($I$2)*12)+MONTH($I$2)),MIN(((YEAR($I$2)*12)+MONTH($I$2)),((YEAR($M6)*12)+MONTH($M6)-'Set-up'!$E$13)))-(((YEAR($I6)*12)+MONTH($I6)+'Set-up'!$E$11)))),0),IF(LEFT($AE6,1)="D",MaxPeriod,$AG6))/12,0)</f>
        <v>5</v>
      </c>
      <c r="AI6" s="5">
        <f ca="1">ROUNDDOWN(MIN(MAX(((IF($M6="-",((YEAR($H$2)*12)+MONTH($H$2)-1),MIN(((YEAR($H$2)*12)+MONTH($H$2)-1),((YEAR($M6)*12)+MONTH($M6)-'Set-up'!$E$13)))-(((YEAR($I6)*12)+MONTH($I6)+'Set-up'!$E$11)))),0),IF(LEFT($AE6,1)="D",MaxPeriod,$AG6))/12,0)</f>
        <v>4</v>
      </c>
      <c r="AJ6" s="5">
        <f ca="1">ROUNDDOWN(MIN(MAX(((IF($M6="-",((YEAR($J$2)*12)+MONTH($J$2)-1),MIN(((YEAR($J$2)*12)+MONTH($J$2)-1),((YEAR($M6)*12)+MONTH($M6)-'Set-up'!$E$13)))-(((YEAR($I6)*12)+MONTH($I6)+'Set-up'!$E$11)))),0),IF(LEFT($AE6,1)="D",MaxPeriod,$AG6))/12,0)</f>
        <v>5</v>
      </c>
      <c r="AK6" s="5">
        <f ca="1">ROUNDDOWN(MIN(MAX(((IF($M6="-",0,((YEAR($M6)*12)+MONTH($M6)-'Set-up'!$E$13))-(((YEAR($I6)*12)+MONTH($I6)+'Set-up'!$E$11)))),0),IF(LEFT($AE6,1)="D",MaxPeriod,$AG6))/12,0)</f>
        <v>0</v>
      </c>
      <c r="AL6" s="5">
        <f>IF('Set-up'!$E$9="Daily",MIN(MAX(((IF($M6="-",$I$2,MIN($I$2,$M6-'Set-up'!$E$13))-((DATE(YEAR($I6)+$AH6,MONTH($I6),DAY($I6))+'Set-up'!$E$11)))+1),0),IF(LEFT($AE6,1)="D",MaxPeriod,$AG6)),0)</f>
        <v>0</v>
      </c>
      <c r="AM6" s="5">
        <f>IF('Set-up'!$E$9="Daily",MIN(MAX(((IF($M6="-",$H$2-1,MIN($H$2-1,$M6-'Set-up'!$E$13))-(DATE(YEAR($I6)+$AI6,MONTH($I6),DAY($I6))+'Set-up'!$E$11))+1),0),IF(LEFT($AE6,1)="D",MaxPeriod,$AG6)),0)</f>
        <v>0</v>
      </c>
      <c r="AN6" s="5">
        <f>IF('Set-up'!$E$9="Daily",MIN(MAX(((IF($M6="-",$J$2-1,MIN($J$2-1,$M6-'Set-up'!$E$13))-(DATE(YEAR($I6)+$AJ6,MONTH($I6),DAY($I6))+'Set-up'!$E$11))+1),0),IF(LEFT($AE6,1)="D",MaxPeriod,$AG6)),0)</f>
        <v>0</v>
      </c>
      <c r="AO6" s="5">
        <f>IF('Set-up'!$E$9="Daily",MIN(MAX(((IF($M6="-",0,$M6-'Set-up'!$E$13)-(DATE(YEAR($I6)+$AK6,MONTH($I6),DAY($I6))+'Set-up'!$E$11))+1),0),IF(LEFT($AE6,1)="D",MaxPeriod,$AG6)),0)</f>
        <v>0</v>
      </c>
      <c r="AP6" s="5">
        <f>IF('Set-up'!$E$9="Daily",DATE(YEAR($I6)+$AH6+1,MONTH($I6),DAY($I6))-DATE(YEAR($I6)+$AH6,MONTH($I6),DAY($I6)),0)</f>
        <v>0</v>
      </c>
      <c r="AQ6" s="5">
        <f>IF('Set-up'!$E$9="Daily",DATE(YEAR($I6)+$AI6+1,MONTH($I6),DAY($I6))-DATE(YEAR($I6)+$AI6,MONTH($I6),DAY($I6)),0)</f>
        <v>0</v>
      </c>
      <c r="AR6" s="5">
        <f>IF('Set-up'!$E$9="Daily",DATE(YEAR($I6)+$AJ6+1,MONTH($I6),DAY($I6))-DATE(YEAR($I6)+$AJ6,MONTH($I6),DAY($I6)),0)</f>
        <v>0</v>
      </c>
      <c r="AS6" s="5">
        <f>IF('Set-up'!$E$9="Daily",DATE(YEAR($I6)+$AK6+1,MONTH($I6),DAY($I6))-DATE(YEAR($I6)+$AK6,MONTH($I6),DAY($I6)),0)</f>
        <v>0</v>
      </c>
    </row>
    <row r="7" spans="1:45" ht="16" customHeight="1" x14ac:dyDescent="0.25">
      <c r="A7" s="9" t="s">
        <v>177</v>
      </c>
      <c r="B7" s="9">
        <v>87879827</v>
      </c>
      <c r="C7" s="9" t="s">
        <v>189</v>
      </c>
      <c r="D7" s="5" t="s">
        <v>90</v>
      </c>
      <c r="E7" s="5" t="s">
        <v>166</v>
      </c>
      <c r="F7" s="5" t="s">
        <v>340</v>
      </c>
      <c r="G7" s="5" t="str" cm="1">
        <f t="array" aca="1" ref="G7" ca="1">IF(COUNTIF(AssetCode,$A7)&gt;1,"E1",IF(ISNA(VLOOKUP($E7,CatAll,1,0))=TRUE,"E2",IF($I7="Add!","E10","-")))</f>
        <v>-</v>
      </c>
      <c r="H7" s="5" t="str">
        <f t="shared" ca="1" si="0"/>
        <v>PM</v>
      </c>
      <c r="I7" s="30" cm="1">
        <f t="array" aca="1" ref="I7" ca="1">IF(SUMIFS(TransIDDate,TransAsset,$A7,TransType,"ACQ")=0,"Add!",SUMIFS(TransIDDate,TransAsset,$A7,TransType,"ACQ"))</f>
        <v>42205</v>
      </c>
      <c r="J7" s="32">
        <f t="shared" ca="1" si="1"/>
        <v>200000</v>
      </c>
      <c r="K7" s="57">
        <f t="shared" ca="1" si="2"/>
        <v>5</v>
      </c>
      <c r="L7" s="32">
        <f t="shared" ca="1" si="3"/>
        <v>0</v>
      </c>
      <c r="M7" s="30" t="str" cm="1">
        <f t="array" ref="M7">IF(SUMIFS(TransIDDate,TransAsset,$A7,TransType,"DIS")=0,"-",IF(SUMIFS(TransIDDate,TransAsset,$A7,TransType,"DIS")&lt;=$I$2,SUMIFS(TransIDDate,TransAsset,$A7,TransType,"DIS"),"-"))</f>
        <v>-</v>
      </c>
      <c r="N7" s="31" cm="1">
        <f t="array" aca="1" ref="N7" ca="1">IF($M7&lt;=$I$2,SUMIFS(TransProceeds,TransAsset,$A7,TransType,"DIS"),0)</f>
        <v>0</v>
      </c>
      <c r="O7" s="32" cm="1">
        <f t="array" aca="1" ref="O7" ca="1">IF(AND($M7&lt;&gt;"-",$M7&lt;$H$2),0,SUMIFS(TransAmount,TransAsset,$A7,TransIDDate,"&lt;"&amp;$H$2,TransType,"ACQ"))</f>
        <v>200000</v>
      </c>
      <c r="P7" s="32">
        <f t="shared" ca="1" si="4"/>
        <v>0</v>
      </c>
      <c r="Q7" s="32">
        <f t="shared" ca="1" si="5"/>
        <v>0</v>
      </c>
      <c r="R7" s="32">
        <f t="shared" ca="1" si="7"/>
        <v>200000</v>
      </c>
      <c r="S7" s="32">
        <f ca="1">IF(AND($M7&lt;&gt;"-",$M7&lt;$H$2),0,IF($K7=0,0,IF(LEFT($AE7,1)="D",(($J7-$L7)*(1-((1-$AD7)^$AI7)))+(($J7-$L7)*(((1-$AD7)^$AI7)-((1-$AD7)^($AI7+1)))*IF('Set-up'!$E$9="Monthly",($AA7-($AI7*12))/12,$AM7/$AQ7)),($J7-$L7)/$AG7*$AA7)))</f>
        <v>186666.66666666669</v>
      </c>
      <c r="T7" s="32">
        <f ca="1">IF($K7=0,0,IF(LEFT($AE7,1)="D",((($J7-$L7)*(1-((1-$AD7)^$AH7)))+(($J7-$L7)*(((1-$AD7)^$AH7)-((1-$AD7)^($AH7+1)))*IF('Set-up'!$E$9="Monthly",($Z7-($AH7*12))/12,$AL7/$AP7)))-(($J7-$L7)*(1-((1-$AD7)^$AI7)))-(($J7-$L7)*(((1-$AD7)^$AI7)-((1-$AD7)^($AI7+1)))*IF('Set-up'!$E$9="Monthly",($AA7-($AI7*12))/12,$AM7/$AQ7)),(($J7-$L7)/$AG7*$Z7)-(($J7-$L7)/$AG7*$AA7)))</f>
        <v>13333.333333333314</v>
      </c>
      <c r="U7" s="32">
        <f ca="1">-IF(AND($M7&gt;=$H$2,$M7&lt;=$I$2),IF(LEFT($AE7,1)="D",(($J7-$L7)*(1-((1-$AD7)^$AK7)))+(($J7-$L7)*(((1-$AD7)^$AK7)-((1-$AD7)^($AK7+1)))*IF('Set-up'!$E$9="Monthly",($AC7-($AK7*12))/12,$AO7/$AS7)),IF($K7=0,0,($J7-$L7)/$AG7*$AC7)),0)</f>
        <v>0</v>
      </c>
      <c r="V7" s="32">
        <f t="shared" ca="1" si="8"/>
        <v>200000</v>
      </c>
      <c r="W7" s="32">
        <f t="shared" ca="1" si="9"/>
        <v>0</v>
      </c>
      <c r="X7" s="32">
        <f t="shared" ca="1" si="10"/>
        <v>0</v>
      </c>
      <c r="Y7" s="32">
        <f ca="1">IF($K7=0,0,IF(LEFT($AE7,1)="D",((($J7-$L7)*(1-((1-$AD7)^$AH7)))+(($J7-$L7)*(((1-$AD7)^$AH7)-((1-$AD7)^($AH7+1)))*IF('Set-up'!$E$9="Monthly",($Z7-($AH7*12))/12,$AL7/$AP7)))-(($J7-$L7)*(1-((1-$AD7)^$AJ7)))-(($J7-$L7)*(((1-$AD7)^$AJ7)-((1-$AD7)^($AJ7+1)))*IF('Set-up'!$E$9="Monthly",($AB7-($AJ7*12))/12,$AN7/$AR7)),(($J7-$L7)/$AG7*$Z7)-(($J7-$L7)/$AG7*$AB7)))</f>
        <v>0</v>
      </c>
      <c r="Z7" s="5">
        <f ca="1">IF('Set-up'!$E$9="Daily",MIN(MAX(((IF($M7="-",$I$2,MIN($I$2,$M7-'Set-up'!$E$13))-(($I7+'Set-up'!$E$11)))+1),0),IF(LEFT($AE7,1)="D",MaxPeriod,$AG7)),MIN(MAX(((IF($M7="-",((YEAR($I$2)*12)+MONTH($I$2)),MIN(((YEAR($I$2)*12)+MONTH($I$2)),((YEAR($M7)*12)+MONTH($M7)-'Set-up'!$E$13)))-(((YEAR($I7)*12)+MONTH($I7)+'Set-up'!$E$11)))+1),0),IF(LEFT($AE7,1)="D",MaxPeriod,$AG7)))</f>
        <v>60</v>
      </c>
      <c r="AA7" s="5">
        <f ca="1">IF('Set-up'!$E$9="Daily",MIN(MAX(((IF($M7="-",$H$2-1,MIN($H$2-1,$M7-'Set-up'!$E$13))-($I7+'Set-up'!$E$11))+1),0),IF(LEFT($AE7,1)="D",MaxPeriod,$AG7)),MIN(MAX(((IF($M7="-",((YEAR($H$2)*12)+MONTH($H$2)-1),MIN(((YEAR($H$2)*12)+MONTH($H$2)-1),((YEAR($M7)*12)+MONTH($M7)-'Set-up'!$E$13)))-(((YEAR($I7)*12)+MONTH($I7)+'Set-up'!$E$11)))+1),0),IF(LEFT($AE7,1)="D",MaxPeriod,$AG7)))</f>
        <v>56</v>
      </c>
      <c r="AB7" s="5">
        <f ca="1">IF('Set-up'!$E$9="Daily",MIN(MAX(((IF($M7="-",$J$2-1,MIN($J$2-1,$M7-'Set-up'!$E$13))-($I7+'Set-up'!$E$11))+1),0),IF(LEFT($AE7,1)="D",MaxPeriod,$AG7)),MIN(MAX(((IF($M7="-",((YEAR($J$2)*12)+MONTH($J$2)-1),MIN(((YEAR($J$2)*12)+MONTH($J$2)-1),((YEAR($M7)*12)+MONTH($M7)-'Set-up'!$E$13)))-(((YEAR($I7)*12)+MONTH($I7)+'Set-up'!$E$11)))+1),0),IF(LEFT($AE7,1)="D",MaxPeriod,$AG7)))</f>
        <v>60</v>
      </c>
      <c r="AC7" s="5">
        <f ca="1">IF('Set-up'!$E$9="Daily",MIN(MAX(((IF($M7="-",0,$M7-'Set-up'!$E$13)-($I7+'Set-up'!$E$11))+1),0),IF(LEFT($AE7,1)="D",MaxPeriod,$AG7)),MIN(MAX(((IF($M7="-",0,((YEAR($M7)*12)+MONTH($M7)-'Set-up'!$E$13))-(((YEAR($I7)*12)+MONTH($I7)+'Set-up'!$E$11)))+1),0),IF(LEFT($AE7,1)="D",MaxPeriod,$AG7)))</f>
        <v>0</v>
      </c>
      <c r="AD7" s="33">
        <f t="shared" ca="1" si="6"/>
        <v>0</v>
      </c>
      <c r="AE7" s="34" t="str">
        <f t="shared" ca="1" si="11"/>
        <v>SL</v>
      </c>
      <c r="AF7" s="34">
        <f t="shared" ca="1" si="12"/>
        <v>1</v>
      </c>
      <c r="AG7" s="5">
        <f ca="1">IF('Set-up'!$E$9="Daily",(DATE(YEAR($I7)+$K7+(1-$AF7),MONTH($I7),DAY($I7))+'Set-up'!$E$11)-($I7+'Set-up'!$E$11),$K7*12)</f>
        <v>60</v>
      </c>
      <c r="AH7" s="5">
        <f ca="1">ROUNDDOWN(MIN(MAX(((IF($M7="-",((YEAR($I$2)*12)+MONTH($I$2)),MIN(((YEAR($I$2)*12)+MONTH($I$2)),((YEAR($M7)*12)+MONTH($M7)-'Set-up'!$E$13)))-(((YEAR($I7)*12)+MONTH($I7)+'Set-up'!$E$11)))),0),IF(LEFT($AE7,1)="D",MaxPeriod,$AG7))/12,0)</f>
        <v>5</v>
      </c>
      <c r="AI7" s="5">
        <f ca="1">ROUNDDOWN(MIN(MAX(((IF($M7="-",((YEAR($H$2)*12)+MONTH($H$2)-1),MIN(((YEAR($H$2)*12)+MONTH($H$2)-1),((YEAR($M7)*12)+MONTH($M7)-'Set-up'!$E$13)))-(((YEAR($I7)*12)+MONTH($I7)+'Set-up'!$E$11)))),0),IF(LEFT($AE7,1)="D",MaxPeriod,$AG7))/12,0)</f>
        <v>4</v>
      </c>
      <c r="AJ7" s="5">
        <f ca="1">ROUNDDOWN(MIN(MAX(((IF($M7="-",((YEAR($J$2)*12)+MONTH($J$2)-1),MIN(((YEAR($J$2)*12)+MONTH($J$2)-1),((YEAR($M7)*12)+MONTH($M7)-'Set-up'!$E$13)))-(((YEAR($I7)*12)+MONTH($I7)+'Set-up'!$E$11)))),0),IF(LEFT($AE7,1)="D",MaxPeriod,$AG7))/12,0)</f>
        <v>5</v>
      </c>
      <c r="AK7" s="5">
        <f ca="1">ROUNDDOWN(MIN(MAX(((IF($M7="-",0,((YEAR($M7)*12)+MONTH($M7)-'Set-up'!$E$13))-(((YEAR($I7)*12)+MONTH($I7)+'Set-up'!$E$11)))),0),IF(LEFT($AE7,1)="D",MaxPeriod,$AG7))/12,0)</f>
        <v>0</v>
      </c>
      <c r="AL7" s="5">
        <f>IF('Set-up'!$E$9="Daily",MIN(MAX(((IF($M7="-",$I$2,MIN($I$2,$M7-'Set-up'!$E$13))-((DATE(YEAR($I7)+$AH7,MONTH($I7),DAY($I7))+'Set-up'!$E$11)))+1),0),IF(LEFT($AE7,1)="D",MaxPeriod,$AG7)),0)</f>
        <v>0</v>
      </c>
      <c r="AM7" s="5">
        <f>IF('Set-up'!$E$9="Daily",MIN(MAX(((IF($M7="-",$H$2-1,MIN($H$2-1,$M7-'Set-up'!$E$13))-(DATE(YEAR($I7)+$AI7,MONTH($I7),DAY($I7))+'Set-up'!$E$11))+1),0),IF(LEFT($AE7,1)="D",MaxPeriod,$AG7)),0)</f>
        <v>0</v>
      </c>
      <c r="AN7" s="5">
        <f>IF('Set-up'!$E$9="Daily",MIN(MAX(((IF($M7="-",$J$2-1,MIN($J$2-1,$M7-'Set-up'!$E$13))-(DATE(YEAR($I7)+$AJ7,MONTH($I7),DAY($I7))+'Set-up'!$E$11))+1),0),IF(LEFT($AE7,1)="D",MaxPeriod,$AG7)),0)</f>
        <v>0</v>
      </c>
      <c r="AO7" s="5">
        <f>IF('Set-up'!$E$9="Daily",MIN(MAX(((IF($M7="-",0,$M7-'Set-up'!$E$13)-(DATE(YEAR($I7)+$AK7,MONTH($I7),DAY($I7))+'Set-up'!$E$11))+1),0),IF(LEFT($AE7,1)="D",MaxPeriod,$AG7)),0)</f>
        <v>0</v>
      </c>
      <c r="AP7" s="5">
        <f>IF('Set-up'!$E$9="Daily",DATE(YEAR($I7)+$AH7+1,MONTH($I7),DAY($I7))-DATE(YEAR($I7)+$AH7,MONTH($I7),DAY($I7)),0)</f>
        <v>0</v>
      </c>
      <c r="AQ7" s="5">
        <f>IF('Set-up'!$E$9="Daily",DATE(YEAR($I7)+$AI7+1,MONTH($I7),DAY($I7))-DATE(YEAR($I7)+$AI7,MONTH($I7),DAY($I7)),0)</f>
        <v>0</v>
      </c>
      <c r="AR7" s="5">
        <f>IF('Set-up'!$E$9="Daily",DATE(YEAR($I7)+$AJ7+1,MONTH($I7),DAY($I7))-DATE(YEAR($I7)+$AJ7,MONTH($I7),DAY($I7)),0)</f>
        <v>0</v>
      </c>
      <c r="AS7" s="5">
        <f>IF('Set-up'!$E$9="Daily",DATE(YEAR($I7)+$AK7+1,MONTH($I7),DAY($I7))-DATE(YEAR($I7)+$AK7,MONTH($I7),DAY($I7)),0)</f>
        <v>0</v>
      </c>
    </row>
    <row r="8" spans="1:45" ht="16" customHeight="1" x14ac:dyDescent="0.25">
      <c r="A8" s="9" t="s">
        <v>178</v>
      </c>
      <c r="B8" s="9">
        <v>98099812</v>
      </c>
      <c r="C8" s="9" t="s">
        <v>27</v>
      </c>
      <c r="D8" s="5" t="s">
        <v>90</v>
      </c>
      <c r="E8" s="5" t="s">
        <v>166</v>
      </c>
      <c r="F8" s="5" t="s">
        <v>340</v>
      </c>
      <c r="G8" s="5" t="str" cm="1">
        <f t="array" aca="1" ref="G8" ca="1">IF(COUNTIF(AssetCode,$A8)&gt;1,"E1",IF(ISNA(VLOOKUP($E8,CatAll,1,0))=TRUE,"E2",IF($I8="Add!","E10","-")))</f>
        <v>-</v>
      </c>
      <c r="H8" s="5" t="str">
        <f t="shared" ca="1" si="0"/>
        <v>PM</v>
      </c>
      <c r="I8" s="30" cm="1">
        <f t="array" aca="1" ref="I8" ca="1">IF(SUMIFS(TransIDDate,TransAsset,$A8,TransType,"ACQ")=0,"Add!",SUMIFS(TransIDDate,TransAsset,$A8,TransType,"ACQ"))</f>
        <v>42205</v>
      </c>
      <c r="J8" s="32">
        <f t="shared" ca="1" si="1"/>
        <v>250000</v>
      </c>
      <c r="K8" s="57">
        <f t="shared" ca="1" si="2"/>
        <v>5</v>
      </c>
      <c r="L8" s="32">
        <f t="shared" ca="1" si="3"/>
        <v>0</v>
      </c>
      <c r="M8" s="30" t="str" cm="1">
        <f t="array" ref="M8">IF(SUMIFS(TransIDDate,TransAsset,$A8,TransType,"DIS")=0,"-",IF(SUMIFS(TransIDDate,TransAsset,$A8,TransType,"DIS")&lt;=$I$2,SUMIFS(TransIDDate,TransAsset,$A8,TransType,"DIS"),"-"))</f>
        <v>-</v>
      </c>
      <c r="N8" s="31" cm="1">
        <f t="array" aca="1" ref="N8" ca="1">IF($M8&lt;=$I$2,SUMIFS(TransProceeds,TransAsset,$A8,TransType,"DIS"),0)</f>
        <v>0</v>
      </c>
      <c r="O8" s="32" cm="1">
        <f t="array" aca="1" ref="O8" ca="1">IF(AND($M8&lt;&gt;"-",$M8&lt;$H$2),0,SUMIFS(TransAmount,TransAsset,$A8,TransIDDate,"&lt;"&amp;$H$2,TransType,"ACQ"))</f>
        <v>250000</v>
      </c>
      <c r="P8" s="32">
        <f t="shared" ca="1" si="4"/>
        <v>0</v>
      </c>
      <c r="Q8" s="32">
        <f t="shared" ca="1" si="5"/>
        <v>0</v>
      </c>
      <c r="R8" s="32">
        <f t="shared" ca="1" si="7"/>
        <v>250000</v>
      </c>
      <c r="S8" s="32">
        <f ca="1">IF(AND($M8&lt;&gt;"-",$M8&lt;$H$2),0,IF($K8=0,0,IF(LEFT($AE8,1)="D",(($J8-$L8)*(1-((1-$AD8)^$AI8)))+(($J8-$L8)*(((1-$AD8)^$AI8)-((1-$AD8)^($AI8+1)))*IF('Set-up'!$E$9="Monthly",($AA8-($AI8*12))/12,$AM8/$AQ8)),($J8-$L8)/$AG8*$AA8)))</f>
        <v>233333.33333333334</v>
      </c>
      <c r="T8" s="32">
        <f ca="1">IF($K8=0,0,IF(LEFT($AE8,1)="D",((($J8-$L8)*(1-((1-$AD8)^$AH8)))+(($J8-$L8)*(((1-$AD8)^$AH8)-((1-$AD8)^($AH8+1)))*IF('Set-up'!$E$9="Monthly",($Z8-($AH8*12))/12,$AL8/$AP8)))-(($J8-$L8)*(1-((1-$AD8)^$AI8)))-(($J8-$L8)*(((1-$AD8)^$AI8)-((1-$AD8)^($AI8+1)))*IF('Set-up'!$E$9="Monthly",($AA8-($AI8*12))/12,$AM8/$AQ8)),(($J8-$L8)/$AG8*$Z8)-(($J8-$L8)/$AG8*$AA8)))</f>
        <v>16666.666666666686</v>
      </c>
      <c r="U8" s="32">
        <f ca="1">-IF(AND($M8&gt;=$H$2,$M8&lt;=$I$2),IF(LEFT($AE8,1)="D",(($J8-$L8)*(1-((1-$AD8)^$AK8)))+(($J8-$L8)*(((1-$AD8)^$AK8)-((1-$AD8)^($AK8+1)))*IF('Set-up'!$E$9="Monthly",($AC8-($AK8*12))/12,$AO8/$AS8)),IF($K8=0,0,($J8-$L8)/$AG8*$AC8)),0)</f>
        <v>0</v>
      </c>
      <c r="V8" s="32">
        <f t="shared" ca="1" si="8"/>
        <v>250000.00000000003</v>
      </c>
      <c r="W8" s="32">
        <f t="shared" ca="1" si="9"/>
        <v>0</v>
      </c>
      <c r="X8" s="32">
        <f t="shared" ca="1" si="10"/>
        <v>0</v>
      </c>
      <c r="Y8" s="32">
        <f ca="1">IF($K8=0,0,IF(LEFT($AE8,1)="D",((($J8-$L8)*(1-((1-$AD8)^$AH8)))+(($J8-$L8)*(((1-$AD8)^$AH8)-((1-$AD8)^($AH8+1)))*IF('Set-up'!$E$9="Monthly",($Z8-($AH8*12))/12,$AL8/$AP8)))-(($J8-$L8)*(1-((1-$AD8)^$AJ8)))-(($J8-$L8)*(((1-$AD8)^$AJ8)-((1-$AD8)^($AJ8+1)))*IF('Set-up'!$E$9="Monthly",($AB8-($AJ8*12))/12,$AN8/$AR8)),(($J8-$L8)/$AG8*$Z8)-(($J8-$L8)/$AG8*$AB8)))</f>
        <v>0</v>
      </c>
      <c r="Z8" s="5">
        <f ca="1">IF('Set-up'!$E$9="Daily",MIN(MAX(((IF($M8="-",$I$2,MIN($I$2,$M8-'Set-up'!$E$13))-(($I8+'Set-up'!$E$11)))+1),0),IF(LEFT($AE8,1)="D",MaxPeriod,$AG8)),MIN(MAX(((IF($M8="-",((YEAR($I$2)*12)+MONTH($I$2)),MIN(((YEAR($I$2)*12)+MONTH($I$2)),((YEAR($M8)*12)+MONTH($M8)-'Set-up'!$E$13)))-(((YEAR($I8)*12)+MONTH($I8)+'Set-up'!$E$11)))+1),0),IF(LEFT($AE8,1)="D",MaxPeriod,$AG8)))</f>
        <v>60</v>
      </c>
      <c r="AA8" s="5">
        <f ca="1">IF('Set-up'!$E$9="Daily",MIN(MAX(((IF($M8="-",$H$2-1,MIN($H$2-1,$M8-'Set-up'!$E$13))-($I8+'Set-up'!$E$11))+1),0),IF(LEFT($AE8,1)="D",MaxPeriod,$AG8)),MIN(MAX(((IF($M8="-",((YEAR($H$2)*12)+MONTH($H$2)-1),MIN(((YEAR($H$2)*12)+MONTH($H$2)-1),((YEAR($M8)*12)+MONTH($M8)-'Set-up'!$E$13)))-(((YEAR($I8)*12)+MONTH($I8)+'Set-up'!$E$11)))+1),0),IF(LEFT($AE8,1)="D",MaxPeriod,$AG8)))</f>
        <v>56</v>
      </c>
      <c r="AB8" s="5">
        <f ca="1">IF('Set-up'!$E$9="Daily",MIN(MAX(((IF($M8="-",$J$2-1,MIN($J$2-1,$M8-'Set-up'!$E$13))-($I8+'Set-up'!$E$11))+1),0),IF(LEFT($AE8,1)="D",MaxPeriod,$AG8)),MIN(MAX(((IF($M8="-",((YEAR($J$2)*12)+MONTH($J$2)-1),MIN(((YEAR($J$2)*12)+MONTH($J$2)-1),((YEAR($M8)*12)+MONTH($M8)-'Set-up'!$E$13)))-(((YEAR($I8)*12)+MONTH($I8)+'Set-up'!$E$11)))+1),0),IF(LEFT($AE8,1)="D",MaxPeriod,$AG8)))</f>
        <v>60</v>
      </c>
      <c r="AC8" s="5">
        <f ca="1">IF('Set-up'!$E$9="Daily",MIN(MAX(((IF($M8="-",0,$M8-'Set-up'!$E$13)-($I8+'Set-up'!$E$11))+1),0),IF(LEFT($AE8,1)="D",MaxPeriod,$AG8)),MIN(MAX(((IF($M8="-",0,((YEAR($M8)*12)+MONTH($M8)-'Set-up'!$E$13))-(((YEAR($I8)*12)+MONTH($I8)+'Set-up'!$E$11)))+1),0),IF(LEFT($AE8,1)="D",MaxPeriod,$AG8)))</f>
        <v>0</v>
      </c>
      <c r="AD8" s="33">
        <f t="shared" ca="1" si="6"/>
        <v>0</v>
      </c>
      <c r="AE8" s="34" t="str">
        <f t="shared" ca="1" si="11"/>
        <v>SL</v>
      </c>
      <c r="AF8" s="34">
        <f t="shared" ca="1" si="12"/>
        <v>1</v>
      </c>
      <c r="AG8" s="5">
        <f ca="1">IF('Set-up'!$E$9="Daily",(DATE(YEAR($I8)+$K8+(1-$AF8),MONTH($I8),DAY($I8))+'Set-up'!$E$11)-($I8+'Set-up'!$E$11),$K8*12)</f>
        <v>60</v>
      </c>
      <c r="AH8" s="5">
        <f ca="1">ROUNDDOWN(MIN(MAX(((IF($M8="-",((YEAR($I$2)*12)+MONTH($I$2)),MIN(((YEAR($I$2)*12)+MONTH($I$2)),((YEAR($M8)*12)+MONTH($M8)-'Set-up'!$E$13)))-(((YEAR($I8)*12)+MONTH($I8)+'Set-up'!$E$11)))),0),IF(LEFT($AE8,1)="D",MaxPeriod,$AG8))/12,0)</f>
        <v>5</v>
      </c>
      <c r="AI8" s="5">
        <f ca="1">ROUNDDOWN(MIN(MAX(((IF($M8="-",((YEAR($H$2)*12)+MONTH($H$2)-1),MIN(((YEAR($H$2)*12)+MONTH($H$2)-1),((YEAR($M8)*12)+MONTH($M8)-'Set-up'!$E$13)))-(((YEAR($I8)*12)+MONTH($I8)+'Set-up'!$E$11)))),0),IF(LEFT($AE8,1)="D",MaxPeriod,$AG8))/12,0)</f>
        <v>4</v>
      </c>
      <c r="AJ8" s="5">
        <f ca="1">ROUNDDOWN(MIN(MAX(((IF($M8="-",((YEAR($J$2)*12)+MONTH($J$2)-1),MIN(((YEAR($J$2)*12)+MONTH($J$2)-1),((YEAR($M8)*12)+MONTH($M8)-'Set-up'!$E$13)))-(((YEAR($I8)*12)+MONTH($I8)+'Set-up'!$E$11)))),0),IF(LEFT($AE8,1)="D",MaxPeriod,$AG8))/12,0)</f>
        <v>5</v>
      </c>
      <c r="AK8" s="5">
        <f ca="1">ROUNDDOWN(MIN(MAX(((IF($M8="-",0,((YEAR($M8)*12)+MONTH($M8)-'Set-up'!$E$13))-(((YEAR($I8)*12)+MONTH($I8)+'Set-up'!$E$11)))),0),IF(LEFT($AE8,1)="D",MaxPeriod,$AG8))/12,0)</f>
        <v>0</v>
      </c>
      <c r="AL8" s="5">
        <f>IF('Set-up'!$E$9="Daily",MIN(MAX(((IF($M8="-",$I$2,MIN($I$2,$M8-'Set-up'!$E$13))-((DATE(YEAR($I8)+$AH8,MONTH($I8),DAY($I8))+'Set-up'!$E$11)))+1),0),IF(LEFT($AE8,1)="D",MaxPeriod,$AG8)),0)</f>
        <v>0</v>
      </c>
      <c r="AM8" s="5">
        <f>IF('Set-up'!$E$9="Daily",MIN(MAX(((IF($M8="-",$H$2-1,MIN($H$2-1,$M8-'Set-up'!$E$13))-(DATE(YEAR($I8)+$AI8,MONTH($I8),DAY($I8))+'Set-up'!$E$11))+1),0),IF(LEFT($AE8,1)="D",MaxPeriod,$AG8)),0)</f>
        <v>0</v>
      </c>
      <c r="AN8" s="5">
        <f>IF('Set-up'!$E$9="Daily",MIN(MAX(((IF($M8="-",$J$2-1,MIN($J$2-1,$M8-'Set-up'!$E$13))-(DATE(YEAR($I8)+$AJ8,MONTH($I8),DAY($I8))+'Set-up'!$E$11))+1),0),IF(LEFT($AE8,1)="D",MaxPeriod,$AG8)),0)</f>
        <v>0</v>
      </c>
      <c r="AO8" s="5">
        <f>IF('Set-up'!$E$9="Daily",MIN(MAX(((IF($M8="-",0,$M8-'Set-up'!$E$13)-(DATE(YEAR($I8)+$AK8,MONTH($I8),DAY($I8))+'Set-up'!$E$11))+1),0),IF(LEFT($AE8,1)="D",MaxPeriod,$AG8)),0)</f>
        <v>0</v>
      </c>
      <c r="AP8" s="5">
        <f>IF('Set-up'!$E$9="Daily",DATE(YEAR($I8)+$AH8+1,MONTH($I8),DAY($I8))-DATE(YEAR($I8)+$AH8,MONTH($I8),DAY($I8)),0)</f>
        <v>0</v>
      </c>
      <c r="AQ8" s="5">
        <f>IF('Set-up'!$E$9="Daily",DATE(YEAR($I8)+$AI8+1,MONTH($I8),DAY($I8))-DATE(YEAR($I8)+$AI8,MONTH($I8),DAY($I8)),0)</f>
        <v>0</v>
      </c>
      <c r="AR8" s="5">
        <f>IF('Set-up'!$E$9="Daily",DATE(YEAR($I8)+$AJ8+1,MONTH($I8),DAY($I8))-DATE(YEAR($I8)+$AJ8,MONTH($I8),DAY($I8)),0)</f>
        <v>0</v>
      </c>
      <c r="AS8" s="5">
        <f>IF('Set-up'!$E$9="Daily",DATE(YEAR($I8)+$AK8+1,MONTH($I8),DAY($I8))-DATE(YEAR($I8)+$AK8,MONTH($I8),DAY($I8)),0)</f>
        <v>0</v>
      </c>
    </row>
    <row r="9" spans="1:45" ht="16" customHeight="1" x14ac:dyDescent="0.25">
      <c r="A9" s="9" t="s">
        <v>179</v>
      </c>
      <c r="B9" s="9">
        <v>89098801</v>
      </c>
      <c r="C9" s="9" t="s">
        <v>28</v>
      </c>
      <c r="D9" s="5" t="s">
        <v>90</v>
      </c>
      <c r="E9" s="5" t="s">
        <v>166</v>
      </c>
      <c r="F9" s="5" t="s">
        <v>340</v>
      </c>
      <c r="G9" s="5" t="str" cm="1">
        <f t="array" aca="1" ref="G9" ca="1">IF(COUNTIF(AssetCode,$A9)&gt;1,"E1",IF(ISNA(VLOOKUP($E9,CatAll,1,0))=TRUE,"E2",IF($I9="Add!","E10","-")))</f>
        <v>-</v>
      </c>
      <c r="H9" s="5" t="str">
        <f t="shared" ca="1" si="0"/>
        <v>PM</v>
      </c>
      <c r="I9" s="30" cm="1">
        <f t="array" aca="1" ref="I9" ca="1">IF(SUMIFS(TransIDDate,TransAsset,$A9,TransType,"ACQ")=0,"Add!",SUMIFS(TransIDDate,TransAsset,$A9,TransType,"ACQ"))</f>
        <v>42205</v>
      </c>
      <c r="J9" s="32">
        <f t="shared" ca="1" si="1"/>
        <v>915000</v>
      </c>
      <c r="K9" s="57">
        <f t="shared" ca="1" si="2"/>
        <v>5</v>
      </c>
      <c r="L9" s="32">
        <f t="shared" ca="1" si="3"/>
        <v>0</v>
      </c>
      <c r="M9" s="30" t="str" cm="1">
        <f t="array" ref="M9">IF(SUMIFS(TransIDDate,TransAsset,$A9,TransType,"DIS")=0,"-",IF(SUMIFS(TransIDDate,TransAsset,$A9,TransType,"DIS")&lt;=$I$2,SUMIFS(TransIDDate,TransAsset,$A9,TransType,"DIS"),"-"))</f>
        <v>-</v>
      </c>
      <c r="N9" s="31" cm="1">
        <f t="array" aca="1" ref="N9" ca="1">IF($M9&lt;=$I$2,SUMIFS(TransProceeds,TransAsset,$A9,TransType,"DIS"),0)</f>
        <v>0</v>
      </c>
      <c r="O9" s="32" cm="1">
        <f t="array" aca="1" ref="O9" ca="1">IF(AND($M9&lt;&gt;"-",$M9&lt;$H$2),0,SUMIFS(TransAmount,TransAsset,$A9,TransIDDate,"&lt;"&amp;$H$2,TransType,"ACQ"))</f>
        <v>915000</v>
      </c>
      <c r="P9" s="32">
        <f t="shared" ca="1" si="4"/>
        <v>0</v>
      </c>
      <c r="Q9" s="32">
        <f t="shared" ca="1" si="5"/>
        <v>0</v>
      </c>
      <c r="R9" s="32">
        <f t="shared" ca="1" si="7"/>
        <v>915000</v>
      </c>
      <c r="S9" s="32">
        <f ca="1">IF(AND($M9&lt;&gt;"-",$M9&lt;$H$2),0,IF($K9=0,0,IF(LEFT($AE9,1)="D",(($J9-$L9)*(1-((1-$AD9)^$AI9)))+(($J9-$L9)*(((1-$AD9)^$AI9)-((1-$AD9)^($AI9+1)))*IF('Set-up'!$E$9="Monthly",($AA9-($AI9*12))/12,$AM9/$AQ9)),($J9-$L9)/$AG9*$AA9)))</f>
        <v>854000</v>
      </c>
      <c r="T9" s="32">
        <f ca="1">IF($K9=0,0,IF(LEFT($AE9,1)="D",((($J9-$L9)*(1-((1-$AD9)^$AH9)))+(($J9-$L9)*(((1-$AD9)^$AH9)-((1-$AD9)^($AH9+1)))*IF('Set-up'!$E$9="Monthly",($Z9-($AH9*12))/12,$AL9/$AP9)))-(($J9-$L9)*(1-((1-$AD9)^$AI9)))-(($J9-$L9)*(((1-$AD9)^$AI9)-((1-$AD9)^($AI9+1)))*IF('Set-up'!$E$9="Monthly",($AA9-($AI9*12))/12,$AM9/$AQ9)),(($J9-$L9)/$AG9*$Z9)-(($J9-$L9)/$AG9*$AA9)))</f>
        <v>61000</v>
      </c>
      <c r="U9" s="32">
        <f ca="1">-IF(AND($M9&gt;=$H$2,$M9&lt;=$I$2),IF(LEFT($AE9,1)="D",(($J9-$L9)*(1-((1-$AD9)^$AK9)))+(($J9-$L9)*(((1-$AD9)^$AK9)-((1-$AD9)^($AK9+1)))*IF('Set-up'!$E$9="Monthly",($AC9-($AK9*12))/12,$AO9/$AS9)),IF($K9=0,0,($J9-$L9)/$AG9*$AC9)),0)</f>
        <v>0</v>
      </c>
      <c r="V9" s="32">
        <f t="shared" ca="1" si="8"/>
        <v>915000</v>
      </c>
      <c r="W9" s="32">
        <f t="shared" ca="1" si="9"/>
        <v>0</v>
      </c>
      <c r="X9" s="32">
        <f t="shared" ca="1" si="10"/>
        <v>0</v>
      </c>
      <c r="Y9" s="32">
        <f ca="1">IF($K9=0,0,IF(LEFT($AE9,1)="D",((($J9-$L9)*(1-((1-$AD9)^$AH9)))+(($J9-$L9)*(((1-$AD9)^$AH9)-((1-$AD9)^($AH9+1)))*IF('Set-up'!$E$9="Monthly",($Z9-($AH9*12))/12,$AL9/$AP9)))-(($J9-$L9)*(1-((1-$AD9)^$AJ9)))-(($J9-$L9)*(((1-$AD9)^$AJ9)-((1-$AD9)^($AJ9+1)))*IF('Set-up'!$E$9="Monthly",($AB9-($AJ9*12))/12,$AN9/$AR9)),(($J9-$L9)/$AG9*$Z9)-(($J9-$L9)/$AG9*$AB9)))</f>
        <v>0</v>
      </c>
      <c r="Z9" s="5">
        <f ca="1">IF('Set-up'!$E$9="Daily",MIN(MAX(((IF($M9="-",$I$2,MIN($I$2,$M9-'Set-up'!$E$13))-(($I9+'Set-up'!$E$11)))+1),0),IF(LEFT($AE9,1)="D",MaxPeriod,$AG9)),MIN(MAX(((IF($M9="-",((YEAR($I$2)*12)+MONTH($I$2)),MIN(((YEAR($I$2)*12)+MONTH($I$2)),((YEAR($M9)*12)+MONTH($M9)-'Set-up'!$E$13)))-(((YEAR($I9)*12)+MONTH($I9)+'Set-up'!$E$11)))+1),0),IF(LEFT($AE9,1)="D",MaxPeriod,$AG9)))</f>
        <v>60</v>
      </c>
      <c r="AA9" s="5">
        <f ca="1">IF('Set-up'!$E$9="Daily",MIN(MAX(((IF($M9="-",$H$2-1,MIN($H$2-1,$M9-'Set-up'!$E$13))-($I9+'Set-up'!$E$11))+1),0),IF(LEFT($AE9,1)="D",MaxPeriod,$AG9)),MIN(MAX(((IF($M9="-",((YEAR($H$2)*12)+MONTH($H$2)-1),MIN(((YEAR($H$2)*12)+MONTH($H$2)-1),((YEAR($M9)*12)+MONTH($M9)-'Set-up'!$E$13)))-(((YEAR($I9)*12)+MONTH($I9)+'Set-up'!$E$11)))+1),0),IF(LEFT($AE9,1)="D",MaxPeriod,$AG9)))</f>
        <v>56</v>
      </c>
      <c r="AB9" s="5">
        <f ca="1">IF('Set-up'!$E$9="Daily",MIN(MAX(((IF($M9="-",$J$2-1,MIN($J$2-1,$M9-'Set-up'!$E$13))-($I9+'Set-up'!$E$11))+1),0),IF(LEFT($AE9,1)="D",MaxPeriod,$AG9)),MIN(MAX(((IF($M9="-",((YEAR($J$2)*12)+MONTH($J$2)-1),MIN(((YEAR($J$2)*12)+MONTH($J$2)-1),((YEAR($M9)*12)+MONTH($M9)-'Set-up'!$E$13)))-(((YEAR($I9)*12)+MONTH($I9)+'Set-up'!$E$11)))+1),0),IF(LEFT($AE9,1)="D",MaxPeriod,$AG9)))</f>
        <v>60</v>
      </c>
      <c r="AC9" s="5">
        <f ca="1">IF('Set-up'!$E$9="Daily",MIN(MAX(((IF($M9="-",0,$M9-'Set-up'!$E$13)-($I9+'Set-up'!$E$11))+1),0),IF(LEFT($AE9,1)="D",MaxPeriod,$AG9)),MIN(MAX(((IF($M9="-",0,((YEAR($M9)*12)+MONTH($M9)-'Set-up'!$E$13))-(((YEAR($I9)*12)+MONTH($I9)+'Set-up'!$E$11)))+1),0),IF(LEFT($AE9,1)="D",MaxPeriod,$AG9)))</f>
        <v>0</v>
      </c>
      <c r="AD9" s="33">
        <f t="shared" ca="1" si="6"/>
        <v>0</v>
      </c>
      <c r="AE9" s="34" t="str">
        <f t="shared" ca="1" si="11"/>
        <v>SL</v>
      </c>
      <c r="AF9" s="34">
        <f t="shared" ca="1" si="12"/>
        <v>1</v>
      </c>
      <c r="AG9" s="5">
        <f ca="1">IF('Set-up'!$E$9="Daily",(DATE(YEAR($I9)+$K9+(1-$AF9),MONTH($I9),DAY($I9))+'Set-up'!$E$11)-($I9+'Set-up'!$E$11),$K9*12)</f>
        <v>60</v>
      </c>
      <c r="AH9" s="5">
        <f ca="1">ROUNDDOWN(MIN(MAX(((IF($M9="-",((YEAR($I$2)*12)+MONTH($I$2)),MIN(((YEAR($I$2)*12)+MONTH($I$2)),((YEAR($M9)*12)+MONTH($M9)-'Set-up'!$E$13)))-(((YEAR($I9)*12)+MONTH($I9)+'Set-up'!$E$11)))),0),IF(LEFT($AE9,1)="D",MaxPeriod,$AG9))/12,0)</f>
        <v>5</v>
      </c>
      <c r="AI9" s="5">
        <f ca="1">ROUNDDOWN(MIN(MAX(((IF($M9="-",((YEAR($H$2)*12)+MONTH($H$2)-1),MIN(((YEAR($H$2)*12)+MONTH($H$2)-1),((YEAR($M9)*12)+MONTH($M9)-'Set-up'!$E$13)))-(((YEAR($I9)*12)+MONTH($I9)+'Set-up'!$E$11)))),0),IF(LEFT($AE9,1)="D",MaxPeriod,$AG9))/12,0)</f>
        <v>4</v>
      </c>
      <c r="AJ9" s="5">
        <f ca="1">ROUNDDOWN(MIN(MAX(((IF($M9="-",((YEAR($J$2)*12)+MONTH($J$2)-1),MIN(((YEAR($J$2)*12)+MONTH($J$2)-1),((YEAR($M9)*12)+MONTH($M9)-'Set-up'!$E$13)))-(((YEAR($I9)*12)+MONTH($I9)+'Set-up'!$E$11)))),0),IF(LEFT($AE9,1)="D",MaxPeriod,$AG9))/12,0)</f>
        <v>5</v>
      </c>
      <c r="AK9" s="5">
        <f ca="1">ROUNDDOWN(MIN(MAX(((IF($M9="-",0,((YEAR($M9)*12)+MONTH($M9)-'Set-up'!$E$13))-(((YEAR($I9)*12)+MONTH($I9)+'Set-up'!$E$11)))),0),IF(LEFT($AE9,1)="D",MaxPeriod,$AG9))/12,0)</f>
        <v>0</v>
      </c>
      <c r="AL9" s="5">
        <f>IF('Set-up'!$E$9="Daily",MIN(MAX(((IF($M9="-",$I$2,MIN($I$2,$M9-'Set-up'!$E$13))-((DATE(YEAR($I9)+$AH9,MONTH($I9),DAY($I9))+'Set-up'!$E$11)))+1),0),IF(LEFT($AE9,1)="D",MaxPeriod,$AG9)),0)</f>
        <v>0</v>
      </c>
      <c r="AM9" s="5">
        <f>IF('Set-up'!$E$9="Daily",MIN(MAX(((IF($M9="-",$H$2-1,MIN($H$2-1,$M9-'Set-up'!$E$13))-(DATE(YEAR($I9)+$AI9,MONTH($I9),DAY($I9))+'Set-up'!$E$11))+1),0),IF(LEFT($AE9,1)="D",MaxPeriod,$AG9)),0)</f>
        <v>0</v>
      </c>
      <c r="AN9" s="5">
        <f>IF('Set-up'!$E$9="Daily",MIN(MAX(((IF($M9="-",$J$2-1,MIN($J$2-1,$M9-'Set-up'!$E$13))-(DATE(YEAR($I9)+$AJ9,MONTH($I9),DAY($I9))+'Set-up'!$E$11))+1),0),IF(LEFT($AE9,1)="D",MaxPeriod,$AG9)),0)</f>
        <v>0</v>
      </c>
      <c r="AO9" s="5">
        <f>IF('Set-up'!$E$9="Daily",MIN(MAX(((IF($M9="-",0,$M9-'Set-up'!$E$13)-(DATE(YEAR($I9)+$AK9,MONTH($I9),DAY($I9))+'Set-up'!$E$11))+1),0),IF(LEFT($AE9,1)="D",MaxPeriod,$AG9)),0)</f>
        <v>0</v>
      </c>
      <c r="AP9" s="5">
        <f>IF('Set-up'!$E$9="Daily",DATE(YEAR($I9)+$AH9+1,MONTH($I9),DAY($I9))-DATE(YEAR($I9)+$AH9,MONTH($I9),DAY($I9)),0)</f>
        <v>0</v>
      </c>
      <c r="AQ9" s="5">
        <f>IF('Set-up'!$E$9="Daily",DATE(YEAR($I9)+$AI9+1,MONTH($I9),DAY($I9))-DATE(YEAR($I9)+$AI9,MONTH($I9),DAY($I9)),0)</f>
        <v>0</v>
      </c>
      <c r="AR9" s="5">
        <f>IF('Set-up'!$E$9="Daily",DATE(YEAR($I9)+$AJ9+1,MONTH($I9),DAY($I9))-DATE(YEAR($I9)+$AJ9,MONTH($I9),DAY($I9)),0)</f>
        <v>0</v>
      </c>
      <c r="AS9" s="5">
        <f>IF('Set-up'!$E$9="Daily",DATE(YEAR($I9)+$AK9+1,MONTH($I9),DAY($I9))-DATE(YEAR($I9)+$AK9,MONTH($I9),DAY($I9)),0)</f>
        <v>0</v>
      </c>
    </row>
    <row r="10" spans="1:45" ht="16" customHeight="1" x14ac:dyDescent="0.25">
      <c r="A10" s="9" t="s">
        <v>180</v>
      </c>
      <c r="B10" s="9">
        <v>90393132</v>
      </c>
      <c r="C10" s="9" t="s">
        <v>190</v>
      </c>
      <c r="D10" s="5" t="s">
        <v>90</v>
      </c>
      <c r="E10" s="5" t="s">
        <v>166</v>
      </c>
      <c r="F10" s="5" t="s">
        <v>340</v>
      </c>
      <c r="G10" s="5" t="str" cm="1">
        <f t="array" aca="1" ref="G10" ca="1">IF(COUNTIF(AssetCode,$A10)&gt;1,"E1",IF(ISNA(VLOOKUP($E10,CatAll,1,0))=TRUE,"E2",IF($I10="Add!","E10","-")))</f>
        <v>-</v>
      </c>
      <c r="H10" s="5" t="str">
        <f t="shared" ca="1" si="0"/>
        <v>PM</v>
      </c>
      <c r="I10" s="30" cm="1">
        <f t="array" aca="1" ref="I10" ca="1">IF(SUMIFS(TransIDDate,TransAsset,$A10,TransType,"ACQ")=0,"Add!",SUMIFS(TransIDDate,TransAsset,$A10,TransType,"ACQ"))</f>
        <v>42205</v>
      </c>
      <c r="J10" s="32">
        <f t="shared" ca="1" si="1"/>
        <v>500000</v>
      </c>
      <c r="K10" s="57">
        <f t="shared" ca="1" si="2"/>
        <v>5</v>
      </c>
      <c r="L10" s="32">
        <f t="shared" ca="1" si="3"/>
        <v>0</v>
      </c>
      <c r="M10" s="30" t="str" cm="1">
        <f t="array" ref="M10">IF(SUMIFS(TransIDDate,TransAsset,$A10,TransType,"DIS")=0,"-",IF(SUMIFS(TransIDDate,TransAsset,$A10,TransType,"DIS")&lt;=$I$2,SUMIFS(TransIDDate,TransAsset,$A10,TransType,"DIS"),"-"))</f>
        <v>-</v>
      </c>
      <c r="N10" s="31" cm="1">
        <f t="array" aca="1" ref="N10" ca="1">IF($M10&lt;=$I$2,SUMIFS(TransProceeds,TransAsset,$A10,TransType,"DIS"),0)</f>
        <v>0</v>
      </c>
      <c r="O10" s="32" cm="1">
        <f t="array" aca="1" ref="O10" ca="1">IF(AND($M10&lt;&gt;"-",$M10&lt;$H$2),0,SUMIFS(TransAmount,TransAsset,$A10,TransIDDate,"&lt;"&amp;$H$2,TransType,"ACQ"))</f>
        <v>500000</v>
      </c>
      <c r="P10" s="32">
        <f t="shared" ca="1" si="4"/>
        <v>0</v>
      </c>
      <c r="Q10" s="32">
        <f t="shared" ca="1" si="5"/>
        <v>0</v>
      </c>
      <c r="R10" s="32">
        <f t="shared" ca="1" si="7"/>
        <v>500000</v>
      </c>
      <c r="S10" s="32">
        <f ca="1">IF(AND($M10&lt;&gt;"-",$M10&lt;$H$2),0,IF($K10=0,0,IF(LEFT($AE10,1)="D",(($J10-$L10)*(1-((1-$AD10)^$AI10)))+(($J10-$L10)*(((1-$AD10)^$AI10)-((1-$AD10)^($AI10+1)))*IF('Set-up'!$E$9="Monthly",($AA10-($AI10*12))/12,$AM10/$AQ10)),($J10-$L10)/$AG10*$AA10)))</f>
        <v>466666.66666666669</v>
      </c>
      <c r="T10" s="32">
        <f ca="1">IF($K10=0,0,IF(LEFT($AE10,1)="D",((($J10-$L10)*(1-((1-$AD10)^$AH10)))+(($J10-$L10)*(((1-$AD10)^$AH10)-((1-$AD10)^($AH10+1)))*IF('Set-up'!$E$9="Monthly",($Z10-($AH10*12))/12,$AL10/$AP10)))-(($J10-$L10)*(1-((1-$AD10)^$AI10)))-(($J10-$L10)*(((1-$AD10)^$AI10)-((1-$AD10)^($AI10+1)))*IF('Set-up'!$E$9="Monthly",($AA10-($AI10*12))/12,$AM10/$AQ10)),(($J10-$L10)/$AG10*$Z10)-(($J10-$L10)/$AG10*$AA10)))</f>
        <v>33333.333333333372</v>
      </c>
      <c r="U10" s="32">
        <f ca="1">-IF(AND($M10&gt;=$H$2,$M10&lt;=$I$2),IF(LEFT($AE10,1)="D",(($J10-$L10)*(1-((1-$AD10)^$AK10)))+(($J10-$L10)*(((1-$AD10)^$AK10)-((1-$AD10)^($AK10+1)))*IF('Set-up'!$E$9="Monthly",($AC10-($AK10*12))/12,$AO10/$AS10)),IF($K10=0,0,($J10-$L10)/$AG10*$AC10)),0)</f>
        <v>0</v>
      </c>
      <c r="V10" s="32">
        <f t="shared" ca="1" si="8"/>
        <v>500000.00000000006</v>
      </c>
      <c r="W10" s="32">
        <f t="shared" ca="1" si="9"/>
        <v>0</v>
      </c>
      <c r="X10" s="32">
        <f t="shared" ca="1" si="10"/>
        <v>0</v>
      </c>
      <c r="Y10" s="32">
        <f ca="1">IF($K10=0,0,IF(LEFT($AE10,1)="D",((($J10-$L10)*(1-((1-$AD10)^$AH10)))+(($J10-$L10)*(((1-$AD10)^$AH10)-((1-$AD10)^($AH10+1)))*IF('Set-up'!$E$9="Monthly",($Z10-($AH10*12))/12,$AL10/$AP10)))-(($J10-$L10)*(1-((1-$AD10)^$AJ10)))-(($J10-$L10)*(((1-$AD10)^$AJ10)-((1-$AD10)^($AJ10+1)))*IF('Set-up'!$E$9="Monthly",($AB10-($AJ10*12))/12,$AN10/$AR10)),(($J10-$L10)/$AG10*$Z10)-(($J10-$L10)/$AG10*$AB10)))</f>
        <v>0</v>
      </c>
      <c r="Z10" s="5">
        <f ca="1">IF('Set-up'!$E$9="Daily",MIN(MAX(((IF($M10="-",$I$2,MIN($I$2,$M10-'Set-up'!$E$13))-(($I10+'Set-up'!$E$11)))+1),0),IF(LEFT($AE10,1)="D",MaxPeriod,$AG10)),MIN(MAX(((IF($M10="-",((YEAR($I$2)*12)+MONTH($I$2)),MIN(((YEAR($I$2)*12)+MONTH($I$2)),((YEAR($M10)*12)+MONTH($M10)-'Set-up'!$E$13)))-(((YEAR($I10)*12)+MONTH($I10)+'Set-up'!$E$11)))+1),0),IF(LEFT($AE10,1)="D",MaxPeriod,$AG10)))</f>
        <v>60</v>
      </c>
      <c r="AA10" s="5">
        <f ca="1">IF('Set-up'!$E$9="Daily",MIN(MAX(((IF($M10="-",$H$2-1,MIN($H$2-1,$M10-'Set-up'!$E$13))-($I10+'Set-up'!$E$11))+1),0),IF(LEFT($AE10,1)="D",MaxPeriod,$AG10)),MIN(MAX(((IF($M10="-",((YEAR($H$2)*12)+MONTH($H$2)-1),MIN(((YEAR($H$2)*12)+MONTH($H$2)-1),((YEAR($M10)*12)+MONTH($M10)-'Set-up'!$E$13)))-(((YEAR($I10)*12)+MONTH($I10)+'Set-up'!$E$11)))+1),0),IF(LEFT($AE10,1)="D",MaxPeriod,$AG10)))</f>
        <v>56</v>
      </c>
      <c r="AB10" s="5">
        <f ca="1">IF('Set-up'!$E$9="Daily",MIN(MAX(((IF($M10="-",$J$2-1,MIN($J$2-1,$M10-'Set-up'!$E$13))-($I10+'Set-up'!$E$11))+1),0),IF(LEFT($AE10,1)="D",MaxPeriod,$AG10)),MIN(MAX(((IF($M10="-",((YEAR($J$2)*12)+MONTH($J$2)-1),MIN(((YEAR($J$2)*12)+MONTH($J$2)-1),((YEAR($M10)*12)+MONTH($M10)-'Set-up'!$E$13)))-(((YEAR($I10)*12)+MONTH($I10)+'Set-up'!$E$11)))+1),0),IF(LEFT($AE10,1)="D",MaxPeriod,$AG10)))</f>
        <v>60</v>
      </c>
      <c r="AC10" s="5">
        <f ca="1">IF('Set-up'!$E$9="Daily",MIN(MAX(((IF($M10="-",0,$M10-'Set-up'!$E$13)-($I10+'Set-up'!$E$11))+1),0),IF(LEFT($AE10,1)="D",MaxPeriod,$AG10)),MIN(MAX(((IF($M10="-",0,((YEAR($M10)*12)+MONTH($M10)-'Set-up'!$E$13))-(((YEAR($I10)*12)+MONTH($I10)+'Set-up'!$E$11)))+1),0),IF(LEFT($AE10,1)="D",MaxPeriod,$AG10)))</f>
        <v>0</v>
      </c>
      <c r="AD10" s="33">
        <f t="shared" ca="1" si="6"/>
        <v>0</v>
      </c>
      <c r="AE10" s="34" t="str">
        <f t="shared" ca="1" si="11"/>
        <v>SL</v>
      </c>
      <c r="AF10" s="34">
        <f t="shared" ca="1" si="12"/>
        <v>1</v>
      </c>
      <c r="AG10" s="5">
        <f ca="1">IF('Set-up'!$E$9="Daily",(DATE(YEAR($I10)+$K10+(1-$AF10),MONTH($I10),DAY($I10))+'Set-up'!$E$11)-($I10+'Set-up'!$E$11),$K10*12)</f>
        <v>60</v>
      </c>
      <c r="AH10" s="5">
        <f ca="1">ROUNDDOWN(MIN(MAX(((IF($M10="-",((YEAR($I$2)*12)+MONTH($I$2)),MIN(((YEAR($I$2)*12)+MONTH($I$2)),((YEAR($M10)*12)+MONTH($M10)-'Set-up'!$E$13)))-(((YEAR($I10)*12)+MONTH($I10)+'Set-up'!$E$11)))),0),IF(LEFT($AE10,1)="D",MaxPeriod,$AG10))/12,0)</f>
        <v>5</v>
      </c>
      <c r="AI10" s="5">
        <f ca="1">ROUNDDOWN(MIN(MAX(((IF($M10="-",((YEAR($H$2)*12)+MONTH($H$2)-1),MIN(((YEAR($H$2)*12)+MONTH($H$2)-1),((YEAR($M10)*12)+MONTH($M10)-'Set-up'!$E$13)))-(((YEAR($I10)*12)+MONTH($I10)+'Set-up'!$E$11)))),0),IF(LEFT($AE10,1)="D",MaxPeriod,$AG10))/12,0)</f>
        <v>4</v>
      </c>
      <c r="AJ10" s="5">
        <f ca="1">ROUNDDOWN(MIN(MAX(((IF($M10="-",((YEAR($J$2)*12)+MONTH($J$2)-1),MIN(((YEAR($J$2)*12)+MONTH($J$2)-1),((YEAR($M10)*12)+MONTH($M10)-'Set-up'!$E$13)))-(((YEAR($I10)*12)+MONTH($I10)+'Set-up'!$E$11)))),0),IF(LEFT($AE10,1)="D",MaxPeriod,$AG10))/12,0)</f>
        <v>5</v>
      </c>
      <c r="AK10" s="5">
        <f ca="1">ROUNDDOWN(MIN(MAX(((IF($M10="-",0,((YEAR($M10)*12)+MONTH($M10)-'Set-up'!$E$13))-(((YEAR($I10)*12)+MONTH($I10)+'Set-up'!$E$11)))),0),IF(LEFT($AE10,1)="D",MaxPeriod,$AG10))/12,0)</f>
        <v>0</v>
      </c>
      <c r="AL10" s="5">
        <f>IF('Set-up'!$E$9="Daily",MIN(MAX(((IF($M10="-",$I$2,MIN($I$2,$M10-'Set-up'!$E$13))-((DATE(YEAR($I10)+$AH10,MONTH($I10),DAY($I10))+'Set-up'!$E$11)))+1),0),IF(LEFT($AE10,1)="D",MaxPeriod,$AG10)),0)</f>
        <v>0</v>
      </c>
      <c r="AM10" s="5">
        <f>IF('Set-up'!$E$9="Daily",MIN(MAX(((IF($M10="-",$H$2-1,MIN($H$2-1,$M10-'Set-up'!$E$13))-(DATE(YEAR($I10)+$AI10,MONTH($I10),DAY($I10))+'Set-up'!$E$11))+1),0),IF(LEFT($AE10,1)="D",MaxPeriod,$AG10)),0)</f>
        <v>0</v>
      </c>
      <c r="AN10" s="5">
        <f>IF('Set-up'!$E$9="Daily",MIN(MAX(((IF($M10="-",$J$2-1,MIN($J$2-1,$M10-'Set-up'!$E$13))-(DATE(YEAR($I10)+$AJ10,MONTH($I10),DAY($I10))+'Set-up'!$E$11))+1),0),IF(LEFT($AE10,1)="D",MaxPeriod,$AG10)),0)</f>
        <v>0</v>
      </c>
      <c r="AO10" s="5">
        <f>IF('Set-up'!$E$9="Daily",MIN(MAX(((IF($M10="-",0,$M10-'Set-up'!$E$13)-(DATE(YEAR($I10)+$AK10,MONTH($I10),DAY($I10))+'Set-up'!$E$11))+1),0),IF(LEFT($AE10,1)="D",MaxPeriod,$AG10)),0)</f>
        <v>0</v>
      </c>
      <c r="AP10" s="5">
        <f>IF('Set-up'!$E$9="Daily",DATE(YEAR($I10)+$AH10+1,MONTH($I10),DAY($I10))-DATE(YEAR($I10)+$AH10,MONTH($I10),DAY($I10)),0)</f>
        <v>0</v>
      </c>
      <c r="AQ10" s="5">
        <f>IF('Set-up'!$E$9="Daily",DATE(YEAR($I10)+$AI10+1,MONTH($I10),DAY($I10))-DATE(YEAR($I10)+$AI10,MONTH($I10),DAY($I10)),0)</f>
        <v>0</v>
      </c>
      <c r="AR10" s="5">
        <f>IF('Set-up'!$E$9="Daily",DATE(YEAR($I10)+$AJ10+1,MONTH($I10),DAY($I10))-DATE(YEAR($I10)+$AJ10,MONTH($I10),DAY($I10)),0)</f>
        <v>0</v>
      </c>
      <c r="AS10" s="5">
        <f>IF('Set-up'!$E$9="Daily",DATE(YEAR($I10)+$AK10+1,MONTH($I10),DAY($I10))-DATE(YEAR($I10)+$AK10,MONTH($I10),DAY($I10)),0)</f>
        <v>0</v>
      </c>
    </row>
    <row r="11" spans="1:45" ht="16" customHeight="1" x14ac:dyDescent="0.25">
      <c r="A11" s="9" t="s">
        <v>181</v>
      </c>
      <c r="B11" s="9">
        <v>90937839</v>
      </c>
      <c r="C11" s="9" t="s">
        <v>30</v>
      </c>
      <c r="D11" s="5" t="s">
        <v>90</v>
      </c>
      <c r="E11" s="5" t="s">
        <v>166</v>
      </c>
      <c r="F11" s="5" t="s">
        <v>340</v>
      </c>
      <c r="G11" s="5" t="str" cm="1">
        <f t="array" aca="1" ref="G11" ca="1">IF(COUNTIF(AssetCode,$A11)&gt;1,"E1",IF(ISNA(VLOOKUP($E11,CatAll,1,0))=TRUE,"E2",IF($I11="Add!","E10","-")))</f>
        <v>-</v>
      </c>
      <c r="H11" s="5" t="str">
        <f t="shared" ca="1" si="0"/>
        <v>PM</v>
      </c>
      <c r="I11" s="30" cm="1">
        <f t="array" aca="1" ref="I11" ca="1">IF(SUMIFS(TransIDDate,TransAsset,$A11,TransType,"ACQ")=0,"Add!",SUMIFS(TransIDDate,TransAsset,$A11,TransType,"ACQ"))</f>
        <v>42205</v>
      </c>
      <c r="J11" s="32">
        <f t="shared" ca="1" si="1"/>
        <v>400000</v>
      </c>
      <c r="K11" s="57">
        <f t="shared" ca="1" si="2"/>
        <v>5</v>
      </c>
      <c r="L11" s="32">
        <f t="shared" ca="1" si="3"/>
        <v>0</v>
      </c>
      <c r="M11" s="30" t="str" cm="1">
        <f t="array" ref="M11">IF(SUMIFS(TransIDDate,TransAsset,$A11,TransType,"DIS")=0,"-",IF(SUMIFS(TransIDDate,TransAsset,$A11,TransType,"DIS")&lt;=$I$2,SUMIFS(TransIDDate,TransAsset,$A11,TransType,"DIS"),"-"))</f>
        <v>-</v>
      </c>
      <c r="N11" s="31" cm="1">
        <f t="array" aca="1" ref="N11" ca="1">IF($M11&lt;=$I$2,SUMIFS(TransProceeds,TransAsset,$A11,TransType,"DIS"),0)</f>
        <v>0</v>
      </c>
      <c r="O11" s="32" cm="1">
        <f t="array" aca="1" ref="O11" ca="1">IF(AND($M11&lt;&gt;"-",$M11&lt;$H$2),0,SUMIFS(TransAmount,TransAsset,$A11,TransIDDate,"&lt;"&amp;$H$2,TransType,"ACQ"))</f>
        <v>400000</v>
      </c>
      <c r="P11" s="32">
        <f t="shared" ca="1" si="4"/>
        <v>0</v>
      </c>
      <c r="Q11" s="32">
        <f t="shared" ca="1" si="5"/>
        <v>0</v>
      </c>
      <c r="R11" s="32">
        <f t="shared" ca="1" si="7"/>
        <v>400000</v>
      </c>
      <c r="S11" s="32">
        <f ca="1">IF(AND($M11&lt;&gt;"-",$M11&lt;$H$2),0,IF($K11=0,0,IF(LEFT($AE11,1)="D",(($J11-$L11)*(1-((1-$AD11)^$AI11)))+(($J11-$L11)*(((1-$AD11)^$AI11)-((1-$AD11)^($AI11+1)))*IF('Set-up'!$E$9="Monthly",($AA11-($AI11*12))/12,$AM11/$AQ11)),($J11-$L11)/$AG11*$AA11)))</f>
        <v>373333.33333333337</v>
      </c>
      <c r="T11" s="32">
        <f ca="1">IF($K11=0,0,IF(LEFT($AE11,1)="D",((($J11-$L11)*(1-((1-$AD11)^$AH11)))+(($J11-$L11)*(((1-$AD11)^$AH11)-((1-$AD11)^($AH11+1)))*IF('Set-up'!$E$9="Monthly",($Z11-($AH11*12))/12,$AL11/$AP11)))-(($J11-$L11)*(1-((1-$AD11)^$AI11)))-(($J11-$L11)*(((1-$AD11)^$AI11)-((1-$AD11)^($AI11+1)))*IF('Set-up'!$E$9="Monthly",($AA11-($AI11*12))/12,$AM11/$AQ11)),(($J11-$L11)/$AG11*$Z11)-(($J11-$L11)/$AG11*$AA11)))</f>
        <v>26666.666666666628</v>
      </c>
      <c r="U11" s="32">
        <f ca="1">-IF(AND($M11&gt;=$H$2,$M11&lt;=$I$2),IF(LEFT($AE11,1)="D",(($J11-$L11)*(1-((1-$AD11)^$AK11)))+(($J11-$L11)*(((1-$AD11)^$AK11)-((1-$AD11)^($AK11+1)))*IF('Set-up'!$E$9="Monthly",($AC11-($AK11*12))/12,$AO11/$AS11)),IF($K11=0,0,($J11-$L11)/$AG11*$AC11)),0)</f>
        <v>0</v>
      </c>
      <c r="V11" s="32">
        <f t="shared" ca="1" si="8"/>
        <v>400000</v>
      </c>
      <c r="W11" s="32">
        <f t="shared" ca="1" si="9"/>
        <v>0</v>
      </c>
      <c r="X11" s="32">
        <f t="shared" ca="1" si="10"/>
        <v>0</v>
      </c>
      <c r="Y11" s="32">
        <f ca="1">IF($K11=0,0,IF(LEFT($AE11,1)="D",((($J11-$L11)*(1-((1-$AD11)^$AH11)))+(($J11-$L11)*(((1-$AD11)^$AH11)-((1-$AD11)^($AH11+1)))*IF('Set-up'!$E$9="Monthly",($Z11-($AH11*12))/12,$AL11/$AP11)))-(($J11-$L11)*(1-((1-$AD11)^$AJ11)))-(($J11-$L11)*(((1-$AD11)^$AJ11)-((1-$AD11)^($AJ11+1)))*IF('Set-up'!$E$9="Monthly",($AB11-($AJ11*12))/12,$AN11/$AR11)),(($J11-$L11)/$AG11*$Z11)-(($J11-$L11)/$AG11*$AB11)))</f>
        <v>0</v>
      </c>
      <c r="Z11" s="5">
        <f ca="1">IF('Set-up'!$E$9="Daily",MIN(MAX(((IF($M11="-",$I$2,MIN($I$2,$M11-'Set-up'!$E$13))-(($I11+'Set-up'!$E$11)))+1),0),IF(LEFT($AE11,1)="D",MaxPeriod,$AG11)),MIN(MAX(((IF($M11="-",((YEAR($I$2)*12)+MONTH($I$2)),MIN(((YEAR($I$2)*12)+MONTH($I$2)),((YEAR($M11)*12)+MONTH($M11)-'Set-up'!$E$13)))-(((YEAR($I11)*12)+MONTH($I11)+'Set-up'!$E$11)))+1),0),IF(LEFT($AE11,1)="D",MaxPeriod,$AG11)))</f>
        <v>60</v>
      </c>
      <c r="AA11" s="5">
        <f ca="1">IF('Set-up'!$E$9="Daily",MIN(MAX(((IF($M11="-",$H$2-1,MIN($H$2-1,$M11-'Set-up'!$E$13))-($I11+'Set-up'!$E$11))+1),0),IF(LEFT($AE11,1)="D",MaxPeriod,$AG11)),MIN(MAX(((IF($M11="-",((YEAR($H$2)*12)+MONTH($H$2)-1),MIN(((YEAR($H$2)*12)+MONTH($H$2)-1),((YEAR($M11)*12)+MONTH($M11)-'Set-up'!$E$13)))-(((YEAR($I11)*12)+MONTH($I11)+'Set-up'!$E$11)))+1),0),IF(LEFT($AE11,1)="D",MaxPeriod,$AG11)))</f>
        <v>56</v>
      </c>
      <c r="AB11" s="5">
        <f ca="1">IF('Set-up'!$E$9="Daily",MIN(MAX(((IF($M11="-",$J$2-1,MIN($J$2-1,$M11-'Set-up'!$E$13))-($I11+'Set-up'!$E$11))+1),0),IF(LEFT($AE11,1)="D",MaxPeriod,$AG11)),MIN(MAX(((IF($M11="-",((YEAR($J$2)*12)+MONTH($J$2)-1),MIN(((YEAR($J$2)*12)+MONTH($J$2)-1),((YEAR($M11)*12)+MONTH($M11)-'Set-up'!$E$13)))-(((YEAR($I11)*12)+MONTH($I11)+'Set-up'!$E$11)))+1),0),IF(LEFT($AE11,1)="D",MaxPeriod,$AG11)))</f>
        <v>60</v>
      </c>
      <c r="AC11" s="5">
        <f ca="1">IF('Set-up'!$E$9="Daily",MIN(MAX(((IF($M11="-",0,$M11-'Set-up'!$E$13)-($I11+'Set-up'!$E$11))+1),0),IF(LEFT($AE11,1)="D",MaxPeriod,$AG11)),MIN(MAX(((IF($M11="-",0,((YEAR($M11)*12)+MONTH($M11)-'Set-up'!$E$13))-(((YEAR($I11)*12)+MONTH($I11)+'Set-up'!$E$11)))+1),0),IF(LEFT($AE11,1)="D",MaxPeriod,$AG11)))</f>
        <v>0</v>
      </c>
      <c r="AD11" s="33">
        <f t="shared" ca="1" si="6"/>
        <v>0</v>
      </c>
      <c r="AE11" s="34" t="str">
        <f t="shared" ca="1" si="11"/>
        <v>SL</v>
      </c>
      <c r="AF11" s="34">
        <f t="shared" ca="1" si="12"/>
        <v>1</v>
      </c>
      <c r="AG11" s="5">
        <f ca="1">IF('Set-up'!$E$9="Daily",(DATE(YEAR($I11)+$K11+(1-$AF11),MONTH($I11),DAY($I11))+'Set-up'!$E$11)-($I11+'Set-up'!$E$11),$K11*12)</f>
        <v>60</v>
      </c>
      <c r="AH11" s="5">
        <f ca="1">ROUNDDOWN(MIN(MAX(((IF($M11="-",((YEAR($I$2)*12)+MONTH($I$2)),MIN(((YEAR($I$2)*12)+MONTH($I$2)),((YEAR($M11)*12)+MONTH($M11)-'Set-up'!$E$13)))-(((YEAR($I11)*12)+MONTH($I11)+'Set-up'!$E$11)))),0),IF(LEFT($AE11,1)="D",MaxPeriod,$AG11))/12,0)</f>
        <v>5</v>
      </c>
      <c r="AI11" s="5">
        <f ca="1">ROUNDDOWN(MIN(MAX(((IF($M11="-",((YEAR($H$2)*12)+MONTH($H$2)-1),MIN(((YEAR($H$2)*12)+MONTH($H$2)-1),((YEAR($M11)*12)+MONTH($M11)-'Set-up'!$E$13)))-(((YEAR($I11)*12)+MONTH($I11)+'Set-up'!$E$11)))),0),IF(LEFT($AE11,1)="D",MaxPeriod,$AG11))/12,0)</f>
        <v>4</v>
      </c>
      <c r="AJ11" s="5">
        <f ca="1">ROUNDDOWN(MIN(MAX(((IF($M11="-",((YEAR($J$2)*12)+MONTH($J$2)-1),MIN(((YEAR($J$2)*12)+MONTH($J$2)-1),((YEAR($M11)*12)+MONTH($M11)-'Set-up'!$E$13)))-(((YEAR($I11)*12)+MONTH($I11)+'Set-up'!$E$11)))),0),IF(LEFT($AE11,1)="D",MaxPeriod,$AG11))/12,0)</f>
        <v>5</v>
      </c>
      <c r="AK11" s="5">
        <f ca="1">ROUNDDOWN(MIN(MAX(((IF($M11="-",0,((YEAR($M11)*12)+MONTH($M11)-'Set-up'!$E$13))-(((YEAR($I11)*12)+MONTH($I11)+'Set-up'!$E$11)))),0),IF(LEFT($AE11,1)="D",MaxPeriod,$AG11))/12,0)</f>
        <v>0</v>
      </c>
      <c r="AL11" s="5">
        <f>IF('Set-up'!$E$9="Daily",MIN(MAX(((IF($M11="-",$I$2,MIN($I$2,$M11-'Set-up'!$E$13))-((DATE(YEAR($I11)+$AH11,MONTH($I11),DAY($I11))+'Set-up'!$E$11)))+1),0),IF(LEFT($AE11,1)="D",MaxPeriod,$AG11)),0)</f>
        <v>0</v>
      </c>
      <c r="AM11" s="5">
        <f>IF('Set-up'!$E$9="Daily",MIN(MAX(((IF($M11="-",$H$2-1,MIN($H$2-1,$M11-'Set-up'!$E$13))-(DATE(YEAR($I11)+$AI11,MONTH($I11),DAY($I11))+'Set-up'!$E$11))+1),0),IF(LEFT($AE11,1)="D",MaxPeriod,$AG11)),0)</f>
        <v>0</v>
      </c>
      <c r="AN11" s="5">
        <f>IF('Set-up'!$E$9="Daily",MIN(MAX(((IF($M11="-",$J$2-1,MIN($J$2-1,$M11-'Set-up'!$E$13))-(DATE(YEAR($I11)+$AJ11,MONTH($I11),DAY($I11))+'Set-up'!$E$11))+1),0),IF(LEFT($AE11,1)="D",MaxPeriod,$AG11)),0)</f>
        <v>0</v>
      </c>
      <c r="AO11" s="5">
        <f>IF('Set-up'!$E$9="Daily",MIN(MAX(((IF($M11="-",0,$M11-'Set-up'!$E$13)-(DATE(YEAR($I11)+$AK11,MONTH($I11),DAY($I11))+'Set-up'!$E$11))+1),0),IF(LEFT($AE11,1)="D",MaxPeriod,$AG11)),0)</f>
        <v>0</v>
      </c>
      <c r="AP11" s="5">
        <f>IF('Set-up'!$E$9="Daily",DATE(YEAR($I11)+$AH11+1,MONTH($I11),DAY($I11))-DATE(YEAR($I11)+$AH11,MONTH($I11),DAY($I11)),0)</f>
        <v>0</v>
      </c>
      <c r="AQ11" s="5">
        <f>IF('Set-up'!$E$9="Daily",DATE(YEAR($I11)+$AI11+1,MONTH($I11),DAY($I11))-DATE(YEAR($I11)+$AI11,MONTH($I11),DAY($I11)),0)</f>
        <v>0</v>
      </c>
      <c r="AR11" s="5">
        <f>IF('Set-up'!$E$9="Daily",DATE(YEAR($I11)+$AJ11+1,MONTH($I11),DAY($I11))-DATE(YEAR($I11)+$AJ11,MONTH($I11),DAY($I11)),0)</f>
        <v>0</v>
      </c>
      <c r="AS11" s="5">
        <f>IF('Set-up'!$E$9="Daily",DATE(YEAR($I11)+$AK11+1,MONTH($I11),DAY($I11))-DATE(YEAR($I11)+$AK11,MONTH($I11),DAY($I11)),0)</f>
        <v>0</v>
      </c>
    </row>
    <row r="12" spans="1:45" ht="16" customHeight="1" x14ac:dyDescent="0.25">
      <c r="A12" s="9" t="s">
        <v>182</v>
      </c>
      <c r="B12" s="9">
        <v>13800981</v>
      </c>
      <c r="C12" s="9" t="s">
        <v>31</v>
      </c>
      <c r="D12" s="5" t="s">
        <v>90</v>
      </c>
      <c r="E12" s="5" t="s">
        <v>166</v>
      </c>
      <c r="F12" s="5" t="s">
        <v>340</v>
      </c>
      <c r="G12" s="5" t="str" cm="1">
        <f t="array" aca="1" ref="G12" ca="1">IF(COUNTIF(AssetCode,$A12)&gt;1,"E1",IF(ISNA(VLOOKUP($E12,CatAll,1,0))=TRUE,"E2",IF($I12="Add!","E10","-")))</f>
        <v>-</v>
      </c>
      <c r="H12" s="5" t="str">
        <f t="shared" ca="1" si="0"/>
        <v>PM</v>
      </c>
      <c r="I12" s="30" cm="1">
        <f t="array" aca="1" ref="I12" ca="1">IF(SUMIFS(TransIDDate,TransAsset,$A12,TransType,"ACQ")=0,"Add!",SUMIFS(TransIDDate,TransAsset,$A12,TransType,"ACQ"))</f>
        <v>42205</v>
      </c>
      <c r="J12" s="32">
        <f t="shared" ca="1" si="1"/>
        <v>260000</v>
      </c>
      <c r="K12" s="57">
        <f t="shared" ca="1" si="2"/>
        <v>5</v>
      </c>
      <c r="L12" s="32">
        <f t="shared" ca="1" si="3"/>
        <v>0</v>
      </c>
      <c r="M12" s="30" t="str" cm="1">
        <f t="array" ref="M12">IF(SUMIFS(TransIDDate,TransAsset,$A12,TransType,"DIS")=0,"-",IF(SUMIFS(TransIDDate,TransAsset,$A12,TransType,"DIS")&lt;=$I$2,SUMIFS(TransIDDate,TransAsset,$A12,TransType,"DIS"),"-"))</f>
        <v>-</v>
      </c>
      <c r="N12" s="31" cm="1">
        <f t="array" aca="1" ref="N12" ca="1">IF($M12&lt;=$I$2,SUMIFS(TransProceeds,TransAsset,$A12,TransType,"DIS"),0)</f>
        <v>0</v>
      </c>
      <c r="O12" s="32" cm="1">
        <f t="array" aca="1" ref="O12" ca="1">IF(AND($M12&lt;&gt;"-",$M12&lt;$H$2),0,SUMIFS(TransAmount,TransAsset,$A12,TransIDDate,"&lt;"&amp;$H$2,TransType,"ACQ"))</f>
        <v>260000</v>
      </c>
      <c r="P12" s="32">
        <f t="shared" ca="1" si="4"/>
        <v>0</v>
      </c>
      <c r="Q12" s="32">
        <f t="shared" ca="1" si="5"/>
        <v>0</v>
      </c>
      <c r="R12" s="32">
        <f t="shared" ca="1" si="7"/>
        <v>260000</v>
      </c>
      <c r="S12" s="32">
        <f ca="1">IF(AND($M12&lt;&gt;"-",$M12&lt;$H$2),0,IF($K12=0,0,IF(LEFT($AE12,1)="D",(($J12-$L12)*(1-((1-$AD12)^$AI12)))+(($J12-$L12)*(((1-$AD12)^$AI12)-((1-$AD12)^($AI12+1)))*IF('Set-up'!$E$9="Monthly",($AA12-($AI12*12))/12,$AM12/$AQ12)),($J12-$L12)/$AG12*$AA12)))</f>
        <v>242666.66666666666</v>
      </c>
      <c r="T12" s="32">
        <f ca="1">IF($K12=0,0,IF(LEFT($AE12,1)="D",((($J12-$L12)*(1-((1-$AD12)^$AH12)))+(($J12-$L12)*(((1-$AD12)^$AH12)-((1-$AD12)^($AH12+1)))*IF('Set-up'!$E$9="Monthly",($Z12-($AH12*12))/12,$AL12/$AP12)))-(($J12-$L12)*(1-((1-$AD12)^$AI12)))-(($J12-$L12)*(((1-$AD12)^$AI12)-((1-$AD12)^($AI12+1)))*IF('Set-up'!$E$9="Monthly",($AA12-($AI12*12))/12,$AM12/$AQ12)),(($J12-$L12)/$AG12*$Z12)-(($J12-$L12)/$AG12*$AA12)))</f>
        <v>17333.333333333314</v>
      </c>
      <c r="U12" s="32">
        <f ca="1">-IF(AND($M12&gt;=$H$2,$M12&lt;=$I$2),IF(LEFT($AE12,1)="D",(($J12-$L12)*(1-((1-$AD12)^$AK12)))+(($J12-$L12)*(((1-$AD12)^$AK12)-((1-$AD12)^($AK12+1)))*IF('Set-up'!$E$9="Monthly",($AC12-($AK12*12))/12,$AO12/$AS12)),IF($K12=0,0,($J12-$L12)/$AG12*$AC12)),0)</f>
        <v>0</v>
      </c>
      <c r="V12" s="32">
        <f t="shared" ca="1" si="8"/>
        <v>259999.99999999997</v>
      </c>
      <c r="W12" s="32">
        <f t="shared" ca="1" si="9"/>
        <v>0</v>
      </c>
      <c r="X12" s="32">
        <f t="shared" ca="1" si="10"/>
        <v>0</v>
      </c>
      <c r="Y12" s="32">
        <f ca="1">IF($K12=0,0,IF(LEFT($AE12,1)="D",((($J12-$L12)*(1-((1-$AD12)^$AH12)))+(($J12-$L12)*(((1-$AD12)^$AH12)-((1-$AD12)^($AH12+1)))*IF('Set-up'!$E$9="Monthly",($Z12-($AH12*12))/12,$AL12/$AP12)))-(($J12-$L12)*(1-((1-$AD12)^$AJ12)))-(($J12-$L12)*(((1-$AD12)^$AJ12)-((1-$AD12)^($AJ12+1)))*IF('Set-up'!$E$9="Monthly",($AB12-($AJ12*12))/12,$AN12/$AR12)),(($J12-$L12)/$AG12*$Z12)-(($J12-$L12)/$AG12*$AB12)))</f>
        <v>0</v>
      </c>
      <c r="Z12" s="5">
        <f ca="1">IF('Set-up'!$E$9="Daily",MIN(MAX(((IF($M12="-",$I$2,MIN($I$2,$M12-'Set-up'!$E$13))-(($I12+'Set-up'!$E$11)))+1),0),IF(LEFT($AE12,1)="D",MaxPeriod,$AG12)),MIN(MAX(((IF($M12="-",((YEAR($I$2)*12)+MONTH($I$2)),MIN(((YEAR($I$2)*12)+MONTH($I$2)),((YEAR($M12)*12)+MONTH($M12)-'Set-up'!$E$13)))-(((YEAR($I12)*12)+MONTH($I12)+'Set-up'!$E$11)))+1),0),IF(LEFT($AE12,1)="D",MaxPeriod,$AG12)))</f>
        <v>60</v>
      </c>
      <c r="AA12" s="5">
        <f ca="1">IF('Set-up'!$E$9="Daily",MIN(MAX(((IF($M12="-",$H$2-1,MIN($H$2-1,$M12-'Set-up'!$E$13))-($I12+'Set-up'!$E$11))+1),0),IF(LEFT($AE12,1)="D",MaxPeriod,$AG12)),MIN(MAX(((IF($M12="-",((YEAR($H$2)*12)+MONTH($H$2)-1),MIN(((YEAR($H$2)*12)+MONTH($H$2)-1),((YEAR($M12)*12)+MONTH($M12)-'Set-up'!$E$13)))-(((YEAR($I12)*12)+MONTH($I12)+'Set-up'!$E$11)))+1),0),IF(LEFT($AE12,1)="D",MaxPeriod,$AG12)))</f>
        <v>56</v>
      </c>
      <c r="AB12" s="5">
        <f ca="1">IF('Set-up'!$E$9="Daily",MIN(MAX(((IF($M12="-",$J$2-1,MIN($J$2-1,$M12-'Set-up'!$E$13))-($I12+'Set-up'!$E$11))+1),0),IF(LEFT($AE12,1)="D",MaxPeriod,$AG12)),MIN(MAX(((IF($M12="-",((YEAR($J$2)*12)+MONTH($J$2)-1),MIN(((YEAR($J$2)*12)+MONTH($J$2)-1),((YEAR($M12)*12)+MONTH($M12)-'Set-up'!$E$13)))-(((YEAR($I12)*12)+MONTH($I12)+'Set-up'!$E$11)))+1),0),IF(LEFT($AE12,1)="D",MaxPeriod,$AG12)))</f>
        <v>60</v>
      </c>
      <c r="AC12" s="5">
        <f ca="1">IF('Set-up'!$E$9="Daily",MIN(MAX(((IF($M12="-",0,$M12-'Set-up'!$E$13)-($I12+'Set-up'!$E$11))+1),0),IF(LEFT($AE12,1)="D",MaxPeriod,$AG12)),MIN(MAX(((IF($M12="-",0,((YEAR($M12)*12)+MONTH($M12)-'Set-up'!$E$13))-(((YEAR($I12)*12)+MONTH($I12)+'Set-up'!$E$11)))+1),0),IF(LEFT($AE12,1)="D",MaxPeriod,$AG12)))</f>
        <v>0</v>
      </c>
      <c r="AD12" s="33">
        <f t="shared" ca="1" si="6"/>
        <v>0</v>
      </c>
      <c r="AE12" s="34" t="str">
        <f t="shared" ca="1" si="11"/>
        <v>SL</v>
      </c>
      <c r="AF12" s="34">
        <f t="shared" ca="1" si="12"/>
        <v>1</v>
      </c>
      <c r="AG12" s="5">
        <f ca="1">IF('Set-up'!$E$9="Daily",(DATE(YEAR($I12)+$K12+(1-$AF12),MONTH($I12),DAY($I12))+'Set-up'!$E$11)-($I12+'Set-up'!$E$11),$K12*12)</f>
        <v>60</v>
      </c>
      <c r="AH12" s="5">
        <f ca="1">ROUNDDOWN(MIN(MAX(((IF($M12="-",((YEAR($I$2)*12)+MONTH($I$2)),MIN(((YEAR($I$2)*12)+MONTH($I$2)),((YEAR($M12)*12)+MONTH($M12)-'Set-up'!$E$13)))-(((YEAR($I12)*12)+MONTH($I12)+'Set-up'!$E$11)))),0),IF(LEFT($AE12,1)="D",MaxPeriod,$AG12))/12,0)</f>
        <v>5</v>
      </c>
      <c r="AI12" s="5">
        <f ca="1">ROUNDDOWN(MIN(MAX(((IF($M12="-",((YEAR($H$2)*12)+MONTH($H$2)-1),MIN(((YEAR($H$2)*12)+MONTH($H$2)-1),((YEAR($M12)*12)+MONTH($M12)-'Set-up'!$E$13)))-(((YEAR($I12)*12)+MONTH($I12)+'Set-up'!$E$11)))),0),IF(LEFT($AE12,1)="D",MaxPeriod,$AG12))/12,0)</f>
        <v>4</v>
      </c>
      <c r="AJ12" s="5">
        <f ca="1">ROUNDDOWN(MIN(MAX(((IF($M12="-",((YEAR($J$2)*12)+MONTH($J$2)-1),MIN(((YEAR($J$2)*12)+MONTH($J$2)-1),((YEAR($M12)*12)+MONTH($M12)-'Set-up'!$E$13)))-(((YEAR($I12)*12)+MONTH($I12)+'Set-up'!$E$11)))),0),IF(LEFT($AE12,1)="D",MaxPeriod,$AG12))/12,0)</f>
        <v>5</v>
      </c>
      <c r="AK12" s="5">
        <f ca="1">ROUNDDOWN(MIN(MAX(((IF($M12="-",0,((YEAR($M12)*12)+MONTH($M12)-'Set-up'!$E$13))-(((YEAR($I12)*12)+MONTH($I12)+'Set-up'!$E$11)))),0),IF(LEFT($AE12,1)="D",MaxPeriod,$AG12))/12,0)</f>
        <v>0</v>
      </c>
      <c r="AL12" s="5">
        <f>IF('Set-up'!$E$9="Daily",MIN(MAX(((IF($M12="-",$I$2,MIN($I$2,$M12-'Set-up'!$E$13))-((DATE(YEAR($I12)+$AH12,MONTH($I12),DAY($I12))+'Set-up'!$E$11)))+1),0),IF(LEFT($AE12,1)="D",MaxPeriod,$AG12)),0)</f>
        <v>0</v>
      </c>
      <c r="AM12" s="5">
        <f>IF('Set-up'!$E$9="Daily",MIN(MAX(((IF($M12="-",$H$2-1,MIN($H$2-1,$M12-'Set-up'!$E$13))-(DATE(YEAR($I12)+$AI12,MONTH($I12),DAY($I12))+'Set-up'!$E$11))+1),0),IF(LEFT($AE12,1)="D",MaxPeriod,$AG12)),0)</f>
        <v>0</v>
      </c>
      <c r="AN12" s="5">
        <f>IF('Set-up'!$E$9="Daily",MIN(MAX(((IF($M12="-",$J$2-1,MIN($J$2-1,$M12-'Set-up'!$E$13))-(DATE(YEAR($I12)+$AJ12,MONTH($I12),DAY($I12))+'Set-up'!$E$11))+1),0),IF(LEFT($AE12,1)="D",MaxPeriod,$AG12)),0)</f>
        <v>0</v>
      </c>
      <c r="AO12" s="5">
        <f>IF('Set-up'!$E$9="Daily",MIN(MAX(((IF($M12="-",0,$M12-'Set-up'!$E$13)-(DATE(YEAR($I12)+$AK12,MONTH($I12),DAY($I12))+'Set-up'!$E$11))+1),0),IF(LEFT($AE12,1)="D",MaxPeriod,$AG12)),0)</f>
        <v>0</v>
      </c>
      <c r="AP12" s="5">
        <f>IF('Set-up'!$E$9="Daily",DATE(YEAR($I12)+$AH12+1,MONTH($I12),DAY($I12))-DATE(YEAR($I12)+$AH12,MONTH($I12),DAY($I12)),0)</f>
        <v>0</v>
      </c>
      <c r="AQ12" s="5">
        <f>IF('Set-up'!$E$9="Daily",DATE(YEAR($I12)+$AI12+1,MONTH($I12),DAY($I12))-DATE(YEAR($I12)+$AI12,MONTH($I12),DAY($I12)),0)</f>
        <v>0</v>
      </c>
      <c r="AR12" s="5">
        <f>IF('Set-up'!$E$9="Daily",DATE(YEAR($I12)+$AJ12+1,MONTH($I12),DAY($I12))-DATE(YEAR($I12)+$AJ12,MONTH($I12),DAY($I12)),0)</f>
        <v>0</v>
      </c>
      <c r="AS12" s="5">
        <f>IF('Set-up'!$E$9="Daily",DATE(YEAR($I12)+$AK12+1,MONTH($I12),DAY($I12))-DATE(YEAR($I12)+$AK12,MONTH($I12),DAY($I12)),0)</f>
        <v>0</v>
      </c>
    </row>
    <row r="13" spans="1:45" ht="16" customHeight="1" x14ac:dyDescent="0.25">
      <c r="A13" s="9" t="s">
        <v>183</v>
      </c>
      <c r="B13" s="9">
        <v>38838389</v>
      </c>
      <c r="C13" s="9" t="s">
        <v>153</v>
      </c>
      <c r="D13" s="5" t="s">
        <v>90</v>
      </c>
      <c r="E13" s="5" t="s">
        <v>166</v>
      </c>
      <c r="F13" s="5" t="s">
        <v>340</v>
      </c>
      <c r="G13" s="5" t="str" cm="1">
        <f t="array" aca="1" ref="G13" ca="1">IF(COUNTIF(AssetCode,$A13)&gt;1,"E1",IF(ISNA(VLOOKUP($E13,CatAll,1,0))=TRUE,"E2",IF($I13="Add!","E10","-")))</f>
        <v>-</v>
      </c>
      <c r="H13" s="5" t="str">
        <f t="shared" ca="1" si="0"/>
        <v>PM</v>
      </c>
      <c r="I13" s="30" cm="1">
        <f t="array" aca="1" ref="I13" ca="1">IF(SUMIFS(TransIDDate,TransAsset,$A13,TransType,"ACQ")=0,"Add!",SUMIFS(TransIDDate,TransAsset,$A13,TransType,"ACQ"))</f>
        <v>42205</v>
      </c>
      <c r="J13" s="32">
        <f t="shared" ca="1" si="1"/>
        <v>295000</v>
      </c>
      <c r="K13" s="57">
        <f t="shared" ca="1" si="2"/>
        <v>5</v>
      </c>
      <c r="L13" s="32">
        <f t="shared" ca="1" si="3"/>
        <v>0</v>
      </c>
      <c r="M13" s="30" t="str" cm="1">
        <f t="array" ref="M13">IF(SUMIFS(TransIDDate,TransAsset,$A13,TransType,"DIS")=0,"-",IF(SUMIFS(TransIDDate,TransAsset,$A13,TransType,"DIS")&lt;=$I$2,SUMIFS(TransIDDate,TransAsset,$A13,TransType,"DIS"),"-"))</f>
        <v>-</v>
      </c>
      <c r="N13" s="31" cm="1">
        <f t="array" aca="1" ref="N13" ca="1">IF($M13&lt;=$I$2,SUMIFS(TransProceeds,TransAsset,$A13,TransType,"DIS"),0)</f>
        <v>0</v>
      </c>
      <c r="O13" s="32" cm="1">
        <f t="array" aca="1" ref="O13" ca="1">IF(AND($M13&lt;&gt;"-",$M13&lt;$H$2),0,SUMIFS(TransAmount,TransAsset,$A13,TransIDDate,"&lt;"&amp;$H$2,TransType,"ACQ"))</f>
        <v>295000</v>
      </c>
      <c r="P13" s="32">
        <f t="shared" ca="1" si="4"/>
        <v>0</v>
      </c>
      <c r="Q13" s="32">
        <f t="shared" ca="1" si="5"/>
        <v>0</v>
      </c>
      <c r="R13" s="32">
        <f t="shared" ca="1" si="7"/>
        <v>295000</v>
      </c>
      <c r="S13" s="32">
        <f ca="1">IF(AND($M13&lt;&gt;"-",$M13&lt;$H$2),0,IF($K13=0,0,IF(LEFT($AE13,1)="D",(($J13-$L13)*(1-((1-$AD13)^$AI13)))+(($J13-$L13)*(((1-$AD13)^$AI13)-((1-$AD13)^($AI13+1)))*IF('Set-up'!$E$9="Monthly",($AA13-($AI13*12))/12,$AM13/$AQ13)),($J13-$L13)/$AG13*$AA13)))</f>
        <v>275333.33333333337</v>
      </c>
      <c r="T13" s="32">
        <f ca="1">IF($K13=0,0,IF(LEFT($AE13,1)="D",((($J13-$L13)*(1-((1-$AD13)^$AH13)))+(($J13-$L13)*(((1-$AD13)^$AH13)-((1-$AD13)^($AH13+1)))*IF('Set-up'!$E$9="Monthly",($Z13-($AH13*12))/12,$AL13/$AP13)))-(($J13-$L13)*(1-((1-$AD13)^$AI13)))-(($J13-$L13)*(((1-$AD13)^$AI13)-((1-$AD13)^($AI13+1)))*IF('Set-up'!$E$9="Monthly",($AA13-($AI13*12))/12,$AM13/$AQ13)),(($J13-$L13)/$AG13*$Z13)-(($J13-$L13)/$AG13*$AA13)))</f>
        <v>19666.666666666628</v>
      </c>
      <c r="U13" s="32">
        <f ca="1">-IF(AND($M13&gt;=$H$2,$M13&lt;=$I$2),IF(LEFT($AE13,1)="D",(($J13-$L13)*(1-((1-$AD13)^$AK13)))+(($J13-$L13)*(((1-$AD13)^$AK13)-((1-$AD13)^($AK13+1)))*IF('Set-up'!$E$9="Monthly",($AC13-($AK13*12))/12,$AO13/$AS13)),IF($K13=0,0,($J13-$L13)/$AG13*$AC13)),0)</f>
        <v>0</v>
      </c>
      <c r="V13" s="32">
        <f t="shared" ca="1" si="8"/>
        <v>295000</v>
      </c>
      <c r="W13" s="32">
        <f t="shared" ca="1" si="9"/>
        <v>0</v>
      </c>
      <c r="X13" s="32">
        <f t="shared" ca="1" si="10"/>
        <v>0</v>
      </c>
      <c r="Y13" s="32">
        <f ca="1">IF($K13=0,0,IF(LEFT($AE13,1)="D",((($J13-$L13)*(1-((1-$AD13)^$AH13)))+(($J13-$L13)*(((1-$AD13)^$AH13)-((1-$AD13)^($AH13+1)))*IF('Set-up'!$E$9="Monthly",($Z13-($AH13*12))/12,$AL13/$AP13)))-(($J13-$L13)*(1-((1-$AD13)^$AJ13)))-(($J13-$L13)*(((1-$AD13)^$AJ13)-((1-$AD13)^($AJ13+1)))*IF('Set-up'!$E$9="Monthly",($AB13-($AJ13*12))/12,$AN13/$AR13)),(($J13-$L13)/$AG13*$Z13)-(($J13-$L13)/$AG13*$AB13)))</f>
        <v>0</v>
      </c>
      <c r="Z13" s="5">
        <f ca="1">IF('Set-up'!$E$9="Daily",MIN(MAX(((IF($M13="-",$I$2,MIN($I$2,$M13-'Set-up'!$E$13))-(($I13+'Set-up'!$E$11)))+1),0),IF(LEFT($AE13,1)="D",MaxPeriod,$AG13)),MIN(MAX(((IF($M13="-",((YEAR($I$2)*12)+MONTH($I$2)),MIN(((YEAR($I$2)*12)+MONTH($I$2)),((YEAR($M13)*12)+MONTH($M13)-'Set-up'!$E$13)))-(((YEAR($I13)*12)+MONTH($I13)+'Set-up'!$E$11)))+1),0),IF(LEFT($AE13,1)="D",MaxPeriod,$AG13)))</f>
        <v>60</v>
      </c>
      <c r="AA13" s="5">
        <f ca="1">IF('Set-up'!$E$9="Daily",MIN(MAX(((IF($M13="-",$H$2-1,MIN($H$2-1,$M13-'Set-up'!$E$13))-($I13+'Set-up'!$E$11))+1),0),IF(LEFT($AE13,1)="D",MaxPeriod,$AG13)),MIN(MAX(((IF($M13="-",((YEAR($H$2)*12)+MONTH($H$2)-1),MIN(((YEAR($H$2)*12)+MONTH($H$2)-1),((YEAR($M13)*12)+MONTH($M13)-'Set-up'!$E$13)))-(((YEAR($I13)*12)+MONTH($I13)+'Set-up'!$E$11)))+1),0),IF(LEFT($AE13,1)="D",MaxPeriod,$AG13)))</f>
        <v>56</v>
      </c>
      <c r="AB13" s="5">
        <f ca="1">IF('Set-up'!$E$9="Daily",MIN(MAX(((IF($M13="-",$J$2-1,MIN($J$2-1,$M13-'Set-up'!$E$13))-($I13+'Set-up'!$E$11))+1),0),IF(LEFT($AE13,1)="D",MaxPeriod,$AG13)),MIN(MAX(((IF($M13="-",((YEAR($J$2)*12)+MONTH($J$2)-1),MIN(((YEAR($J$2)*12)+MONTH($J$2)-1),((YEAR($M13)*12)+MONTH($M13)-'Set-up'!$E$13)))-(((YEAR($I13)*12)+MONTH($I13)+'Set-up'!$E$11)))+1),0),IF(LEFT($AE13,1)="D",MaxPeriod,$AG13)))</f>
        <v>60</v>
      </c>
      <c r="AC13" s="5">
        <f ca="1">IF('Set-up'!$E$9="Daily",MIN(MAX(((IF($M13="-",0,$M13-'Set-up'!$E$13)-($I13+'Set-up'!$E$11))+1),0),IF(LEFT($AE13,1)="D",MaxPeriod,$AG13)),MIN(MAX(((IF($M13="-",0,((YEAR($M13)*12)+MONTH($M13)-'Set-up'!$E$13))-(((YEAR($I13)*12)+MONTH($I13)+'Set-up'!$E$11)))+1),0),IF(LEFT($AE13,1)="D",MaxPeriod,$AG13)))</f>
        <v>0</v>
      </c>
      <c r="AD13" s="33">
        <f t="shared" ca="1" si="6"/>
        <v>0</v>
      </c>
      <c r="AE13" s="34" t="str">
        <f t="shared" ca="1" si="11"/>
        <v>SL</v>
      </c>
      <c r="AF13" s="34">
        <f t="shared" ca="1" si="12"/>
        <v>1</v>
      </c>
      <c r="AG13" s="5">
        <f ca="1">IF('Set-up'!$E$9="Daily",(DATE(YEAR($I13)+$K13+(1-$AF13),MONTH($I13),DAY($I13))+'Set-up'!$E$11)-($I13+'Set-up'!$E$11),$K13*12)</f>
        <v>60</v>
      </c>
      <c r="AH13" s="5">
        <f ca="1">ROUNDDOWN(MIN(MAX(((IF($M13="-",((YEAR($I$2)*12)+MONTH($I$2)),MIN(((YEAR($I$2)*12)+MONTH($I$2)),((YEAR($M13)*12)+MONTH($M13)-'Set-up'!$E$13)))-(((YEAR($I13)*12)+MONTH($I13)+'Set-up'!$E$11)))),0),IF(LEFT($AE13,1)="D",MaxPeriod,$AG13))/12,0)</f>
        <v>5</v>
      </c>
      <c r="AI13" s="5">
        <f ca="1">ROUNDDOWN(MIN(MAX(((IF($M13="-",((YEAR($H$2)*12)+MONTH($H$2)-1),MIN(((YEAR($H$2)*12)+MONTH($H$2)-1),((YEAR($M13)*12)+MONTH($M13)-'Set-up'!$E$13)))-(((YEAR($I13)*12)+MONTH($I13)+'Set-up'!$E$11)))),0),IF(LEFT($AE13,1)="D",MaxPeriod,$AG13))/12,0)</f>
        <v>4</v>
      </c>
      <c r="AJ13" s="5">
        <f ca="1">ROUNDDOWN(MIN(MAX(((IF($M13="-",((YEAR($J$2)*12)+MONTH($J$2)-1),MIN(((YEAR($J$2)*12)+MONTH($J$2)-1),((YEAR($M13)*12)+MONTH($M13)-'Set-up'!$E$13)))-(((YEAR($I13)*12)+MONTH($I13)+'Set-up'!$E$11)))),0),IF(LEFT($AE13,1)="D",MaxPeriod,$AG13))/12,0)</f>
        <v>5</v>
      </c>
      <c r="AK13" s="5">
        <f ca="1">ROUNDDOWN(MIN(MAX(((IF($M13="-",0,((YEAR($M13)*12)+MONTH($M13)-'Set-up'!$E$13))-(((YEAR($I13)*12)+MONTH($I13)+'Set-up'!$E$11)))),0),IF(LEFT($AE13,1)="D",MaxPeriod,$AG13))/12,0)</f>
        <v>0</v>
      </c>
      <c r="AL13" s="5">
        <f>IF('Set-up'!$E$9="Daily",MIN(MAX(((IF($M13="-",$I$2,MIN($I$2,$M13-'Set-up'!$E$13))-((DATE(YEAR($I13)+$AH13,MONTH($I13),DAY($I13))+'Set-up'!$E$11)))+1),0),IF(LEFT($AE13,1)="D",MaxPeriod,$AG13)),0)</f>
        <v>0</v>
      </c>
      <c r="AM13" s="5">
        <f>IF('Set-up'!$E$9="Daily",MIN(MAX(((IF($M13="-",$H$2-1,MIN($H$2-1,$M13-'Set-up'!$E$13))-(DATE(YEAR($I13)+$AI13,MONTH($I13),DAY($I13))+'Set-up'!$E$11))+1),0),IF(LEFT($AE13,1)="D",MaxPeriod,$AG13)),0)</f>
        <v>0</v>
      </c>
      <c r="AN13" s="5">
        <f>IF('Set-up'!$E$9="Daily",MIN(MAX(((IF($M13="-",$J$2-1,MIN($J$2-1,$M13-'Set-up'!$E$13))-(DATE(YEAR($I13)+$AJ13,MONTH($I13),DAY($I13))+'Set-up'!$E$11))+1),0),IF(LEFT($AE13,1)="D",MaxPeriod,$AG13)),0)</f>
        <v>0</v>
      </c>
      <c r="AO13" s="5">
        <f>IF('Set-up'!$E$9="Daily",MIN(MAX(((IF($M13="-",0,$M13-'Set-up'!$E$13)-(DATE(YEAR($I13)+$AK13,MONTH($I13),DAY($I13))+'Set-up'!$E$11))+1),0),IF(LEFT($AE13,1)="D",MaxPeriod,$AG13)),0)</f>
        <v>0</v>
      </c>
      <c r="AP13" s="5">
        <f>IF('Set-up'!$E$9="Daily",DATE(YEAR($I13)+$AH13+1,MONTH($I13),DAY($I13))-DATE(YEAR($I13)+$AH13,MONTH($I13),DAY($I13)),0)</f>
        <v>0</v>
      </c>
      <c r="AQ13" s="5">
        <f>IF('Set-up'!$E$9="Daily",DATE(YEAR($I13)+$AI13+1,MONTH($I13),DAY($I13))-DATE(YEAR($I13)+$AI13,MONTH($I13),DAY($I13)),0)</f>
        <v>0</v>
      </c>
      <c r="AR13" s="5">
        <f>IF('Set-up'!$E$9="Daily",DATE(YEAR($I13)+$AJ13+1,MONTH($I13),DAY($I13))-DATE(YEAR($I13)+$AJ13,MONTH($I13),DAY($I13)),0)</f>
        <v>0</v>
      </c>
      <c r="AS13" s="5">
        <f>IF('Set-up'!$E$9="Daily",DATE(YEAR($I13)+$AK13+1,MONTH($I13),DAY($I13))-DATE(YEAR($I13)+$AK13,MONTH($I13),DAY($I13)),0)</f>
        <v>0</v>
      </c>
    </row>
    <row r="14" spans="1:45" ht="16" customHeight="1" x14ac:dyDescent="0.25">
      <c r="A14" s="9" t="s">
        <v>184</v>
      </c>
      <c r="B14" s="9">
        <v>13763761</v>
      </c>
      <c r="C14" s="9" t="s">
        <v>32</v>
      </c>
      <c r="D14" s="5" t="s">
        <v>90</v>
      </c>
      <c r="E14" s="5" t="s">
        <v>166</v>
      </c>
      <c r="F14" s="5" t="s">
        <v>340</v>
      </c>
      <c r="G14" s="5" t="str" cm="1">
        <f t="array" aca="1" ref="G14" ca="1">IF(COUNTIF(AssetCode,$A14)&gt;1,"E1",IF(ISNA(VLOOKUP($E14,CatAll,1,0))=TRUE,"E2",IF($I14="Add!","E10","-")))</f>
        <v>-</v>
      </c>
      <c r="H14" s="5" t="str">
        <f t="shared" ca="1" si="0"/>
        <v>PM</v>
      </c>
      <c r="I14" s="30" cm="1">
        <f t="array" aca="1" ref="I14" ca="1">IF(SUMIFS(TransIDDate,TransAsset,$A14,TransType,"ACQ")=0,"Add!",SUMIFS(TransIDDate,TransAsset,$A14,TransType,"ACQ"))</f>
        <v>42205</v>
      </c>
      <c r="J14" s="32">
        <f t="shared" ca="1" si="1"/>
        <v>750000</v>
      </c>
      <c r="K14" s="57">
        <f t="shared" ca="1" si="2"/>
        <v>5</v>
      </c>
      <c r="L14" s="32">
        <f t="shared" ca="1" si="3"/>
        <v>0</v>
      </c>
      <c r="M14" s="30" t="str" cm="1">
        <f t="array" ref="M14">IF(SUMIFS(TransIDDate,TransAsset,$A14,TransType,"DIS")=0,"-",IF(SUMIFS(TransIDDate,TransAsset,$A14,TransType,"DIS")&lt;=$I$2,SUMIFS(TransIDDate,TransAsset,$A14,TransType,"DIS"),"-"))</f>
        <v>-</v>
      </c>
      <c r="N14" s="31" cm="1">
        <f t="array" aca="1" ref="N14" ca="1">IF($M14&lt;=$I$2,SUMIFS(TransProceeds,TransAsset,$A14,TransType,"DIS"),0)</f>
        <v>0</v>
      </c>
      <c r="O14" s="32" cm="1">
        <f t="array" aca="1" ref="O14" ca="1">IF(AND($M14&lt;&gt;"-",$M14&lt;$H$2),0,SUMIFS(TransAmount,TransAsset,$A14,TransIDDate,"&lt;"&amp;$H$2,TransType,"ACQ"))</f>
        <v>750000</v>
      </c>
      <c r="P14" s="32">
        <f t="shared" ca="1" si="4"/>
        <v>0</v>
      </c>
      <c r="Q14" s="32">
        <f t="shared" ca="1" si="5"/>
        <v>0</v>
      </c>
      <c r="R14" s="32">
        <f t="shared" ca="1" si="7"/>
        <v>750000</v>
      </c>
      <c r="S14" s="32">
        <f ca="1">IF(AND($M14&lt;&gt;"-",$M14&lt;$H$2),0,IF($K14=0,0,IF(LEFT($AE14,1)="D",(($J14-$L14)*(1-((1-$AD14)^$AI14)))+(($J14-$L14)*(((1-$AD14)^$AI14)-((1-$AD14)^($AI14+1)))*IF('Set-up'!$E$9="Monthly",($AA14-($AI14*12))/12,$AM14/$AQ14)),($J14-$L14)/$AG14*$AA14)))</f>
        <v>700000</v>
      </c>
      <c r="T14" s="32">
        <f ca="1">IF($K14=0,0,IF(LEFT($AE14,1)="D",((($J14-$L14)*(1-((1-$AD14)^$AH14)))+(($J14-$L14)*(((1-$AD14)^$AH14)-((1-$AD14)^($AH14+1)))*IF('Set-up'!$E$9="Monthly",($Z14-($AH14*12))/12,$AL14/$AP14)))-(($J14-$L14)*(1-((1-$AD14)^$AI14)))-(($J14-$L14)*(((1-$AD14)^$AI14)-((1-$AD14)^($AI14+1)))*IF('Set-up'!$E$9="Monthly",($AA14-($AI14*12))/12,$AM14/$AQ14)),(($J14-$L14)/$AG14*$Z14)-(($J14-$L14)/$AG14*$AA14)))</f>
        <v>50000</v>
      </c>
      <c r="U14" s="32">
        <f ca="1">-IF(AND($M14&gt;=$H$2,$M14&lt;=$I$2),IF(LEFT($AE14,1)="D",(($J14-$L14)*(1-((1-$AD14)^$AK14)))+(($J14-$L14)*(((1-$AD14)^$AK14)-((1-$AD14)^($AK14+1)))*IF('Set-up'!$E$9="Monthly",($AC14-($AK14*12))/12,$AO14/$AS14)),IF($K14=0,0,($J14-$L14)/$AG14*$AC14)),0)</f>
        <v>0</v>
      </c>
      <c r="V14" s="32">
        <f t="shared" ca="1" si="8"/>
        <v>750000</v>
      </c>
      <c r="W14" s="32">
        <f t="shared" ca="1" si="9"/>
        <v>0</v>
      </c>
      <c r="X14" s="32">
        <f t="shared" ca="1" si="10"/>
        <v>0</v>
      </c>
      <c r="Y14" s="32">
        <f ca="1">IF($K14=0,0,IF(LEFT($AE14,1)="D",((($J14-$L14)*(1-((1-$AD14)^$AH14)))+(($J14-$L14)*(((1-$AD14)^$AH14)-((1-$AD14)^($AH14+1)))*IF('Set-up'!$E$9="Monthly",($Z14-($AH14*12))/12,$AL14/$AP14)))-(($J14-$L14)*(1-((1-$AD14)^$AJ14)))-(($J14-$L14)*(((1-$AD14)^$AJ14)-((1-$AD14)^($AJ14+1)))*IF('Set-up'!$E$9="Monthly",($AB14-($AJ14*12))/12,$AN14/$AR14)),(($J14-$L14)/$AG14*$Z14)-(($J14-$L14)/$AG14*$AB14)))</f>
        <v>0</v>
      </c>
      <c r="Z14" s="5">
        <f ca="1">IF('Set-up'!$E$9="Daily",MIN(MAX(((IF($M14="-",$I$2,MIN($I$2,$M14-'Set-up'!$E$13))-(($I14+'Set-up'!$E$11)))+1),0),IF(LEFT($AE14,1)="D",MaxPeriod,$AG14)),MIN(MAX(((IF($M14="-",((YEAR($I$2)*12)+MONTH($I$2)),MIN(((YEAR($I$2)*12)+MONTH($I$2)),((YEAR($M14)*12)+MONTH($M14)-'Set-up'!$E$13)))-(((YEAR($I14)*12)+MONTH($I14)+'Set-up'!$E$11)))+1),0),IF(LEFT($AE14,1)="D",MaxPeriod,$AG14)))</f>
        <v>60</v>
      </c>
      <c r="AA14" s="5">
        <f ca="1">IF('Set-up'!$E$9="Daily",MIN(MAX(((IF($M14="-",$H$2-1,MIN($H$2-1,$M14-'Set-up'!$E$13))-($I14+'Set-up'!$E$11))+1),0),IF(LEFT($AE14,1)="D",MaxPeriod,$AG14)),MIN(MAX(((IF($M14="-",((YEAR($H$2)*12)+MONTH($H$2)-1),MIN(((YEAR($H$2)*12)+MONTH($H$2)-1),((YEAR($M14)*12)+MONTH($M14)-'Set-up'!$E$13)))-(((YEAR($I14)*12)+MONTH($I14)+'Set-up'!$E$11)))+1),0),IF(LEFT($AE14,1)="D",MaxPeriod,$AG14)))</f>
        <v>56</v>
      </c>
      <c r="AB14" s="5">
        <f ca="1">IF('Set-up'!$E$9="Daily",MIN(MAX(((IF($M14="-",$J$2-1,MIN($J$2-1,$M14-'Set-up'!$E$13))-($I14+'Set-up'!$E$11))+1),0),IF(LEFT($AE14,1)="D",MaxPeriod,$AG14)),MIN(MAX(((IF($M14="-",((YEAR($J$2)*12)+MONTH($J$2)-1),MIN(((YEAR($J$2)*12)+MONTH($J$2)-1),((YEAR($M14)*12)+MONTH($M14)-'Set-up'!$E$13)))-(((YEAR($I14)*12)+MONTH($I14)+'Set-up'!$E$11)))+1),0),IF(LEFT($AE14,1)="D",MaxPeriod,$AG14)))</f>
        <v>60</v>
      </c>
      <c r="AC14" s="5">
        <f ca="1">IF('Set-up'!$E$9="Daily",MIN(MAX(((IF($M14="-",0,$M14-'Set-up'!$E$13)-($I14+'Set-up'!$E$11))+1),0),IF(LEFT($AE14,1)="D",MaxPeriod,$AG14)),MIN(MAX(((IF($M14="-",0,((YEAR($M14)*12)+MONTH($M14)-'Set-up'!$E$13))-(((YEAR($I14)*12)+MONTH($I14)+'Set-up'!$E$11)))+1),0),IF(LEFT($AE14,1)="D",MaxPeriod,$AG14)))</f>
        <v>0</v>
      </c>
      <c r="AD14" s="33">
        <f t="shared" ca="1" si="6"/>
        <v>0</v>
      </c>
      <c r="AE14" s="34" t="str">
        <f t="shared" ca="1" si="11"/>
        <v>SL</v>
      </c>
      <c r="AF14" s="34">
        <f t="shared" ca="1" si="12"/>
        <v>1</v>
      </c>
      <c r="AG14" s="5">
        <f ca="1">IF('Set-up'!$E$9="Daily",(DATE(YEAR($I14)+$K14+(1-$AF14),MONTH($I14),DAY($I14))+'Set-up'!$E$11)-($I14+'Set-up'!$E$11),$K14*12)</f>
        <v>60</v>
      </c>
      <c r="AH14" s="5">
        <f ca="1">ROUNDDOWN(MIN(MAX(((IF($M14="-",((YEAR($I$2)*12)+MONTH($I$2)),MIN(((YEAR($I$2)*12)+MONTH($I$2)),((YEAR($M14)*12)+MONTH($M14)-'Set-up'!$E$13)))-(((YEAR($I14)*12)+MONTH($I14)+'Set-up'!$E$11)))),0),IF(LEFT($AE14,1)="D",MaxPeriod,$AG14))/12,0)</f>
        <v>5</v>
      </c>
      <c r="AI14" s="5">
        <f ca="1">ROUNDDOWN(MIN(MAX(((IF($M14="-",((YEAR($H$2)*12)+MONTH($H$2)-1),MIN(((YEAR($H$2)*12)+MONTH($H$2)-1),((YEAR($M14)*12)+MONTH($M14)-'Set-up'!$E$13)))-(((YEAR($I14)*12)+MONTH($I14)+'Set-up'!$E$11)))),0),IF(LEFT($AE14,1)="D",MaxPeriod,$AG14))/12,0)</f>
        <v>4</v>
      </c>
      <c r="AJ14" s="5">
        <f ca="1">ROUNDDOWN(MIN(MAX(((IF($M14="-",((YEAR($J$2)*12)+MONTH($J$2)-1),MIN(((YEAR($J$2)*12)+MONTH($J$2)-1),((YEAR($M14)*12)+MONTH($M14)-'Set-up'!$E$13)))-(((YEAR($I14)*12)+MONTH($I14)+'Set-up'!$E$11)))),0),IF(LEFT($AE14,1)="D",MaxPeriod,$AG14))/12,0)</f>
        <v>5</v>
      </c>
      <c r="AK14" s="5">
        <f ca="1">ROUNDDOWN(MIN(MAX(((IF($M14="-",0,((YEAR($M14)*12)+MONTH($M14)-'Set-up'!$E$13))-(((YEAR($I14)*12)+MONTH($I14)+'Set-up'!$E$11)))),0),IF(LEFT($AE14,1)="D",MaxPeriod,$AG14))/12,0)</f>
        <v>0</v>
      </c>
      <c r="AL14" s="5">
        <f>IF('Set-up'!$E$9="Daily",MIN(MAX(((IF($M14="-",$I$2,MIN($I$2,$M14-'Set-up'!$E$13))-((DATE(YEAR($I14)+$AH14,MONTH($I14),DAY($I14))+'Set-up'!$E$11)))+1),0),IF(LEFT($AE14,1)="D",MaxPeriod,$AG14)),0)</f>
        <v>0</v>
      </c>
      <c r="AM14" s="5">
        <f>IF('Set-up'!$E$9="Daily",MIN(MAX(((IF($M14="-",$H$2-1,MIN($H$2-1,$M14-'Set-up'!$E$13))-(DATE(YEAR($I14)+$AI14,MONTH($I14),DAY($I14))+'Set-up'!$E$11))+1),0),IF(LEFT($AE14,1)="D",MaxPeriod,$AG14)),0)</f>
        <v>0</v>
      </c>
      <c r="AN14" s="5">
        <f>IF('Set-up'!$E$9="Daily",MIN(MAX(((IF($M14="-",$J$2-1,MIN($J$2-1,$M14-'Set-up'!$E$13))-(DATE(YEAR($I14)+$AJ14,MONTH($I14),DAY($I14))+'Set-up'!$E$11))+1),0),IF(LEFT($AE14,1)="D",MaxPeriod,$AG14)),0)</f>
        <v>0</v>
      </c>
      <c r="AO14" s="5">
        <f>IF('Set-up'!$E$9="Daily",MIN(MAX(((IF($M14="-",0,$M14-'Set-up'!$E$13)-(DATE(YEAR($I14)+$AK14,MONTH($I14),DAY($I14))+'Set-up'!$E$11))+1),0),IF(LEFT($AE14,1)="D",MaxPeriod,$AG14)),0)</f>
        <v>0</v>
      </c>
      <c r="AP14" s="5">
        <f>IF('Set-up'!$E$9="Daily",DATE(YEAR($I14)+$AH14+1,MONTH($I14),DAY($I14))-DATE(YEAR($I14)+$AH14,MONTH($I14),DAY($I14)),0)</f>
        <v>0</v>
      </c>
      <c r="AQ14" s="5">
        <f>IF('Set-up'!$E$9="Daily",DATE(YEAR($I14)+$AI14+1,MONTH($I14),DAY($I14))-DATE(YEAR($I14)+$AI14,MONTH($I14),DAY($I14)),0)</f>
        <v>0</v>
      </c>
      <c r="AR14" s="5">
        <f>IF('Set-up'!$E$9="Daily",DATE(YEAR($I14)+$AJ14+1,MONTH($I14),DAY($I14))-DATE(YEAR($I14)+$AJ14,MONTH($I14),DAY($I14)),0)</f>
        <v>0</v>
      </c>
      <c r="AS14" s="5">
        <f>IF('Set-up'!$E$9="Daily",DATE(YEAR($I14)+$AK14+1,MONTH($I14),DAY($I14))-DATE(YEAR($I14)+$AK14,MONTH($I14),DAY($I14)),0)</f>
        <v>0</v>
      </c>
    </row>
    <row r="15" spans="1:45" ht="16" customHeight="1" x14ac:dyDescent="0.25">
      <c r="A15" s="9" t="s">
        <v>185</v>
      </c>
      <c r="B15" s="9">
        <v>31837864</v>
      </c>
      <c r="C15" s="9" t="s">
        <v>191</v>
      </c>
      <c r="D15" s="5" t="s">
        <v>90</v>
      </c>
      <c r="E15" s="5" t="s">
        <v>166</v>
      </c>
      <c r="F15" s="5" t="s">
        <v>340</v>
      </c>
      <c r="G15" s="5" t="str" cm="1">
        <f t="array" aca="1" ref="G15" ca="1">IF(COUNTIF(AssetCode,$A15)&gt;1,"E1",IF(ISNA(VLOOKUP($E15,CatAll,1,0))=TRUE,"E2",IF($I15="Add!","E10","-")))</f>
        <v>-</v>
      </c>
      <c r="H15" s="5" t="str">
        <f t="shared" ca="1" si="0"/>
        <v>PM</v>
      </c>
      <c r="I15" s="30" cm="1">
        <f t="array" aca="1" ref="I15" ca="1">IF(SUMIFS(TransIDDate,TransAsset,$A15,TransType,"ACQ")=0,"Add!",SUMIFS(TransIDDate,TransAsset,$A15,TransType,"ACQ"))</f>
        <v>42205</v>
      </c>
      <c r="J15" s="32">
        <f t="shared" ca="1" si="1"/>
        <v>422200</v>
      </c>
      <c r="K15" s="57">
        <f t="shared" ca="1" si="2"/>
        <v>5</v>
      </c>
      <c r="L15" s="32">
        <f t="shared" ca="1" si="3"/>
        <v>0</v>
      </c>
      <c r="M15" s="30" t="str" cm="1">
        <f t="array" ref="M15">IF(SUMIFS(TransIDDate,TransAsset,$A15,TransType,"DIS")=0,"-",IF(SUMIFS(TransIDDate,TransAsset,$A15,TransType,"DIS")&lt;=$I$2,SUMIFS(TransIDDate,TransAsset,$A15,TransType,"DIS"),"-"))</f>
        <v>-</v>
      </c>
      <c r="N15" s="31" cm="1">
        <f t="array" aca="1" ref="N15" ca="1">IF($M15&lt;=$I$2,SUMIFS(TransProceeds,TransAsset,$A15,TransType,"DIS"),0)</f>
        <v>0</v>
      </c>
      <c r="O15" s="32" cm="1">
        <f t="array" aca="1" ref="O15" ca="1">IF(AND($M15&lt;&gt;"-",$M15&lt;$H$2),0,SUMIFS(TransAmount,TransAsset,$A15,TransIDDate,"&lt;"&amp;$H$2,TransType,"ACQ"))</f>
        <v>422200</v>
      </c>
      <c r="P15" s="32">
        <f t="shared" ca="1" si="4"/>
        <v>0</v>
      </c>
      <c r="Q15" s="32">
        <f t="shared" ca="1" si="5"/>
        <v>0</v>
      </c>
      <c r="R15" s="32">
        <f t="shared" ca="1" si="7"/>
        <v>422200</v>
      </c>
      <c r="S15" s="32">
        <f ca="1">IF(AND($M15&lt;&gt;"-",$M15&lt;$H$2),0,IF($K15=0,0,IF(LEFT($AE15,1)="D",(($J15-$L15)*(1-((1-$AD15)^$AI15)))+(($J15-$L15)*(((1-$AD15)^$AI15)-((1-$AD15)^($AI15+1)))*IF('Set-up'!$E$9="Monthly",($AA15-($AI15*12))/12,$AM15/$AQ15)),($J15-$L15)/$AG15*$AA15)))</f>
        <v>394053.33333333337</v>
      </c>
      <c r="T15" s="32">
        <f ca="1">IF($K15=0,0,IF(LEFT($AE15,1)="D",((($J15-$L15)*(1-((1-$AD15)^$AH15)))+(($J15-$L15)*(((1-$AD15)^$AH15)-((1-$AD15)^($AH15+1)))*IF('Set-up'!$E$9="Monthly",($Z15-($AH15*12))/12,$AL15/$AP15)))-(($J15-$L15)*(1-((1-$AD15)^$AI15)))-(($J15-$L15)*(((1-$AD15)^$AI15)-((1-$AD15)^($AI15+1)))*IF('Set-up'!$E$9="Monthly",($AA15-($AI15*12))/12,$AM15/$AQ15)),(($J15-$L15)/$AG15*$Z15)-(($J15-$L15)/$AG15*$AA15)))</f>
        <v>28146.666666666628</v>
      </c>
      <c r="U15" s="32">
        <f ca="1">-IF(AND($M15&gt;=$H$2,$M15&lt;=$I$2),IF(LEFT($AE15,1)="D",(($J15-$L15)*(1-((1-$AD15)^$AK15)))+(($J15-$L15)*(((1-$AD15)^$AK15)-((1-$AD15)^($AK15+1)))*IF('Set-up'!$E$9="Monthly",($AC15-($AK15*12))/12,$AO15/$AS15)),IF($K15=0,0,($J15-$L15)/$AG15*$AC15)),0)</f>
        <v>0</v>
      </c>
      <c r="V15" s="32">
        <f t="shared" ca="1" si="8"/>
        <v>422200</v>
      </c>
      <c r="W15" s="32">
        <f t="shared" ca="1" si="9"/>
        <v>0</v>
      </c>
      <c r="X15" s="32">
        <f t="shared" ca="1" si="10"/>
        <v>0</v>
      </c>
      <c r="Y15" s="32">
        <f ca="1">IF($K15=0,0,IF(LEFT($AE15,1)="D",((($J15-$L15)*(1-((1-$AD15)^$AH15)))+(($J15-$L15)*(((1-$AD15)^$AH15)-((1-$AD15)^($AH15+1)))*IF('Set-up'!$E$9="Monthly",($Z15-($AH15*12))/12,$AL15/$AP15)))-(($J15-$L15)*(1-((1-$AD15)^$AJ15)))-(($J15-$L15)*(((1-$AD15)^$AJ15)-((1-$AD15)^($AJ15+1)))*IF('Set-up'!$E$9="Monthly",($AB15-($AJ15*12))/12,$AN15/$AR15)),(($J15-$L15)/$AG15*$Z15)-(($J15-$L15)/$AG15*$AB15)))</f>
        <v>0</v>
      </c>
      <c r="Z15" s="5">
        <f ca="1">IF('Set-up'!$E$9="Daily",MIN(MAX(((IF($M15="-",$I$2,MIN($I$2,$M15-'Set-up'!$E$13))-(($I15+'Set-up'!$E$11)))+1),0),IF(LEFT($AE15,1)="D",MaxPeriod,$AG15)),MIN(MAX(((IF($M15="-",((YEAR($I$2)*12)+MONTH($I$2)),MIN(((YEAR($I$2)*12)+MONTH($I$2)),((YEAR($M15)*12)+MONTH($M15)-'Set-up'!$E$13)))-(((YEAR($I15)*12)+MONTH($I15)+'Set-up'!$E$11)))+1),0),IF(LEFT($AE15,1)="D",MaxPeriod,$AG15)))</f>
        <v>60</v>
      </c>
      <c r="AA15" s="5">
        <f ca="1">IF('Set-up'!$E$9="Daily",MIN(MAX(((IF($M15="-",$H$2-1,MIN($H$2-1,$M15-'Set-up'!$E$13))-($I15+'Set-up'!$E$11))+1),0),IF(LEFT($AE15,1)="D",MaxPeriod,$AG15)),MIN(MAX(((IF($M15="-",((YEAR($H$2)*12)+MONTH($H$2)-1),MIN(((YEAR($H$2)*12)+MONTH($H$2)-1),((YEAR($M15)*12)+MONTH($M15)-'Set-up'!$E$13)))-(((YEAR($I15)*12)+MONTH($I15)+'Set-up'!$E$11)))+1),0),IF(LEFT($AE15,1)="D",MaxPeriod,$AG15)))</f>
        <v>56</v>
      </c>
      <c r="AB15" s="5">
        <f ca="1">IF('Set-up'!$E$9="Daily",MIN(MAX(((IF($M15="-",$J$2-1,MIN($J$2-1,$M15-'Set-up'!$E$13))-($I15+'Set-up'!$E$11))+1),0),IF(LEFT($AE15,1)="D",MaxPeriod,$AG15)),MIN(MAX(((IF($M15="-",((YEAR($J$2)*12)+MONTH($J$2)-1),MIN(((YEAR($J$2)*12)+MONTH($J$2)-1),((YEAR($M15)*12)+MONTH($M15)-'Set-up'!$E$13)))-(((YEAR($I15)*12)+MONTH($I15)+'Set-up'!$E$11)))+1),0),IF(LEFT($AE15,1)="D",MaxPeriod,$AG15)))</f>
        <v>60</v>
      </c>
      <c r="AC15" s="5">
        <f ca="1">IF('Set-up'!$E$9="Daily",MIN(MAX(((IF($M15="-",0,$M15-'Set-up'!$E$13)-($I15+'Set-up'!$E$11))+1),0),IF(LEFT($AE15,1)="D",MaxPeriod,$AG15)),MIN(MAX(((IF($M15="-",0,((YEAR($M15)*12)+MONTH($M15)-'Set-up'!$E$13))-(((YEAR($I15)*12)+MONTH($I15)+'Set-up'!$E$11)))+1),0),IF(LEFT($AE15,1)="D",MaxPeriod,$AG15)))</f>
        <v>0</v>
      </c>
      <c r="AD15" s="33">
        <f t="shared" ca="1" si="6"/>
        <v>0</v>
      </c>
      <c r="AE15" s="34" t="str">
        <f t="shared" ca="1" si="11"/>
        <v>SL</v>
      </c>
      <c r="AF15" s="34">
        <f t="shared" ca="1" si="12"/>
        <v>1</v>
      </c>
      <c r="AG15" s="5">
        <f ca="1">IF('Set-up'!$E$9="Daily",(DATE(YEAR($I15)+$K15+(1-$AF15),MONTH($I15),DAY($I15))+'Set-up'!$E$11)-($I15+'Set-up'!$E$11),$K15*12)</f>
        <v>60</v>
      </c>
      <c r="AH15" s="5">
        <f ca="1">ROUNDDOWN(MIN(MAX(((IF($M15="-",((YEAR($I$2)*12)+MONTH($I$2)),MIN(((YEAR($I$2)*12)+MONTH($I$2)),((YEAR($M15)*12)+MONTH($M15)-'Set-up'!$E$13)))-(((YEAR($I15)*12)+MONTH($I15)+'Set-up'!$E$11)))),0),IF(LEFT($AE15,1)="D",MaxPeriod,$AG15))/12,0)</f>
        <v>5</v>
      </c>
      <c r="AI15" s="5">
        <f ca="1">ROUNDDOWN(MIN(MAX(((IF($M15="-",((YEAR($H$2)*12)+MONTH($H$2)-1),MIN(((YEAR($H$2)*12)+MONTH($H$2)-1),((YEAR($M15)*12)+MONTH($M15)-'Set-up'!$E$13)))-(((YEAR($I15)*12)+MONTH($I15)+'Set-up'!$E$11)))),0),IF(LEFT($AE15,1)="D",MaxPeriod,$AG15))/12,0)</f>
        <v>4</v>
      </c>
      <c r="AJ15" s="5">
        <f ca="1">ROUNDDOWN(MIN(MAX(((IF($M15="-",((YEAR($J$2)*12)+MONTH($J$2)-1),MIN(((YEAR($J$2)*12)+MONTH($J$2)-1),((YEAR($M15)*12)+MONTH($M15)-'Set-up'!$E$13)))-(((YEAR($I15)*12)+MONTH($I15)+'Set-up'!$E$11)))),0),IF(LEFT($AE15,1)="D",MaxPeriod,$AG15))/12,0)</f>
        <v>5</v>
      </c>
      <c r="AK15" s="5">
        <f ca="1">ROUNDDOWN(MIN(MAX(((IF($M15="-",0,((YEAR($M15)*12)+MONTH($M15)-'Set-up'!$E$13))-(((YEAR($I15)*12)+MONTH($I15)+'Set-up'!$E$11)))),0),IF(LEFT($AE15,1)="D",MaxPeriod,$AG15))/12,0)</f>
        <v>0</v>
      </c>
      <c r="AL15" s="5">
        <f>IF('Set-up'!$E$9="Daily",MIN(MAX(((IF($M15="-",$I$2,MIN($I$2,$M15-'Set-up'!$E$13))-((DATE(YEAR($I15)+$AH15,MONTH($I15),DAY($I15))+'Set-up'!$E$11)))+1),0),IF(LEFT($AE15,1)="D",MaxPeriod,$AG15)),0)</f>
        <v>0</v>
      </c>
      <c r="AM15" s="5">
        <f>IF('Set-up'!$E$9="Daily",MIN(MAX(((IF($M15="-",$H$2-1,MIN($H$2-1,$M15-'Set-up'!$E$13))-(DATE(YEAR($I15)+$AI15,MONTH($I15),DAY($I15))+'Set-up'!$E$11))+1),0),IF(LEFT($AE15,1)="D",MaxPeriod,$AG15)),0)</f>
        <v>0</v>
      </c>
      <c r="AN15" s="5">
        <f>IF('Set-up'!$E$9="Daily",MIN(MAX(((IF($M15="-",$J$2-1,MIN($J$2-1,$M15-'Set-up'!$E$13))-(DATE(YEAR($I15)+$AJ15,MONTH($I15),DAY($I15))+'Set-up'!$E$11))+1),0),IF(LEFT($AE15,1)="D",MaxPeriod,$AG15)),0)</f>
        <v>0</v>
      </c>
      <c r="AO15" s="5">
        <f>IF('Set-up'!$E$9="Daily",MIN(MAX(((IF($M15="-",0,$M15-'Set-up'!$E$13)-(DATE(YEAR($I15)+$AK15,MONTH($I15),DAY($I15))+'Set-up'!$E$11))+1),0),IF(LEFT($AE15,1)="D",MaxPeriod,$AG15)),0)</f>
        <v>0</v>
      </c>
      <c r="AP15" s="5">
        <f>IF('Set-up'!$E$9="Daily",DATE(YEAR($I15)+$AH15+1,MONTH($I15),DAY($I15))-DATE(YEAR($I15)+$AH15,MONTH($I15),DAY($I15)),0)</f>
        <v>0</v>
      </c>
      <c r="AQ15" s="5">
        <f>IF('Set-up'!$E$9="Daily",DATE(YEAR($I15)+$AI15+1,MONTH($I15),DAY($I15))-DATE(YEAR($I15)+$AI15,MONTH($I15),DAY($I15)),0)</f>
        <v>0</v>
      </c>
      <c r="AR15" s="5">
        <f>IF('Set-up'!$E$9="Daily",DATE(YEAR($I15)+$AJ15+1,MONTH($I15),DAY($I15))-DATE(YEAR($I15)+$AJ15,MONTH($I15),DAY($I15)),0)</f>
        <v>0</v>
      </c>
      <c r="AS15" s="5">
        <f>IF('Set-up'!$E$9="Daily",DATE(YEAR($I15)+$AK15+1,MONTH($I15),DAY($I15))-DATE(YEAR($I15)+$AK15,MONTH($I15),DAY($I15)),0)</f>
        <v>0</v>
      </c>
    </row>
    <row r="16" spans="1:45" ht="16" customHeight="1" x14ac:dyDescent="0.25">
      <c r="A16" s="9" t="s">
        <v>186</v>
      </c>
      <c r="B16" s="9">
        <v>19837364</v>
      </c>
      <c r="C16" s="9" t="s">
        <v>192</v>
      </c>
      <c r="D16" s="5" t="s">
        <v>90</v>
      </c>
      <c r="E16" s="5" t="s">
        <v>166</v>
      </c>
      <c r="F16" s="5" t="s">
        <v>340</v>
      </c>
      <c r="G16" s="5" t="str" cm="1">
        <f t="array" aca="1" ref="G16" ca="1">IF(COUNTIF(AssetCode,$A16)&gt;1,"E1",IF(ISNA(VLOOKUP($E16,CatAll,1,0))=TRUE,"E2",IF($I16="Add!","E10","-")))</f>
        <v>-</v>
      </c>
      <c r="H16" s="5" t="str">
        <f t="shared" ca="1" si="0"/>
        <v>PM</v>
      </c>
      <c r="I16" s="30" cm="1">
        <f t="array" aca="1" ref="I16" ca="1">IF(SUMIFS(TransIDDate,TransAsset,$A16,TransType,"ACQ")=0,"Add!",SUMIFS(TransIDDate,TransAsset,$A16,TransType,"ACQ"))</f>
        <v>42205</v>
      </c>
      <c r="J16" s="32">
        <f t="shared" ca="1" si="1"/>
        <v>660450</v>
      </c>
      <c r="K16" s="57">
        <f t="shared" ca="1" si="2"/>
        <v>5</v>
      </c>
      <c r="L16" s="32">
        <f t="shared" ca="1" si="3"/>
        <v>0</v>
      </c>
      <c r="M16" s="30" cm="1">
        <f t="array" aca="1" ref="M16" ca="1">IF(SUMIFS(TransIDDate,TransAsset,$A16,TransType,"DIS")=0,"-",IF(SUMIFS(TransIDDate,TransAsset,$A16,TransType,"DIS")&lt;=$I$2,SUMIFS(TransIDDate,TransAsset,$A16,TransType,"DIS"),"-"))</f>
        <v>44217</v>
      </c>
      <c r="N16" s="31" cm="1">
        <f t="array" aca="1" ref="N16" ca="1">IF($M16&lt;=$I$2,SUMIFS(TransProceeds,TransAsset,$A16,TransType,"DIS"),0)</f>
        <v>150000</v>
      </c>
      <c r="O16" s="32" cm="1">
        <f t="array" aca="1" ref="O16" ca="1">IF(AND($M16&lt;&gt;"-",$M16&lt;$H$2),0,SUMIFS(TransAmount,TransAsset,$A16,TransIDDate,"&lt;"&amp;$H$2,TransType,"ACQ"))</f>
        <v>660450</v>
      </c>
      <c r="P16" s="32">
        <f t="shared" ca="1" si="4"/>
        <v>0</v>
      </c>
      <c r="Q16" s="32">
        <f t="shared" ca="1" si="5"/>
        <v>-660450</v>
      </c>
      <c r="R16" s="32">
        <f t="shared" ca="1" si="7"/>
        <v>0</v>
      </c>
      <c r="S16" s="32">
        <f ca="1">IF(AND($M16&lt;&gt;"-",$M16&lt;$H$2),0,IF($K16=0,0,IF(LEFT($AE16,1)="D",(($J16-$L16)*(1-((1-$AD16)^$AI16)))+(($J16-$L16)*(((1-$AD16)^$AI16)-((1-$AD16)^($AI16+1)))*IF('Set-up'!$E$9="Monthly",($AA16-($AI16*12))/12,$AM16/$AQ16)),($J16-$L16)/$AG16*$AA16)))</f>
        <v>616420</v>
      </c>
      <c r="T16" s="32">
        <f ca="1">IF($K16=0,0,IF(LEFT($AE16,1)="D",((($J16-$L16)*(1-((1-$AD16)^$AH16)))+(($J16-$L16)*(((1-$AD16)^$AH16)-((1-$AD16)^($AH16+1)))*IF('Set-up'!$E$9="Monthly",($Z16-($AH16*12))/12,$AL16/$AP16)))-(($J16-$L16)*(1-((1-$AD16)^$AI16)))-(($J16-$L16)*(((1-$AD16)^$AI16)-((1-$AD16)^($AI16+1)))*IF('Set-up'!$E$9="Monthly",($AA16-($AI16*12))/12,$AM16/$AQ16)),(($J16-$L16)/$AG16*$Z16)-(($J16-$L16)/$AG16*$AA16)))</f>
        <v>44030</v>
      </c>
      <c r="U16" s="32">
        <f ca="1">-IF(AND($M16&gt;=$H$2,$M16&lt;=$I$2),IF(LEFT($AE16,1)="D",(($J16-$L16)*(1-((1-$AD16)^$AK16)))+(($J16-$L16)*(((1-$AD16)^$AK16)-((1-$AD16)^($AK16+1)))*IF('Set-up'!$E$9="Monthly",($AC16-($AK16*12))/12,$AO16/$AS16)),IF($K16=0,0,($J16-$L16)/$AG16*$AC16)),0)</f>
        <v>-660450</v>
      </c>
      <c r="V16" s="32">
        <f t="shared" ca="1" si="8"/>
        <v>0</v>
      </c>
      <c r="W16" s="32">
        <f t="shared" ca="1" si="9"/>
        <v>0</v>
      </c>
      <c r="X16" s="32">
        <f t="shared" ca="1" si="10"/>
        <v>150000</v>
      </c>
      <c r="Y16" s="32">
        <f ca="1">IF($K16=0,0,IF(LEFT($AE16,1)="D",((($J16-$L16)*(1-((1-$AD16)^$AH16)))+(($J16-$L16)*(((1-$AD16)^$AH16)-((1-$AD16)^($AH16+1)))*IF('Set-up'!$E$9="Monthly",($Z16-($AH16*12))/12,$AL16/$AP16)))-(($J16-$L16)*(1-((1-$AD16)^$AJ16)))-(($J16-$L16)*(((1-$AD16)^$AJ16)-((1-$AD16)^($AJ16+1)))*IF('Set-up'!$E$9="Monthly",($AB16-($AJ16*12))/12,$AN16/$AR16)),(($J16-$L16)/$AG16*$Z16)-(($J16-$L16)/$AG16*$AB16)))</f>
        <v>0</v>
      </c>
      <c r="Z16" s="5">
        <f ca="1">IF('Set-up'!$E$9="Daily",MIN(MAX(((IF($M16="-",$I$2,MIN($I$2,$M16-'Set-up'!$E$13))-(($I16+'Set-up'!$E$11)))+1),0),IF(LEFT($AE16,1)="D",MaxPeriod,$AG16)),MIN(MAX(((IF($M16="-",((YEAR($I$2)*12)+MONTH($I$2)),MIN(((YEAR($I$2)*12)+MONTH($I$2)),((YEAR($M16)*12)+MONTH($M16)-'Set-up'!$E$13)))-(((YEAR($I16)*12)+MONTH($I16)+'Set-up'!$E$11)))+1),0),IF(LEFT($AE16,1)="D",MaxPeriod,$AG16)))</f>
        <v>60</v>
      </c>
      <c r="AA16" s="5">
        <f ca="1">IF('Set-up'!$E$9="Daily",MIN(MAX(((IF($M16="-",$H$2-1,MIN($H$2-1,$M16-'Set-up'!$E$13))-($I16+'Set-up'!$E$11))+1),0),IF(LEFT($AE16,1)="D",MaxPeriod,$AG16)),MIN(MAX(((IF($M16="-",((YEAR($H$2)*12)+MONTH($H$2)-1),MIN(((YEAR($H$2)*12)+MONTH($H$2)-1),((YEAR($M16)*12)+MONTH($M16)-'Set-up'!$E$13)))-(((YEAR($I16)*12)+MONTH($I16)+'Set-up'!$E$11)))+1),0),IF(LEFT($AE16,1)="D",MaxPeriod,$AG16)))</f>
        <v>56</v>
      </c>
      <c r="AB16" s="5">
        <f ca="1">IF('Set-up'!$E$9="Daily",MIN(MAX(((IF($M16="-",$J$2-1,MIN($J$2-1,$M16-'Set-up'!$E$13))-($I16+'Set-up'!$E$11))+1),0),IF(LEFT($AE16,1)="D",MaxPeriod,$AG16)),MIN(MAX(((IF($M16="-",((YEAR($J$2)*12)+MONTH($J$2)-1),MIN(((YEAR($J$2)*12)+MONTH($J$2)-1),((YEAR($M16)*12)+MONTH($M16)-'Set-up'!$E$13)))-(((YEAR($I16)*12)+MONTH($I16)+'Set-up'!$E$11)))+1),0),IF(LEFT($AE16,1)="D",MaxPeriod,$AG16)))</f>
        <v>60</v>
      </c>
      <c r="AC16" s="5">
        <f ca="1">IF('Set-up'!$E$9="Daily",MIN(MAX(((IF($M16="-",0,$M16-'Set-up'!$E$13)-($I16+'Set-up'!$E$11))+1),0),IF(LEFT($AE16,1)="D",MaxPeriod,$AG16)),MIN(MAX(((IF($M16="-",0,((YEAR($M16)*12)+MONTH($M16)-'Set-up'!$E$13))-(((YEAR($I16)*12)+MONTH($I16)+'Set-up'!$E$11)))+1),0),IF(LEFT($AE16,1)="D",MaxPeriod,$AG16)))</f>
        <v>60</v>
      </c>
      <c r="AD16" s="33">
        <f t="shared" ca="1" si="6"/>
        <v>0</v>
      </c>
      <c r="AE16" s="34" t="str">
        <f t="shared" ca="1" si="11"/>
        <v>SL</v>
      </c>
      <c r="AF16" s="34">
        <f t="shared" ca="1" si="12"/>
        <v>1</v>
      </c>
      <c r="AG16" s="5">
        <f ca="1">IF('Set-up'!$E$9="Daily",(DATE(YEAR($I16)+$K16+(1-$AF16),MONTH($I16),DAY($I16))+'Set-up'!$E$11)-($I16+'Set-up'!$E$11),$K16*12)</f>
        <v>60</v>
      </c>
      <c r="AH16" s="5">
        <f ca="1">ROUNDDOWN(MIN(MAX(((IF($M16="-",((YEAR($I$2)*12)+MONTH($I$2)),MIN(((YEAR($I$2)*12)+MONTH($I$2)),((YEAR($M16)*12)+MONTH($M16)-'Set-up'!$E$13)))-(((YEAR($I16)*12)+MONTH($I16)+'Set-up'!$E$11)))),0),IF(LEFT($AE16,1)="D",MaxPeriod,$AG16))/12,0)</f>
        <v>5</v>
      </c>
      <c r="AI16" s="5">
        <f ca="1">ROUNDDOWN(MIN(MAX(((IF($M16="-",((YEAR($H$2)*12)+MONTH($H$2)-1),MIN(((YEAR($H$2)*12)+MONTH($H$2)-1),((YEAR($M16)*12)+MONTH($M16)-'Set-up'!$E$13)))-(((YEAR($I16)*12)+MONTH($I16)+'Set-up'!$E$11)))),0),IF(LEFT($AE16,1)="D",MaxPeriod,$AG16))/12,0)</f>
        <v>4</v>
      </c>
      <c r="AJ16" s="5">
        <f ca="1">ROUNDDOWN(MIN(MAX(((IF($M16="-",((YEAR($J$2)*12)+MONTH($J$2)-1),MIN(((YEAR($J$2)*12)+MONTH($J$2)-1),((YEAR($M16)*12)+MONTH($M16)-'Set-up'!$E$13)))-(((YEAR($I16)*12)+MONTH($I16)+'Set-up'!$E$11)))),0),IF(LEFT($AE16,1)="D",MaxPeriod,$AG16))/12,0)</f>
        <v>5</v>
      </c>
      <c r="AK16" s="5">
        <f ca="1">ROUNDDOWN(MIN(MAX(((IF($M16="-",0,((YEAR($M16)*12)+MONTH($M16)-'Set-up'!$E$13))-(((YEAR($I16)*12)+MONTH($I16)+'Set-up'!$E$11)))),0),IF(LEFT($AE16,1)="D",MaxPeriod,$AG16))/12,0)</f>
        <v>5</v>
      </c>
      <c r="AL16" s="5">
        <f>IF('Set-up'!$E$9="Daily",MIN(MAX(((IF($M16="-",$I$2,MIN($I$2,$M16-'Set-up'!$E$13))-((DATE(YEAR($I16)+$AH16,MONTH($I16),DAY($I16))+'Set-up'!$E$11)))+1),0),IF(LEFT($AE16,1)="D",MaxPeriod,$AG16)),0)</f>
        <v>0</v>
      </c>
      <c r="AM16" s="5">
        <f>IF('Set-up'!$E$9="Daily",MIN(MAX(((IF($M16="-",$H$2-1,MIN($H$2-1,$M16-'Set-up'!$E$13))-(DATE(YEAR($I16)+$AI16,MONTH($I16),DAY($I16))+'Set-up'!$E$11))+1),0),IF(LEFT($AE16,1)="D",MaxPeriod,$AG16)),0)</f>
        <v>0</v>
      </c>
      <c r="AN16" s="5">
        <f>IF('Set-up'!$E$9="Daily",MIN(MAX(((IF($M16="-",$J$2-1,MIN($J$2-1,$M16-'Set-up'!$E$13))-(DATE(YEAR($I16)+$AJ16,MONTH($I16),DAY($I16))+'Set-up'!$E$11))+1),0),IF(LEFT($AE16,1)="D",MaxPeriod,$AG16)),0)</f>
        <v>0</v>
      </c>
      <c r="AO16" s="5">
        <f>IF('Set-up'!$E$9="Daily",MIN(MAX(((IF($M16="-",0,$M16-'Set-up'!$E$13)-(DATE(YEAR($I16)+$AK16,MONTH($I16),DAY($I16))+'Set-up'!$E$11))+1),0),IF(LEFT($AE16,1)="D",MaxPeriod,$AG16)),0)</f>
        <v>0</v>
      </c>
      <c r="AP16" s="5">
        <f>IF('Set-up'!$E$9="Daily",DATE(YEAR($I16)+$AH16+1,MONTH($I16),DAY($I16))-DATE(YEAR($I16)+$AH16,MONTH($I16),DAY($I16)),0)</f>
        <v>0</v>
      </c>
      <c r="AQ16" s="5">
        <f>IF('Set-up'!$E$9="Daily",DATE(YEAR($I16)+$AI16+1,MONTH($I16),DAY($I16))-DATE(YEAR($I16)+$AI16,MONTH($I16),DAY($I16)),0)</f>
        <v>0</v>
      </c>
      <c r="AR16" s="5">
        <f>IF('Set-up'!$E$9="Daily",DATE(YEAR($I16)+$AJ16+1,MONTH($I16),DAY($I16))-DATE(YEAR($I16)+$AJ16,MONTH($I16),DAY($I16)),0)</f>
        <v>0</v>
      </c>
      <c r="AS16" s="5">
        <f>IF('Set-up'!$E$9="Daily",DATE(YEAR($I16)+$AK16+1,MONTH($I16),DAY($I16))-DATE(YEAR($I16)+$AK16,MONTH($I16),DAY($I16)),0)</f>
        <v>0</v>
      </c>
    </row>
    <row r="17" spans="1:45" ht="16" customHeight="1" x14ac:dyDescent="0.25">
      <c r="A17" s="9" t="s">
        <v>187</v>
      </c>
      <c r="B17" s="9">
        <v>13565135</v>
      </c>
      <c r="C17" s="9" t="s">
        <v>38</v>
      </c>
      <c r="D17" s="5" t="s">
        <v>90</v>
      </c>
      <c r="E17" s="5" t="s">
        <v>166</v>
      </c>
      <c r="F17" s="5" t="s">
        <v>340</v>
      </c>
      <c r="G17" s="5" t="str" cm="1">
        <f t="array" aca="1" ref="G17" ca="1">IF(COUNTIF(AssetCode,$A17)&gt;1,"E1",IF(ISNA(VLOOKUP($E17,CatAll,1,0))=TRUE,"E2",IF($I17="Add!","E10","-")))</f>
        <v>-</v>
      </c>
      <c r="H17" s="5" t="str">
        <f t="shared" ca="1" si="0"/>
        <v>PM</v>
      </c>
      <c r="I17" s="30" cm="1">
        <f t="array" aca="1" ref="I17" ca="1">IF(SUMIFS(TransIDDate,TransAsset,$A17,TransType,"ACQ")=0,"Add!",SUMIFS(TransIDDate,TransAsset,$A17,TransType,"ACQ"))</f>
        <v>42205</v>
      </c>
      <c r="J17" s="32">
        <f t="shared" ca="1" si="1"/>
        <v>354600</v>
      </c>
      <c r="K17" s="57">
        <f t="shared" ca="1" si="2"/>
        <v>5</v>
      </c>
      <c r="L17" s="32">
        <f t="shared" ca="1" si="3"/>
        <v>0</v>
      </c>
      <c r="M17" s="30" t="str" cm="1">
        <f t="array" ref="M17">IF(SUMIFS(TransIDDate,TransAsset,$A17,TransType,"DIS")=0,"-",IF(SUMIFS(TransIDDate,TransAsset,$A17,TransType,"DIS")&lt;=$I$2,SUMIFS(TransIDDate,TransAsset,$A17,TransType,"DIS"),"-"))</f>
        <v>-</v>
      </c>
      <c r="N17" s="31" cm="1">
        <f t="array" aca="1" ref="N17" ca="1">IF($M17&lt;=$I$2,SUMIFS(TransProceeds,TransAsset,$A17,TransType,"DIS"),0)</f>
        <v>0</v>
      </c>
      <c r="O17" s="32" cm="1">
        <f t="array" aca="1" ref="O17" ca="1">IF(AND($M17&lt;&gt;"-",$M17&lt;$H$2),0,SUMIFS(TransAmount,TransAsset,$A17,TransIDDate,"&lt;"&amp;$H$2,TransType,"ACQ"))</f>
        <v>354600</v>
      </c>
      <c r="P17" s="32">
        <f t="shared" ca="1" si="4"/>
        <v>0</v>
      </c>
      <c r="Q17" s="32">
        <f t="shared" ca="1" si="5"/>
        <v>0</v>
      </c>
      <c r="R17" s="32">
        <f t="shared" ca="1" si="7"/>
        <v>354600</v>
      </c>
      <c r="S17" s="32">
        <f ca="1">IF(AND($M17&lt;&gt;"-",$M17&lt;$H$2),0,IF($K17=0,0,IF(LEFT($AE17,1)="D",(($J17-$L17)*(1-((1-$AD17)^$AI17)))+(($J17-$L17)*(((1-$AD17)^$AI17)-((1-$AD17)^($AI17+1)))*IF('Set-up'!$E$9="Monthly",($AA17-($AI17*12))/12,$AM17/$AQ17)),($J17-$L17)/$AG17*$AA17)))</f>
        <v>330960</v>
      </c>
      <c r="T17" s="32">
        <f ca="1">IF($K17=0,0,IF(LEFT($AE17,1)="D",((($J17-$L17)*(1-((1-$AD17)^$AH17)))+(($J17-$L17)*(((1-$AD17)^$AH17)-((1-$AD17)^($AH17+1)))*IF('Set-up'!$E$9="Monthly",($Z17-($AH17*12))/12,$AL17/$AP17)))-(($J17-$L17)*(1-((1-$AD17)^$AI17)))-(($J17-$L17)*(((1-$AD17)^$AI17)-((1-$AD17)^($AI17+1)))*IF('Set-up'!$E$9="Monthly",($AA17-($AI17*12))/12,$AM17/$AQ17)),(($J17-$L17)/$AG17*$Z17)-(($J17-$L17)/$AG17*$AA17)))</f>
        <v>23640</v>
      </c>
      <c r="U17" s="32">
        <f ca="1">-IF(AND($M17&gt;=$H$2,$M17&lt;=$I$2),IF(LEFT($AE17,1)="D",(($J17-$L17)*(1-((1-$AD17)^$AK17)))+(($J17-$L17)*(((1-$AD17)^$AK17)-((1-$AD17)^($AK17+1)))*IF('Set-up'!$E$9="Monthly",($AC17-($AK17*12))/12,$AO17/$AS17)),IF($K17=0,0,($J17-$L17)/$AG17*$AC17)),0)</f>
        <v>0</v>
      </c>
      <c r="V17" s="32">
        <f t="shared" ca="1" si="8"/>
        <v>354600</v>
      </c>
      <c r="W17" s="32">
        <f t="shared" ca="1" si="9"/>
        <v>0</v>
      </c>
      <c r="X17" s="32">
        <f t="shared" ca="1" si="10"/>
        <v>0</v>
      </c>
      <c r="Y17" s="32">
        <f ca="1">IF($K17=0,0,IF(LEFT($AE17,1)="D",((($J17-$L17)*(1-((1-$AD17)^$AH17)))+(($J17-$L17)*(((1-$AD17)^$AH17)-((1-$AD17)^($AH17+1)))*IF('Set-up'!$E$9="Monthly",($Z17-($AH17*12))/12,$AL17/$AP17)))-(($J17-$L17)*(1-((1-$AD17)^$AJ17)))-(($J17-$L17)*(((1-$AD17)^$AJ17)-((1-$AD17)^($AJ17+1)))*IF('Set-up'!$E$9="Monthly",($AB17-($AJ17*12))/12,$AN17/$AR17)),(($J17-$L17)/$AG17*$Z17)-(($J17-$L17)/$AG17*$AB17)))</f>
        <v>0</v>
      </c>
      <c r="Z17" s="5">
        <f ca="1">IF('Set-up'!$E$9="Daily",MIN(MAX(((IF($M17="-",$I$2,MIN($I$2,$M17-'Set-up'!$E$13))-(($I17+'Set-up'!$E$11)))+1),0),IF(LEFT($AE17,1)="D",MaxPeriod,$AG17)),MIN(MAX(((IF($M17="-",((YEAR($I$2)*12)+MONTH($I$2)),MIN(((YEAR($I$2)*12)+MONTH($I$2)),((YEAR($M17)*12)+MONTH($M17)-'Set-up'!$E$13)))-(((YEAR($I17)*12)+MONTH($I17)+'Set-up'!$E$11)))+1),0),IF(LEFT($AE17,1)="D",MaxPeriod,$AG17)))</f>
        <v>60</v>
      </c>
      <c r="AA17" s="5">
        <f ca="1">IF('Set-up'!$E$9="Daily",MIN(MAX(((IF($M17="-",$H$2-1,MIN($H$2-1,$M17-'Set-up'!$E$13))-($I17+'Set-up'!$E$11))+1),0),IF(LEFT($AE17,1)="D",MaxPeriod,$AG17)),MIN(MAX(((IF($M17="-",((YEAR($H$2)*12)+MONTH($H$2)-1),MIN(((YEAR($H$2)*12)+MONTH($H$2)-1),((YEAR($M17)*12)+MONTH($M17)-'Set-up'!$E$13)))-(((YEAR($I17)*12)+MONTH($I17)+'Set-up'!$E$11)))+1),0),IF(LEFT($AE17,1)="D",MaxPeriod,$AG17)))</f>
        <v>56</v>
      </c>
      <c r="AB17" s="5">
        <f ca="1">IF('Set-up'!$E$9="Daily",MIN(MAX(((IF($M17="-",$J$2-1,MIN($J$2-1,$M17-'Set-up'!$E$13))-($I17+'Set-up'!$E$11))+1),0),IF(LEFT($AE17,1)="D",MaxPeriod,$AG17)),MIN(MAX(((IF($M17="-",((YEAR($J$2)*12)+MONTH($J$2)-1),MIN(((YEAR($J$2)*12)+MONTH($J$2)-1),((YEAR($M17)*12)+MONTH($M17)-'Set-up'!$E$13)))-(((YEAR($I17)*12)+MONTH($I17)+'Set-up'!$E$11)))+1),0),IF(LEFT($AE17,1)="D",MaxPeriod,$AG17)))</f>
        <v>60</v>
      </c>
      <c r="AC17" s="5">
        <f ca="1">IF('Set-up'!$E$9="Daily",MIN(MAX(((IF($M17="-",0,$M17-'Set-up'!$E$13)-($I17+'Set-up'!$E$11))+1),0),IF(LEFT($AE17,1)="D",MaxPeriod,$AG17)),MIN(MAX(((IF($M17="-",0,((YEAR($M17)*12)+MONTH($M17)-'Set-up'!$E$13))-(((YEAR($I17)*12)+MONTH($I17)+'Set-up'!$E$11)))+1),0),IF(LEFT($AE17,1)="D",MaxPeriod,$AG17)))</f>
        <v>0</v>
      </c>
      <c r="AD17" s="33">
        <f t="shared" ca="1" si="6"/>
        <v>0</v>
      </c>
      <c r="AE17" s="34" t="str">
        <f t="shared" ca="1" si="11"/>
        <v>SL</v>
      </c>
      <c r="AF17" s="34">
        <f t="shared" ca="1" si="12"/>
        <v>1</v>
      </c>
      <c r="AG17" s="5">
        <f ca="1">IF('Set-up'!$E$9="Daily",(DATE(YEAR($I17)+$K17+(1-$AF17),MONTH($I17),DAY($I17))+'Set-up'!$E$11)-($I17+'Set-up'!$E$11),$K17*12)</f>
        <v>60</v>
      </c>
      <c r="AH17" s="5">
        <f ca="1">ROUNDDOWN(MIN(MAX(((IF($M17="-",((YEAR($I$2)*12)+MONTH($I$2)),MIN(((YEAR($I$2)*12)+MONTH($I$2)),((YEAR($M17)*12)+MONTH($M17)-'Set-up'!$E$13)))-(((YEAR($I17)*12)+MONTH($I17)+'Set-up'!$E$11)))),0),IF(LEFT($AE17,1)="D",MaxPeriod,$AG17))/12,0)</f>
        <v>5</v>
      </c>
      <c r="AI17" s="5">
        <f ca="1">ROUNDDOWN(MIN(MAX(((IF($M17="-",((YEAR($H$2)*12)+MONTH($H$2)-1),MIN(((YEAR($H$2)*12)+MONTH($H$2)-1),((YEAR($M17)*12)+MONTH($M17)-'Set-up'!$E$13)))-(((YEAR($I17)*12)+MONTH($I17)+'Set-up'!$E$11)))),0),IF(LEFT($AE17,1)="D",MaxPeriod,$AG17))/12,0)</f>
        <v>4</v>
      </c>
      <c r="AJ17" s="5">
        <f ca="1">ROUNDDOWN(MIN(MAX(((IF($M17="-",((YEAR($J$2)*12)+MONTH($J$2)-1),MIN(((YEAR($J$2)*12)+MONTH($J$2)-1),((YEAR($M17)*12)+MONTH($M17)-'Set-up'!$E$13)))-(((YEAR($I17)*12)+MONTH($I17)+'Set-up'!$E$11)))),0),IF(LEFT($AE17,1)="D",MaxPeriod,$AG17))/12,0)</f>
        <v>5</v>
      </c>
      <c r="AK17" s="5">
        <f ca="1">ROUNDDOWN(MIN(MAX(((IF($M17="-",0,((YEAR($M17)*12)+MONTH($M17)-'Set-up'!$E$13))-(((YEAR($I17)*12)+MONTH($I17)+'Set-up'!$E$11)))),0),IF(LEFT($AE17,1)="D",MaxPeriod,$AG17))/12,0)</f>
        <v>0</v>
      </c>
      <c r="AL17" s="5">
        <f>IF('Set-up'!$E$9="Daily",MIN(MAX(((IF($M17="-",$I$2,MIN($I$2,$M17-'Set-up'!$E$13))-((DATE(YEAR($I17)+$AH17,MONTH($I17),DAY($I17))+'Set-up'!$E$11)))+1),0),IF(LEFT($AE17,1)="D",MaxPeriod,$AG17)),0)</f>
        <v>0</v>
      </c>
      <c r="AM17" s="5">
        <f>IF('Set-up'!$E$9="Daily",MIN(MAX(((IF($M17="-",$H$2-1,MIN($H$2-1,$M17-'Set-up'!$E$13))-(DATE(YEAR($I17)+$AI17,MONTH($I17),DAY($I17))+'Set-up'!$E$11))+1),0),IF(LEFT($AE17,1)="D",MaxPeriod,$AG17)),0)</f>
        <v>0</v>
      </c>
      <c r="AN17" s="5">
        <f>IF('Set-up'!$E$9="Daily",MIN(MAX(((IF($M17="-",$J$2-1,MIN($J$2-1,$M17-'Set-up'!$E$13))-(DATE(YEAR($I17)+$AJ17,MONTH($I17),DAY($I17))+'Set-up'!$E$11))+1),0),IF(LEFT($AE17,1)="D",MaxPeriod,$AG17)),0)</f>
        <v>0</v>
      </c>
      <c r="AO17" s="5">
        <f>IF('Set-up'!$E$9="Daily",MIN(MAX(((IF($M17="-",0,$M17-'Set-up'!$E$13)-(DATE(YEAR($I17)+$AK17,MONTH($I17),DAY($I17))+'Set-up'!$E$11))+1),0),IF(LEFT($AE17,1)="D",MaxPeriod,$AG17)),0)</f>
        <v>0</v>
      </c>
      <c r="AP17" s="5">
        <f>IF('Set-up'!$E$9="Daily",DATE(YEAR($I17)+$AH17+1,MONTH($I17),DAY($I17))-DATE(YEAR($I17)+$AH17,MONTH($I17),DAY($I17)),0)</f>
        <v>0</v>
      </c>
      <c r="AQ17" s="5">
        <f>IF('Set-up'!$E$9="Daily",DATE(YEAR($I17)+$AI17+1,MONTH($I17),DAY($I17))-DATE(YEAR($I17)+$AI17,MONTH($I17),DAY($I17)),0)</f>
        <v>0</v>
      </c>
      <c r="AR17" s="5">
        <f>IF('Set-up'!$E$9="Daily",DATE(YEAR($I17)+$AJ17+1,MONTH($I17),DAY($I17))-DATE(YEAR($I17)+$AJ17,MONTH($I17),DAY($I17)),0)</f>
        <v>0</v>
      </c>
      <c r="AS17" s="5">
        <f>IF('Set-up'!$E$9="Daily",DATE(YEAR($I17)+$AK17+1,MONTH($I17),DAY($I17))-DATE(YEAR($I17)+$AK17,MONTH($I17),DAY($I17)),0)</f>
        <v>0</v>
      </c>
    </row>
    <row r="18" spans="1:45" ht="16" customHeight="1" x14ac:dyDescent="0.25">
      <c r="A18" s="9" t="s">
        <v>227</v>
      </c>
      <c r="B18" s="9">
        <v>65645278</v>
      </c>
      <c r="C18" s="9" t="s">
        <v>23</v>
      </c>
      <c r="D18" s="5" t="s">
        <v>90</v>
      </c>
      <c r="E18" s="5" t="s">
        <v>166</v>
      </c>
      <c r="F18" s="5" t="s">
        <v>340</v>
      </c>
      <c r="G18" s="5" t="str" cm="1">
        <f t="array" aca="1" ref="G18" ca="1">IF(COUNTIF(AssetCode,$A18)&gt;1,"E1",IF(ISNA(VLOOKUP($E18,CatAll,1,0))=TRUE,"E2",IF($I18="Add!","E10","-")))</f>
        <v>-</v>
      </c>
      <c r="H18" s="5" t="str">
        <f t="shared" ca="1" si="0"/>
        <v>PM</v>
      </c>
      <c r="I18" s="30" cm="1">
        <f t="array" aca="1" ref="I18" ca="1">IF(SUMIFS(TransIDDate,TransAsset,$A18,TransType,"ACQ")=0,"Add!",SUMIFS(TransIDDate,TransAsset,$A18,TransType,"ACQ"))</f>
        <v>42623</v>
      </c>
      <c r="J18" s="32">
        <f t="shared" ca="1" si="1"/>
        <v>12500</v>
      </c>
      <c r="K18" s="57">
        <f t="shared" ca="1" si="2"/>
        <v>5</v>
      </c>
      <c r="L18" s="32">
        <f t="shared" ca="1" si="3"/>
        <v>0</v>
      </c>
      <c r="M18" s="30" t="str" cm="1">
        <f t="array" ref="M18">IF(SUMIFS(TransIDDate,TransAsset,$A18,TransType,"DIS")=0,"-",IF(SUMIFS(TransIDDate,TransAsset,$A18,TransType,"DIS")&lt;=$I$2,SUMIFS(TransIDDate,TransAsset,$A18,TransType,"DIS"),"-"))</f>
        <v>-</v>
      </c>
      <c r="N18" s="31" cm="1">
        <f t="array" aca="1" ref="N18" ca="1">IF($M18&lt;=$I$2,SUMIFS(TransProceeds,TransAsset,$A18,TransType,"DIS"),0)</f>
        <v>0</v>
      </c>
      <c r="O18" s="32" cm="1">
        <f t="array" aca="1" ref="O18" ca="1">IF(AND($M18&lt;&gt;"-",$M18&lt;$H$2),0,SUMIFS(TransAmount,TransAsset,$A18,TransIDDate,"&lt;"&amp;$H$2,TransType,"ACQ"))</f>
        <v>12500</v>
      </c>
      <c r="P18" s="32">
        <f t="shared" ca="1" si="4"/>
        <v>0</v>
      </c>
      <c r="Q18" s="32">
        <f t="shared" ca="1" si="5"/>
        <v>0</v>
      </c>
      <c r="R18" s="32">
        <f t="shared" ca="1" si="7"/>
        <v>12500</v>
      </c>
      <c r="S18" s="32">
        <f ca="1">IF(AND($M18&lt;&gt;"-",$M18&lt;$H$2),0,IF($K18=0,0,IF(LEFT($AE18,1)="D",(($J18-$L18)*(1-((1-$AD18)^$AI18)))+(($J18-$L18)*(((1-$AD18)^$AI18)-((1-$AD18)^($AI18+1)))*IF('Set-up'!$E$9="Monthly",($AA18-($AI18*12))/12,$AM18/$AQ18)),($J18-$L18)/$AG18*$AA18)))</f>
        <v>8750</v>
      </c>
      <c r="T18" s="32">
        <f ca="1">IF($K18=0,0,IF(LEFT($AE18,1)="D",((($J18-$L18)*(1-((1-$AD18)^$AH18)))+(($J18-$L18)*(((1-$AD18)^$AH18)-((1-$AD18)^($AH18+1)))*IF('Set-up'!$E$9="Monthly",($Z18-($AH18*12))/12,$AL18/$AP18)))-(($J18-$L18)*(1-((1-$AD18)^$AI18)))-(($J18-$L18)*(((1-$AD18)^$AI18)-((1-$AD18)^($AI18+1)))*IF('Set-up'!$E$9="Monthly",($AA18-($AI18*12))/12,$AM18/$AQ18)),(($J18-$L18)/$AG18*$Z18)-(($J18-$L18)/$AG18*$AA18)))</f>
        <v>2500</v>
      </c>
      <c r="U18" s="32">
        <f ca="1">-IF(AND($M18&gt;=$H$2,$M18&lt;=$I$2),IF(LEFT($AE18,1)="D",(($J18-$L18)*(1-((1-$AD18)^$AK18)))+(($J18-$L18)*(((1-$AD18)^$AK18)-((1-$AD18)^($AK18+1)))*IF('Set-up'!$E$9="Monthly",($AC18-($AK18*12))/12,$AO18/$AS18)),IF($K18=0,0,($J18-$L18)/$AG18*$AC18)),0)</f>
        <v>0</v>
      </c>
      <c r="V18" s="32">
        <f t="shared" ca="1" si="8"/>
        <v>11250</v>
      </c>
      <c r="W18" s="32">
        <f t="shared" ca="1" si="9"/>
        <v>1250</v>
      </c>
      <c r="X18" s="32">
        <f t="shared" ca="1" si="10"/>
        <v>0</v>
      </c>
      <c r="Y18" s="32">
        <f ca="1">IF($K18=0,0,IF(LEFT($AE18,1)="D",((($J18-$L18)*(1-((1-$AD18)^$AH18)))+(($J18-$L18)*(((1-$AD18)^$AH18)-((1-$AD18)^($AH18+1)))*IF('Set-up'!$E$9="Monthly",($Z18-($AH18*12))/12,$AL18/$AP18)))-(($J18-$L18)*(1-((1-$AD18)^$AJ18)))-(($J18-$L18)*(((1-$AD18)^$AJ18)-((1-$AD18)^($AJ18+1)))*IF('Set-up'!$E$9="Monthly",($AB18-($AJ18*12))/12,$AN18/$AR18)),(($J18-$L18)/$AG18*$Z18)-(($J18-$L18)/$AG18*$AB18)))</f>
        <v>208.33333333333212</v>
      </c>
      <c r="Z18" s="5">
        <f ca="1">IF('Set-up'!$E$9="Daily",MIN(MAX(((IF($M18="-",$I$2,MIN($I$2,$M18-'Set-up'!$E$13))-(($I18+'Set-up'!$E$11)))+1),0),IF(LEFT($AE18,1)="D",MaxPeriod,$AG18)),MIN(MAX(((IF($M18="-",((YEAR($I$2)*12)+MONTH($I$2)),MIN(((YEAR($I$2)*12)+MONTH($I$2)),((YEAR($M18)*12)+MONTH($M18)-'Set-up'!$E$13)))-(((YEAR($I18)*12)+MONTH($I18)+'Set-up'!$E$11)))+1),0),IF(LEFT($AE18,1)="D",MaxPeriod,$AG18)))</f>
        <v>54</v>
      </c>
      <c r="AA18" s="5">
        <f ca="1">IF('Set-up'!$E$9="Daily",MIN(MAX(((IF($M18="-",$H$2-1,MIN($H$2-1,$M18-'Set-up'!$E$13))-($I18+'Set-up'!$E$11))+1),0),IF(LEFT($AE18,1)="D",MaxPeriod,$AG18)),MIN(MAX(((IF($M18="-",((YEAR($H$2)*12)+MONTH($H$2)-1),MIN(((YEAR($H$2)*12)+MONTH($H$2)-1),((YEAR($M18)*12)+MONTH($M18)-'Set-up'!$E$13)))-(((YEAR($I18)*12)+MONTH($I18)+'Set-up'!$E$11)))+1),0),IF(LEFT($AE18,1)="D",MaxPeriod,$AG18)))</f>
        <v>42</v>
      </c>
      <c r="AB18" s="5">
        <f ca="1">IF('Set-up'!$E$9="Daily",MIN(MAX(((IF($M18="-",$J$2-1,MIN($J$2-1,$M18-'Set-up'!$E$13))-($I18+'Set-up'!$E$11))+1),0),IF(LEFT($AE18,1)="D",MaxPeriod,$AG18)),MIN(MAX(((IF($M18="-",((YEAR($J$2)*12)+MONTH($J$2)-1),MIN(((YEAR($J$2)*12)+MONTH($J$2)-1),((YEAR($M18)*12)+MONTH($M18)-'Set-up'!$E$13)))-(((YEAR($I18)*12)+MONTH($I18)+'Set-up'!$E$11)))+1),0),IF(LEFT($AE18,1)="D",MaxPeriod,$AG18)))</f>
        <v>53</v>
      </c>
      <c r="AC18" s="5">
        <f ca="1">IF('Set-up'!$E$9="Daily",MIN(MAX(((IF($M18="-",0,$M18-'Set-up'!$E$13)-($I18+'Set-up'!$E$11))+1),0),IF(LEFT($AE18,1)="D",MaxPeriod,$AG18)),MIN(MAX(((IF($M18="-",0,((YEAR($M18)*12)+MONTH($M18)-'Set-up'!$E$13))-(((YEAR($I18)*12)+MONTH($I18)+'Set-up'!$E$11)))+1),0),IF(LEFT($AE18,1)="D",MaxPeriod,$AG18)))</f>
        <v>0</v>
      </c>
      <c r="AD18" s="33">
        <f t="shared" ca="1" si="6"/>
        <v>0</v>
      </c>
      <c r="AE18" s="34" t="str">
        <f t="shared" ca="1" si="11"/>
        <v>SL</v>
      </c>
      <c r="AF18" s="34">
        <f t="shared" ca="1" si="12"/>
        <v>1</v>
      </c>
      <c r="AG18" s="5">
        <f ca="1">IF('Set-up'!$E$9="Daily",(DATE(YEAR($I18)+$K18+(1-$AF18),MONTH($I18),DAY($I18))+'Set-up'!$E$11)-($I18+'Set-up'!$E$11),$K18*12)</f>
        <v>60</v>
      </c>
      <c r="AH18" s="5">
        <f ca="1">ROUNDDOWN(MIN(MAX(((IF($M18="-",((YEAR($I$2)*12)+MONTH($I$2)),MIN(((YEAR($I$2)*12)+MONTH($I$2)),((YEAR($M18)*12)+MONTH($M18)-'Set-up'!$E$13)))-(((YEAR($I18)*12)+MONTH($I18)+'Set-up'!$E$11)))),0),IF(LEFT($AE18,1)="D",MaxPeriod,$AG18))/12,0)</f>
        <v>4</v>
      </c>
      <c r="AI18" s="5">
        <f ca="1">ROUNDDOWN(MIN(MAX(((IF($M18="-",((YEAR($H$2)*12)+MONTH($H$2)-1),MIN(((YEAR($H$2)*12)+MONTH($H$2)-1),((YEAR($M18)*12)+MONTH($M18)-'Set-up'!$E$13)))-(((YEAR($I18)*12)+MONTH($I18)+'Set-up'!$E$11)))),0),IF(LEFT($AE18,1)="D",MaxPeriod,$AG18))/12,0)</f>
        <v>3</v>
      </c>
      <c r="AJ18" s="5">
        <f ca="1">ROUNDDOWN(MIN(MAX(((IF($M18="-",((YEAR($J$2)*12)+MONTH($J$2)-1),MIN(((YEAR($J$2)*12)+MONTH($J$2)-1),((YEAR($M18)*12)+MONTH($M18)-'Set-up'!$E$13)))-(((YEAR($I18)*12)+MONTH($I18)+'Set-up'!$E$11)))),0),IF(LEFT($AE18,1)="D",MaxPeriod,$AG18))/12,0)</f>
        <v>4</v>
      </c>
      <c r="AK18" s="5">
        <f ca="1">ROUNDDOWN(MIN(MAX(((IF($M18="-",0,((YEAR($M18)*12)+MONTH($M18)-'Set-up'!$E$13))-(((YEAR($I18)*12)+MONTH($I18)+'Set-up'!$E$11)))),0),IF(LEFT($AE18,1)="D",MaxPeriod,$AG18))/12,0)</f>
        <v>0</v>
      </c>
      <c r="AL18" s="5">
        <f>IF('Set-up'!$E$9="Daily",MIN(MAX(((IF($M18="-",$I$2,MIN($I$2,$M18-'Set-up'!$E$13))-((DATE(YEAR($I18)+$AH18,MONTH($I18),DAY($I18))+'Set-up'!$E$11)))+1),0),IF(LEFT($AE18,1)="D",MaxPeriod,$AG18)),0)</f>
        <v>0</v>
      </c>
      <c r="AM18" s="5">
        <f>IF('Set-up'!$E$9="Daily",MIN(MAX(((IF($M18="-",$H$2-1,MIN($H$2-1,$M18-'Set-up'!$E$13))-(DATE(YEAR($I18)+$AI18,MONTH($I18),DAY($I18))+'Set-up'!$E$11))+1),0),IF(LEFT($AE18,1)="D",MaxPeriod,$AG18)),0)</f>
        <v>0</v>
      </c>
      <c r="AN18" s="5">
        <f>IF('Set-up'!$E$9="Daily",MIN(MAX(((IF($M18="-",$J$2-1,MIN($J$2-1,$M18-'Set-up'!$E$13))-(DATE(YEAR($I18)+$AJ18,MONTH($I18),DAY($I18))+'Set-up'!$E$11))+1),0),IF(LEFT($AE18,1)="D",MaxPeriod,$AG18)),0)</f>
        <v>0</v>
      </c>
      <c r="AO18" s="5">
        <f>IF('Set-up'!$E$9="Daily",MIN(MAX(((IF($M18="-",0,$M18-'Set-up'!$E$13)-(DATE(YEAR($I18)+$AK18,MONTH($I18),DAY($I18))+'Set-up'!$E$11))+1),0),IF(LEFT($AE18,1)="D",MaxPeriod,$AG18)),0)</f>
        <v>0</v>
      </c>
      <c r="AP18" s="5">
        <f>IF('Set-up'!$E$9="Daily",DATE(YEAR($I18)+$AH18+1,MONTH($I18),DAY($I18))-DATE(YEAR($I18)+$AH18,MONTH($I18),DAY($I18)),0)</f>
        <v>0</v>
      </c>
      <c r="AQ18" s="5">
        <f>IF('Set-up'!$E$9="Daily",DATE(YEAR($I18)+$AI18+1,MONTH($I18),DAY($I18))-DATE(YEAR($I18)+$AI18,MONTH($I18),DAY($I18)),0)</f>
        <v>0</v>
      </c>
      <c r="AR18" s="5">
        <f>IF('Set-up'!$E$9="Daily",DATE(YEAR($I18)+$AJ18+1,MONTH($I18),DAY($I18))-DATE(YEAR($I18)+$AJ18,MONTH($I18),DAY($I18)),0)</f>
        <v>0</v>
      </c>
      <c r="AS18" s="5">
        <f>IF('Set-up'!$E$9="Daily",DATE(YEAR($I18)+$AK18+1,MONTH($I18),DAY($I18))-DATE(YEAR($I18)+$AK18,MONTH($I18),DAY($I18)),0)</f>
        <v>0</v>
      </c>
    </row>
    <row r="19" spans="1:45" ht="16" customHeight="1" x14ac:dyDescent="0.25">
      <c r="A19" s="9" t="s">
        <v>228</v>
      </c>
      <c r="B19" s="9">
        <v>98290098</v>
      </c>
      <c r="C19" s="9" t="s">
        <v>26</v>
      </c>
      <c r="D19" s="5" t="s">
        <v>90</v>
      </c>
      <c r="E19" s="5" t="s">
        <v>166</v>
      </c>
      <c r="F19" s="5" t="s">
        <v>340</v>
      </c>
      <c r="G19" s="5" t="str" cm="1">
        <f t="array" aca="1" ref="G19" ca="1">IF(COUNTIF(AssetCode,$A19)&gt;1,"E1",IF(ISNA(VLOOKUP($E19,CatAll,1,0))=TRUE,"E2",IF($I19="Add!","E10","-")))</f>
        <v>-</v>
      </c>
      <c r="H19" s="5" t="str">
        <f t="shared" ca="1" si="0"/>
        <v>PM</v>
      </c>
      <c r="I19" s="30" cm="1">
        <f t="array" aca="1" ref="I19" ca="1">IF(SUMIFS(TransIDDate,TransAsset,$A19,TransType,"ACQ")=0,"Add!",SUMIFS(TransIDDate,TransAsset,$A19,TransType,"ACQ"))</f>
        <v>42811</v>
      </c>
      <c r="J19" s="32">
        <f t="shared" ca="1" si="1"/>
        <v>70000</v>
      </c>
      <c r="K19" s="57">
        <f t="shared" ca="1" si="2"/>
        <v>5</v>
      </c>
      <c r="L19" s="32">
        <f t="shared" ca="1" si="3"/>
        <v>0</v>
      </c>
      <c r="M19" s="30" t="str" cm="1">
        <f t="array" ref="M19">IF(SUMIFS(TransIDDate,TransAsset,$A19,TransType,"DIS")=0,"-",IF(SUMIFS(TransIDDate,TransAsset,$A19,TransType,"DIS")&lt;=$I$2,SUMIFS(TransIDDate,TransAsset,$A19,TransType,"DIS"),"-"))</f>
        <v>-</v>
      </c>
      <c r="N19" s="31" cm="1">
        <f t="array" aca="1" ref="N19" ca="1">IF($M19&lt;=$I$2,SUMIFS(TransProceeds,TransAsset,$A19,TransType,"DIS"),0)</f>
        <v>0</v>
      </c>
      <c r="O19" s="32" cm="1">
        <f t="array" aca="1" ref="O19" ca="1">IF(AND($M19&lt;&gt;"-",$M19&lt;$H$2),0,SUMIFS(TransAmount,TransAsset,$A19,TransIDDate,"&lt;"&amp;$H$2,TransType,"ACQ"))</f>
        <v>70000</v>
      </c>
      <c r="P19" s="32">
        <f t="shared" ca="1" si="4"/>
        <v>0</v>
      </c>
      <c r="Q19" s="32">
        <f t="shared" ca="1" si="5"/>
        <v>0</v>
      </c>
      <c r="R19" s="32">
        <f t="shared" ca="1" si="7"/>
        <v>70000</v>
      </c>
      <c r="S19" s="32">
        <f ca="1">IF(AND($M19&lt;&gt;"-",$M19&lt;$H$2),0,IF($K19=0,0,IF(LEFT($AE19,1)="D",(($J19-$L19)*(1-((1-$AD19)^$AI19)))+(($J19-$L19)*(((1-$AD19)^$AI19)-((1-$AD19)^($AI19+1)))*IF('Set-up'!$E$9="Monthly",($AA19-($AI19*12))/12,$AM19/$AQ19)),($J19-$L19)/$AG19*$AA19)))</f>
        <v>42000</v>
      </c>
      <c r="T19" s="32">
        <f ca="1">IF($K19=0,0,IF(LEFT($AE19,1)="D",((($J19-$L19)*(1-((1-$AD19)^$AH19)))+(($J19-$L19)*(((1-$AD19)^$AH19)-((1-$AD19)^($AH19+1)))*IF('Set-up'!$E$9="Monthly",($Z19-($AH19*12))/12,$AL19/$AP19)))-(($J19-$L19)*(1-((1-$AD19)^$AI19)))-(($J19-$L19)*(((1-$AD19)^$AI19)-((1-$AD19)^($AI19+1)))*IF('Set-up'!$E$9="Monthly",($AA19-($AI19*12))/12,$AM19/$AQ19)),(($J19-$L19)/$AG19*$Z19)-(($J19-$L19)/$AG19*$AA19)))</f>
        <v>14000</v>
      </c>
      <c r="U19" s="32">
        <f ca="1">-IF(AND($M19&gt;=$H$2,$M19&lt;=$I$2),IF(LEFT($AE19,1)="D",(($J19-$L19)*(1-((1-$AD19)^$AK19)))+(($J19-$L19)*(((1-$AD19)^$AK19)-((1-$AD19)^($AK19+1)))*IF('Set-up'!$E$9="Monthly",($AC19-($AK19*12))/12,$AO19/$AS19)),IF($K19=0,0,($J19-$L19)/$AG19*$AC19)),0)</f>
        <v>0</v>
      </c>
      <c r="V19" s="32">
        <f t="shared" ca="1" si="8"/>
        <v>56000</v>
      </c>
      <c r="W19" s="32">
        <f t="shared" ca="1" si="9"/>
        <v>14000</v>
      </c>
      <c r="X19" s="32">
        <f t="shared" ca="1" si="10"/>
        <v>0</v>
      </c>
      <c r="Y19" s="32">
        <f ca="1">IF($K19=0,0,IF(LEFT($AE19,1)="D",((($J19-$L19)*(1-((1-$AD19)^$AH19)))+(($J19-$L19)*(((1-$AD19)^$AH19)-((1-$AD19)^($AH19+1)))*IF('Set-up'!$E$9="Monthly",($Z19-($AH19*12))/12,$AL19/$AP19)))-(($J19-$L19)*(1-((1-$AD19)^$AJ19)))-(($J19-$L19)*(((1-$AD19)^$AJ19)-((1-$AD19)^($AJ19+1)))*IF('Set-up'!$E$9="Monthly",($AB19-($AJ19*12))/12,$AN19/$AR19)),(($J19-$L19)/$AG19*$Z19)-(($J19-$L19)/$AG19*$AB19)))</f>
        <v>1166.6666666666642</v>
      </c>
      <c r="Z19" s="5">
        <f ca="1">IF('Set-up'!$E$9="Daily",MIN(MAX(((IF($M19="-",$I$2,MIN($I$2,$M19-'Set-up'!$E$13))-(($I19+'Set-up'!$E$11)))+1),0),IF(LEFT($AE19,1)="D",MaxPeriod,$AG19)),MIN(MAX(((IF($M19="-",((YEAR($I$2)*12)+MONTH($I$2)),MIN(((YEAR($I$2)*12)+MONTH($I$2)),((YEAR($M19)*12)+MONTH($M19)-'Set-up'!$E$13)))-(((YEAR($I19)*12)+MONTH($I19)+'Set-up'!$E$11)))+1),0),IF(LEFT($AE19,1)="D",MaxPeriod,$AG19)))</f>
        <v>48</v>
      </c>
      <c r="AA19" s="5">
        <f ca="1">IF('Set-up'!$E$9="Daily",MIN(MAX(((IF($M19="-",$H$2-1,MIN($H$2-1,$M19-'Set-up'!$E$13))-($I19+'Set-up'!$E$11))+1),0),IF(LEFT($AE19,1)="D",MaxPeriod,$AG19)),MIN(MAX(((IF($M19="-",((YEAR($H$2)*12)+MONTH($H$2)-1),MIN(((YEAR($H$2)*12)+MONTH($H$2)-1),((YEAR($M19)*12)+MONTH($M19)-'Set-up'!$E$13)))-(((YEAR($I19)*12)+MONTH($I19)+'Set-up'!$E$11)))+1),0),IF(LEFT($AE19,1)="D",MaxPeriod,$AG19)))</f>
        <v>36</v>
      </c>
      <c r="AB19" s="5">
        <f ca="1">IF('Set-up'!$E$9="Daily",MIN(MAX(((IF($M19="-",$J$2-1,MIN($J$2-1,$M19-'Set-up'!$E$13))-($I19+'Set-up'!$E$11))+1),0),IF(LEFT($AE19,1)="D",MaxPeriod,$AG19)),MIN(MAX(((IF($M19="-",((YEAR($J$2)*12)+MONTH($J$2)-1),MIN(((YEAR($J$2)*12)+MONTH($J$2)-1),((YEAR($M19)*12)+MONTH($M19)-'Set-up'!$E$13)))-(((YEAR($I19)*12)+MONTH($I19)+'Set-up'!$E$11)))+1),0),IF(LEFT($AE19,1)="D",MaxPeriod,$AG19)))</f>
        <v>47</v>
      </c>
      <c r="AC19" s="5">
        <f ca="1">IF('Set-up'!$E$9="Daily",MIN(MAX(((IF($M19="-",0,$M19-'Set-up'!$E$13)-($I19+'Set-up'!$E$11))+1),0),IF(LEFT($AE19,1)="D",MaxPeriod,$AG19)),MIN(MAX(((IF($M19="-",0,((YEAR($M19)*12)+MONTH($M19)-'Set-up'!$E$13))-(((YEAR($I19)*12)+MONTH($I19)+'Set-up'!$E$11)))+1),0),IF(LEFT($AE19,1)="D",MaxPeriod,$AG19)))</f>
        <v>0</v>
      </c>
      <c r="AD19" s="33">
        <f t="shared" ca="1" si="6"/>
        <v>0</v>
      </c>
      <c r="AE19" s="34" t="str">
        <f t="shared" ca="1" si="11"/>
        <v>SL</v>
      </c>
      <c r="AF19" s="34">
        <f t="shared" ca="1" si="12"/>
        <v>1</v>
      </c>
      <c r="AG19" s="5">
        <f ca="1">IF('Set-up'!$E$9="Daily",(DATE(YEAR($I19)+$K19+(1-$AF19),MONTH($I19),DAY($I19))+'Set-up'!$E$11)-($I19+'Set-up'!$E$11),$K19*12)</f>
        <v>60</v>
      </c>
      <c r="AH19" s="5">
        <f ca="1">ROUNDDOWN(MIN(MAX(((IF($M19="-",((YEAR($I$2)*12)+MONTH($I$2)),MIN(((YEAR($I$2)*12)+MONTH($I$2)),((YEAR($M19)*12)+MONTH($M19)-'Set-up'!$E$13)))-(((YEAR($I19)*12)+MONTH($I19)+'Set-up'!$E$11)))),0),IF(LEFT($AE19,1)="D",MaxPeriod,$AG19))/12,0)</f>
        <v>3</v>
      </c>
      <c r="AI19" s="5">
        <f ca="1">ROUNDDOWN(MIN(MAX(((IF($M19="-",((YEAR($H$2)*12)+MONTH($H$2)-1),MIN(((YEAR($H$2)*12)+MONTH($H$2)-1),((YEAR($M19)*12)+MONTH($M19)-'Set-up'!$E$13)))-(((YEAR($I19)*12)+MONTH($I19)+'Set-up'!$E$11)))),0),IF(LEFT($AE19,1)="D",MaxPeriod,$AG19))/12,0)</f>
        <v>2</v>
      </c>
      <c r="AJ19" s="5">
        <f ca="1">ROUNDDOWN(MIN(MAX(((IF($M19="-",((YEAR($J$2)*12)+MONTH($J$2)-1),MIN(((YEAR($J$2)*12)+MONTH($J$2)-1),((YEAR($M19)*12)+MONTH($M19)-'Set-up'!$E$13)))-(((YEAR($I19)*12)+MONTH($I19)+'Set-up'!$E$11)))),0),IF(LEFT($AE19,1)="D",MaxPeriod,$AG19))/12,0)</f>
        <v>3</v>
      </c>
      <c r="AK19" s="5">
        <f ca="1">ROUNDDOWN(MIN(MAX(((IF($M19="-",0,((YEAR($M19)*12)+MONTH($M19)-'Set-up'!$E$13))-(((YEAR($I19)*12)+MONTH($I19)+'Set-up'!$E$11)))),0),IF(LEFT($AE19,1)="D",MaxPeriod,$AG19))/12,0)</f>
        <v>0</v>
      </c>
      <c r="AL19" s="5">
        <f>IF('Set-up'!$E$9="Daily",MIN(MAX(((IF($M19="-",$I$2,MIN($I$2,$M19-'Set-up'!$E$13))-((DATE(YEAR($I19)+$AH19,MONTH($I19),DAY($I19))+'Set-up'!$E$11)))+1),0),IF(LEFT($AE19,1)="D",MaxPeriod,$AG19)),0)</f>
        <v>0</v>
      </c>
      <c r="AM19" s="5">
        <f>IF('Set-up'!$E$9="Daily",MIN(MAX(((IF($M19="-",$H$2-1,MIN($H$2-1,$M19-'Set-up'!$E$13))-(DATE(YEAR($I19)+$AI19,MONTH($I19),DAY($I19))+'Set-up'!$E$11))+1),0),IF(LEFT($AE19,1)="D",MaxPeriod,$AG19)),0)</f>
        <v>0</v>
      </c>
      <c r="AN19" s="5">
        <f>IF('Set-up'!$E$9="Daily",MIN(MAX(((IF($M19="-",$J$2-1,MIN($J$2-1,$M19-'Set-up'!$E$13))-(DATE(YEAR($I19)+$AJ19,MONTH($I19),DAY($I19))+'Set-up'!$E$11))+1),0),IF(LEFT($AE19,1)="D",MaxPeriod,$AG19)),0)</f>
        <v>0</v>
      </c>
      <c r="AO19" s="5">
        <f>IF('Set-up'!$E$9="Daily",MIN(MAX(((IF($M19="-",0,$M19-'Set-up'!$E$13)-(DATE(YEAR($I19)+$AK19,MONTH($I19),DAY($I19))+'Set-up'!$E$11))+1),0),IF(LEFT($AE19,1)="D",MaxPeriod,$AG19)),0)</f>
        <v>0</v>
      </c>
      <c r="AP19" s="5">
        <f>IF('Set-up'!$E$9="Daily",DATE(YEAR($I19)+$AH19+1,MONTH($I19),DAY($I19))-DATE(YEAR($I19)+$AH19,MONTH($I19),DAY($I19)),0)</f>
        <v>0</v>
      </c>
      <c r="AQ19" s="5">
        <f>IF('Set-up'!$E$9="Daily",DATE(YEAR($I19)+$AI19+1,MONTH($I19),DAY($I19))-DATE(YEAR($I19)+$AI19,MONTH($I19),DAY($I19)),0)</f>
        <v>0</v>
      </c>
      <c r="AR19" s="5">
        <f>IF('Set-up'!$E$9="Daily",DATE(YEAR($I19)+$AJ19+1,MONTH($I19),DAY($I19))-DATE(YEAR($I19)+$AJ19,MONTH($I19),DAY($I19)),0)</f>
        <v>0</v>
      </c>
      <c r="AS19" s="5">
        <f>IF('Set-up'!$E$9="Daily",DATE(YEAR($I19)+$AK19+1,MONTH($I19),DAY($I19))-DATE(YEAR($I19)+$AK19,MONTH($I19),DAY($I19)),0)</f>
        <v>0</v>
      </c>
    </row>
    <row r="20" spans="1:45" ht="16" customHeight="1" x14ac:dyDescent="0.25">
      <c r="A20" s="9" t="s">
        <v>229</v>
      </c>
      <c r="B20" s="9">
        <v>64267464</v>
      </c>
      <c r="C20" s="9" t="s">
        <v>238</v>
      </c>
      <c r="D20" s="5" t="s">
        <v>90</v>
      </c>
      <c r="E20" s="5" t="s">
        <v>166</v>
      </c>
      <c r="F20" s="5" t="s">
        <v>340</v>
      </c>
      <c r="G20" s="5" t="str" cm="1">
        <f t="array" aca="1" ref="G20" ca="1">IF(COUNTIF(AssetCode,$A20)&gt;1,"E1",IF(ISNA(VLOOKUP($E20,CatAll,1,0))=TRUE,"E2",IF($I20="Add!","E10","-")))</f>
        <v>-</v>
      </c>
      <c r="H20" s="5" t="str">
        <f t="shared" ca="1" si="0"/>
        <v>PM</v>
      </c>
      <c r="I20" s="30" cm="1">
        <f t="array" aca="1" ref="I20" ca="1">IF(SUMIFS(TransIDDate,TransAsset,$A20,TransType,"ACQ")=0,"Add!",SUMIFS(TransIDDate,TransAsset,$A20,TransType,"ACQ"))</f>
        <v>43263</v>
      </c>
      <c r="J20" s="32">
        <f t="shared" ca="1" si="1"/>
        <v>15000</v>
      </c>
      <c r="K20" s="57">
        <f t="shared" ca="1" si="2"/>
        <v>5</v>
      </c>
      <c r="L20" s="32">
        <f t="shared" ca="1" si="3"/>
        <v>0</v>
      </c>
      <c r="M20" s="30" t="str" cm="1">
        <f t="array" ref="M20">IF(SUMIFS(TransIDDate,TransAsset,$A20,TransType,"DIS")=0,"-",IF(SUMIFS(TransIDDate,TransAsset,$A20,TransType,"DIS")&lt;=$I$2,SUMIFS(TransIDDate,TransAsset,$A20,TransType,"DIS"),"-"))</f>
        <v>-</v>
      </c>
      <c r="N20" s="31" cm="1">
        <f t="array" aca="1" ref="N20" ca="1">IF($M20&lt;=$I$2,SUMIFS(TransProceeds,TransAsset,$A20,TransType,"DIS"),0)</f>
        <v>0</v>
      </c>
      <c r="O20" s="32" cm="1">
        <f t="array" aca="1" ref="O20" ca="1">IF(AND($M20&lt;&gt;"-",$M20&lt;$H$2),0,SUMIFS(TransAmount,TransAsset,$A20,TransIDDate,"&lt;"&amp;$H$2,TransType,"ACQ"))</f>
        <v>15000</v>
      </c>
      <c r="P20" s="32">
        <f t="shared" ca="1" si="4"/>
        <v>0</v>
      </c>
      <c r="Q20" s="32">
        <f t="shared" ca="1" si="5"/>
        <v>0</v>
      </c>
      <c r="R20" s="32">
        <f t="shared" ca="1" si="7"/>
        <v>15000</v>
      </c>
      <c r="S20" s="32">
        <f ca="1">IF(AND($M20&lt;&gt;"-",$M20&lt;$H$2),0,IF($K20=0,0,IF(LEFT($AE20,1)="D",(($J20-$L20)*(1-((1-$AD20)^$AI20)))+(($J20-$L20)*(((1-$AD20)^$AI20)-((1-$AD20)^($AI20+1)))*IF('Set-up'!$E$9="Monthly",($AA20-($AI20*12))/12,$AM20/$AQ20)),($J20-$L20)/$AG20*$AA20)))</f>
        <v>5250</v>
      </c>
      <c r="T20" s="32">
        <f ca="1">IF($K20=0,0,IF(LEFT($AE20,1)="D",((($J20-$L20)*(1-((1-$AD20)^$AH20)))+(($J20-$L20)*(((1-$AD20)^$AH20)-((1-$AD20)^($AH20+1)))*IF('Set-up'!$E$9="Monthly",($Z20-($AH20*12))/12,$AL20/$AP20)))-(($J20-$L20)*(1-((1-$AD20)^$AI20)))-(($J20-$L20)*(((1-$AD20)^$AI20)-((1-$AD20)^($AI20+1)))*IF('Set-up'!$E$9="Monthly",($AA20-($AI20*12))/12,$AM20/$AQ20)),(($J20-$L20)/$AG20*$Z20)-(($J20-$L20)/$AG20*$AA20)))</f>
        <v>3000</v>
      </c>
      <c r="U20" s="32">
        <f ca="1">-IF(AND($M20&gt;=$H$2,$M20&lt;=$I$2),IF(LEFT($AE20,1)="D",(($J20-$L20)*(1-((1-$AD20)^$AK20)))+(($J20-$L20)*(((1-$AD20)^$AK20)-((1-$AD20)^($AK20+1)))*IF('Set-up'!$E$9="Monthly",($AC20-($AK20*12))/12,$AO20/$AS20)),IF($K20=0,0,($J20-$L20)/$AG20*$AC20)),0)</f>
        <v>0</v>
      </c>
      <c r="V20" s="32">
        <f t="shared" ca="1" si="8"/>
        <v>8250</v>
      </c>
      <c r="W20" s="32">
        <f t="shared" ca="1" si="9"/>
        <v>6750</v>
      </c>
      <c r="X20" s="32">
        <f t="shared" ca="1" si="10"/>
        <v>0</v>
      </c>
      <c r="Y20" s="32">
        <f ca="1">IF($K20=0,0,IF(LEFT($AE20,1)="D",((($J20-$L20)*(1-((1-$AD20)^$AH20)))+(($J20-$L20)*(((1-$AD20)^$AH20)-((1-$AD20)^($AH20+1)))*IF('Set-up'!$E$9="Monthly",($Z20-($AH20*12))/12,$AL20/$AP20)))-(($J20-$L20)*(1-((1-$AD20)^$AJ20)))-(($J20-$L20)*(((1-$AD20)^$AJ20)-((1-$AD20)^($AJ20+1)))*IF('Set-up'!$E$9="Monthly",($AB20-($AJ20*12))/12,$AN20/$AR20)),(($J20-$L20)/$AG20*$Z20)-(($J20-$L20)/$AG20*$AB20)))</f>
        <v>250</v>
      </c>
      <c r="Z20" s="5">
        <f ca="1">IF('Set-up'!$E$9="Daily",MIN(MAX(((IF($M20="-",$I$2,MIN($I$2,$M20-'Set-up'!$E$13))-(($I20+'Set-up'!$E$11)))+1),0),IF(LEFT($AE20,1)="D",MaxPeriod,$AG20)),MIN(MAX(((IF($M20="-",((YEAR($I$2)*12)+MONTH($I$2)),MIN(((YEAR($I$2)*12)+MONTH($I$2)),((YEAR($M20)*12)+MONTH($M20)-'Set-up'!$E$13)))-(((YEAR($I20)*12)+MONTH($I20)+'Set-up'!$E$11)))+1),0),IF(LEFT($AE20,1)="D",MaxPeriod,$AG20)))</f>
        <v>33</v>
      </c>
      <c r="AA20" s="5">
        <f ca="1">IF('Set-up'!$E$9="Daily",MIN(MAX(((IF($M20="-",$H$2-1,MIN($H$2-1,$M20-'Set-up'!$E$13))-($I20+'Set-up'!$E$11))+1),0),IF(LEFT($AE20,1)="D",MaxPeriod,$AG20)),MIN(MAX(((IF($M20="-",((YEAR($H$2)*12)+MONTH($H$2)-1),MIN(((YEAR($H$2)*12)+MONTH($H$2)-1),((YEAR($M20)*12)+MONTH($M20)-'Set-up'!$E$13)))-(((YEAR($I20)*12)+MONTH($I20)+'Set-up'!$E$11)))+1),0),IF(LEFT($AE20,1)="D",MaxPeriod,$AG20)))</f>
        <v>21</v>
      </c>
      <c r="AB20" s="5">
        <f ca="1">IF('Set-up'!$E$9="Daily",MIN(MAX(((IF($M20="-",$J$2-1,MIN($J$2-1,$M20-'Set-up'!$E$13))-($I20+'Set-up'!$E$11))+1),0),IF(LEFT($AE20,1)="D",MaxPeriod,$AG20)),MIN(MAX(((IF($M20="-",((YEAR($J$2)*12)+MONTH($J$2)-1),MIN(((YEAR($J$2)*12)+MONTH($J$2)-1),((YEAR($M20)*12)+MONTH($M20)-'Set-up'!$E$13)))-(((YEAR($I20)*12)+MONTH($I20)+'Set-up'!$E$11)))+1),0),IF(LEFT($AE20,1)="D",MaxPeriod,$AG20)))</f>
        <v>32</v>
      </c>
      <c r="AC20" s="5">
        <f ca="1">IF('Set-up'!$E$9="Daily",MIN(MAX(((IF($M20="-",0,$M20-'Set-up'!$E$13)-($I20+'Set-up'!$E$11))+1),0),IF(LEFT($AE20,1)="D",MaxPeriod,$AG20)),MIN(MAX(((IF($M20="-",0,((YEAR($M20)*12)+MONTH($M20)-'Set-up'!$E$13))-(((YEAR($I20)*12)+MONTH($I20)+'Set-up'!$E$11)))+1),0),IF(LEFT($AE20,1)="D",MaxPeriod,$AG20)))</f>
        <v>0</v>
      </c>
      <c r="AD20" s="33">
        <f t="shared" ca="1" si="6"/>
        <v>0</v>
      </c>
      <c r="AE20" s="34" t="str">
        <f t="shared" ca="1" si="11"/>
        <v>SL</v>
      </c>
      <c r="AF20" s="34">
        <f t="shared" ca="1" si="12"/>
        <v>1</v>
      </c>
      <c r="AG20" s="5">
        <f ca="1">IF('Set-up'!$E$9="Daily",(DATE(YEAR($I20)+$K20+(1-$AF20),MONTH($I20),DAY($I20))+'Set-up'!$E$11)-($I20+'Set-up'!$E$11),$K20*12)</f>
        <v>60</v>
      </c>
      <c r="AH20" s="5">
        <f ca="1">ROUNDDOWN(MIN(MAX(((IF($M20="-",((YEAR($I$2)*12)+MONTH($I$2)),MIN(((YEAR($I$2)*12)+MONTH($I$2)),((YEAR($M20)*12)+MONTH($M20)-'Set-up'!$E$13)))-(((YEAR($I20)*12)+MONTH($I20)+'Set-up'!$E$11)))),0),IF(LEFT($AE20,1)="D",MaxPeriod,$AG20))/12,0)</f>
        <v>2</v>
      </c>
      <c r="AI20" s="5">
        <f ca="1">ROUNDDOWN(MIN(MAX(((IF($M20="-",((YEAR($H$2)*12)+MONTH($H$2)-1),MIN(((YEAR($H$2)*12)+MONTH($H$2)-1),((YEAR($M20)*12)+MONTH($M20)-'Set-up'!$E$13)))-(((YEAR($I20)*12)+MONTH($I20)+'Set-up'!$E$11)))),0),IF(LEFT($AE20,1)="D",MaxPeriod,$AG20))/12,0)</f>
        <v>1</v>
      </c>
      <c r="AJ20" s="5">
        <f ca="1">ROUNDDOWN(MIN(MAX(((IF($M20="-",((YEAR($J$2)*12)+MONTH($J$2)-1),MIN(((YEAR($J$2)*12)+MONTH($J$2)-1),((YEAR($M20)*12)+MONTH($M20)-'Set-up'!$E$13)))-(((YEAR($I20)*12)+MONTH($I20)+'Set-up'!$E$11)))),0),IF(LEFT($AE20,1)="D",MaxPeriod,$AG20))/12,0)</f>
        <v>2</v>
      </c>
      <c r="AK20" s="5">
        <f ca="1">ROUNDDOWN(MIN(MAX(((IF($M20="-",0,((YEAR($M20)*12)+MONTH($M20)-'Set-up'!$E$13))-(((YEAR($I20)*12)+MONTH($I20)+'Set-up'!$E$11)))),0),IF(LEFT($AE20,1)="D",MaxPeriod,$AG20))/12,0)</f>
        <v>0</v>
      </c>
      <c r="AL20" s="5">
        <f>IF('Set-up'!$E$9="Daily",MIN(MAX(((IF($M20="-",$I$2,MIN($I$2,$M20-'Set-up'!$E$13))-((DATE(YEAR($I20)+$AH20,MONTH($I20),DAY($I20))+'Set-up'!$E$11)))+1),0),IF(LEFT($AE20,1)="D",MaxPeriod,$AG20)),0)</f>
        <v>0</v>
      </c>
      <c r="AM20" s="5">
        <f>IF('Set-up'!$E$9="Daily",MIN(MAX(((IF($M20="-",$H$2-1,MIN($H$2-1,$M20-'Set-up'!$E$13))-(DATE(YEAR($I20)+$AI20,MONTH($I20),DAY($I20))+'Set-up'!$E$11))+1),0),IF(LEFT($AE20,1)="D",MaxPeriod,$AG20)),0)</f>
        <v>0</v>
      </c>
      <c r="AN20" s="5">
        <f>IF('Set-up'!$E$9="Daily",MIN(MAX(((IF($M20="-",$J$2-1,MIN($J$2-1,$M20-'Set-up'!$E$13))-(DATE(YEAR($I20)+$AJ20,MONTH($I20),DAY($I20))+'Set-up'!$E$11))+1),0),IF(LEFT($AE20,1)="D",MaxPeriod,$AG20)),0)</f>
        <v>0</v>
      </c>
      <c r="AO20" s="5">
        <f>IF('Set-up'!$E$9="Daily",MIN(MAX(((IF($M20="-",0,$M20-'Set-up'!$E$13)-(DATE(YEAR($I20)+$AK20,MONTH($I20),DAY($I20))+'Set-up'!$E$11))+1),0),IF(LEFT($AE20,1)="D",MaxPeriod,$AG20)),0)</f>
        <v>0</v>
      </c>
      <c r="AP20" s="5">
        <f>IF('Set-up'!$E$9="Daily",DATE(YEAR($I20)+$AH20+1,MONTH($I20),DAY($I20))-DATE(YEAR($I20)+$AH20,MONTH($I20),DAY($I20)),0)</f>
        <v>0</v>
      </c>
      <c r="AQ20" s="5">
        <f>IF('Set-up'!$E$9="Daily",DATE(YEAR($I20)+$AI20+1,MONTH($I20),DAY($I20))-DATE(YEAR($I20)+$AI20,MONTH($I20),DAY($I20)),0)</f>
        <v>0</v>
      </c>
      <c r="AR20" s="5">
        <f>IF('Set-up'!$E$9="Daily",DATE(YEAR($I20)+$AJ20+1,MONTH($I20),DAY($I20))-DATE(YEAR($I20)+$AJ20,MONTH($I20),DAY($I20)),0)</f>
        <v>0</v>
      </c>
      <c r="AS20" s="5">
        <f>IF('Set-up'!$E$9="Daily",DATE(YEAR($I20)+$AK20+1,MONTH($I20),DAY($I20))-DATE(YEAR($I20)+$AK20,MONTH($I20),DAY($I20)),0)</f>
        <v>0</v>
      </c>
    </row>
    <row r="21" spans="1:45" ht="16" customHeight="1" x14ac:dyDescent="0.25">
      <c r="A21" s="9" t="s">
        <v>230</v>
      </c>
      <c r="B21" s="9">
        <v>92849829</v>
      </c>
      <c r="C21" s="9" t="s">
        <v>29</v>
      </c>
      <c r="D21" s="5" t="s">
        <v>90</v>
      </c>
      <c r="E21" s="5" t="s">
        <v>166</v>
      </c>
      <c r="F21" s="5" t="s">
        <v>340</v>
      </c>
      <c r="G21" s="5" t="str" cm="1">
        <f t="array" aca="1" ref="G21" ca="1">IF(COUNTIF(AssetCode,$A21)&gt;1,"E1",IF(ISNA(VLOOKUP($E21,CatAll,1,0))=TRUE,"E2",IF($I21="Add!","E10","-")))</f>
        <v>-</v>
      </c>
      <c r="H21" s="5" t="str">
        <f t="shared" ca="1" si="0"/>
        <v>PM</v>
      </c>
      <c r="I21" s="30" cm="1">
        <f t="array" aca="1" ref="I21" ca="1">IF(SUMIFS(TransIDDate,TransAsset,$A21,TransType,"ACQ")=0,"Add!",SUMIFS(TransIDDate,TransAsset,$A21,TransType,"ACQ"))</f>
        <v>44058</v>
      </c>
      <c r="J21" s="32">
        <f t="shared" ca="1" si="1"/>
        <v>3420</v>
      </c>
      <c r="K21" s="57">
        <f t="shared" ca="1" si="2"/>
        <v>5</v>
      </c>
      <c r="L21" s="32">
        <f t="shared" ca="1" si="3"/>
        <v>0</v>
      </c>
      <c r="M21" s="30" t="str" cm="1">
        <f t="array" ref="M21">IF(SUMIFS(TransIDDate,TransAsset,$A21,TransType,"DIS")=0,"-",IF(SUMIFS(TransIDDate,TransAsset,$A21,TransType,"DIS")&lt;=$I$2,SUMIFS(TransIDDate,TransAsset,$A21,TransType,"DIS"),"-"))</f>
        <v>-</v>
      </c>
      <c r="N21" s="31" cm="1">
        <f t="array" aca="1" ref="N21" ca="1">IF($M21&lt;=$I$2,SUMIFS(TransProceeds,TransAsset,$A21,TransType,"DIS"),0)</f>
        <v>0</v>
      </c>
      <c r="O21" s="32" cm="1">
        <f t="array" aca="1" ref="O21" ca="1">IF(AND($M21&lt;&gt;"-",$M21&lt;$H$2),0,SUMIFS(TransAmount,TransAsset,$A21,TransIDDate,"&lt;"&amp;$H$2,TransType,"ACQ"))</f>
        <v>0</v>
      </c>
      <c r="P21" s="32">
        <f t="shared" ca="1" si="4"/>
        <v>3420</v>
      </c>
      <c r="Q21" s="32">
        <f t="shared" ca="1" si="5"/>
        <v>0</v>
      </c>
      <c r="R21" s="32">
        <f t="shared" ca="1" si="7"/>
        <v>3420</v>
      </c>
      <c r="S21" s="32">
        <f ca="1">IF(AND($M21&lt;&gt;"-",$M21&lt;$H$2),0,IF($K21=0,0,IF(LEFT($AE21,1)="D",(($J21-$L21)*(1-((1-$AD21)^$AI21)))+(($J21-$L21)*(((1-$AD21)^$AI21)-((1-$AD21)^($AI21+1)))*IF('Set-up'!$E$9="Monthly",($AA21-($AI21*12))/12,$AM21/$AQ21)),($J21-$L21)/$AG21*$AA21)))</f>
        <v>0</v>
      </c>
      <c r="T21" s="32">
        <f ca="1">IF($K21=0,0,IF(LEFT($AE21,1)="D",((($J21-$L21)*(1-((1-$AD21)^$AH21)))+(($J21-$L21)*(((1-$AD21)^$AH21)-((1-$AD21)^($AH21+1)))*IF('Set-up'!$E$9="Monthly",($Z21-($AH21*12))/12,$AL21/$AP21)))-(($J21-$L21)*(1-((1-$AD21)^$AI21)))-(($J21-$L21)*(((1-$AD21)^$AI21)-((1-$AD21)^($AI21+1)))*IF('Set-up'!$E$9="Monthly",($AA21-($AI21*12))/12,$AM21/$AQ21)),(($J21-$L21)/$AG21*$Z21)-(($J21-$L21)/$AG21*$AA21)))</f>
        <v>399</v>
      </c>
      <c r="U21" s="32">
        <f ca="1">-IF(AND($M21&gt;=$H$2,$M21&lt;=$I$2),IF(LEFT($AE21,1)="D",(($J21-$L21)*(1-((1-$AD21)^$AK21)))+(($J21-$L21)*(((1-$AD21)^$AK21)-((1-$AD21)^($AK21+1)))*IF('Set-up'!$E$9="Monthly",($AC21-($AK21*12))/12,$AO21/$AS21)),IF($K21=0,0,($J21-$L21)/$AG21*$AC21)),0)</f>
        <v>0</v>
      </c>
      <c r="V21" s="32">
        <f t="shared" ca="1" si="8"/>
        <v>399</v>
      </c>
      <c r="W21" s="32">
        <f t="shared" ca="1" si="9"/>
        <v>3021</v>
      </c>
      <c r="X21" s="32">
        <f t="shared" ca="1" si="10"/>
        <v>0</v>
      </c>
      <c r="Y21" s="32">
        <f ca="1">IF($K21=0,0,IF(LEFT($AE21,1)="D",((($J21-$L21)*(1-((1-$AD21)^$AH21)))+(($J21-$L21)*(((1-$AD21)^$AH21)-((1-$AD21)^($AH21+1)))*IF('Set-up'!$E$9="Monthly",($Z21-($AH21*12))/12,$AL21/$AP21)))-(($J21-$L21)*(1-((1-$AD21)^$AJ21)))-(($J21-$L21)*(((1-$AD21)^$AJ21)-((1-$AD21)^($AJ21+1)))*IF('Set-up'!$E$9="Monthly",($AB21-($AJ21*12))/12,$AN21/$AR21)),(($J21-$L21)/$AG21*$Z21)-(($J21-$L21)/$AG21*$AB21)))</f>
        <v>57</v>
      </c>
      <c r="Z21" s="5">
        <f ca="1">IF('Set-up'!$E$9="Daily",MIN(MAX(((IF($M21="-",$I$2,MIN($I$2,$M21-'Set-up'!$E$13))-(($I21+'Set-up'!$E$11)))+1),0),IF(LEFT($AE21,1)="D",MaxPeriod,$AG21)),MIN(MAX(((IF($M21="-",((YEAR($I$2)*12)+MONTH($I$2)),MIN(((YEAR($I$2)*12)+MONTH($I$2)),((YEAR($M21)*12)+MONTH($M21)-'Set-up'!$E$13)))-(((YEAR($I21)*12)+MONTH($I21)+'Set-up'!$E$11)))+1),0),IF(LEFT($AE21,1)="D",MaxPeriod,$AG21)))</f>
        <v>7</v>
      </c>
      <c r="AA21" s="5">
        <f ca="1">IF('Set-up'!$E$9="Daily",MIN(MAX(((IF($M21="-",$H$2-1,MIN($H$2-1,$M21-'Set-up'!$E$13))-($I21+'Set-up'!$E$11))+1),0),IF(LEFT($AE21,1)="D",MaxPeriod,$AG21)),MIN(MAX(((IF($M21="-",((YEAR($H$2)*12)+MONTH($H$2)-1),MIN(((YEAR($H$2)*12)+MONTH($H$2)-1),((YEAR($M21)*12)+MONTH($M21)-'Set-up'!$E$13)))-(((YEAR($I21)*12)+MONTH($I21)+'Set-up'!$E$11)))+1),0),IF(LEFT($AE21,1)="D",MaxPeriod,$AG21)))</f>
        <v>0</v>
      </c>
      <c r="AB21" s="5">
        <f ca="1">IF('Set-up'!$E$9="Daily",MIN(MAX(((IF($M21="-",$J$2-1,MIN($J$2-1,$M21-'Set-up'!$E$13))-($I21+'Set-up'!$E$11))+1),0),IF(LEFT($AE21,1)="D",MaxPeriod,$AG21)),MIN(MAX(((IF($M21="-",((YEAR($J$2)*12)+MONTH($J$2)-1),MIN(((YEAR($J$2)*12)+MONTH($J$2)-1),((YEAR($M21)*12)+MONTH($M21)-'Set-up'!$E$13)))-(((YEAR($I21)*12)+MONTH($I21)+'Set-up'!$E$11)))+1),0),IF(LEFT($AE21,1)="D",MaxPeriod,$AG21)))</f>
        <v>6</v>
      </c>
      <c r="AC21" s="5">
        <f ca="1">IF('Set-up'!$E$9="Daily",MIN(MAX(((IF($M21="-",0,$M21-'Set-up'!$E$13)-($I21+'Set-up'!$E$11))+1),0),IF(LEFT($AE21,1)="D",MaxPeriod,$AG21)),MIN(MAX(((IF($M21="-",0,((YEAR($M21)*12)+MONTH($M21)-'Set-up'!$E$13))-(((YEAR($I21)*12)+MONTH($I21)+'Set-up'!$E$11)))+1),0),IF(LEFT($AE21,1)="D",MaxPeriod,$AG21)))</f>
        <v>0</v>
      </c>
      <c r="AD21" s="33">
        <f t="shared" ca="1" si="6"/>
        <v>0</v>
      </c>
      <c r="AE21" s="34" t="str">
        <f t="shared" ca="1" si="11"/>
        <v>SL</v>
      </c>
      <c r="AF21" s="34">
        <f t="shared" ca="1" si="12"/>
        <v>1</v>
      </c>
      <c r="AG21" s="5">
        <f ca="1">IF('Set-up'!$E$9="Daily",(DATE(YEAR($I21)+$K21+(1-$AF21),MONTH($I21),DAY($I21))+'Set-up'!$E$11)-($I21+'Set-up'!$E$11),$K21*12)</f>
        <v>60</v>
      </c>
      <c r="AH21" s="5">
        <f ca="1">ROUNDDOWN(MIN(MAX(((IF($M21="-",((YEAR($I$2)*12)+MONTH($I$2)),MIN(((YEAR($I$2)*12)+MONTH($I$2)),((YEAR($M21)*12)+MONTH($M21)-'Set-up'!$E$13)))-(((YEAR($I21)*12)+MONTH($I21)+'Set-up'!$E$11)))),0),IF(LEFT($AE21,1)="D",MaxPeriod,$AG21))/12,0)</f>
        <v>0</v>
      </c>
      <c r="AI21" s="5">
        <f ca="1">ROUNDDOWN(MIN(MAX(((IF($M21="-",((YEAR($H$2)*12)+MONTH($H$2)-1),MIN(((YEAR($H$2)*12)+MONTH($H$2)-1),((YEAR($M21)*12)+MONTH($M21)-'Set-up'!$E$13)))-(((YEAR($I21)*12)+MONTH($I21)+'Set-up'!$E$11)))),0),IF(LEFT($AE21,1)="D",MaxPeriod,$AG21))/12,0)</f>
        <v>0</v>
      </c>
      <c r="AJ21" s="5">
        <f ca="1">ROUNDDOWN(MIN(MAX(((IF($M21="-",((YEAR($J$2)*12)+MONTH($J$2)-1),MIN(((YEAR($J$2)*12)+MONTH($J$2)-1),((YEAR($M21)*12)+MONTH($M21)-'Set-up'!$E$13)))-(((YEAR($I21)*12)+MONTH($I21)+'Set-up'!$E$11)))),0),IF(LEFT($AE21,1)="D",MaxPeriod,$AG21))/12,0)</f>
        <v>0</v>
      </c>
      <c r="AK21" s="5">
        <f ca="1">ROUNDDOWN(MIN(MAX(((IF($M21="-",0,((YEAR($M21)*12)+MONTH($M21)-'Set-up'!$E$13))-(((YEAR($I21)*12)+MONTH($I21)+'Set-up'!$E$11)))),0),IF(LEFT($AE21,1)="D",MaxPeriod,$AG21))/12,0)</f>
        <v>0</v>
      </c>
      <c r="AL21" s="5">
        <f>IF('Set-up'!$E$9="Daily",MIN(MAX(((IF($M21="-",$I$2,MIN($I$2,$M21-'Set-up'!$E$13))-((DATE(YEAR($I21)+$AH21,MONTH($I21),DAY($I21))+'Set-up'!$E$11)))+1),0),IF(LEFT($AE21,1)="D",MaxPeriod,$AG21)),0)</f>
        <v>0</v>
      </c>
      <c r="AM21" s="5">
        <f>IF('Set-up'!$E$9="Daily",MIN(MAX(((IF($M21="-",$H$2-1,MIN($H$2-1,$M21-'Set-up'!$E$13))-(DATE(YEAR($I21)+$AI21,MONTH($I21),DAY($I21))+'Set-up'!$E$11))+1),0),IF(LEFT($AE21,1)="D",MaxPeriod,$AG21)),0)</f>
        <v>0</v>
      </c>
      <c r="AN21" s="5">
        <f>IF('Set-up'!$E$9="Daily",MIN(MAX(((IF($M21="-",$J$2-1,MIN($J$2-1,$M21-'Set-up'!$E$13))-(DATE(YEAR($I21)+$AJ21,MONTH($I21),DAY($I21))+'Set-up'!$E$11))+1),0),IF(LEFT($AE21,1)="D",MaxPeriod,$AG21)),0)</f>
        <v>0</v>
      </c>
      <c r="AO21" s="5">
        <f>IF('Set-up'!$E$9="Daily",MIN(MAX(((IF($M21="-",0,$M21-'Set-up'!$E$13)-(DATE(YEAR($I21)+$AK21,MONTH($I21),DAY($I21))+'Set-up'!$E$11))+1),0),IF(LEFT($AE21,1)="D",MaxPeriod,$AG21)),0)</f>
        <v>0</v>
      </c>
      <c r="AP21" s="5">
        <f>IF('Set-up'!$E$9="Daily",DATE(YEAR($I21)+$AH21+1,MONTH($I21),DAY($I21))-DATE(YEAR($I21)+$AH21,MONTH($I21),DAY($I21)),0)</f>
        <v>0</v>
      </c>
      <c r="AQ21" s="5">
        <f>IF('Set-up'!$E$9="Daily",DATE(YEAR($I21)+$AI21+1,MONTH($I21),DAY($I21))-DATE(YEAR($I21)+$AI21,MONTH($I21),DAY($I21)),0)</f>
        <v>0</v>
      </c>
      <c r="AR21" s="5">
        <f>IF('Set-up'!$E$9="Daily",DATE(YEAR($I21)+$AJ21+1,MONTH($I21),DAY($I21))-DATE(YEAR($I21)+$AJ21,MONTH($I21),DAY($I21)),0)</f>
        <v>0</v>
      </c>
      <c r="AS21" s="5">
        <f>IF('Set-up'!$E$9="Daily",DATE(YEAR($I21)+$AK21+1,MONTH($I21),DAY($I21))-DATE(YEAR($I21)+$AK21,MONTH($I21),DAY($I21)),0)</f>
        <v>0</v>
      </c>
    </row>
    <row r="22" spans="1:45" ht="16" customHeight="1" x14ac:dyDescent="0.25">
      <c r="A22" s="9" t="s">
        <v>231</v>
      </c>
      <c r="B22" s="9">
        <v>902942</v>
      </c>
      <c r="C22" s="9" t="s">
        <v>33</v>
      </c>
      <c r="D22" s="5" t="s">
        <v>226</v>
      </c>
      <c r="E22" s="5" t="s">
        <v>166</v>
      </c>
      <c r="F22" s="5" t="s">
        <v>340</v>
      </c>
      <c r="G22" s="5" t="str" cm="1">
        <f t="array" aca="1" ref="G22" ca="1">IF(COUNTIF(AssetCode,$A22)&gt;1,"E1",IF(ISNA(VLOOKUP($E22,CatAll,1,0))=TRUE,"E2",IF($I22="Add!","E10","-")))</f>
        <v>-</v>
      </c>
      <c r="H22" s="5" t="str">
        <f t="shared" ca="1" si="0"/>
        <v>PM</v>
      </c>
      <c r="I22" s="30" cm="1">
        <f t="array" aca="1" ref="I22" ca="1">IF(SUMIFS(TransIDDate,TransAsset,$A22,TransType,"ACQ")=0,"Add!",SUMIFS(TransIDDate,TransAsset,$A22,TransType,"ACQ"))</f>
        <v>44216</v>
      </c>
      <c r="J22" s="32">
        <f t="shared" ca="1" si="1"/>
        <v>65000</v>
      </c>
      <c r="K22" s="57">
        <f t="shared" ca="1" si="2"/>
        <v>5</v>
      </c>
      <c r="L22" s="32">
        <f t="shared" ca="1" si="3"/>
        <v>5000</v>
      </c>
      <c r="M22" s="30" t="str" cm="1">
        <f t="array" ref="M22">IF(SUMIFS(TransIDDate,TransAsset,$A22,TransType,"DIS")=0,"-",IF(SUMIFS(TransIDDate,TransAsset,$A22,TransType,"DIS")&lt;=$I$2,SUMIFS(TransIDDate,TransAsset,$A22,TransType,"DIS"),"-"))</f>
        <v>-</v>
      </c>
      <c r="N22" s="31" cm="1">
        <f t="array" aca="1" ref="N22" ca="1">IF($M22&lt;=$I$2,SUMIFS(TransProceeds,TransAsset,$A22,TransType,"DIS"),0)</f>
        <v>0</v>
      </c>
      <c r="O22" s="32" cm="1">
        <f t="array" aca="1" ref="O22" ca="1">IF(AND($M22&lt;&gt;"-",$M22&lt;$H$2),0,SUMIFS(TransAmount,TransAsset,$A22,TransIDDate,"&lt;"&amp;$H$2,TransType,"ACQ"))</f>
        <v>0</v>
      </c>
      <c r="P22" s="32">
        <f t="shared" ca="1" si="4"/>
        <v>65000</v>
      </c>
      <c r="Q22" s="32">
        <f t="shared" ca="1" si="5"/>
        <v>0</v>
      </c>
      <c r="R22" s="32">
        <f t="shared" ca="1" si="7"/>
        <v>65000</v>
      </c>
      <c r="S22" s="32">
        <f ca="1">IF(AND($M22&lt;&gt;"-",$M22&lt;$H$2),0,IF($K22=0,0,IF(LEFT($AE22,1)="D",(($J22-$L22)*(1-((1-$AD22)^$AI22)))+(($J22-$L22)*(((1-$AD22)^$AI22)-((1-$AD22)^($AI22+1)))*IF('Set-up'!$E$9="Monthly",($AA22-($AI22*12))/12,$AM22/$AQ22)),($J22-$L22)/$AG22*$AA22)))</f>
        <v>0</v>
      </c>
      <c r="T22" s="32">
        <f ca="1">IF($K22=0,0,IF(LEFT($AE22,1)="D",((($J22-$L22)*(1-((1-$AD22)^$AH22)))+(($J22-$L22)*(((1-$AD22)^$AH22)-((1-$AD22)^($AH22+1)))*IF('Set-up'!$E$9="Monthly",($Z22-($AH22*12))/12,$AL22/$AP22)))-(($J22-$L22)*(1-((1-$AD22)^$AI22)))-(($J22-$L22)*(((1-$AD22)^$AI22)-((1-$AD22)^($AI22+1)))*IF('Set-up'!$E$9="Monthly",($AA22-($AI22*12))/12,$AM22/$AQ22)),(($J22-$L22)/$AG22*$Z22)-(($J22-$L22)/$AG22*$AA22)))</f>
        <v>2000</v>
      </c>
      <c r="U22" s="32">
        <f ca="1">-IF(AND($M22&gt;=$H$2,$M22&lt;=$I$2),IF(LEFT($AE22,1)="D",(($J22-$L22)*(1-((1-$AD22)^$AK22)))+(($J22-$L22)*(((1-$AD22)^$AK22)-((1-$AD22)^($AK22+1)))*IF('Set-up'!$E$9="Monthly",($AC22-($AK22*12))/12,$AO22/$AS22)),IF($K22=0,0,($J22-$L22)/$AG22*$AC22)),0)</f>
        <v>0</v>
      </c>
      <c r="V22" s="32">
        <f t="shared" ca="1" si="8"/>
        <v>2000</v>
      </c>
      <c r="W22" s="32">
        <f t="shared" ca="1" si="9"/>
        <v>63000</v>
      </c>
      <c r="X22" s="32">
        <f t="shared" ca="1" si="10"/>
        <v>0</v>
      </c>
      <c r="Y22" s="32">
        <f ca="1">IF($K22=0,0,IF(LEFT($AE22,1)="D",((($J22-$L22)*(1-((1-$AD22)^$AH22)))+(($J22-$L22)*(((1-$AD22)^$AH22)-((1-$AD22)^($AH22+1)))*IF('Set-up'!$E$9="Monthly",($Z22-($AH22*12))/12,$AL22/$AP22)))-(($J22-$L22)*(1-((1-$AD22)^$AJ22)))-(($J22-$L22)*(((1-$AD22)^$AJ22)-((1-$AD22)^($AJ22+1)))*IF('Set-up'!$E$9="Monthly",($AB22-($AJ22*12))/12,$AN22/$AR22)),(($J22-$L22)/$AG22*$Z22)-(($J22-$L22)/$AG22*$AB22)))</f>
        <v>1000</v>
      </c>
      <c r="Z22" s="5">
        <f ca="1">IF('Set-up'!$E$9="Daily",MIN(MAX(((IF($M22="-",$I$2,MIN($I$2,$M22-'Set-up'!$E$13))-(($I22+'Set-up'!$E$11)))+1),0),IF(LEFT($AE22,1)="D",MaxPeriod,$AG22)),MIN(MAX(((IF($M22="-",((YEAR($I$2)*12)+MONTH($I$2)),MIN(((YEAR($I$2)*12)+MONTH($I$2)),((YEAR($M22)*12)+MONTH($M22)-'Set-up'!$E$13)))-(((YEAR($I22)*12)+MONTH($I22)+'Set-up'!$E$11)))+1),0),IF(LEFT($AE22,1)="D",MaxPeriod,$AG22)))</f>
        <v>2</v>
      </c>
      <c r="AA22" s="5">
        <f ca="1">IF('Set-up'!$E$9="Daily",MIN(MAX(((IF($M22="-",$H$2-1,MIN($H$2-1,$M22-'Set-up'!$E$13))-($I22+'Set-up'!$E$11))+1),0),IF(LEFT($AE22,1)="D",MaxPeriod,$AG22)),MIN(MAX(((IF($M22="-",((YEAR($H$2)*12)+MONTH($H$2)-1),MIN(((YEAR($H$2)*12)+MONTH($H$2)-1),((YEAR($M22)*12)+MONTH($M22)-'Set-up'!$E$13)))-(((YEAR($I22)*12)+MONTH($I22)+'Set-up'!$E$11)))+1),0),IF(LEFT($AE22,1)="D",MaxPeriod,$AG22)))</f>
        <v>0</v>
      </c>
      <c r="AB22" s="5">
        <f ca="1">IF('Set-up'!$E$9="Daily",MIN(MAX(((IF($M22="-",$J$2-1,MIN($J$2-1,$M22-'Set-up'!$E$13))-($I22+'Set-up'!$E$11))+1),0),IF(LEFT($AE22,1)="D",MaxPeriod,$AG22)),MIN(MAX(((IF($M22="-",((YEAR($J$2)*12)+MONTH($J$2)-1),MIN(((YEAR($J$2)*12)+MONTH($J$2)-1),((YEAR($M22)*12)+MONTH($M22)-'Set-up'!$E$13)))-(((YEAR($I22)*12)+MONTH($I22)+'Set-up'!$E$11)))+1),0),IF(LEFT($AE22,1)="D",MaxPeriod,$AG22)))</f>
        <v>1</v>
      </c>
      <c r="AC22" s="5">
        <f ca="1">IF('Set-up'!$E$9="Daily",MIN(MAX(((IF($M22="-",0,$M22-'Set-up'!$E$13)-($I22+'Set-up'!$E$11))+1),0),IF(LEFT($AE22,1)="D",MaxPeriod,$AG22)),MIN(MAX(((IF($M22="-",0,((YEAR($M22)*12)+MONTH($M22)-'Set-up'!$E$13))-(((YEAR($I22)*12)+MONTH($I22)+'Set-up'!$E$11)))+1),0),IF(LEFT($AE22,1)="D",MaxPeriod,$AG22)))</f>
        <v>0</v>
      </c>
      <c r="AD22" s="33">
        <f t="shared" ca="1" si="6"/>
        <v>0</v>
      </c>
      <c r="AE22" s="34" t="str">
        <f t="shared" ca="1" si="11"/>
        <v>SL</v>
      </c>
      <c r="AF22" s="34">
        <f t="shared" ca="1" si="12"/>
        <v>1</v>
      </c>
      <c r="AG22" s="5">
        <f ca="1">IF('Set-up'!$E$9="Daily",(DATE(YEAR($I22)+$K22+(1-$AF22),MONTH($I22),DAY($I22))+'Set-up'!$E$11)-($I22+'Set-up'!$E$11),$K22*12)</f>
        <v>60</v>
      </c>
      <c r="AH22" s="5">
        <f ca="1">ROUNDDOWN(MIN(MAX(((IF($M22="-",((YEAR($I$2)*12)+MONTH($I$2)),MIN(((YEAR($I$2)*12)+MONTH($I$2)),((YEAR($M22)*12)+MONTH($M22)-'Set-up'!$E$13)))-(((YEAR($I22)*12)+MONTH($I22)+'Set-up'!$E$11)))),0),IF(LEFT($AE22,1)="D",MaxPeriod,$AG22))/12,0)</f>
        <v>0</v>
      </c>
      <c r="AI22" s="5">
        <f ca="1">ROUNDDOWN(MIN(MAX(((IF($M22="-",((YEAR($H$2)*12)+MONTH($H$2)-1),MIN(((YEAR($H$2)*12)+MONTH($H$2)-1),((YEAR($M22)*12)+MONTH($M22)-'Set-up'!$E$13)))-(((YEAR($I22)*12)+MONTH($I22)+'Set-up'!$E$11)))),0),IF(LEFT($AE22,1)="D",MaxPeriod,$AG22))/12,0)</f>
        <v>0</v>
      </c>
      <c r="AJ22" s="5">
        <f ca="1">ROUNDDOWN(MIN(MAX(((IF($M22="-",((YEAR($J$2)*12)+MONTH($J$2)-1),MIN(((YEAR($J$2)*12)+MONTH($J$2)-1),((YEAR($M22)*12)+MONTH($M22)-'Set-up'!$E$13)))-(((YEAR($I22)*12)+MONTH($I22)+'Set-up'!$E$11)))),0),IF(LEFT($AE22,1)="D",MaxPeriod,$AG22))/12,0)</f>
        <v>0</v>
      </c>
      <c r="AK22" s="5">
        <f ca="1">ROUNDDOWN(MIN(MAX(((IF($M22="-",0,((YEAR($M22)*12)+MONTH($M22)-'Set-up'!$E$13))-(((YEAR($I22)*12)+MONTH($I22)+'Set-up'!$E$11)))),0),IF(LEFT($AE22,1)="D",MaxPeriod,$AG22))/12,0)</f>
        <v>0</v>
      </c>
      <c r="AL22" s="5">
        <f>IF('Set-up'!$E$9="Daily",MIN(MAX(((IF($M22="-",$I$2,MIN($I$2,$M22-'Set-up'!$E$13))-((DATE(YEAR($I22)+$AH22,MONTH($I22),DAY($I22))+'Set-up'!$E$11)))+1),0),IF(LEFT($AE22,1)="D",MaxPeriod,$AG22)),0)</f>
        <v>0</v>
      </c>
      <c r="AM22" s="5">
        <f>IF('Set-up'!$E$9="Daily",MIN(MAX(((IF($M22="-",$H$2-1,MIN($H$2-1,$M22-'Set-up'!$E$13))-(DATE(YEAR($I22)+$AI22,MONTH($I22),DAY($I22))+'Set-up'!$E$11))+1),0),IF(LEFT($AE22,1)="D",MaxPeriod,$AG22)),0)</f>
        <v>0</v>
      </c>
      <c r="AN22" s="5">
        <f>IF('Set-up'!$E$9="Daily",MIN(MAX(((IF($M22="-",$J$2-1,MIN($J$2-1,$M22-'Set-up'!$E$13))-(DATE(YEAR($I22)+$AJ22,MONTH($I22),DAY($I22))+'Set-up'!$E$11))+1),0),IF(LEFT($AE22,1)="D",MaxPeriod,$AG22)),0)</f>
        <v>0</v>
      </c>
      <c r="AO22" s="5">
        <f>IF('Set-up'!$E$9="Daily",MIN(MAX(((IF($M22="-",0,$M22-'Set-up'!$E$13)-(DATE(YEAR($I22)+$AK22,MONTH($I22),DAY($I22))+'Set-up'!$E$11))+1),0),IF(LEFT($AE22,1)="D",MaxPeriod,$AG22)),0)</f>
        <v>0</v>
      </c>
      <c r="AP22" s="5">
        <f>IF('Set-up'!$E$9="Daily",DATE(YEAR($I22)+$AH22+1,MONTH($I22),DAY($I22))-DATE(YEAR($I22)+$AH22,MONTH($I22),DAY($I22)),0)</f>
        <v>0</v>
      </c>
      <c r="AQ22" s="5">
        <f>IF('Set-up'!$E$9="Daily",DATE(YEAR($I22)+$AI22+1,MONTH($I22),DAY($I22))-DATE(YEAR($I22)+$AI22,MONTH($I22),DAY($I22)),0)</f>
        <v>0</v>
      </c>
      <c r="AR22" s="5">
        <f>IF('Set-up'!$E$9="Daily",DATE(YEAR($I22)+$AJ22+1,MONTH($I22),DAY($I22))-DATE(YEAR($I22)+$AJ22,MONTH($I22),DAY($I22)),0)</f>
        <v>0</v>
      </c>
      <c r="AS22" s="5">
        <f>IF('Set-up'!$E$9="Daily",DATE(YEAR($I22)+$AK22+1,MONTH($I22),DAY($I22))-DATE(YEAR($I22)+$AK22,MONTH($I22),DAY($I22)),0)</f>
        <v>0</v>
      </c>
    </row>
    <row r="23" spans="1:45" ht="16" customHeight="1" x14ac:dyDescent="0.25">
      <c r="A23" s="9" t="s">
        <v>193</v>
      </c>
      <c r="B23" s="9">
        <v>783642</v>
      </c>
      <c r="C23" s="9" t="s">
        <v>24</v>
      </c>
      <c r="D23" s="5" t="s">
        <v>90</v>
      </c>
      <c r="E23" s="5" t="s">
        <v>168</v>
      </c>
      <c r="F23" s="5" t="s">
        <v>340</v>
      </c>
      <c r="G23" s="5" t="str" cm="1">
        <f t="array" aca="1" ref="G23" ca="1">IF(COUNTIF(AssetCode,$A23)&gt;1,"E1",IF(ISNA(VLOOKUP($E23,CatAll,1,0))=TRUE,"E2",IF($I23="Add!","E10","-")))</f>
        <v>-</v>
      </c>
      <c r="H23" s="5" t="str">
        <f t="shared" ca="1" si="0"/>
        <v>PM</v>
      </c>
      <c r="I23" s="30" cm="1">
        <f t="array" aca="1" ref="I23" ca="1">IF(SUMIFS(TransIDDate,TransAsset,$A23,TransType,"ACQ")=0,"Add!",SUMIFS(TransIDDate,TransAsset,$A23,TransType,"ACQ"))</f>
        <v>42205</v>
      </c>
      <c r="J23" s="32">
        <f t="shared" ca="1" si="1"/>
        <v>15000</v>
      </c>
      <c r="K23" s="57">
        <f t="shared" ca="1" si="2"/>
        <v>5</v>
      </c>
      <c r="L23" s="32">
        <f t="shared" ca="1" si="3"/>
        <v>0</v>
      </c>
      <c r="M23" s="30" t="str" cm="1">
        <f t="array" ref="M23">IF(SUMIFS(TransIDDate,TransAsset,$A23,TransType,"DIS")=0,"-",IF(SUMIFS(TransIDDate,TransAsset,$A23,TransType,"DIS")&lt;=$I$2,SUMIFS(TransIDDate,TransAsset,$A23,TransType,"DIS"),"-"))</f>
        <v>-</v>
      </c>
      <c r="N23" s="31" cm="1">
        <f t="array" aca="1" ref="N23" ca="1">IF($M23&lt;=$I$2,SUMIFS(TransProceeds,TransAsset,$A23,TransType,"DIS"),0)</f>
        <v>0</v>
      </c>
      <c r="O23" s="32" cm="1">
        <f t="array" aca="1" ref="O23" ca="1">IF(AND($M23&lt;&gt;"-",$M23&lt;$H$2),0,SUMIFS(TransAmount,TransAsset,$A23,TransIDDate,"&lt;"&amp;$H$2,TransType,"ACQ"))</f>
        <v>15000</v>
      </c>
      <c r="P23" s="32">
        <f t="shared" ca="1" si="4"/>
        <v>0</v>
      </c>
      <c r="Q23" s="32">
        <f t="shared" ca="1" si="5"/>
        <v>0</v>
      </c>
      <c r="R23" s="32">
        <f t="shared" ca="1" si="7"/>
        <v>15000</v>
      </c>
      <c r="S23" s="32">
        <f ca="1">IF(AND($M23&lt;&gt;"-",$M23&lt;$H$2),0,IF($K23=0,0,IF(LEFT($AE23,1)="D",(($J23-$L23)*(1-((1-$AD23)^$AI23)))+(($J23-$L23)*(((1-$AD23)^$AI23)-((1-$AD23)^($AI23+1)))*IF('Set-up'!$E$9="Monthly",($AA23-($AI23*12))/12,$AM23/$AQ23)),($J23-$L23)/$AG23*$AA23)))</f>
        <v>14000</v>
      </c>
      <c r="T23" s="32">
        <f ca="1">IF($K23=0,0,IF(LEFT($AE23,1)="D",((($J23-$L23)*(1-((1-$AD23)^$AH23)))+(($J23-$L23)*(((1-$AD23)^$AH23)-((1-$AD23)^($AH23+1)))*IF('Set-up'!$E$9="Monthly",($Z23-($AH23*12))/12,$AL23/$AP23)))-(($J23-$L23)*(1-((1-$AD23)^$AI23)))-(($J23-$L23)*(((1-$AD23)^$AI23)-((1-$AD23)^($AI23+1)))*IF('Set-up'!$E$9="Monthly",($AA23-($AI23*12))/12,$AM23/$AQ23)),(($J23-$L23)/$AG23*$Z23)-(($J23-$L23)/$AG23*$AA23)))</f>
        <v>1000</v>
      </c>
      <c r="U23" s="32">
        <f ca="1">-IF(AND($M23&gt;=$H$2,$M23&lt;=$I$2),IF(LEFT($AE23,1)="D",(($J23-$L23)*(1-((1-$AD23)^$AK23)))+(($J23-$L23)*(((1-$AD23)^$AK23)-((1-$AD23)^($AK23+1)))*IF('Set-up'!$E$9="Monthly",($AC23-($AK23*12))/12,$AO23/$AS23)),IF($K23=0,0,($J23-$L23)/$AG23*$AC23)),0)</f>
        <v>0</v>
      </c>
      <c r="V23" s="32">
        <f t="shared" ca="1" si="8"/>
        <v>15000</v>
      </c>
      <c r="W23" s="32">
        <f t="shared" ca="1" si="9"/>
        <v>0</v>
      </c>
      <c r="X23" s="32">
        <f t="shared" ca="1" si="10"/>
        <v>0</v>
      </c>
      <c r="Y23" s="32">
        <f ca="1">IF($K23=0,0,IF(LEFT($AE23,1)="D",((($J23-$L23)*(1-((1-$AD23)^$AH23)))+(($J23-$L23)*(((1-$AD23)^$AH23)-((1-$AD23)^($AH23+1)))*IF('Set-up'!$E$9="Monthly",($Z23-($AH23*12))/12,$AL23/$AP23)))-(($J23-$L23)*(1-((1-$AD23)^$AJ23)))-(($J23-$L23)*(((1-$AD23)^$AJ23)-((1-$AD23)^($AJ23+1)))*IF('Set-up'!$E$9="Monthly",($AB23-($AJ23*12))/12,$AN23/$AR23)),(($J23-$L23)/$AG23*$Z23)-(($J23-$L23)/$AG23*$AB23)))</f>
        <v>0</v>
      </c>
      <c r="Z23" s="5">
        <f ca="1">IF('Set-up'!$E$9="Daily",MIN(MAX(((IF($M23="-",$I$2,MIN($I$2,$M23-'Set-up'!$E$13))-(($I23+'Set-up'!$E$11)))+1),0),IF(LEFT($AE23,1)="D",MaxPeriod,$AG23)),MIN(MAX(((IF($M23="-",((YEAR($I$2)*12)+MONTH($I$2)),MIN(((YEAR($I$2)*12)+MONTH($I$2)),((YEAR($M23)*12)+MONTH($M23)-'Set-up'!$E$13)))-(((YEAR($I23)*12)+MONTH($I23)+'Set-up'!$E$11)))+1),0),IF(LEFT($AE23,1)="D",MaxPeriod,$AG23)))</f>
        <v>60</v>
      </c>
      <c r="AA23" s="5">
        <f ca="1">IF('Set-up'!$E$9="Daily",MIN(MAX(((IF($M23="-",$H$2-1,MIN($H$2-1,$M23-'Set-up'!$E$13))-($I23+'Set-up'!$E$11))+1),0),IF(LEFT($AE23,1)="D",MaxPeriod,$AG23)),MIN(MAX(((IF($M23="-",((YEAR($H$2)*12)+MONTH($H$2)-1),MIN(((YEAR($H$2)*12)+MONTH($H$2)-1),((YEAR($M23)*12)+MONTH($M23)-'Set-up'!$E$13)))-(((YEAR($I23)*12)+MONTH($I23)+'Set-up'!$E$11)))+1),0),IF(LEFT($AE23,1)="D",MaxPeriod,$AG23)))</f>
        <v>56</v>
      </c>
      <c r="AB23" s="5">
        <f ca="1">IF('Set-up'!$E$9="Daily",MIN(MAX(((IF($M23="-",$J$2-1,MIN($J$2-1,$M23-'Set-up'!$E$13))-($I23+'Set-up'!$E$11))+1),0),IF(LEFT($AE23,1)="D",MaxPeriod,$AG23)),MIN(MAX(((IF($M23="-",((YEAR($J$2)*12)+MONTH($J$2)-1),MIN(((YEAR($J$2)*12)+MONTH($J$2)-1),((YEAR($M23)*12)+MONTH($M23)-'Set-up'!$E$13)))-(((YEAR($I23)*12)+MONTH($I23)+'Set-up'!$E$11)))+1),0),IF(LEFT($AE23,1)="D",MaxPeriod,$AG23)))</f>
        <v>60</v>
      </c>
      <c r="AC23" s="5">
        <f ca="1">IF('Set-up'!$E$9="Daily",MIN(MAX(((IF($M23="-",0,$M23-'Set-up'!$E$13)-($I23+'Set-up'!$E$11))+1),0),IF(LEFT($AE23,1)="D",MaxPeriod,$AG23)),MIN(MAX(((IF($M23="-",0,((YEAR($M23)*12)+MONTH($M23)-'Set-up'!$E$13))-(((YEAR($I23)*12)+MONTH($I23)+'Set-up'!$E$11)))+1),0),IF(LEFT($AE23,1)="D",MaxPeriod,$AG23)))</f>
        <v>0</v>
      </c>
      <c r="AD23" s="33">
        <f t="shared" ca="1" si="6"/>
        <v>0</v>
      </c>
      <c r="AE23" s="34" t="str">
        <f t="shared" ca="1" si="11"/>
        <v>SL</v>
      </c>
      <c r="AF23" s="34">
        <f t="shared" ca="1" si="12"/>
        <v>1</v>
      </c>
      <c r="AG23" s="5">
        <f ca="1">IF('Set-up'!$E$9="Daily",(DATE(YEAR($I23)+$K23+(1-$AF23),MONTH($I23),DAY($I23))+'Set-up'!$E$11)-($I23+'Set-up'!$E$11),$K23*12)</f>
        <v>60</v>
      </c>
      <c r="AH23" s="5">
        <f ca="1">ROUNDDOWN(MIN(MAX(((IF($M23="-",((YEAR($I$2)*12)+MONTH($I$2)),MIN(((YEAR($I$2)*12)+MONTH($I$2)),((YEAR($M23)*12)+MONTH($M23)-'Set-up'!$E$13)))-(((YEAR($I23)*12)+MONTH($I23)+'Set-up'!$E$11)))),0),IF(LEFT($AE23,1)="D",MaxPeriod,$AG23))/12,0)</f>
        <v>5</v>
      </c>
      <c r="AI23" s="5">
        <f ca="1">ROUNDDOWN(MIN(MAX(((IF($M23="-",((YEAR($H$2)*12)+MONTH($H$2)-1),MIN(((YEAR($H$2)*12)+MONTH($H$2)-1),((YEAR($M23)*12)+MONTH($M23)-'Set-up'!$E$13)))-(((YEAR($I23)*12)+MONTH($I23)+'Set-up'!$E$11)))),0),IF(LEFT($AE23,1)="D",MaxPeriod,$AG23))/12,0)</f>
        <v>4</v>
      </c>
      <c r="AJ23" s="5">
        <f ca="1">ROUNDDOWN(MIN(MAX(((IF($M23="-",((YEAR($J$2)*12)+MONTH($J$2)-1),MIN(((YEAR($J$2)*12)+MONTH($J$2)-1),((YEAR($M23)*12)+MONTH($M23)-'Set-up'!$E$13)))-(((YEAR($I23)*12)+MONTH($I23)+'Set-up'!$E$11)))),0),IF(LEFT($AE23,1)="D",MaxPeriod,$AG23))/12,0)</f>
        <v>5</v>
      </c>
      <c r="AK23" s="5">
        <f ca="1">ROUNDDOWN(MIN(MAX(((IF($M23="-",0,((YEAR($M23)*12)+MONTH($M23)-'Set-up'!$E$13))-(((YEAR($I23)*12)+MONTH($I23)+'Set-up'!$E$11)))),0),IF(LEFT($AE23,1)="D",MaxPeriod,$AG23))/12,0)</f>
        <v>0</v>
      </c>
      <c r="AL23" s="5">
        <f>IF('Set-up'!$E$9="Daily",MIN(MAX(((IF($M23="-",$I$2,MIN($I$2,$M23-'Set-up'!$E$13))-((DATE(YEAR($I23)+$AH23,MONTH($I23),DAY($I23))+'Set-up'!$E$11)))+1),0),IF(LEFT($AE23,1)="D",MaxPeriod,$AG23)),0)</f>
        <v>0</v>
      </c>
      <c r="AM23" s="5">
        <f>IF('Set-up'!$E$9="Daily",MIN(MAX(((IF($M23="-",$H$2-1,MIN($H$2-1,$M23-'Set-up'!$E$13))-(DATE(YEAR($I23)+$AI23,MONTH($I23),DAY($I23))+'Set-up'!$E$11))+1),0),IF(LEFT($AE23,1)="D",MaxPeriod,$AG23)),0)</f>
        <v>0</v>
      </c>
      <c r="AN23" s="5">
        <f>IF('Set-up'!$E$9="Daily",MIN(MAX(((IF($M23="-",$J$2-1,MIN($J$2-1,$M23-'Set-up'!$E$13))-(DATE(YEAR($I23)+$AJ23,MONTH($I23),DAY($I23))+'Set-up'!$E$11))+1),0),IF(LEFT($AE23,1)="D",MaxPeriod,$AG23)),0)</f>
        <v>0</v>
      </c>
      <c r="AO23" s="5">
        <f>IF('Set-up'!$E$9="Daily",MIN(MAX(((IF($M23="-",0,$M23-'Set-up'!$E$13)-(DATE(YEAR($I23)+$AK23,MONTH($I23),DAY($I23))+'Set-up'!$E$11))+1),0),IF(LEFT($AE23,1)="D",MaxPeriod,$AG23)),0)</f>
        <v>0</v>
      </c>
      <c r="AP23" s="5">
        <f>IF('Set-up'!$E$9="Daily",DATE(YEAR($I23)+$AH23+1,MONTH($I23),DAY($I23))-DATE(YEAR($I23)+$AH23,MONTH($I23),DAY($I23)),0)</f>
        <v>0</v>
      </c>
      <c r="AQ23" s="5">
        <f>IF('Set-up'!$E$9="Daily",DATE(YEAR($I23)+$AI23+1,MONTH($I23),DAY($I23))-DATE(YEAR($I23)+$AI23,MONTH($I23),DAY($I23)),0)</f>
        <v>0</v>
      </c>
      <c r="AR23" s="5">
        <f>IF('Set-up'!$E$9="Daily",DATE(YEAR($I23)+$AJ23+1,MONTH($I23),DAY($I23))-DATE(YEAR($I23)+$AJ23,MONTH($I23),DAY($I23)),0)</f>
        <v>0</v>
      </c>
      <c r="AS23" s="5">
        <f>IF('Set-up'!$E$9="Daily",DATE(YEAR($I23)+$AK23+1,MONTH($I23),DAY($I23))-DATE(YEAR($I23)+$AK23,MONTH($I23),DAY($I23)),0)</f>
        <v>0</v>
      </c>
    </row>
    <row r="24" spans="1:45" ht="16" customHeight="1" x14ac:dyDescent="0.25">
      <c r="A24" s="9" t="s">
        <v>194</v>
      </c>
      <c r="B24" s="9">
        <v>998239</v>
      </c>
      <c r="C24" s="9" t="s">
        <v>25</v>
      </c>
      <c r="D24" s="5" t="s">
        <v>90</v>
      </c>
      <c r="E24" s="5" t="s">
        <v>168</v>
      </c>
      <c r="F24" s="5" t="s">
        <v>340</v>
      </c>
      <c r="G24" s="5" t="str" cm="1">
        <f t="array" aca="1" ref="G24" ca="1">IF(COUNTIF(AssetCode,$A24)&gt;1,"E1",IF(ISNA(VLOOKUP($E24,CatAll,1,0))=TRUE,"E2",IF($I24="Add!","E10","-")))</f>
        <v>-</v>
      </c>
      <c r="H24" s="5" t="str">
        <f t="shared" ca="1" si="0"/>
        <v>PM</v>
      </c>
      <c r="I24" s="30" cm="1">
        <f t="array" aca="1" ref="I24" ca="1">IF(SUMIFS(TransIDDate,TransAsset,$A24,TransType,"ACQ")=0,"Add!",SUMIFS(TransIDDate,TransAsset,$A24,TransType,"ACQ"))</f>
        <v>42205</v>
      </c>
      <c r="J24" s="32">
        <f t="shared" ca="1" si="1"/>
        <v>1500</v>
      </c>
      <c r="K24" s="57">
        <f t="shared" ca="1" si="2"/>
        <v>5</v>
      </c>
      <c r="L24" s="32">
        <f t="shared" ca="1" si="3"/>
        <v>0</v>
      </c>
      <c r="M24" s="30" t="str" cm="1">
        <f t="array" ref="M24">IF(SUMIFS(TransIDDate,TransAsset,$A24,TransType,"DIS")=0,"-",IF(SUMIFS(TransIDDate,TransAsset,$A24,TransType,"DIS")&lt;=$I$2,SUMIFS(TransIDDate,TransAsset,$A24,TransType,"DIS"),"-"))</f>
        <v>-</v>
      </c>
      <c r="N24" s="31" cm="1">
        <f t="array" aca="1" ref="N24" ca="1">IF($M24&lt;=$I$2,SUMIFS(TransProceeds,TransAsset,$A24,TransType,"DIS"),0)</f>
        <v>0</v>
      </c>
      <c r="O24" s="32" cm="1">
        <f t="array" aca="1" ref="O24" ca="1">IF(AND($M24&lt;&gt;"-",$M24&lt;$H$2),0,SUMIFS(TransAmount,TransAsset,$A24,TransIDDate,"&lt;"&amp;$H$2,TransType,"ACQ"))</f>
        <v>1500</v>
      </c>
      <c r="P24" s="32">
        <f t="shared" ca="1" si="4"/>
        <v>0</v>
      </c>
      <c r="Q24" s="32">
        <f t="shared" ca="1" si="5"/>
        <v>0</v>
      </c>
      <c r="R24" s="32">
        <f t="shared" ca="1" si="7"/>
        <v>1500</v>
      </c>
      <c r="S24" s="32">
        <f ca="1">IF(AND($M24&lt;&gt;"-",$M24&lt;$H$2),0,IF($K24=0,0,IF(LEFT($AE24,1)="D",(($J24-$L24)*(1-((1-$AD24)^$AI24)))+(($J24-$L24)*(((1-$AD24)^$AI24)-((1-$AD24)^($AI24+1)))*IF('Set-up'!$E$9="Monthly",($AA24-($AI24*12))/12,$AM24/$AQ24)),($J24-$L24)/$AG24*$AA24)))</f>
        <v>1400</v>
      </c>
      <c r="T24" s="32">
        <f ca="1">IF($K24=0,0,IF(LEFT($AE24,1)="D",((($J24-$L24)*(1-((1-$AD24)^$AH24)))+(($J24-$L24)*(((1-$AD24)^$AH24)-((1-$AD24)^($AH24+1)))*IF('Set-up'!$E$9="Monthly",($Z24-($AH24*12))/12,$AL24/$AP24)))-(($J24-$L24)*(1-((1-$AD24)^$AI24)))-(($J24-$L24)*(((1-$AD24)^$AI24)-((1-$AD24)^($AI24+1)))*IF('Set-up'!$E$9="Monthly",($AA24-($AI24*12))/12,$AM24/$AQ24)),(($J24-$L24)/$AG24*$Z24)-(($J24-$L24)/$AG24*$AA24)))</f>
        <v>100</v>
      </c>
      <c r="U24" s="32">
        <f ca="1">-IF(AND($M24&gt;=$H$2,$M24&lt;=$I$2),IF(LEFT($AE24,1)="D",(($J24-$L24)*(1-((1-$AD24)^$AK24)))+(($J24-$L24)*(((1-$AD24)^$AK24)-((1-$AD24)^($AK24+1)))*IF('Set-up'!$E$9="Monthly",($AC24-($AK24*12))/12,$AO24/$AS24)),IF($K24=0,0,($J24-$L24)/$AG24*$AC24)),0)</f>
        <v>0</v>
      </c>
      <c r="V24" s="32">
        <f t="shared" ca="1" si="8"/>
        <v>1500</v>
      </c>
      <c r="W24" s="32">
        <f t="shared" ca="1" si="9"/>
        <v>0</v>
      </c>
      <c r="X24" s="32">
        <f t="shared" ca="1" si="10"/>
        <v>0</v>
      </c>
      <c r="Y24" s="32">
        <f ca="1">IF($K24=0,0,IF(LEFT($AE24,1)="D",((($J24-$L24)*(1-((1-$AD24)^$AH24)))+(($J24-$L24)*(((1-$AD24)^$AH24)-((1-$AD24)^($AH24+1)))*IF('Set-up'!$E$9="Monthly",($Z24-($AH24*12))/12,$AL24/$AP24)))-(($J24-$L24)*(1-((1-$AD24)^$AJ24)))-(($J24-$L24)*(((1-$AD24)^$AJ24)-((1-$AD24)^($AJ24+1)))*IF('Set-up'!$E$9="Monthly",($AB24-($AJ24*12))/12,$AN24/$AR24)),(($J24-$L24)/$AG24*$Z24)-(($J24-$L24)/$AG24*$AB24)))</f>
        <v>0</v>
      </c>
      <c r="Z24" s="5">
        <f ca="1">IF('Set-up'!$E$9="Daily",MIN(MAX(((IF($M24="-",$I$2,MIN($I$2,$M24-'Set-up'!$E$13))-(($I24+'Set-up'!$E$11)))+1),0),IF(LEFT($AE24,1)="D",MaxPeriod,$AG24)),MIN(MAX(((IF($M24="-",((YEAR($I$2)*12)+MONTH($I$2)),MIN(((YEAR($I$2)*12)+MONTH($I$2)),((YEAR($M24)*12)+MONTH($M24)-'Set-up'!$E$13)))-(((YEAR($I24)*12)+MONTH($I24)+'Set-up'!$E$11)))+1),0),IF(LEFT($AE24,1)="D",MaxPeriod,$AG24)))</f>
        <v>60</v>
      </c>
      <c r="AA24" s="5">
        <f ca="1">IF('Set-up'!$E$9="Daily",MIN(MAX(((IF($M24="-",$H$2-1,MIN($H$2-1,$M24-'Set-up'!$E$13))-($I24+'Set-up'!$E$11))+1),0),IF(LEFT($AE24,1)="D",MaxPeriod,$AG24)),MIN(MAX(((IF($M24="-",((YEAR($H$2)*12)+MONTH($H$2)-1),MIN(((YEAR($H$2)*12)+MONTH($H$2)-1),((YEAR($M24)*12)+MONTH($M24)-'Set-up'!$E$13)))-(((YEAR($I24)*12)+MONTH($I24)+'Set-up'!$E$11)))+1),0),IF(LEFT($AE24,1)="D",MaxPeriod,$AG24)))</f>
        <v>56</v>
      </c>
      <c r="AB24" s="5">
        <f ca="1">IF('Set-up'!$E$9="Daily",MIN(MAX(((IF($M24="-",$J$2-1,MIN($J$2-1,$M24-'Set-up'!$E$13))-($I24+'Set-up'!$E$11))+1),0),IF(LEFT($AE24,1)="D",MaxPeriod,$AG24)),MIN(MAX(((IF($M24="-",((YEAR($J$2)*12)+MONTH($J$2)-1),MIN(((YEAR($J$2)*12)+MONTH($J$2)-1),((YEAR($M24)*12)+MONTH($M24)-'Set-up'!$E$13)))-(((YEAR($I24)*12)+MONTH($I24)+'Set-up'!$E$11)))+1),0),IF(LEFT($AE24,1)="D",MaxPeriod,$AG24)))</f>
        <v>60</v>
      </c>
      <c r="AC24" s="5">
        <f ca="1">IF('Set-up'!$E$9="Daily",MIN(MAX(((IF($M24="-",0,$M24-'Set-up'!$E$13)-($I24+'Set-up'!$E$11))+1),0),IF(LEFT($AE24,1)="D",MaxPeriod,$AG24)),MIN(MAX(((IF($M24="-",0,((YEAR($M24)*12)+MONTH($M24)-'Set-up'!$E$13))-(((YEAR($I24)*12)+MONTH($I24)+'Set-up'!$E$11)))+1),0),IF(LEFT($AE24,1)="D",MaxPeriod,$AG24)))</f>
        <v>0</v>
      </c>
      <c r="AD24" s="33">
        <f t="shared" ca="1" si="6"/>
        <v>0</v>
      </c>
      <c r="AE24" s="34" t="str">
        <f t="shared" ca="1" si="11"/>
        <v>SL</v>
      </c>
      <c r="AF24" s="34">
        <f t="shared" ca="1" si="12"/>
        <v>1</v>
      </c>
      <c r="AG24" s="5">
        <f ca="1">IF('Set-up'!$E$9="Daily",(DATE(YEAR($I24)+$K24+(1-$AF24),MONTH($I24),DAY($I24))+'Set-up'!$E$11)-($I24+'Set-up'!$E$11),$K24*12)</f>
        <v>60</v>
      </c>
      <c r="AH24" s="5">
        <f ca="1">ROUNDDOWN(MIN(MAX(((IF($M24="-",((YEAR($I$2)*12)+MONTH($I$2)),MIN(((YEAR($I$2)*12)+MONTH($I$2)),((YEAR($M24)*12)+MONTH($M24)-'Set-up'!$E$13)))-(((YEAR($I24)*12)+MONTH($I24)+'Set-up'!$E$11)))),0),IF(LEFT($AE24,1)="D",MaxPeriod,$AG24))/12,0)</f>
        <v>5</v>
      </c>
      <c r="AI24" s="5">
        <f ca="1">ROUNDDOWN(MIN(MAX(((IF($M24="-",((YEAR($H$2)*12)+MONTH($H$2)-1),MIN(((YEAR($H$2)*12)+MONTH($H$2)-1),((YEAR($M24)*12)+MONTH($M24)-'Set-up'!$E$13)))-(((YEAR($I24)*12)+MONTH($I24)+'Set-up'!$E$11)))),0),IF(LEFT($AE24,1)="D",MaxPeriod,$AG24))/12,0)</f>
        <v>4</v>
      </c>
      <c r="AJ24" s="5">
        <f ca="1">ROUNDDOWN(MIN(MAX(((IF($M24="-",((YEAR($J$2)*12)+MONTH($J$2)-1),MIN(((YEAR($J$2)*12)+MONTH($J$2)-1),((YEAR($M24)*12)+MONTH($M24)-'Set-up'!$E$13)))-(((YEAR($I24)*12)+MONTH($I24)+'Set-up'!$E$11)))),0),IF(LEFT($AE24,1)="D",MaxPeriod,$AG24))/12,0)</f>
        <v>5</v>
      </c>
      <c r="AK24" s="5">
        <f ca="1">ROUNDDOWN(MIN(MAX(((IF($M24="-",0,((YEAR($M24)*12)+MONTH($M24)-'Set-up'!$E$13))-(((YEAR($I24)*12)+MONTH($I24)+'Set-up'!$E$11)))),0),IF(LEFT($AE24,1)="D",MaxPeriod,$AG24))/12,0)</f>
        <v>0</v>
      </c>
      <c r="AL24" s="5">
        <f>IF('Set-up'!$E$9="Daily",MIN(MAX(((IF($M24="-",$I$2,MIN($I$2,$M24-'Set-up'!$E$13))-((DATE(YEAR($I24)+$AH24,MONTH($I24),DAY($I24))+'Set-up'!$E$11)))+1),0),IF(LEFT($AE24,1)="D",MaxPeriod,$AG24)),0)</f>
        <v>0</v>
      </c>
      <c r="AM24" s="5">
        <f>IF('Set-up'!$E$9="Daily",MIN(MAX(((IF($M24="-",$H$2-1,MIN($H$2-1,$M24-'Set-up'!$E$13))-(DATE(YEAR($I24)+$AI24,MONTH($I24),DAY($I24))+'Set-up'!$E$11))+1),0),IF(LEFT($AE24,1)="D",MaxPeriod,$AG24)),0)</f>
        <v>0</v>
      </c>
      <c r="AN24" s="5">
        <f>IF('Set-up'!$E$9="Daily",MIN(MAX(((IF($M24="-",$J$2-1,MIN($J$2-1,$M24-'Set-up'!$E$13))-(DATE(YEAR($I24)+$AJ24,MONTH($I24),DAY($I24))+'Set-up'!$E$11))+1),0),IF(LEFT($AE24,1)="D",MaxPeriod,$AG24)),0)</f>
        <v>0</v>
      </c>
      <c r="AO24" s="5">
        <f>IF('Set-up'!$E$9="Daily",MIN(MAX(((IF($M24="-",0,$M24-'Set-up'!$E$13)-(DATE(YEAR($I24)+$AK24,MONTH($I24),DAY($I24))+'Set-up'!$E$11))+1),0),IF(LEFT($AE24,1)="D",MaxPeriod,$AG24)),0)</f>
        <v>0</v>
      </c>
      <c r="AP24" s="5">
        <f>IF('Set-up'!$E$9="Daily",DATE(YEAR($I24)+$AH24+1,MONTH($I24),DAY($I24))-DATE(YEAR($I24)+$AH24,MONTH($I24),DAY($I24)),0)</f>
        <v>0</v>
      </c>
      <c r="AQ24" s="5">
        <f>IF('Set-up'!$E$9="Daily",DATE(YEAR($I24)+$AI24+1,MONTH($I24),DAY($I24))-DATE(YEAR($I24)+$AI24,MONTH($I24),DAY($I24)),0)</f>
        <v>0</v>
      </c>
      <c r="AR24" s="5">
        <f>IF('Set-up'!$E$9="Daily",DATE(YEAR($I24)+$AJ24+1,MONTH($I24),DAY($I24))-DATE(YEAR($I24)+$AJ24,MONTH($I24),DAY($I24)),0)</f>
        <v>0</v>
      </c>
      <c r="AS24" s="5">
        <f>IF('Set-up'!$E$9="Daily",DATE(YEAR($I24)+$AK24+1,MONTH($I24),DAY($I24))-DATE(YEAR($I24)+$AK24,MONTH($I24),DAY($I24)),0)</f>
        <v>0</v>
      </c>
    </row>
    <row r="25" spans="1:45" ht="16" customHeight="1" x14ac:dyDescent="0.25">
      <c r="A25" s="9" t="s">
        <v>195</v>
      </c>
      <c r="B25" s="9">
        <v>367627</v>
      </c>
      <c r="C25" s="9" t="s">
        <v>154</v>
      </c>
      <c r="D25" s="5" t="s">
        <v>90</v>
      </c>
      <c r="E25" s="5" t="s">
        <v>168</v>
      </c>
      <c r="F25" s="5" t="s">
        <v>340</v>
      </c>
      <c r="G25" s="5" t="str" cm="1">
        <f t="array" aca="1" ref="G25" ca="1">IF(COUNTIF(AssetCode,$A25)&gt;1,"E1",IF(ISNA(VLOOKUP($E25,CatAll,1,0))=TRUE,"E2",IF($I25="Add!","E10","-")))</f>
        <v>-</v>
      </c>
      <c r="H25" s="5" t="str">
        <f t="shared" ca="1" si="0"/>
        <v>PM</v>
      </c>
      <c r="I25" s="30" cm="1">
        <f t="array" aca="1" ref="I25" ca="1">IF(SUMIFS(TransIDDate,TransAsset,$A25,TransType,"ACQ")=0,"Add!",SUMIFS(TransIDDate,TransAsset,$A25,TransType,"ACQ"))</f>
        <v>42205</v>
      </c>
      <c r="J25" s="32">
        <f t="shared" ca="1" si="1"/>
        <v>42200</v>
      </c>
      <c r="K25" s="57">
        <f t="shared" ca="1" si="2"/>
        <v>5</v>
      </c>
      <c r="L25" s="32">
        <f t="shared" ca="1" si="3"/>
        <v>0</v>
      </c>
      <c r="M25" s="30" t="str" cm="1">
        <f t="array" ref="M25">IF(SUMIFS(TransIDDate,TransAsset,$A25,TransType,"DIS")=0,"-",IF(SUMIFS(TransIDDate,TransAsset,$A25,TransType,"DIS")&lt;=$I$2,SUMIFS(TransIDDate,TransAsset,$A25,TransType,"DIS"),"-"))</f>
        <v>-</v>
      </c>
      <c r="N25" s="31" cm="1">
        <f t="array" aca="1" ref="N25" ca="1">IF($M25&lt;=$I$2,SUMIFS(TransProceeds,TransAsset,$A25,TransType,"DIS"),0)</f>
        <v>0</v>
      </c>
      <c r="O25" s="32" cm="1">
        <f t="array" aca="1" ref="O25" ca="1">IF(AND($M25&lt;&gt;"-",$M25&lt;$H$2),0,SUMIFS(TransAmount,TransAsset,$A25,TransIDDate,"&lt;"&amp;$H$2,TransType,"ACQ"))</f>
        <v>42200</v>
      </c>
      <c r="P25" s="32">
        <f t="shared" ca="1" si="4"/>
        <v>0</v>
      </c>
      <c r="Q25" s="32">
        <f t="shared" ca="1" si="5"/>
        <v>0</v>
      </c>
      <c r="R25" s="32">
        <f t="shared" ca="1" si="7"/>
        <v>42200</v>
      </c>
      <c r="S25" s="32">
        <f ca="1">IF(AND($M25&lt;&gt;"-",$M25&lt;$H$2),0,IF($K25=0,0,IF(LEFT($AE25,1)="D",(($J25-$L25)*(1-((1-$AD25)^$AI25)))+(($J25-$L25)*(((1-$AD25)^$AI25)-((1-$AD25)^($AI25+1)))*IF('Set-up'!$E$9="Monthly",($AA25-($AI25*12))/12,$AM25/$AQ25)),($J25-$L25)/$AG25*$AA25)))</f>
        <v>39386.666666666672</v>
      </c>
      <c r="T25" s="32">
        <f ca="1">IF($K25=0,0,IF(LEFT($AE25,1)="D",((($J25-$L25)*(1-((1-$AD25)^$AH25)))+(($J25-$L25)*(((1-$AD25)^$AH25)-((1-$AD25)^($AH25+1)))*IF('Set-up'!$E$9="Monthly",($Z25-($AH25*12))/12,$AL25/$AP25)))-(($J25-$L25)*(1-((1-$AD25)^$AI25)))-(($J25-$L25)*(((1-$AD25)^$AI25)-((1-$AD25)^($AI25+1)))*IF('Set-up'!$E$9="Monthly",($AA25-($AI25*12))/12,$AM25/$AQ25)),(($J25-$L25)/$AG25*$Z25)-(($J25-$L25)/$AG25*$AA25)))</f>
        <v>2813.3333333333285</v>
      </c>
      <c r="U25" s="32">
        <f ca="1">-IF(AND($M25&gt;=$H$2,$M25&lt;=$I$2),IF(LEFT($AE25,1)="D",(($J25-$L25)*(1-((1-$AD25)^$AK25)))+(($J25-$L25)*(((1-$AD25)^$AK25)-((1-$AD25)^($AK25+1)))*IF('Set-up'!$E$9="Monthly",($AC25-($AK25*12))/12,$AO25/$AS25)),IF($K25=0,0,($J25-$L25)/$AG25*$AC25)),0)</f>
        <v>0</v>
      </c>
      <c r="V25" s="32">
        <f t="shared" ca="1" si="8"/>
        <v>42200</v>
      </c>
      <c r="W25" s="32">
        <f t="shared" ca="1" si="9"/>
        <v>0</v>
      </c>
      <c r="X25" s="32">
        <f t="shared" ca="1" si="10"/>
        <v>0</v>
      </c>
      <c r="Y25" s="32">
        <f ca="1">IF($K25=0,0,IF(LEFT($AE25,1)="D",((($J25-$L25)*(1-((1-$AD25)^$AH25)))+(($J25-$L25)*(((1-$AD25)^$AH25)-((1-$AD25)^($AH25+1)))*IF('Set-up'!$E$9="Monthly",($Z25-($AH25*12))/12,$AL25/$AP25)))-(($J25-$L25)*(1-((1-$AD25)^$AJ25)))-(($J25-$L25)*(((1-$AD25)^$AJ25)-((1-$AD25)^($AJ25+1)))*IF('Set-up'!$E$9="Monthly",($AB25-($AJ25*12))/12,$AN25/$AR25)),(($J25-$L25)/$AG25*$Z25)-(($J25-$L25)/$AG25*$AB25)))</f>
        <v>0</v>
      </c>
      <c r="Z25" s="5">
        <f ca="1">IF('Set-up'!$E$9="Daily",MIN(MAX(((IF($M25="-",$I$2,MIN($I$2,$M25-'Set-up'!$E$13))-(($I25+'Set-up'!$E$11)))+1),0),IF(LEFT($AE25,1)="D",MaxPeriod,$AG25)),MIN(MAX(((IF($M25="-",((YEAR($I$2)*12)+MONTH($I$2)),MIN(((YEAR($I$2)*12)+MONTH($I$2)),((YEAR($M25)*12)+MONTH($M25)-'Set-up'!$E$13)))-(((YEAR($I25)*12)+MONTH($I25)+'Set-up'!$E$11)))+1),0),IF(LEFT($AE25,1)="D",MaxPeriod,$AG25)))</f>
        <v>60</v>
      </c>
      <c r="AA25" s="5">
        <f ca="1">IF('Set-up'!$E$9="Daily",MIN(MAX(((IF($M25="-",$H$2-1,MIN($H$2-1,$M25-'Set-up'!$E$13))-($I25+'Set-up'!$E$11))+1),0),IF(LEFT($AE25,1)="D",MaxPeriod,$AG25)),MIN(MAX(((IF($M25="-",((YEAR($H$2)*12)+MONTH($H$2)-1),MIN(((YEAR($H$2)*12)+MONTH($H$2)-1),((YEAR($M25)*12)+MONTH($M25)-'Set-up'!$E$13)))-(((YEAR($I25)*12)+MONTH($I25)+'Set-up'!$E$11)))+1),0),IF(LEFT($AE25,1)="D",MaxPeriod,$AG25)))</f>
        <v>56</v>
      </c>
      <c r="AB25" s="5">
        <f ca="1">IF('Set-up'!$E$9="Daily",MIN(MAX(((IF($M25="-",$J$2-1,MIN($J$2-1,$M25-'Set-up'!$E$13))-($I25+'Set-up'!$E$11))+1),0),IF(LEFT($AE25,1)="D",MaxPeriod,$AG25)),MIN(MAX(((IF($M25="-",((YEAR($J$2)*12)+MONTH($J$2)-1),MIN(((YEAR($J$2)*12)+MONTH($J$2)-1),((YEAR($M25)*12)+MONTH($M25)-'Set-up'!$E$13)))-(((YEAR($I25)*12)+MONTH($I25)+'Set-up'!$E$11)))+1),0),IF(LEFT($AE25,1)="D",MaxPeriod,$AG25)))</f>
        <v>60</v>
      </c>
      <c r="AC25" s="5">
        <f ca="1">IF('Set-up'!$E$9="Daily",MIN(MAX(((IF($M25="-",0,$M25-'Set-up'!$E$13)-($I25+'Set-up'!$E$11))+1),0),IF(LEFT($AE25,1)="D",MaxPeriod,$AG25)),MIN(MAX(((IF($M25="-",0,((YEAR($M25)*12)+MONTH($M25)-'Set-up'!$E$13))-(((YEAR($I25)*12)+MONTH($I25)+'Set-up'!$E$11)))+1),0),IF(LEFT($AE25,1)="D",MaxPeriod,$AG25)))</f>
        <v>0</v>
      </c>
      <c r="AD25" s="33">
        <f t="shared" ca="1" si="6"/>
        <v>0</v>
      </c>
      <c r="AE25" s="34" t="str">
        <f t="shared" ca="1" si="11"/>
        <v>SL</v>
      </c>
      <c r="AF25" s="34">
        <f t="shared" ca="1" si="12"/>
        <v>1</v>
      </c>
      <c r="AG25" s="5">
        <f ca="1">IF('Set-up'!$E$9="Daily",(DATE(YEAR($I25)+$K25+(1-$AF25),MONTH($I25),DAY($I25))+'Set-up'!$E$11)-($I25+'Set-up'!$E$11),$K25*12)</f>
        <v>60</v>
      </c>
      <c r="AH25" s="5">
        <f ca="1">ROUNDDOWN(MIN(MAX(((IF($M25="-",((YEAR($I$2)*12)+MONTH($I$2)),MIN(((YEAR($I$2)*12)+MONTH($I$2)),((YEAR($M25)*12)+MONTH($M25)-'Set-up'!$E$13)))-(((YEAR($I25)*12)+MONTH($I25)+'Set-up'!$E$11)))),0),IF(LEFT($AE25,1)="D",MaxPeriod,$AG25))/12,0)</f>
        <v>5</v>
      </c>
      <c r="AI25" s="5">
        <f ca="1">ROUNDDOWN(MIN(MAX(((IF($M25="-",((YEAR($H$2)*12)+MONTH($H$2)-1),MIN(((YEAR($H$2)*12)+MONTH($H$2)-1),((YEAR($M25)*12)+MONTH($M25)-'Set-up'!$E$13)))-(((YEAR($I25)*12)+MONTH($I25)+'Set-up'!$E$11)))),0),IF(LEFT($AE25,1)="D",MaxPeriod,$AG25))/12,0)</f>
        <v>4</v>
      </c>
      <c r="AJ25" s="5">
        <f ca="1">ROUNDDOWN(MIN(MAX(((IF($M25="-",((YEAR($J$2)*12)+MONTH($J$2)-1),MIN(((YEAR($J$2)*12)+MONTH($J$2)-1),((YEAR($M25)*12)+MONTH($M25)-'Set-up'!$E$13)))-(((YEAR($I25)*12)+MONTH($I25)+'Set-up'!$E$11)))),0),IF(LEFT($AE25,1)="D",MaxPeriod,$AG25))/12,0)</f>
        <v>5</v>
      </c>
      <c r="AK25" s="5">
        <f ca="1">ROUNDDOWN(MIN(MAX(((IF($M25="-",0,((YEAR($M25)*12)+MONTH($M25)-'Set-up'!$E$13))-(((YEAR($I25)*12)+MONTH($I25)+'Set-up'!$E$11)))),0),IF(LEFT($AE25,1)="D",MaxPeriod,$AG25))/12,0)</f>
        <v>0</v>
      </c>
      <c r="AL25" s="5">
        <f>IF('Set-up'!$E$9="Daily",MIN(MAX(((IF($M25="-",$I$2,MIN($I$2,$M25-'Set-up'!$E$13))-((DATE(YEAR($I25)+$AH25,MONTH($I25),DAY($I25))+'Set-up'!$E$11)))+1),0),IF(LEFT($AE25,1)="D",MaxPeriod,$AG25)),0)</f>
        <v>0</v>
      </c>
      <c r="AM25" s="5">
        <f>IF('Set-up'!$E$9="Daily",MIN(MAX(((IF($M25="-",$H$2-1,MIN($H$2-1,$M25-'Set-up'!$E$13))-(DATE(YEAR($I25)+$AI25,MONTH($I25),DAY($I25))+'Set-up'!$E$11))+1),0),IF(LEFT($AE25,1)="D",MaxPeriod,$AG25)),0)</f>
        <v>0</v>
      </c>
      <c r="AN25" s="5">
        <f>IF('Set-up'!$E$9="Daily",MIN(MAX(((IF($M25="-",$J$2-1,MIN($J$2-1,$M25-'Set-up'!$E$13))-(DATE(YEAR($I25)+$AJ25,MONTH($I25),DAY($I25))+'Set-up'!$E$11))+1),0),IF(LEFT($AE25,1)="D",MaxPeriod,$AG25)),0)</f>
        <v>0</v>
      </c>
      <c r="AO25" s="5">
        <f>IF('Set-up'!$E$9="Daily",MIN(MAX(((IF($M25="-",0,$M25-'Set-up'!$E$13)-(DATE(YEAR($I25)+$AK25,MONTH($I25),DAY($I25))+'Set-up'!$E$11))+1),0),IF(LEFT($AE25,1)="D",MaxPeriod,$AG25)),0)</f>
        <v>0</v>
      </c>
      <c r="AP25" s="5">
        <f>IF('Set-up'!$E$9="Daily",DATE(YEAR($I25)+$AH25+1,MONTH($I25),DAY($I25))-DATE(YEAR($I25)+$AH25,MONTH($I25),DAY($I25)),0)</f>
        <v>0</v>
      </c>
      <c r="AQ25" s="5">
        <f>IF('Set-up'!$E$9="Daily",DATE(YEAR($I25)+$AI25+1,MONTH($I25),DAY($I25))-DATE(YEAR($I25)+$AI25,MONTH($I25),DAY($I25)),0)</f>
        <v>0</v>
      </c>
      <c r="AR25" s="5">
        <f>IF('Set-up'!$E$9="Daily",DATE(YEAR($I25)+$AJ25+1,MONTH($I25),DAY($I25))-DATE(YEAR($I25)+$AJ25,MONTH($I25),DAY($I25)),0)</f>
        <v>0</v>
      </c>
      <c r="AS25" s="5">
        <f>IF('Set-up'!$E$9="Daily",DATE(YEAR($I25)+$AK25+1,MONTH($I25),DAY($I25))-DATE(YEAR($I25)+$AK25,MONTH($I25),DAY($I25)),0)</f>
        <v>0</v>
      </c>
    </row>
    <row r="26" spans="1:45" ht="16" customHeight="1" x14ac:dyDescent="0.25">
      <c r="A26" s="9" t="s">
        <v>196</v>
      </c>
      <c r="B26" s="9">
        <v>636489</v>
      </c>
      <c r="C26" s="9" t="s">
        <v>34</v>
      </c>
      <c r="D26" s="5" t="s">
        <v>90</v>
      </c>
      <c r="E26" s="5" t="s">
        <v>168</v>
      </c>
      <c r="F26" s="5" t="s">
        <v>340</v>
      </c>
      <c r="G26" s="5" t="str" cm="1">
        <f t="array" aca="1" ref="G26" ca="1">IF(COUNTIF(AssetCode,$A26)&gt;1,"E1",IF(ISNA(VLOOKUP($E26,CatAll,1,0))=TRUE,"E2",IF($I26="Add!","E10","-")))</f>
        <v>-</v>
      </c>
      <c r="H26" s="5" t="str">
        <f t="shared" ca="1" si="0"/>
        <v>PM</v>
      </c>
      <c r="I26" s="30" cm="1">
        <f t="array" aca="1" ref="I26" ca="1">IF(SUMIFS(TransIDDate,TransAsset,$A26,TransType,"ACQ")=0,"Add!",SUMIFS(TransIDDate,TransAsset,$A26,TransType,"ACQ"))</f>
        <v>42205</v>
      </c>
      <c r="J26" s="32">
        <f t="shared" ca="1" si="1"/>
        <v>36900</v>
      </c>
      <c r="K26" s="57">
        <f t="shared" ca="1" si="2"/>
        <v>5</v>
      </c>
      <c r="L26" s="32">
        <f t="shared" ca="1" si="3"/>
        <v>0</v>
      </c>
      <c r="M26" s="30" t="str" cm="1">
        <f t="array" ref="M26">IF(SUMIFS(TransIDDate,TransAsset,$A26,TransType,"DIS")=0,"-",IF(SUMIFS(TransIDDate,TransAsset,$A26,TransType,"DIS")&lt;=$I$2,SUMIFS(TransIDDate,TransAsset,$A26,TransType,"DIS"),"-"))</f>
        <v>-</v>
      </c>
      <c r="N26" s="31" cm="1">
        <f t="array" aca="1" ref="N26" ca="1">IF($M26&lt;=$I$2,SUMIFS(TransProceeds,TransAsset,$A26,TransType,"DIS"),0)</f>
        <v>0</v>
      </c>
      <c r="O26" s="32" cm="1">
        <f t="array" aca="1" ref="O26" ca="1">IF(AND($M26&lt;&gt;"-",$M26&lt;$H$2),0,SUMIFS(TransAmount,TransAsset,$A26,TransIDDate,"&lt;"&amp;$H$2,TransType,"ACQ"))</f>
        <v>36900</v>
      </c>
      <c r="P26" s="32">
        <f t="shared" ca="1" si="4"/>
        <v>0</v>
      </c>
      <c r="Q26" s="32">
        <f t="shared" ca="1" si="5"/>
        <v>0</v>
      </c>
      <c r="R26" s="32">
        <f t="shared" ca="1" si="7"/>
        <v>36900</v>
      </c>
      <c r="S26" s="32">
        <f ca="1">IF(AND($M26&lt;&gt;"-",$M26&lt;$H$2),0,IF($K26=0,0,IF(LEFT($AE26,1)="D",(($J26-$L26)*(1-((1-$AD26)^$AI26)))+(($J26-$L26)*(((1-$AD26)^$AI26)-((1-$AD26)^($AI26+1)))*IF('Set-up'!$E$9="Monthly",($AA26-($AI26*12))/12,$AM26/$AQ26)),($J26-$L26)/$AG26*$AA26)))</f>
        <v>34440</v>
      </c>
      <c r="T26" s="32">
        <f ca="1">IF($K26=0,0,IF(LEFT($AE26,1)="D",((($J26-$L26)*(1-((1-$AD26)^$AH26)))+(($J26-$L26)*(((1-$AD26)^$AH26)-((1-$AD26)^($AH26+1)))*IF('Set-up'!$E$9="Monthly",($Z26-($AH26*12))/12,$AL26/$AP26)))-(($J26-$L26)*(1-((1-$AD26)^$AI26)))-(($J26-$L26)*(((1-$AD26)^$AI26)-((1-$AD26)^($AI26+1)))*IF('Set-up'!$E$9="Monthly",($AA26-($AI26*12))/12,$AM26/$AQ26)),(($J26-$L26)/$AG26*$Z26)-(($J26-$L26)/$AG26*$AA26)))</f>
        <v>2460</v>
      </c>
      <c r="U26" s="32">
        <f ca="1">-IF(AND($M26&gt;=$H$2,$M26&lt;=$I$2),IF(LEFT($AE26,1)="D",(($J26-$L26)*(1-((1-$AD26)^$AK26)))+(($J26-$L26)*(((1-$AD26)^$AK26)-((1-$AD26)^($AK26+1)))*IF('Set-up'!$E$9="Monthly",($AC26-($AK26*12))/12,$AO26/$AS26)),IF($K26=0,0,($J26-$L26)/$AG26*$AC26)),0)</f>
        <v>0</v>
      </c>
      <c r="V26" s="32">
        <f t="shared" ca="1" si="8"/>
        <v>36900</v>
      </c>
      <c r="W26" s="32">
        <f t="shared" ca="1" si="9"/>
        <v>0</v>
      </c>
      <c r="X26" s="32">
        <f t="shared" ca="1" si="10"/>
        <v>0</v>
      </c>
      <c r="Y26" s="32">
        <f ca="1">IF($K26=0,0,IF(LEFT($AE26,1)="D",((($J26-$L26)*(1-((1-$AD26)^$AH26)))+(($J26-$L26)*(((1-$AD26)^$AH26)-((1-$AD26)^($AH26+1)))*IF('Set-up'!$E$9="Monthly",($Z26-($AH26*12))/12,$AL26/$AP26)))-(($J26-$L26)*(1-((1-$AD26)^$AJ26)))-(($J26-$L26)*(((1-$AD26)^$AJ26)-((1-$AD26)^($AJ26+1)))*IF('Set-up'!$E$9="Monthly",($AB26-($AJ26*12))/12,$AN26/$AR26)),(($J26-$L26)/$AG26*$Z26)-(($J26-$L26)/$AG26*$AB26)))</f>
        <v>0</v>
      </c>
      <c r="Z26" s="5">
        <f ca="1">IF('Set-up'!$E$9="Daily",MIN(MAX(((IF($M26="-",$I$2,MIN($I$2,$M26-'Set-up'!$E$13))-(($I26+'Set-up'!$E$11)))+1),0),IF(LEFT($AE26,1)="D",MaxPeriod,$AG26)),MIN(MAX(((IF($M26="-",((YEAR($I$2)*12)+MONTH($I$2)),MIN(((YEAR($I$2)*12)+MONTH($I$2)),((YEAR($M26)*12)+MONTH($M26)-'Set-up'!$E$13)))-(((YEAR($I26)*12)+MONTH($I26)+'Set-up'!$E$11)))+1),0),IF(LEFT($AE26,1)="D",MaxPeriod,$AG26)))</f>
        <v>60</v>
      </c>
      <c r="AA26" s="5">
        <f ca="1">IF('Set-up'!$E$9="Daily",MIN(MAX(((IF($M26="-",$H$2-1,MIN($H$2-1,$M26-'Set-up'!$E$13))-($I26+'Set-up'!$E$11))+1),0),IF(LEFT($AE26,1)="D",MaxPeriod,$AG26)),MIN(MAX(((IF($M26="-",((YEAR($H$2)*12)+MONTH($H$2)-1),MIN(((YEAR($H$2)*12)+MONTH($H$2)-1),((YEAR($M26)*12)+MONTH($M26)-'Set-up'!$E$13)))-(((YEAR($I26)*12)+MONTH($I26)+'Set-up'!$E$11)))+1),0),IF(LEFT($AE26,1)="D",MaxPeriod,$AG26)))</f>
        <v>56</v>
      </c>
      <c r="AB26" s="5">
        <f ca="1">IF('Set-up'!$E$9="Daily",MIN(MAX(((IF($M26="-",$J$2-1,MIN($J$2-1,$M26-'Set-up'!$E$13))-($I26+'Set-up'!$E$11))+1),0),IF(LEFT($AE26,1)="D",MaxPeriod,$AG26)),MIN(MAX(((IF($M26="-",((YEAR($J$2)*12)+MONTH($J$2)-1),MIN(((YEAR($J$2)*12)+MONTH($J$2)-1),((YEAR($M26)*12)+MONTH($M26)-'Set-up'!$E$13)))-(((YEAR($I26)*12)+MONTH($I26)+'Set-up'!$E$11)))+1),0),IF(LEFT($AE26,1)="D",MaxPeriod,$AG26)))</f>
        <v>60</v>
      </c>
      <c r="AC26" s="5">
        <f ca="1">IF('Set-up'!$E$9="Daily",MIN(MAX(((IF($M26="-",0,$M26-'Set-up'!$E$13)-($I26+'Set-up'!$E$11))+1),0),IF(LEFT($AE26,1)="D",MaxPeriod,$AG26)),MIN(MAX(((IF($M26="-",0,((YEAR($M26)*12)+MONTH($M26)-'Set-up'!$E$13))-(((YEAR($I26)*12)+MONTH($I26)+'Set-up'!$E$11)))+1),0),IF(LEFT($AE26,1)="D",MaxPeriod,$AG26)))</f>
        <v>0</v>
      </c>
      <c r="AD26" s="33">
        <f t="shared" ca="1" si="6"/>
        <v>0</v>
      </c>
      <c r="AE26" s="34" t="str">
        <f t="shared" ca="1" si="11"/>
        <v>SL</v>
      </c>
      <c r="AF26" s="34">
        <f t="shared" ca="1" si="12"/>
        <v>1</v>
      </c>
      <c r="AG26" s="5">
        <f ca="1">IF('Set-up'!$E$9="Daily",(DATE(YEAR($I26)+$K26+(1-$AF26),MONTH($I26),DAY($I26))+'Set-up'!$E$11)-($I26+'Set-up'!$E$11),$K26*12)</f>
        <v>60</v>
      </c>
      <c r="AH26" s="5">
        <f ca="1">ROUNDDOWN(MIN(MAX(((IF($M26="-",((YEAR($I$2)*12)+MONTH($I$2)),MIN(((YEAR($I$2)*12)+MONTH($I$2)),((YEAR($M26)*12)+MONTH($M26)-'Set-up'!$E$13)))-(((YEAR($I26)*12)+MONTH($I26)+'Set-up'!$E$11)))),0),IF(LEFT($AE26,1)="D",MaxPeriod,$AG26))/12,0)</f>
        <v>5</v>
      </c>
      <c r="AI26" s="5">
        <f ca="1">ROUNDDOWN(MIN(MAX(((IF($M26="-",((YEAR($H$2)*12)+MONTH($H$2)-1),MIN(((YEAR($H$2)*12)+MONTH($H$2)-1),((YEAR($M26)*12)+MONTH($M26)-'Set-up'!$E$13)))-(((YEAR($I26)*12)+MONTH($I26)+'Set-up'!$E$11)))),0),IF(LEFT($AE26,1)="D",MaxPeriod,$AG26))/12,0)</f>
        <v>4</v>
      </c>
      <c r="AJ26" s="5">
        <f ca="1">ROUNDDOWN(MIN(MAX(((IF($M26="-",((YEAR($J$2)*12)+MONTH($J$2)-1),MIN(((YEAR($J$2)*12)+MONTH($J$2)-1),((YEAR($M26)*12)+MONTH($M26)-'Set-up'!$E$13)))-(((YEAR($I26)*12)+MONTH($I26)+'Set-up'!$E$11)))),0),IF(LEFT($AE26,1)="D",MaxPeriod,$AG26))/12,0)</f>
        <v>5</v>
      </c>
      <c r="AK26" s="5">
        <f ca="1">ROUNDDOWN(MIN(MAX(((IF($M26="-",0,((YEAR($M26)*12)+MONTH($M26)-'Set-up'!$E$13))-(((YEAR($I26)*12)+MONTH($I26)+'Set-up'!$E$11)))),0),IF(LEFT($AE26,1)="D",MaxPeriod,$AG26))/12,0)</f>
        <v>0</v>
      </c>
      <c r="AL26" s="5">
        <f>IF('Set-up'!$E$9="Daily",MIN(MAX(((IF($M26="-",$I$2,MIN($I$2,$M26-'Set-up'!$E$13))-((DATE(YEAR($I26)+$AH26,MONTH($I26),DAY($I26))+'Set-up'!$E$11)))+1),0),IF(LEFT($AE26,1)="D",MaxPeriod,$AG26)),0)</f>
        <v>0</v>
      </c>
      <c r="AM26" s="5">
        <f>IF('Set-up'!$E$9="Daily",MIN(MAX(((IF($M26="-",$H$2-1,MIN($H$2-1,$M26-'Set-up'!$E$13))-(DATE(YEAR($I26)+$AI26,MONTH($I26),DAY($I26))+'Set-up'!$E$11))+1),0),IF(LEFT($AE26,1)="D",MaxPeriod,$AG26)),0)</f>
        <v>0</v>
      </c>
      <c r="AN26" s="5">
        <f>IF('Set-up'!$E$9="Daily",MIN(MAX(((IF($M26="-",$J$2-1,MIN($J$2-1,$M26-'Set-up'!$E$13))-(DATE(YEAR($I26)+$AJ26,MONTH($I26),DAY($I26))+'Set-up'!$E$11))+1),0),IF(LEFT($AE26,1)="D",MaxPeriod,$AG26)),0)</f>
        <v>0</v>
      </c>
      <c r="AO26" s="5">
        <f>IF('Set-up'!$E$9="Daily",MIN(MAX(((IF($M26="-",0,$M26-'Set-up'!$E$13)-(DATE(YEAR($I26)+$AK26,MONTH($I26),DAY($I26))+'Set-up'!$E$11))+1),0),IF(LEFT($AE26,1)="D",MaxPeriod,$AG26)),0)</f>
        <v>0</v>
      </c>
      <c r="AP26" s="5">
        <f>IF('Set-up'!$E$9="Daily",DATE(YEAR($I26)+$AH26+1,MONTH($I26),DAY($I26))-DATE(YEAR($I26)+$AH26,MONTH($I26),DAY($I26)),0)</f>
        <v>0</v>
      </c>
      <c r="AQ26" s="5">
        <f>IF('Set-up'!$E$9="Daily",DATE(YEAR($I26)+$AI26+1,MONTH($I26),DAY($I26))-DATE(YEAR($I26)+$AI26,MONTH($I26),DAY($I26)),0)</f>
        <v>0</v>
      </c>
      <c r="AR26" s="5">
        <f>IF('Set-up'!$E$9="Daily",DATE(YEAR($I26)+$AJ26+1,MONTH($I26),DAY($I26))-DATE(YEAR($I26)+$AJ26,MONTH($I26),DAY($I26)),0)</f>
        <v>0</v>
      </c>
      <c r="AS26" s="5">
        <f>IF('Set-up'!$E$9="Daily",DATE(YEAR($I26)+$AK26+1,MONTH($I26),DAY($I26))-DATE(YEAR($I26)+$AK26,MONTH($I26),DAY($I26)),0)</f>
        <v>0</v>
      </c>
    </row>
    <row r="27" spans="1:45" ht="16" customHeight="1" x14ac:dyDescent="0.25">
      <c r="A27" s="9" t="s">
        <v>197</v>
      </c>
      <c r="B27" s="9">
        <v>226563</v>
      </c>
      <c r="C27" s="9" t="s">
        <v>35</v>
      </c>
      <c r="D27" s="5" t="s">
        <v>90</v>
      </c>
      <c r="E27" s="5" t="s">
        <v>168</v>
      </c>
      <c r="F27" s="5" t="s">
        <v>340</v>
      </c>
      <c r="G27" s="5" t="str" cm="1">
        <f t="array" aca="1" ref="G27" ca="1">IF(COUNTIF(AssetCode,$A27)&gt;1,"E1",IF(ISNA(VLOOKUP($E27,CatAll,1,0))=TRUE,"E2",IF($I27="Add!","E10","-")))</f>
        <v>-</v>
      </c>
      <c r="H27" s="5" t="str">
        <f t="shared" ca="1" si="0"/>
        <v>PM</v>
      </c>
      <c r="I27" s="30" cm="1">
        <f t="array" aca="1" ref="I27" ca="1">IF(SUMIFS(TransIDDate,TransAsset,$A27,TransType,"ACQ")=0,"Add!",SUMIFS(TransIDDate,TransAsset,$A27,TransType,"ACQ"))</f>
        <v>42205</v>
      </c>
      <c r="J27" s="32">
        <f t="shared" ca="1" si="1"/>
        <v>49950</v>
      </c>
      <c r="K27" s="57">
        <f t="shared" ca="1" si="2"/>
        <v>5</v>
      </c>
      <c r="L27" s="32">
        <f t="shared" ca="1" si="3"/>
        <v>0</v>
      </c>
      <c r="M27" s="30" t="str" cm="1">
        <f t="array" ref="M27">IF(SUMIFS(TransIDDate,TransAsset,$A27,TransType,"DIS")=0,"-",IF(SUMIFS(TransIDDate,TransAsset,$A27,TransType,"DIS")&lt;=$I$2,SUMIFS(TransIDDate,TransAsset,$A27,TransType,"DIS"),"-"))</f>
        <v>-</v>
      </c>
      <c r="N27" s="31" cm="1">
        <f t="array" aca="1" ref="N27" ca="1">IF($M27&lt;=$I$2,SUMIFS(TransProceeds,TransAsset,$A27,TransType,"DIS"),0)</f>
        <v>0</v>
      </c>
      <c r="O27" s="32" cm="1">
        <f t="array" aca="1" ref="O27" ca="1">IF(AND($M27&lt;&gt;"-",$M27&lt;$H$2),0,SUMIFS(TransAmount,TransAsset,$A27,TransIDDate,"&lt;"&amp;$H$2,TransType,"ACQ"))</f>
        <v>49950</v>
      </c>
      <c r="P27" s="32">
        <f t="shared" ca="1" si="4"/>
        <v>0</v>
      </c>
      <c r="Q27" s="32">
        <f t="shared" ca="1" si="5"/>
        <v>0</v>
      </c>
      <c r="R27" s="32">
        <f t="shared" ca="1" si="7"/>
        <v>49950</v>
      </c>
      <c r="S27" s="32">
        <f ca="1">IF(AND($M27&lt;&gt;"-",$M27&lt;$H$2),0,IF($K27=0,0,IF(LEFT($AE27,1)="D",(($J27-$L27)*(1-((1-$AD27)^$AI27)))+(($J27-$L27)*(((1-$AD27)^$AI27)-((1-$AD27)^($AI27+1)))*IF('Set-up'!$E$9="Monthly",($AA27-($AI27*12))/12,$AM27/$AQ27)),($J27-$L27)/$AG27*$AA27)))</f>
        <v>46620</v>
      </c>
      <c r="T27" s="32">
        <f ca="1">IF($K27=0,0,IF(LEFT($AE27,1)="D",((($J27-$L27)*(1-((1-$AD27)^$AH27)))+(($J27-$L27)*(((1-$AD27)^$AH27)-((1-$AD27)^($AH27+1)))*IF('Set-up'!$E$9="Monthly",($Z27-($AH27*12))/12,$AL27/$AP27)))-(($J27-$L27)*(1-((1-$AD27)^$AI27)))-(($J27-$L27)*(((1-$AD27)^$AI27)-((1-$AD27)^($AI27+1)))*IF('Set-up'!$E$9="Monthly",($AA27-($AI27*12))/12,$AM27/$AQ27)),(($J27-$L27)/$AG27*$Z27)-(($J27-$L27)/$AG27*$AA27)))</f>
        <v>3330</v>
      </c>
      <c r="U27" s="32">
        <f ca="1">-IF(AND($M27&gt;=$H$2,$M27&lt;=$I$2),IF(LEFT($AE27,1)="D",(($J27-$L27)*(1-((1-$AD27)^$AK27)))+(($J27-$L27)*(((1-$AD27)^$AK27)-((1-$AD27)^($AK27+1)))*IF('Set-up'!$E$9="Monthly",($AC27-($AK27*12))/12,$AO27/$AS27)),IF($K27=0,0,($J27-$L27)/$AG27*$AC27)),0)</f>
        <v>0</v>
      </c>
      <c r="V27" s="32">
        <f t="shared" ca="1" si="8"/>
        <v>49950</v>
      </c>
      <c r="W27" s="32">
        <f t="shared" ca="1" si="9"/>
        <v>0</v>
      </c>
      <c r="X27" s="32">
        <f t="shared" ca="1" si="10"/>
        <v>0</v>
      </c>
      <c r="Y27" s="32">
        <f ca="1">IF($K27=0,0,IF(LEFT($AE27,1)="D",((($J27-$L27)*(1-((1-$AD27)^$AH27)))+(($J27-$L27)*(((1-$AD27)^$AH27)-((1-$AD27)^($AH27+1)))*IF('Set-up'!$E$9="Monthly",($Z27-($AH27*12))/12,$AL27/$AP27)))-(($J27-$L27)*(1-((1-$AD27)^$AJ27)))-(($J27-$L27)*(((1-$AD27)^$AJ27)-((1-$AD27)^($AJ27+1)))*IF('Set-up'!$E$9="Monthly",($AB27-($AJ27*12))/12,$AN27/$AR27)),(($J27-$L27)/$AG27*$Z27)-(($J27-$L27)/$AG27*$AB27)))</f>
        <v>0</v>
      </c>
      <c r="Z27" s="5">
        <f ca="1">IF('Set-up'!$E$9="Daily",MIN(MAX(((IF($M27="-",$I$2,MIN($I$2,$M27-'Set-up'!$E$13))-(($I27+'Set-up'!$E$11)))+1),0),IF(LEFT($AE27,1)="D",MaxPeriod,$AG27)),MIN(MAX(((IF($M27="-",((YEAR($I$2)*12)+MONTH($I$2)),MIN(((YEAR($I$2)*12)+MONTH($I$2)),((YEAR($M27)*12)+MONTH($M27)-'Set-up'!$E$13)))-(((YEAR($I27)*12)+MONTH($I27)+'Set-up'!$E$11)))+1),0),IF(LEFT($AE27,1)="D",MaxPeriod,$AG27)))</f>
        <v>60</v>
      </c>
      <c r="AA27" s="5">
        <f ca="1">IF('Set-up'!$E$9="Daily",MIN(MAX(((IF($M27="-",$H$2-1,MIN($H$2-1,$M27-'Set-up'!$E$13))-($I27+'Set-up'!$E$11))+1),0),IF(LEFT($AE27,1)="D",MaxPeriod,$AG27)),MIN(MAX(((IF($M27="-",((YEAR($H$2)*12)+MONTH($H$2)-1),MIN(((YEAR($H$2)*12)+MONTH($H$2)-1),((YEAR($M27)*12)+MONTH($M27)-'Set-up'!$E$13)))-(((YEAR($I27)*12)+MONTH($I27)+'Set-up'!$E$11)))+1),0),IF(LEFT($AE27,1)="D",MaxPeriod,$AG27)))</f>
        <v>56</v>
      </c>
      <c r="AB27" s="5">
        <f ca="1">IF('Set-up'!$E$9="Daily",MIN(MAX(((IF($M27="-",$J$2-1,MIN($J$2-1,$M27-'Set-up'!$E$13))-($I27+'Set-up'!$E$11))+1),0),IF(LEFT($AE27,1)="D",MaxPeriod,$AG27)),MIN(MAX(((IF($M27="-",((YEAR($J$2)*12)+MONTH($J$2)-1),MIN(((YEAR($J$2)*12)+MONTH($J$2)-1),((YEAR($M27)*12)+MONTH($M27)-'Set-up'!$E$13)))-(((YEAR($I27)*12)+MONTH($I27)+'Set-up'!$E$11)))+1),0),IF(LEFT($AE27,1)="D",MaxPeriod,$AG27)))</f>
        <v>60</v>
      </c>
      <c r="AC27" s="5">
        <f ca="1">IF('Set-up'!$E$9="Daily",MIN(MAX(((IF($M27="-",0,$M27-'Set-up'!$E$13)-($I27+'Set-up'!$E$11))+1),0),IF(LEFT($AE27,1)="D",MaxPeriod,$AG27)),MIN(MAX(((IF($M27="-",0,((YEAR($M27)*12)+MONTH($M27)-'Set-up'!$E$13))-(((YEAR($I27)*12)+MONTH($I27)+'Set-up'!$E$11)))+1),0),IF(LEFT($AE27,1)="D",MaxPeriod,$AG27)))</f>
        <v>0</v>
      </c>
      <c r="AD27" s="33">
        <f t="shared" ca="1" si="6"/>
        <v>0</v>
      </c>
      <c r="AE27" s="34" t="str">
        <f t="shared" ca="1" si="11"/>
        <v>SL</v>
      </c>
      <c r="AF27" s="34">
        <f t="shared" ca="1" si="12"/>
        <v>1</v>
      </c>
      <c r="AG27" s="5">
        <f ca="1">IF('Set-up'!$E$9="Daily",(DATE(YEAR($I27)+$K27+(1-$AF27),MONTH($I27),DAY($I27))+'Set-up'!$E$11)-($I27+'Set-up'!$E$11),$K27*12)</f>
        <v>60</v>
      </c>
      <c r="AH27" s="5">
        <f ca="1">ROUNDDOWN(MIN(MAX(((IF($M27="-",((YEAR($I$2)*12)+MONTH($I$2)),MIN(((YEAR($I$2)*12)+MONTH($I$2)),((YEAR($M27)*12)+MONTH($M27)-'Set-up'!$E$13)))-(((YEAR($I27)*12)+MONTH($I27)+'Set-up'!$E$11)))),0),IF(LEFT($AE27,1)="D",MaxPeriod,$AG27))/12,0)</f>
        <v>5</v>
      </c>
      <c r="AI27" s="5">
        <f ca="1">ROUNDDOWN(MIN(MAX(((IF($M27="-",((YEAR($H$2)*12)+MONTH($H$2)-1),MIN(((YEAR($H$2)*12)+MONTH($H$2)-1),((YEAR($M27)*12)+MONTH($M27)-'Set-up'!$E$13)))-(((YEAR($I27)*12)+MONTH($I27)+'Set-up'!$E$11)))),0),IF(LEFT($AE27,1)="D",MaxPeriod,$AG27))/12,0)</f>
        <v>4</v>
      </c>
      <c r="AJ27" s="5">
        <f ca="1">ROUNDDOWN(MIN(MAX(((IF($M27="-",((YEAR($J$2)*12)+MONTH($J$2)-1),MIN(((YEAR($J$2)*12)+MONTH($J$2)-1),((YEAR($M27)*12)+MONTH($M27)-'Set-up'!$E$13)))-(((YEAR($I27)*12)+MONTH($I27)+'Set-up'!$E$11)))),0),IF(LEFT($AE27,1)="D",MaxPeriod,$AG27))/12,0)</f>
        <v>5</v>
      </c>
      <c r="AK27" s="5">
        <f ca="1">ROUNDDOWN(MIN(MAX(((IF($M27="-",0,((YEAR($M27)*12)+MONTH($M27)-'Set-up'!$E$13))-(((YEAR($I27)*12)+MONTH($I27)+'Set-up'!$E$11)))),0),IF(LEFT($AE27,1)="D",MaxPeriod,$AG27))/12,0)</f>
        <v>0</v>
      </c>
      <c r="AL27" s="5">
        <f>IF('Set-up'!$E$9="Daily",MIN(MAX(((IF($M27="-",$I$2,MIN($I$2,$M27-'Set-up'!$E$13))-((DATE(YEAR($I27)+$AH27,MONTH($I27),DAY($I27))+'Set-up'!$E$11)))+1),0),IF(LEFT($AE27,1)="D",MaxPeriod,$AG27)),0)</f>
        <v>0</v>
      </c>
      <c r="AM27" s="5">
        <f>IF('Set-up'!$E$9="Daily",MIN(MAX(((IF($M27="-",$H$2-1,MIN($H$2-1,$M27-'Set-up'!$E$13))-(DATE(YEAR($I27)+$AI27,MONTH($I27),DAY($I27))+'Set-up'!$E$11))+1),0),IF(LEFT($AE27,1)="D",MaxPeriod,$AG27)),0)</f>
        <v>0</v>
      </c>
      <c r="AN27" s="5">
        <f>IF('Set-up'!$E$9="Daily",MIN(MAX(((IF($M27="-",$J$2-1,MIN($J$2-1,$M27-'Set-up'!$E$13))-(DATE(YEAR($I27)+$AJ27,MONTH($I27),DAY($I27))+'Set-up'!$E$11))+1),0),IF(LEFT($AE27,1)="D",MaxPeriod,$AG27)),0)</f>
        <v>0</v>
      </c>
      <c r="AO27" s="5">
        <f>IF('Set-up'!$E$9="Daily",MIN(MAX(((IF($M27="-",0,$M27-'Set-up'!$E$13)-(DATE(YEAR($I27)+$AK27,MONTH($I27),DAY($I27))+'Set-up'!$E$11))+1),0),IF(LEFT($AE27,1)="D",MaxPeriod,$AG27)),0)</f>
        <v>0</v>
      </c>
      <c r="AP27" s="5">
        <f>IF('Set-up'!$E$9="Daily",DATE(YEAR($I27)+$AH27+1,MONTH($I27),DAY($I27))-DATE(YEAR($I27)+$AH27,MONTH($I27),DAY($I27)),0)</f>
        <v>0</v>
      </c>
      <c r="AQ27" s="5">
        <f>IF('Set-up'!$E$9="Daily",DATE(YEAR($I27)+$AI27+1,MONTH($I27),DAY($I27))-DATE(YEAR($I27)+$AI27,MONTH($I27),DAY($I27)),0)</f>
        <v>0</v>
      </c>
      <c r="AR27" s="5">
        <f>IF('Set-up'!$E$9="Daily",DATE(YEAR($I27)+$AJ27+1,MONTH($I27),DAY($I27))-DATE(YEAR($I27)+$AJ27,MONTH($I27),DAY($I27)),0)</f>
        <v>0</v>
      </c>
      <c r="AS27" s="5">
        <f>IF('Set-up'!$E$9="Daily",DATE(YEAR($I27)+$AK27+1,MONTH($I27),DAY($I27))-DATE(YEAR($I27)+$AK27,MONTH($I27),DAY($I27)),0)</f>
        <v>0</v>
      </c>
    </row>
    <row r="28" spans="1:45" ht="16" customHeight="1" x14ac:dyDescent="0.25">
      <c r="A28" s="9" t="s">
        <v>198</v>
      </c>
      <c r="B28" s="9">
        <v>287484</v>
      </c>
      <c r="C28" s="9" t="s">
        <v>36</v>
      </c>
      <c r="D28" s="5" t="s">
        <v>90</v>
      </c>
      <c r="E28" s="5" t="s">
        <v>168</v>
      </c>
      <c r="F28" s="5" t="s">
        <v>340</v>
      </c>
      <c r="G28" s="5" t="str" cm="1">
        <f t="array" aca="1" ref="G28" ca="1">IF(COUNTIF(AssetCode,$A28)&gt;1,"E1",IF(ISNA(VLOOKUP($E28,CatAll,1,0))=TRUE,"E2",IF($I28="Add!","E10","-")))</f>
        <v>-</v>
      </c>
      <c r="H28" s="5" t="str">
        <f t="shared" ca="1" si="0"/>
        <v>PM</v>
      </c>
      <c r="I28" s="30" cm="1">
        <f t="array" aca="1" ref="I28" ca="1">IF(SUMIFS(TransIDDate,TransAsset,$A28,TransType,"ACQ")=0,"Add!",SUMIFS(TransIDDate,TransAsset,$A28,TransType,"ACQ"))</f>
        <v>42205</v>
      </c>
      <c r="J28" s="32">
        <f t="shared" ca="1" si="1"/>
        <v>113130</v>
      </c>
      <c r="K28" s="57">
        <f t="shared" ca="1" si="2"/>
        <v>5</v>
      </c>
      <c r="L28" s="32">
        <f t="shared" ca="1" si="3"/>
        <v>0</v>
      </c>
      <c r="M28" s="30" t="str" cm="1">
        <f t="array" ref="M28">IF(SUMIFS(TransIDDate,TransAsset,$A28,TransType,"DIS")=0,"-",IF(SUMIFS(TransIDDate,TransAsset,$A28,TransType,"DIS")&lt;=$I$2,SUMIFS(TransIDDate,TransAsset,$A28,TransType,"DIS"),"-"))</f>
        <v>-</v>
      </c>
      <c r="N28" s="31" cm="1">
        <f t="array" aca="1" ref="N28" ca="1">IF($M28&lt;=$I$2,SUMIFS(TransProceeds,TransAsset,$A28,TransType,"DIS"),0)</f>
        <v>0</v>
      </c>
      <c r="O28" s="32" cm="1">
        <f t="array" aca="1" ref="O28" ca="1">IF(AND($M28&lt;&gt;"-",$M28&lt;$H$2),0,SUMIFS(TransAmount,TransAsset,$A28,TransIDDate,"&lt;"&amp;$H$2,TransType,"ACQ"))</f>
        <v>113130</v>
      </c>
      <c r="P28" s="32">
        <f t="shared" ca="1" si="4"/>
        <v>0</v>
      </c>
      <c r="Q28" s="32">
        <f t="shared" ca="1" si="5"/>
        <v>0</v>
      </c>
      <c r="R28" s="32">
        <f t="shared" ca="1" si="7"/>
        <v>113130</v>
      </c>
      <c r="S28" s="32">
        <f ca="1">IF(AND($M28&lt;&gt;"-",$M28&lt;$H$2),0,IF($K28=0,0,IF(LEFT($AE28,1)="D",(($J28-$L28)*(1-((1-$AD28)^$AI28)))+(($J28-$L28)*(((1-$AD28)^$AI28)-((1-$AD28)^($AI28+1)))*IF('Set-up'!$E$9="Monthly",($AA28-($AI28*12))/12,$AM28/$AQ28)),($J28-$L28)/$AG28*$AA28)))</f>
        <v>105588</v>
      </c>
      <c r="T28" s="32">
        <f ca="1">IF($K28=0,0,IF(LEFT($AE28,1)="D",((($J28-$L28)*(1-((1-$AD28)^$AH28)))+(($J28-$L28)*(((1-$AD28)^$AH28)-((1-$AD28)^($AH28+1)))*IF('Set-up'!$E$9="Monthly",($Z28-($AH28*12))/12,$AL28/$AP28)))-(($J28-$L28)*(1-((1-$AD28)^$AI28)))-(($J28-$L28)*(((1-$AD28)^$AI28)-((1-$AD28)^($AI28+1)))*IF('Set-up'!$E$9="Monthly",($AA28-($AI28*12))/12,$AM28/$AQ28)),(($J28-$L28)/$AG28*$Z28)-(($J28-$L28)/$AG28*$AA28)))</f>
        <v>7542</v>
      </c>
      <c r="U28" s="32">
        <f ca="1">-IF(AND($M28&gt;=$H$2,$M28&lt;=$I$2),IF(LEFT($AE28,1)="D",(($J28-$L28)*(1-((1-$AD28)^$AK28)))+(($J28-$L28)*(((1-$AD28)^$AK28)-((1-$AD28)^($AK28+1)))*IF('Set-up'!$E$9="Monthly",($AC28-($AK28*12))/12,$AO28/$AS28)),IF($K28=0,0,($J28-$L28)/$AG28*$AC28)),0)</f>
        <v>0</v>
      </c>
      <c r="V28" s="32">
        <f t="shared" ca="1" si="8"/>
        <v>113130</v>
      </c>
      <c r="W28" s="32">
        <f t="shared" ca="1" si="9"/>
        <v>0</v>
      </c>
      <c r="X28" s="32">
        <f t="shared" ca="1" si="10"/>
        <v>0</v>
      </c>
      <c r="Y28" s="32">
        <f ca="1">IF($K28=0,0,IF(LEFT($AE28,1)="D",((($J28-$L28)*(1-((1-$AD28)^$AH28)))+(($J28-$L28)*(((1-$AD28)^$AH28)-((1-$AD28)^($AH28+1)))*IF('Set-up'!$E$9="Monthly",($Z28-($AH28*12))/12,$AL28/$AP28)))-(($J28-$L28)*(1-((1-$AD28)^$AJ28)))-(($J28-$L28)*(((1-$AD28)^$AJ28)-((1-$AD28)^($AJ28+1)))*IF('Set-up'!$E$9="Monthly",($AB28-($AJ28*12))/12,$AN28/$AR28)),(($J28-$L28)/$AG28*$Z28)-(($J28-$L28)/$AG28*$AB28)))</f>
        <v>0</v>
      </c>
      <c r="Z28" s="5">
        <f ca="1">IF('Set-up'!$E$9="Daily",MIN(MAX(((IF($M28="-",$I$2,MIN($I$2,$M28-'Set-up'!$E$13))-(($I28+'Set-up'!$E$11)))+1),0),IF(LEFT($AE28,1)="D",MaxPeriod,$AG28)),MIN(MAX(((IF($M28="-",((YEAR($I$2)*12)+MONTH($I$2)),MIN(((YEAR($I$2)*12)+MONTH($I$2)),((YEAR($M28)*12)+MONTH($M28)-'Set-up'!$E$13)))-(((YEAR($I28)*12)+MONTH($I28)+'Set-up'!$E$11)))+1),0),IF(LEFT($AE28,1)="D",MaxPeriod,$AG28)))</f>
        <v>60</v>
      </c>
      <c r="AA28" s="5">
        <f ca="1">IF('Set-up'!$E$9="Daily",MIN(MAX(((IF($M28="-",$H$2-1,MIN($H$2-1,$M28-'Set-up'!$E$13))-($I28+'Set-up'!$E$11))+1),0),IF(LEFT($AE28,1)="D",MaxPeriod,$AG28)),MIN(MAX(((IF($M28="-",((YEAR($H$2)*12)+MONTH($H$2)-1),MIN(((YEAR($H$2)*12)+MONTH($H$2)-1),((YEAR($M28)*12)+MONTH($M28)-'Set-up'!$E$13)))-(((YEAR($I28)*12)+MONTH($I28)+'Set-up'!$E$11)))+1),0),IF(LEFT($AE28,1)="D",MaxPeriod,$AG28)))</f>
        <v>56</v>
      </c>
      <c r="AB28" s="5">
        <f ca="1">IF('Set-up'!$E$9="Daily",MIN(MAX(((IF($M28="-",$J$2-1,MIN($J$2-1,$M28-'Set-up'!$E$13))-($I28+'Set-up'!$E$11))+1),0),IF(LEFT($AE28,1)="D",MaxPeriod,$AG28)),MIN(MAX(((IF($M28="-",((YEAR($J$2)*12)+MONTH($J$2)-1),MIN(((YEAR($J$2)*12)+MONTH($J$2)-1),((YEAR($M28)*12)+MONTH($M28)-'Set-up'!$E$13)))-(((YEAR($I28)*12)+MONTH($I28)+'Set-up'!$E$11)))+1),0),IF(LEFT($AE28,1)="D",MaxPeriod,$AG28)))</f>
        <v>60</v>
      </c>
      <c r="AC28" s="5">
        <f ca="1">IF('Set-up'!$E$9="Daily",MIN(MAX(((IF($M28="-",0,$M28-'Set-up'!$E$13)-($I28+'Set-up'!$E$11))+1),0),IF(LEFT($AE28,1)="D",MaxPeriod,$AG28)),MIN(MAX(((IF($M28="-",0,((YEAR($M28)*12)+MONTH($M28)-'Set-up'!$E$13))-(((YEAR($I28)*12)+MONTH($I28)+'Set-up'!$E$11)))+1),0),IF(LEFT($AE28,1)="D",MaxPeriod,$AG28)))</f>
        <v>0</v>
      </c>
      <c r="AD28" s="33">
        <f t="shared" ca="1" si="6"/>
        <v>0</v>
      </c>
      <c r="AE28" s="34" t="str">
        <f t="shared" ca="1" si="11"/>
        <v>SL</v>
      </c>
      <c r="AF28" s="34">
        <f t="shared" ca="1" si="12"/>
        <v>1</v>
      </c>
      <c r="AG28" s="5">
        <f ca="1">IF('Set-up'!$E$9="Daily",(DATE(YEAR($I28)+$K28+(1-$AF28),MONTH($I28),DAY($I28))+'Set-up'!$E$11)-($I28+'Set-up'!$E$11),$K28*12)</f>
        <v>60</v>
      </c>
      <c r="AH28" s="5">
        <f ca="1">ROUNDDOWN(MIN(MAX(((IF($M28="-",((YEAR($I$2)*12)+MONTH($I$2)),MIN(((YEAR($I$2)*12)+MONTH($I$2)),((YEAR($M28)*12)+MONTH($M28)-'Set-up'!$E$13)))-(((YEAR($I28)*12)+MONTH($I28)+'Set-up'!$E$11)))),0),IF(LEFT($AE28,1)="D",MaxPeriod,$AG28))/12,0)</f>
        <v>5</v>
      </c>
      <c r="AI28" s="5">
        <f ca="1">ROUNDDOWN(MIN(MAX(((IF($M28="-",((YEAR($H$2)*12)+MONTH($H$2)-1),MIN(((YEAR($H$2)*12)+MONTH($H$2)-1),((YEAR($M28)*12)+MONTH($M28)-'Set-up'!$E$13)))-(((YEAR($I28)*12)+MONTH($I28)+'Set-up'!$E$11)))),0),IF(LEFT($AE28,1)="D",MaxPeriod,$AG28))/12,0)</f>
        <v>4</v>
      </c>
      <c r="AJ28" s="5">
        <f ca="1">ROUNDDOWN(MIN(MAX(((IF($M28="-",((YEAR($J$2)*12)+MONTH($J$2)-1),MIN(((YEAR($J$2)*12)+MONTH($J$2)-1),((YEAR($M28)*12)+MONTH($M28)-'Set-up'!$E$13)))-(((YEAR($I28)*12)+MONTH($I28)+'Set-up'!$E$11)))),0),IF(LEFT($AE28,1)="D",MaxPeriod,$AG28))/12,0)</f>
        <v>5</v>
      </c>
      <c r="AK28" s="5">
        <f ca="1">ROUNDDOWN(MIN(MAX(((IF($M28="-",0,((YEAR($M28)*12)+MONTH($M28)-'Set-up'!$E$13))-(((YEAR($I28)*12)+MONTH($I28)+'Set-up'!$E$11)))),0),IF(LEFT($AE28,1)="D",MaxPeriod,$AG28))/12,0)</f>
        <v>0</v>
      </c>
      <c r="AL28" s="5">
        <f>IF('Set-up'!$E$9="Daily",MIN(MAX(((IF($M28="-",$I$2,MIN($I$2,$M28-'Set-up'!$E$13))-((DATE(YEAR($I28)+$AH28,MONTH($I28),DAY($I28))+'Set-up'!$E$11)))+1),0),IF(LEFT($AE28,1)="D",MaxPeriod,$AG28)),0)</f>
        <v>0</v>
      </c>
      <c r="AM28" s="5">
        <f>IF('Set-up'!$E$9="Daily",MIN(MAX(((IF($M28="-",$H$2-1,MIN($H$2-1,$M28-'Set-up'!$E$13))-(DATE(YEAR($I28)+$AI28,MONTH($I28),DAY($I28))+'Set-up'!$E$11))+1),0),IF(LEFT($AE28,1)="D",MaxPeriod,$AG28)),0)</f>
        <v>0</v>
      </c>
      <c r="AN28" s="5">
        <f>IF('Set-up'!$E$9="Daily",MIN(MAX(((IF($M28="-",$J$2-1,MIN($J$2-1,$M28-'Set-up'!$E$13))-(DATE(YEAR($I28)+$AJ28,MONTH($I28),DAY($I28))+'Set-up'!$E$11))+1),0),IF(LEFT($AE28,1)="D",MaxPeriod,$AG28)),0)</f>
        <v>0</v>
      </c>
      <c r="AO28" s="5">
        <f>IF('Set-up'!$E$9="Daily",MIN(MAX(((IF($M28="-",0,$M28-'Set-up'!$E$13)-(DATE(YEAR($I28)+$AK28,MONTH($I28),DAY($I28))+'Set-up'!$E$11))+1),0),IF(LEFT($AE28,1)="D",MaxPeriod,$AG28)),0)</f>
        <v>0</v>
      </c>
      <c r="AP28" s="5">
        <f>IF('Set-up'!$E$9="Daily",DATE(YEAR($I28)+$AH28+1,MONTH($I28),DAY($I28))-DATE(YEAR($I28)+$AH28,MONTH($I28),DAY($I28)),0)</f>
        <v>0</v>
      </c>
      <c r="AQ28" s="5">
        <f>IF('Set-up'!$E$9="Daily",DATE(YEAR($I28)+$AI28+1,MONTH($I28),DAY($I28))-DATE(YEAR($I28)+$AI28,MONTH($I28),DAY($I28)),0)</f>
        <v>0</v>
      </c>
      <c r="AR28" s="5">
        <f>IF('Set-up'!$E$9="Daily",DATE(YEAR($I28)+$AJ28+1,MONTH($I28),DAY($I28))-DATE(YEAR($I28)+$AJ28,MONTH($I28),DAY($I28)),0)</f>
        <v>0</v>
      </c>
      <c r="AS28" s="5">
        <f>IF('Set-up'!$E$9="Daily",DATE(YEAR($I28)+$AK28+1,MONTH($I28),DAY($I28))-DATE(YEAR($I28)+$AK28,MONTH($I28),DAY($I28)),0)</f>
        <v>0</v>
      </c>
    </row>
    <row r="29" spans="1:45" ht="16" customHeight="1" x14ac:dyDescent="0.25">
      <c r="A29" s="9" t="s">
        <v>239</v>
      </c>
      <c r="B29" s="9">
        <v>878347</v>
      </c>
      <c r="C29" s="9" t="s">
        <v>155</v>
      </c>
      <c r="D29" s="5" t="s">
        <v>90</v>
      </c>
      <c r="E29" s="5" t="s">
        <v>168</v>
      </c>
      <c r="F29" s="5" t="s">
        <v>340</v>
      </c>
      <c r="G29" s="5" t="str" cm="1">
        <f t="array" aca="1" ref="G29" ca="1">IF(COUNTIF(AssetCode,$A29)&gt;1,"E1",IF(ISNA(VLOOKUP($E29,CatAll,1,0))=TRUE,"E2",IF($I29="Add!","E10","-")))</f>
        <v>-</v>
      </c>
      <c r="H29" s="5" t="str">
        <f t="shared" ca="1" si="0"/>
        <v>PM</v>
      </c>
      <c r="I29" s="30" cm="1">
        <f t="array" aca="1" ref="I29" ca="1">IF(SUMIFS(TransIDDate,TransAsset,$A29,TransType,"ACQ")=0,"Add!",SUMIFS(TransIDDate,TransAsset,$A29,TransType,"ACQ"))</f>
        <v>42655</v>
      </c>
      <c r="J29" s="32">
        <f t="shared" ca="1" si="1"/>
        <v>6890</v>
      </c>
      <c r="K29" s="57">
        <f t="shared" ca="1" si="2"/>
        <v>5</v>
      </c>
      <c r="L29" s="32">
        <f t="shared" ca="1" si="3"/>
        <v>0</v>
      </c>
      <c r="M29" s="30" t="str" cm="1">
        <f t="array" ref="M29">IF(SUMIFS(TransIDDate,TransAsset,$A29,TransType,"DIS")=0,"-",IF(SUMIFS(TransIDDate,TransAsset,$A29,TransType,"DIS")&lt;=$I$2,SUMIFS(TransIDDate,TransAsset,$A29,TransType,"DIS"),"-"))</f>
        <v>-</v>
      </c>
      <c r="N29" s="31" cm="1">
        <f t="array" aca="1" ref="N29" ca="1">IF($M29&lt;=$I$2,SUMIFS(TransProceeds,TransAsset,$A29,TransType,"DIS"),0)</f>
        <v>0</v>
      </c>
      <c r="O29" s="32" cm="1">
        <f t="array" aca="1" ref="O29" ca="1">IF(AND($M29&lt;&gt;"-",$M29&lt;$H$2),0,SUMIFS(TransAmount,TransAsset,$A29,TransIDDate,"&lt;"&amp;$H$2,TransType,"ACQ"))</f>
        <v>6890</v>
      </c>
      <c r="P29" s="32">
        <f t="shared" ca="1" si="4"/>
        <v>0</v>
      </c>
      <c r="Q29" s="32">
        <f t="shared" ca="1" si="5"/>
        <v>0</v>
      </c>
      <c r="R29" s="32">
        <f t="shared" ca="1" si="7"/>
        <v>6890</v>
      </c>
      <c r="S29" s="32">
        <f ca="1">IF(AND($M29&lt;&gt;"-",$M29&lt;$H$2),0,IF($K29=0,0,IF(LEFT($AE29,1)="D",(($J29-$L29)*(1-((1-$AD29)^$AI29)))+(($J29-$L29)*(((1-$AD29)^$AI29)-((1-$AD29)^($AI29+1)))*IF('Set-up'!$E$9="Monthly",($AA29-($AI29*12))/12,$AM29/$AQ29)),($J29-$L29)/$AG29*$AA29)))</f>
        <v>4708.1666666666661</v>
      </c>
      <c r="T29" s="32">
        <f ca="1">IF($K29=0,0,IF(LEFT($AE29,1)="D",((($J29-$L29)*(1-((1-$AD29)^$AH29)))+(($J29-$L29)*(((1-$AD29)^$AH29)-((1-$AD29)^($AH29+1)))*IF('Set-up'!$E$9="Monthly",($Z29-($AH29*12))/12,$AL29/$AP29)))-(($J29-$L29)*(1-((1-$AD29)^$AI29)))-(($J29-$L29)*(((1-$AD29)^$AI29)-((1-$AD29)^($AI29+1)))*IF('Set-up'!$E$9="Monthly",($AA29-($AI29*12))/12,$AM29/$AQ29)),(($J29-$L29)/$AG29*$Z29)-(($J29-$L29)/$AG29*$AA29)))</f>
        <v>1378</v>
      </c>
      <c r="U29" s="32">
        <f ca="1">-IF(AND($M29&gt;=$H$2,$M29&lt;=$I$2),IF(LEFT($AE29,1)="D",(($J29-$L29)*(1-((1-$AD29)^$AK29)))+(($J29-$L29)*(((1-$AD29)^$AK29)-((1-$AD29)^($AK29+1)))*IF('Set-up'!$E$9="Monthly",($AC29-($AK29*12))/12,$AO29/$AS29)),IF($K29=0,0,($J29-$L29)/$AG29*$AC29)),0)</f>
        <v>0</v>
      </c>
      <c r="V29" s="32">
        <f t="shared" ca="1" si="8"/>
        <v>6086.1666666666661</v>
      </c>
      <c r="W29" s="32">
        <f t="shared" ca="1" si="9"/>
        <v>803.83333333333394</v>
      </c>
      <c r="X29" s="32">
        <f t="shared" ca="1" si="10"/>
        <v>0</v>
      </c>
      <c r="Y29" s="32">
        <f ca="1">IF($K29=0,0,IF(LEFT($AE29,1)="D",((($J29-$L29)*(1-((1-$AD29)^$AH29)))+(($J29-$L29)*(((1-$AD29)^$AH29)-((1-$AD29)^($AH29+1)))*IF('Set-up'!$E$9="Monthly",($Z29-($AH29*12))/12,$AL29/$AP29)))-(($J29-$L29)*(1-((1-$AD29)^$AJ29)))-(($J29-$L29)*(((1-$AD29)^$AJ29)-((1-$AD29)^($AJ29+1)))*IF('Set-up'!$E$9="Monthly",($AB29-($AJ29*12))/12,$AN29/$AR29)),(($J29-$L29)/$AG29*$Z29)-(($J29-$L29)/$AG29*$AB29)))</f>
        <v>114.83333333333303</v>
      </c>
      <c r="Z29" s="5">
        <f ca="1">IF('Set-up'!$E$9="Daily",MIN(MAX(((IF($M29="-",$I$2,MIN($I$2,$M29-'Set-up'!$E$13))-(($I29+'Set-up'!$E$11)))+1),0),IF(LEFT($AE29,1)="D",MaxPeriod,$AG29)),MIN(MAX(((IF($M29="-",((YEAR($I$2)*12)+MONTH($I$2)),MIN(((YEAR($I$2)*12)+MONTH($I$2)),((YEAR($M29)*12)+MONTH($M29)-'Set-up'!$E$13)))-(((YEAR($I29)*12)+MONTH($I29)+'Set-up'!$E$11)))+1),0),IF(LEFT($AE29,1)="D",MaxPeriod,$AG29)))</f>
        <v>53</v>
      </c>
      <c r="AA29" s="5">
        <f ca="1">IF('Set-up'!$E$9="Daily",MIN(MAX(((IF($M29="-",$H$2-1,MIN($H$2-1,$M29-'Set-up'!$E$13))-($I29+'Set-up'!$E$11))+1),0),IF(LEFT($AE29,1)="D",MaxPeriod,$AG29)),MIN(MAX(((IF($M29="-",((YEAR($H$2)*12)+MONTH($H$2)-1),MIN(((YEAR($H$2)*12)+MONTH($H$2)-1),((YEAR($M29)*12)+MONTH($M29)-'Set-up'!$E$13)))-(((YEAR($I29)*12)+MONTH($I29)+'Set-up'!$E$11)))+1),0),IF(LEFT($AE29,1)="D",MaxPeriod,$AG29)))</f>
        <v>41</v>
      </c>
      <c r="AB29" s="5">
        <f ca="1">IF('Set-up'!$E$9="Daily",MIN(MAX(((IF($M29="-",$J$2-1,MIN($J$2-1,$M29-'Set-up'!$E$13))-($I29+'Set-up'!$E$11))+1),0),IF(LEFT($AE29,1)="D",MaxPeriod,$AG29)),MIN(MAX(((IF($M29="-",((YEAR($J$2)*12)+MONTH($J$2)-1),MIN(((YEAR($J$2)*12)+MONTH($J$2)-1),((YEAR($M29)*12)+MONTH($M29)-'Set-up'!$E$13)))-(((YEAR($I29)*12)+MONTH($I29)+'Set-up'!$E$11)))+1),0),IF(LEFT($AE29,1)="D",MaxPeriod,$AG29)))</f>
        <v>52</v>
      </c>
      <c r="AC29" s="5">
        <f ca="1">IF('Set-up'!$E$9="Daily",MIN(MAX(((IF($M29="-",0,$M29-'Set-up'!$E$13)-($I29+'Set-up'!$E$11))+1),0),IF(LEFT($AE29,1)="D",MaxPeriod,$AG29)),MIN(MAX(((IF($M29="-",0,((YEAR($M29)*12)+MONTH($M29)-'Set-up'!$E$13))-(((YEAR($I29)*12)+MONTH($I29)+'Set-up'!$E$11)))+1),0),IF(LEFT($AE29,1)="D",MaxPeriod,$AG29)))</f>
        <v>0</v>
      </c>
      <c r="AD29" s="33">
        <f t="shared" ca="1" si="6"/>
        <v>0</v>
      </c>
      <c r="AE29" s="34" t="str">
        <f t="shared" ca="1" si="11"/>
        <v>SL</v>
      </c>
      <c r="AF29" s="34">
        <f t="shared" ca="1" si="12"/>
        <v>1</v>
      </c>
      <c r="AG29" s="5">
        <f ca="1">IF('Set-up'!$E$9="Daily",(DATE(YEAR($I29)+$K29+(1-$AF29),MONTH($I29),DAY($I29))+'Set-up'!$E$11)-($I29+'Set-up'!$E$11),$K29*12)</f>
        <v>60</v>
      </c>
      <c r="AH29" s="5">
        <f ca="1">ROUNDDOWN(MIN(MAX(((IF($M29="-",((YEAR($I$2)*12)+MONTH($I$2)),MIN(((YEAR($I$2)*12)+MONTH($I$2)),((YEAR($M29)*12)+MONTH($M29)-'Set-up'!$E$13)))-(((YEAR($I29)*12)+MONTH($I29)+'Set-up'!$E$11)))),0),IF(LEFT($AE29,1)="D",MaxPeriod,$AG29))/12,0)</f>
        <v>4</v>
      </c>
      <c r="AI29" s="5">
        <f ca="1">ROUNDDOWN(MIN(MAX(((IF($M29="-",((YEAR($H$2)*12)+MONTH($H$2)-1),MIN(((YEAR($H$2)*12)+MONTH($H$2)-1),((YEAR($M29)*12)+MONTH($M29)-'Set-up'!$E$13)))-(((YEAR($I29)*12)+MONTH($I29)+'Set-up'!$E$11)))),0),IF(LEFT($AE29,1)="D",MaxPeriod,$AG29))/12,0)</f>
        <v>3</v>
      </c>
      <c r="AJ29" s="5">
        <f ca="1">ROUNDDOWN(MIN(MAX(((IF($M29="-",((YEAR($J$2)*12)+MONTH($J$2)-1),MIN(((YEAR($J$2)*12)+MONTH($J$2)-1),((YEAR($M29)*12)+MONTH($M29)-'Set-up'!$E$13)))-(((YEAR($I29)*12)+MONTH($I29)+'Set-up'!$E$11)))),0),IF(LEFT($AE29,1)="D",MaxPeriod,$AG29))/12,0)</f>
        <v>4</v>
      </c>
      <c r="AK29" s="5">
        <f ca="1">ROUNDDOWN(MIN(MAX(((IF($M29="-",0,((YEAR($M29)*12)+MONTH($M29)-'Set-up'!$E$13))-(((YEAR($I29)*12)+MONTH($I29)+'Set-up'!$E$11)))),0),IF(LEFT($AE29,1)="D",MaxPeriod,$AG29))/12,0)</f>
        <v>0</v>
      </c>
      <c r="AL29" s="5">
        <f>IF('Set-up'!$E$9="Daily",MIN(MAX(((IF($M29="-",$I$2,MIN($I$2,$M29-'Set-up'!$E$13))-((DATE(YEAR($I29)+$AH29,MONTH($I29),DAY($I29))+'Set-up'!$E$11)))+1),0),IF(LEFT($AE29,1)="D",MaxPeriod,$AG29)),0)</f>
        <v>0</v>
      </c>
      <c r="AM29" s="5">
        <f>IF('Set-up'!$E$9="Daily",MIN(MAX(((IF($M29="-",$H$2-1,MIN($H$2-1,$M29-'Set-up'!$E$13))-(DATE(YEAR($I29)+$AI29,MONTH($I29),DAY($I29))+'Set-up'!$E$11))+1),0),IF(LEFT($AE29,1)="D",MaxPeriod,$AG29)),0)</f>
        <v>0</v>
      </c>
      <c r="AN29" s="5">
        <f>IF('Set-up'!$E$9="Daily",MIN(MAX(((IF($M29="-",$J$2-1,MIN($J$2-1,$M29-'Set-up'!$E$13))-(DATE(YEAR($I29)+$AJ29,MONTH($I29),DAY($I29))+'Set-up'!$E$11))+1),0),IF(LEFT($AE29,1)="D",MaxPeriod,$AG29)),0)</f>
        <v>0</v>
      </c>
      <c r="AO29" s="5">
        <f>IF('Set-up'!$E$9="Daily",MIN(MAX(((IF($M29="-",0,$M29-'Set-up'!$E$13)-(DATE(YEAR($I29)+$AK29,MONTH($I29),DAY($I29))+'Set-up'!$E$11))+1),0),IF(LEFT($AE29,1)="D",MaxPeriod,$AG29)),0)</f>
        <v>0</v>
      </c>
      <c r="AP29" s="5">
        <f>IF('Set-up'!$E$9="Daily",DATE(YEAR($I29)+$AH29+1,MONTH($I29),DAY($I29))-DATE(YEAR($I29)+$AH29,MONTH($I29),DAY($I29)),0)</f>
        <v>0</v>
      </c>
      <c r="AQ29" s="5">
        <f>IF('Set-up'!$E$9="Daily",DATE(YEAR($I29)+$AI29+1,MONTH($I29),DAY($I29))-DATE(YEAR($I29)+$AI29,MONTH($I29),DAY($I29)),0)</f>
        <v>0</v>
      </c>
      <c r="AR29" s="5">
        <f>IF('Set-up'!$E$9="Daily",DATE(YEAR($I29)+$AJ29+1,MONTH($I29),DAY($I29))-DATE(YEAR($I29)+$AJ29,MONTH($I29),DAY($I29)),0)</f>
        <v>0</v>
      </c>
      <c r="AS29" s="5">
        <f>IF('Set-up'!$E$9="Daily",DATE(YEAR($I29)+$AK29+1,MONTH($I29),DAY($I29))-DATE(YEAR($I29)+$AK29,MONTH($I29),DAY($I29)),0)</f>
        <v>0</v>
      </c>
    </row>
    <row r="30" spans="1:45" ht="16" customHeight="1" x14ac:dyDescent="0.25">
      <c r="A30" s="9" t="s">
        <v>240</v>
      </c>
      <c r="B30" s="9" t="s">
        <v>244</v>
      </c>
      <c r="C30" s="9" t="s">
        <v>156</v>
      </c>
      <c r="D30" s="5" t="s">
        <v>90</v>
      </c>
      <c r="E30" s="5" t="s">
        <v>168</v>
      </c>
      <c r="F30" s="5" t="s">
        <v>340</v>
      </c>
      <c r="G30" s="5" t="str" cm="1">
        <f t="array" aca="1" ref="G30" ca="1">IF(COUNTIF(AssetCode,$A30)&gt;1,"E1",IF(ISNA(VLOOKUP($E30,CatAll,1,0))=TRUE,"E2",IF($I30="Add!","E10","-")))</f>
        <v>-</v>
      </c>
      <c r="H30" s="5" t="str">
        <f t="shared" ca="1" si="0"/>
        <v>PM</v>
      </c>
      <c r="I30" s="30" cm="1">
        <f t="array" aca="1" ref="I30" ca="1">IF(SUMIFS(TransIDDate,TransAsset,$A30,TransType,"ACQ")=0,"Add!",SUMIFS(TransIDDate,TransAsset,$A30,TransType,"ACQ"))</f>
        <v>43062</v>
      </c>
      <c r="J30" s="32">
        <f t="shared" ca="1" si="1"/>
        <v>19100</v>
      </c>
      <c r="K30" s="57">
        <f t="shared" ca="1" si="2"/>
        <v>5</v>
      </c>
      <c r="L30" s="32">
        <f t="shared" ca="1" si="3"/>
        <v>0</v>
      </c>
      <c r="M30" s="30" t="str" cm="1">
        <f t="array" ref="M30">IF(SUMIFS(TransIDDate,TransAsset,$A30,TransType,"DIS")=0,"-",IF(SUMIFS(TransIDDate,TransAsset,$A30,TransType,"DIS")&lt;=$I$2,SUMIFS(TransIDDate,TransAsset,$A30,TransType,"DIS"),"-"))</f>
        <v>-</v>
      </c>
      <c r="N30" s="31" cm="1">
        <f t="array" aca="1" ref="N30" ca="1">IF($M30&lt;=$I$2,SUMIFS(TransProceeds,TransAsset,$A30,TransType,"DIS"),0)</f>
        <v>0</v>
      </c>
      <c r="O30" s="32" cm="1">
        <f t="array" aca="1" ref="O30" ca="1">IF(AND($M30&lt;&gt;"-",$M30&lt;$H$2),0,SUMIFS(TransAmount,TransAsset,$A30,TransIDDate,"&lt;"&amp;$H$2,TransType,"ACQ"))</f>
        <v>19100</v>
      </c>
      <c r="P30" s="32">
        <f t="shared" ca="1" si="4"/>
        <v>0</v>
      </c>
      <c r="Q30" s="32">
        <f t="shared" ca="1" si="5"/>
        <v>0</v>
      </c>
      <c r="R30" s="32">
        <f t="shared" ca="1" si="7"/>
        <v>19100</v>
      </c>
      <c r="S30" s="32">
        <f ca="1">IF(AND($M30&lt;&gt;"-",$M30&lt;$H$2),0,IF($K30=0,0,IF(LEFT($AE30,1)="D",(($J30-$L30)*(1-((1-$AD30)^$AI30)))+(($J30-$L30)*(((1-$AD30)^$AI30)-((1-$AD30)^($AI30+1)))*IF('Set-up'!$E$9="Monthly",($AA30-($AI30*12))/12,$AM30/$AQ30)),($J30-$L30)/$AG30*$AA30)))</f>
        <v>8913.3333333333321</v>
      </c>
      <c r="T30" s="32">
        <f ca="1">IF($K30=0,0,IF(LEFT($AE30,1)="D",((($J30-$L30)*(1-((1-$AD30)^$AH30)))+(($J30-$L30)*(((1-$AD30)^$AH30)-((1-$AD30)^($AH30+1)))*IF('Set-up'!$E$9="Monthly",($Z30-($AH30*12))/12,$AL30/$AP30)))-(($J30-$L30)*(1-((1-$AD30)^$AI30)))-(($J30-$L30)*(((1-$AD30)^$AI30)-((1-$AD30)^($AI30+1)))*IF('Set-up'!$E$9="Monthly",($AA30-($AI30*12))/12,$AM30/$AQ30)),(($J30-$L30)/$AG30*$Z30)-(($J30-$L30)/$AG30*$AA30)))</f>
        <v>3820</v>
      </c>
      <c r="U30" s="32">
        <f ca="1">-IF(AND($M30&gt;=$H$2,$M30&lt;=$I$2),IF(LEFT($AE30,1)="D",(($J30-$L30)*(1-((1-$AD30)^$AK30)))+(($J30-$L30)*(((1-$AD30)^$AK30)-((1-$AD30)^($AK30+1)))*IF('Set-up'!$E$9="Monthly",($AC30-($AK30*12))/12,$AO30/$AS30)),IF($K30=0,0,($J30-$L30)/$AG30*$AC30)),0)</f>
        <v>0</v>
      </c>
      <c r="V30" s="32">
        <f t="shared" ca="1" si="8"/>
        <v>12733.333333333332</v>
      </c>
      <c r="W30" s="32">
        <f t="shared" ca="1" si="9"/>
        <v>6366.6666666666679</v>
      </c>
      <c r="X30" s="32">
        <f t="shared" ca="1" si="10"/>
        <v>0</v>
      </c>
      <c r="Y30" s="32">
        <f ca="1">IF($K30=0,0,IF(LEFT($AE30,1)="D",((($J30-$L30)*(1-((1-$AD30)^$AH30)))+(($J30-$L30)*(((1-$AD30)^$AH30)-((1-$AD30)^($AH30+1)))*IF('Set-up'!$E$9="Monthly",($Z30-($AH30*12))/12,$AL30/$AP30)))-(($J30-$L30)*(1-((1-$AD30)^$AJ30)))-(($J30-$L30)*(((1-$AD30)^$AJ30)-((1-$AD30)^($AJ30+1)))*IF('Set-up'!$E$9="Monthly",($AB30-($AJ30*12))/12,$AN30/$AR30)),(($J30-$L30)/$AG30*$Z30)-(($J30-$L30)/$AG30*$AB30)))</f>
        <v>318.33333333333212</v>
      </c>
      <c r="Z30" s="5">
        <f ca="1">IF('Set-up'!$E$9="Daily",MIN(MAX(((IF($M30="-",$I$2,MIN($I$2,$M30-'Set-up'!$E$13))-(($I30+'Set-up'!$E$11)))+1),0),IF(LEFT($AE30,1)="D",MaxPeriod,$AG30)),MIN(MAX(((IF($M30="-",((YEAR($I$2)*12)+MONTH($I$2)),MIN(((YEAR($I$2)*12)+MONTH($I$2)),((YEAR($M30)*12)+MONTH($M30)-'Set-up'!$E$13)))-(((YEAR($I30)*12)+MONTH($I30)+'Set-up'!$E$11)))+1),0),IF(LEFT($AE30,1)="D",MaxPeriod,$AG30)))</f>
        <v>40</v>
      </c>
      <c r="AA30" s="5">
        <f ca="1">IF('Set-up'!$E$9="Daily",MIN(MAX(((IF($M30="-",$H$2-1,MIN($H$2-1,$M30-'Set-up'!$E$13))-($I30+'Set-up'!$E$11))+1),0),IF(LEFT($AE30,1)="D",MaxPeriod,$AG30)),MIN(MAX(((IF($M30="-",((YEAR($H$2)*12)+MONTH($H$2)-1),MIN(((YEAR($H$2)*12)+MONTH($H$2)-1),((YEAR($M30)*12)+MONTH($M30)-'Set-up'!$E$13)))-(((YEAR($I30)*12)+MONTH($I30)+'Set-up'!$E$11)))+1),0),IF(LEFT($AE30,1)="D",MaxPeriod,$AG30)))</f>
        <v>28</v>
      </c>
      <c r="AB30" s="5">
        <f ca="1">IF('Set-up'!$E$9="Daily",MIN(MAX(((IF($M30="-",$J$2-1,MIN($J$2-1,$M30-'Set-up'!$E$13))-($I30+'Set-up'!$E$11))+1),0),IF(LEFT($AE30,1)="D",MaxPeriod,$AG30)),MIN(MAX(((IF($M30="-",((YEAR($J$2)*12)+MONTH($J$2)-1),MIN(((YEAR($J$2)*12)+MONTH($J$2)-1),((YEAR($M30)*12)+MONTH($M30)-'Set-up'!$E$13)))-(((YEAR($I30)*12)+MONTH($I30)+'Set-up'!$E$11)))+1),0),IF(LEFT($AE30,1)="D",MaxPeriod,$AG30)))</f>
        <v>39</v>
      </c>
      <c r="AC30" s="5">
        <f ca="1">IF('Set-up'!$E$9="Daily",MIN(MAX(((IF($M30="-",0,$M30-'Set-up'!$E$13)-($I30+'Set-up'!$E$11))+1),0),IF(LEFT($AE30,1)="D",MaxPeriod,$AG30)),MIN(MAX(((IF($M30="-",0,((YEAR($M30)*12)+MONTH($M30)-'Set-up'!$E$13))-(((YEAR($I30)*12)+MONTH($I30)+'Set-up'!$E$11)))+1),0),IF(LEFT($AE30,1)="D",MaxPeriod,$AG30)))</f>
        <v>0</v>
      </c>
      <c r="AD30" s="33">
        <f t="shared" ca="1" si="6"/>
        <v>0</v>
      </c>
      <c r="AE30" s="34" t="str">
        <f t="shared" ca="1" si="11"/>
        <v>SL</v>
      </c>
      <c r="AF30" s="34">
        <f t="shared" ca="1" si="12"/>
        <v>1</v>
      </c>
      <c r="AG30" s="5">
        <f ca="1">IF('Set-up'!$E$9="Daily",(DATE(YEAR($I30)+$K30+(1-$AF30),MONTH($I30),DAY($I30))+'Set-up'!$E$11)-($I30+'Set-up'!$E$11),$K30*12)</f>
        <v>60</v>
      </c>
      <c r="AH30" s="5">
        <f ca="1">ROUNDDOWN(MIN(MAX(((IF($M30="-",((YEAR($I$2)*12)+MONTH($I$2)),MIN(((YEAR($I$2)*12)+MONTH($I$2)),((YEAR($M30)*12)+MONTH($M30)-'Set-up'!$E$13)))-(((YEAR($I30)*12)+MONTH($I30)+'Set-up'!$E$11)))),0),IF(LEFT($AE30,1)="D",MaxPeriod,$AG30))/12,0)</f>
        <v>3</v>
      </c>
      <c r="AI30" s="5">
        <f ca="1">ROUNDDOWN(MIN(MAX(((IF($M30="-",((YEAR($H$2)*12)+MONTH($H$2)-1),MIN(((YEAR($H$2)*12)+MONTH($H$2)-1),((YEAR($M30)*12)+MONTH($M30)-'Set-up'!$E$13)))-(((YEAR($I30)*12)+MONTH($I30)+'Set-up'!$E$11)))),0),IF(LEFT($AE30,1)="D",MaxPeriod,$AG30))/12,0)</f>
        <v>2</v>
      </c>
      <c r="AJ30" s="5">
        <f ca="1">ROUNDDOWN(MIN(MAX(((IF($M30="-",((YEAR($J$2)*12)+MONTH($J$2)-1),MIN(((YEAR($J$2)*12)+MONTH($J$2)-1),((YEAR($M30)*12)+MONTH($M30)-'Set-up'!$E$13)))-(((YEAR($I30)*12)+MONTH($I30)+'Set-up'!$E$11)))),0),IF(LEFT($AE30,1)="D",MaxPeriod,$AG30))/12,0)</f>
        <v>3</v>
      </c>
      <c r="AK30" s="5">
        <f ca="1">ROUNDDOWN(MIN(MAX(((IF($M30="-",0,((YEAR($M30)*12)+MONTH($M30)-'Set-up'!$E$13))-(((YEAR($I30)*12)+MONTH($I30)+'Set-up'!$E$11)))),0),IF(LEFT($AE30,1)="D",MaxPeriod,$AG30))/12,0)</f>
        <v>0</v>
      </c>
      <c r="AL30" s="5">
        <f>IF('Set-up'!$E$9="Daily",MIN(MAX(((IF($M30="-",$I$2,MIN($I$2,$M30-'Set-up'!$E$13))-((DATE(YEAR($I30)+$AH30,MONTH($I30),DAY($I30))+'Set-up'!$E$11)))+1),0),IF(LEFT($AE30,1)="D",MaxPeriod,$AG30)),0)</f>
        <v>0</v>
      </c>
      <c r="AM30" s="5">
        <f>IF('Set-up'!$E$9="Daily",MIN(MAX(((IF($M30="-",$H$2-1,MIN($H$2-1,$M30-'Set-up'!$E$13))-(DATE(YEAR($I30)+$AI30,MONTH($I30),DAY($I30))+'Set-up'!$E$11))+1),0),IF(LEFT($AE30,1)="D",MaxPeriod,$AG30)),0)</f>
        <v>0</v>
      </c>
      <c r="AN30" s="5">
        <f>IF('Set-up'!$E$9="Daily",MIN(MAX(((IF($M30="-",$J$2-1,MIN($J$2-1,$M30-'Set-up'!$E$13))-(DATE(YEAR($I30)+$AJ30,MONTH($I30),DAY($I30))+'Set-up'!$E$11))+1),0),IF(LEFT($AE30,1)="D",MaxPeriod,$AG30)),0)</f>
        <v>0</v>
      </c>
      <c r="AO30" s="5">
        <f>IF('Set-up'!$E$9="Daily",MIN(MAX(((IF($M30="-",0,$M30-'Set-up'!$E$13)-(DATE(YEAR($I30)+$AK30,MONTH($I30),DAY($I30))+'Set-up'!$E$11))+1),0),IF(LEFT($AE30,1)="D",MaxPeriod,$AG30)),0)</f>
        <v>0</v>
      </c>
      <c r="AP30" s="5">
        <f>IF('Set-up'!$E$9="Daily",DATE(YEAR($I30)+$AH30+1,MONTH($I30),DAY($I30))-DATE(YEAR($I30)+$AH30,MONTH($I30),DAY($I30)),0)</f>
        <v>0</v>
      </c>
      <c r="AQ30" s="5">
        <f>IF('Set-up'!$E$9="Daily",DATE(YEAR($I30)+$AI30+1,MONTH($I30),DAY($I30))-DATE(YEAR($I30)+$AI30,MONTH($I30),DAY($I30)),0)</f>
        <v>0</v>
      </c>
      <c r="AR30" s="5">
        <f>IF('Set-up'!$E$9="Daily",DATE(YEAR($I30)+$AJ30+1,MONTH($I30),DAY($I30))-DATE(YEAR($I30)+$AJ30,MONTH($I30),DAY($I30)),0)</f>
        <v>0</v>
      </c>
      <c r="AS30" s="5">
        <f>IF('Set-up'!$E$9="Daily",DATE(YEAR($I30)+$AK30+1,MONTH($I30),DAY($I30))-DATE(YEAR($I30)+$AK30,MONTH($I30),DAY($I30)),0)</f>
        <v>0</v>
      </c>
    </row>
    <row r="31" spans="1:45" ht="16" customHeight="1" x14ac:dyDescent="0.25">
      <c r="A31" s="9" t="s">
        <v>241</v>
      </c>
      <c r="B31" s="9">
        <v>187381</v>
      </c>
      <c r="C31" s="9" t="s">
        <v>34</v>
      </c>
      <c r="D31" s="5" t="s">
        <v>90</v>
      </c>
      <c r="E31" s="5" t="s">
        <v>168</v>
      </c>
      <c r="F31" s="5" t="s">
        <v>340</v>
      </c>
      <c r="G31" s="5" t="str" cm="1">
        <f t="array" aca="1" ref="G31" ca="1">IF(COUNTIF(AssetCode,$A31)&gt;1,"E1",IF(ISNA(VLOOKUP($E31,CatAll,1,0))=TRUE,"E2",IF($I31="Add!","E10","-")))</f>
        <v>-</v>
      </c>
      <c r="H31" s="5" t="str">
        <f t="shared" ca="1" si="0"/>
        <v>PM</v>
      </c>
      <c r="I31" s="30" cm="1">
        <f t="array" aca="1" ref="I31" ca="1">IF(SUMIFS(TransIDDate,TransAsset,$A31,TransType,"ACQ")=0,"Add!",SUMIFS(TransIDDate,TransAsset,$A31,TransType,"ACQ"))</f>
        <v>43151</v>
      </c>
      <c r="J31" s="32">
        <f t="shared" ca="1" si="1"/>
        <v>36900</v>
      </c>
      <c r="K31" s="57">
        <f t="shared" ca="1" si="2"/>
        <v>5</v>
      </c>
      <c r="L31" s="32">
        <f t="shared" ca="1" si="3"/>
        <v>0</v>
      </c>
      <c r="M31" s="30" t="str" cm="1">
        <f t="array" ref="M31">IF(SUMIFS(TransIDDate,TransAsset,$A31,TransType,"DIS")=0,"-",IF(SUMIFS(TransIDDate,TransAsset,$A31,TransType,"DIS")&lt;=$I$2,SUMIFS(TransIDDate,TransAsset,$A31,TransType,"DIS"),"-"))</f>
        <v>-</v>
      </c>
      <c r="N31" s="31" cm="1">
        <f t="array" aca="1" ref="N31" ca="1">IF($M31&lt;=$I$2,SUMIFS(TransProceeds,TransAsset,$A31,TransType,"DIS"),0)</f>
        <v>0</v>
      </c>
      <c r="O31" s="32" cm="1">
        <f t="array" aca="1" ref="O31" ca="1">IF(AND($M31&lt;&gt;"-",$M31&lt;$H$2),0,SUMIFS(TransAmount,TransAsset,$A31,TransIDDate,"&lt;"&amp;$H$2,TransType,"ACQ"))</f>
        <v>36900</v>
      </c>
      <c r="P31" s="32">
        <f t="shared" ca="1" si="4"/>
        <v>0</v>
      </c>
      <c r="Q31" s="32">
        <f t="shared" ca="1" si="5"/>
        <v>0</v>
      </c>
      <c r="R31" s="32">
        <f t="shared" ca="1" si="7"/>
        <v>36900</v>
      </c>
      <c r="S31" s="32">
        <f ca="1">IF(AND($M31&lt;&gt;"-",$M31&lt;$H$2),0,IF($K31=0,0,IF(LEFT($AE31,1)="D",(($J31-$L31)*(1-((1-$AD31)^$AI31)))+(($J31-$L31)*(((1-$AD31)^$AI31)-((1-$AD31)^($AI31+1)))*IF('Set-up'!$E$9="Monthly",($AA31-($AI31*12))/12,$AM31/$AQ31)),($J31-$L31)/$AG31*$AA31)))</f>
        <v>15375</v>
      </c>
      <c r="T31" s="32">
        <f ca="1">IF($K31=0,0,IF(LEFT($AE31,1)="D",((($J31-$L31)*(1-((1-$AD31)^$AH31)))+(($J31-$L31)*(((1-$AD31)^$AH31)-((1-$AD31)^($AH31+1)))*IF('Set-up'!$E$9="Monthly",($Z31-($AH31*12))/12,$AL31/$AP31)))-(($J31-$L31)*(1-((1-$AD31)^$AI31)))-(($J31-$L31)*(((1-$AD31)^$AI31)-((1-$AD31)^($AI31+1)))*IF('Set-up'!$E$9="Monthly",($AA31-($AI31*12))/12,$AM31/$AQ31)),(($J31-$L31)/$AG31*$Z31)-(($J31-$L31)/$AG31*$AA31)))</f>
        <v>7380</v>
      </c>
      <c r="U31" s="32">
        <f ca="1">-IF(AND($M31&gt;=$H$2,$M31&lt;=$I$2),IF(LEFT($AE31,1)="D",(($J31-$L31)*(1-((1-$AD31)^$AK31)))+(($J31-$L31)*(((1-$AD31)^$AK31)-((1-$AD31)^($AK31+1)))*IF('Set-up'!$E$9="Monthly",($AC31-($AK31*12))/12,$AO31/$AS31)),IF($K31=0,0,($J31-$L31)/$AG31*$AC31)),0)</f>
        <v>0</v>
      </c>
      <c r="V31" s="32">
        <f t="shared" ca="1" si="8"/>
        <v>22755</v>
      </c>
      <c r="W31" s="32">
        <f t="shared" ca="1" si="9"/>
        <v>14145</v>
      </c>
      <c r="X31" s="32">
        <f t="shared" ca="1" si="10"/>
        <v>0</v>
      </c>
      <c r="Y31" s="32">
        <f ca="1">IF($K31=0,0,IF(LEFT($AE31,1)="D",((($J31-$L31)*(1-((1-$AD31)^$AH31)))+(($J31-$L31)*(((1-$AD31)^$AH31)-((1-$AD31)^($AH31+1)))*IF('Set-up'!$E$9="Monthly",($Z31-($AH31*12))/12,$AL31/$AP31)))-(($J31-$L31)*(1-((1-$AD31)^$AJ31)))-(($J31-$L31)*(((1-$AD31)^$AJ31)-((1-$AD31)^($AJ31+1)))*IF('Set-up'!$E$9="Monthly",($AB31-($AJ31*12))/12,$AN31/$AR31)),(($J31-$L31)/$AG31*$Z31)-(($J31-$L31)/$AG31*$AB31)))</f>
        <v>615</v>
      </c>
      <c r="Z31" s="5">
        <f ca="1">IF('Set-up'!$E$9="Daily",MIN(MAX(((IF($M31="-",$I$2,MIN($I$2,$M31-'Set-up'!$E$13))-(($I31+'Set-up'!$E$11)))+1),0),IF(LEFT($AE31,1)="D",MaxPeriod,$AG31)),MIN(MAX(((IF($M31="-",((YEAR($I$2)*12)+MONTH($I$2)),MIN(((YEAR($I$2)*12)+MONTH($I$2)),((YEAR($M31)*12)+MONTH($M31)-'Set-up'!$E$13)))-(((YEAR($I31)*12)+MONTH($I31)+'Set-up'!$E$11)))+1),0),IF(LEFT($AE31,1)="D",MaxPeriod,$AG31)))</f>
        <v>37</v>
      </c>
      <c r="AA31" s="5">
        <f ca="1">IF('Set-up'!$E$9="Daily",MIN(MAX(((IF($M31="-",$H$2-1,MIN($H$2-1,$M31-'Set-up'!$E$13))-($I31+'Set-up'!$E$11))+1),0),IF(LEFT($AE31,1)="D",MaxPeriod,$AG31)),MIN(MAX(((IF($M31="-",((YEAR($H$2)*12)+MONTH($H$2)-1),MIN(((YEAR($H$2)*12)+MONTH($H$2)-1),((YEAR($M31)*12)+MONTH($M31)-'Set-up'!$E$13)))-(((YEAR($I31)*12)+MONTH($I31)+'Set-up'!$E$11)))+1),0),IF(LEFT($AE31,1)="D",MaxPeriod,$AG31)))</f>
        <v>25</v>
      </c>
      <c r="AB31" s="5">
        <f ca="1">IF('Set-up'!$E$9="Daily",MIN(MAX(((IF($M31="-",$J$2-1,MIN($J$2-1,$M31-'Set-up'!$E$13))-($I31+'Set-up'!$E$11))+1),0),IF(LEFT($AE31,1)="D",MaxPeriod,$AG31)),MIN(MAX(((IF($M31="-",((YEAR($J$2)*12)+MONTH($J$2)-1),MIN(((YEAR($J$2)*12)+MONTH($J$2)-1),((YEAR($M31)*12)+MONTH($M31)-'Set-up'!$E$13)))-(((YEAR($I31)*12)+MONTH($I31)+'Set-up'!$E$11)))+1),0),IF(LEFT($AE31,1)="D",MaxPeriod,$AG31)))</f>
        <v>36</v>
      </c>
      <c r="AC31" s="5">
        <f ca="1">IF('Set-up'!$E$9="Daily",MIN(MAX(((IF($M31="-",0,$M31-'Set-up'!$E$13)-($I31+'Set-up'!$E$11))+1),0),IF(LEFT($AE31,1)="D",MaxPeriod,$AG31)),MIN(MAX(((IF($M31="-",0,((YEAR($M31)*12)+MONTH($M31)-'Set-up'!$E$13))-(((YEAR($I31)*12)+MONTH($I31)+'Set-up'!$E$11)))+1),0),IF(LEFT($AE31,1)="D",MaxPeriod,$AG31)))</f>
        <v>0</v>
      </c>
      <c r="AD31" s="33">
        <f t="shared" ca="1" si="6"/>
        <v>0</v>
      </c>
      <c r="AE31" s="34" t="str">
        <f t="shared" ca="1" si="11"/>
        <v>SL</v>
      </c>
      <c r="AF31" s="34">
        <f t="shared" ca="1" si="12"/>
        <v>1</v>
      </c>
      <c r="AG31" s="5">
        <f ca="1">IF('Set-up'!$E$9="Daily",(DATE(YEAR($I31)+$K31+(1-$AF31),MONTH($I31),DAY($I31))+'Set-up'!$E$11)-($I31+'Set-up'!$E$11),$K31*12)</f>
        <v>60</v>
      </c>
      <c r="AH31" s="5">
        <f ca="1">ROUNDDOWN(MIN(MAX(((IF($M31="-",((YEAR($I$2)*12)+MONTH($I$2)),MIN(((YEAR($I$2)*12)+MONTH($I$2)),((YEAR($M31)*12)+MONTH($M31)-'Set-up'!$E$13)))-(((YEAR($I31)*12)+MONTH($I31)+'Set-up'!$E$11)))),0),IF(LEFT($AE31,1)="D",MaxPeriod,$AG31))/12,0)</f>
        <v>3</v>
      </c>
      <c r="AI31" s="5">
        <f ca="1">ROUNDDOWN(MIN(MAX(((IF($M31="-",((YEAR($H$2)*12)+MONTH($H$2)-1),MIN(((YEAR($H$2)*12)+MONTH($H$2)-1),((YEAR($M31)*12)+MONTH($M31)-'Set-up'!$E$13)))-(((YEAR($I31)*12)+MONTH($I31)+'Set-up'!$E$11)))),0),IF(LEFT($AE31,1)="D",MaxPeriod,$AG31))/12,0)</f>
        <v>2</v>
      </c>
      <c r="AJ31" s="5">
        <f ca="1">ROUNDDOWN(MIN(MAX(((IF($M31="-",((YEAR($J$2)*12)+MONTH($J$2)-1),MIN(((YEAR($J$2)*12)+MONTH($J$2)-1),((YEAR($M31)*12)+MONTH($M31)-'Set-up'!$E$13)))-(((YEAR($I31)*12)+MONTH($I31)+'Set-up'!$E$11)))),0),IF(LEFT($AE31,1)="D",MaxPeriod,$AG31))/12,0)</f>
        <v>2</v>
      </c>
      <c r="AK31" s="5">
        <f ca="1">ROUNDDOWN(MIN(MAX(((IF($M31="-",0,((YEAR($M31)*12)+MONTH($M31)-'Set-up'!$E$13))-(((YEAR($I31)*12)+MONTH($I31)+'Set-up'!$E$11)))),0),IF(LEFT($AE31,1)="D",MaxPeriod,$AG31))/12,0)</f>
        <v>0</v>
      </c>
      <c r="AL31" s="5">
        <f>IF('Set-up'!$E$9="Daily",MIN(MAX(((IF($M31="-",$I$2,MIN($I$2,$M31-'Set-up'!$E$13))-((DATE(YEAR($I31)+$AH31,MONTH($I31),DAY($I31))+'Set-up'!$E$11)))+1),0),IF(LEFT($AE31,1)="D",MaxPeriod,$AG31)),0)</f>
        <v>0</v>
      </c>
      <c r="AM31" s="5">
        <f>IF('Set-up'!$E$9="Daily",MIN(MAX(((IF($M31="-",$H$2-1,MIN($H$2-1,$M31-'Set-up'!$E$13))-(DATE(YEAR($I31)+$AI31,MONTH($I31),DAY($I31))+'Set-up'!$E$11))+1),0),IF(LEFT($AE31,1)="D",MaxPeriod,$AG31)),0)</f>
        <v>0</v>
      </c>
      <c r="AN31" s="5">
        <f>IF('Set-up'!$E$9="Daily",MIN(MAX(((IF($M31="-",$J$2-1,MIN($J$2-1,$M31-'Set-up'!$E$13))-(DATE(YEAR($I31)+$AJ31,MONTH($I31),DAY($I31))+'Set-up'!$E$11))+1),0),IF(LEFT($AE31,1)="D",MaxPeriod,$AG31)),0)</f>
        <v>0</v>
      </c>
      <c r="AO31" s="5">
        <f>IF('Set-up'!$E$9="Daily",MIN(MAX(((IF($M31="-",0,$M31-'Set-up'!$E$13)-(DATE(YEAR($I31)+$AK31,MONTH($I31),DAY($I31))+'Set-up'!$E$11))+1),0),IF(LEFT($AE31,1)="D",MaxPeriod,$AG31)),0)</f>
        <v>0</v>
      </c>
      <c r="AP31" s="5">
        <f>IF('Set-up'!$E$9="Daily",DATE(YEAR($I31)+$AH31+1,MONTH($I31),DAY($I31))-DATE(YEAR($I31)+$AH31,MONTH($I31),DAY($I31)),0)</f>
        <v>0</v>
      </c>
      <c r="AQ31" s="5">
        <f>IF('Set-up'!$E$9="Daily",DATE(YEAR($I31)+$AI31+1,MONTH($I31),DAY($I31))-DATE(YEAR($I31)+$AI31,MONTH($I31),DAY($I31)),0)</f>
        <v>0</v>
      </c>
      <c r="AR31" s="5">
        <f>IF('Set-up'!$E$9="Daily",DATE(YEAR($I31)+$AJ31+1,MONTH($I31),DAY($I31))-DATE(YEAR($I31)+$AJ31,MONTH($I31),DAY($I31)),0)</f>
        <v>0</v>
      </c>
      <c r="AS31" s="5">
        <f>IF('Set-up'!$E$9="Daily",DATE(YEAR($I31)+$AK31+1,MONTH($I31),DAY($I31))-DATE(YEAR($I31)+$AK31,MONTH($I31),DAY($I31)),0)</f>
        <v>0</v>
      </c>
    </row>
    <row r="32" spans="1:45" ht="16" customHeight="1" x14ac:dyDescent="0.25">
      <c r="A32" s="9" t="s">
        <v>242</v>
      </c>
      <c r="B32" s="9">
        <v>535624</v>
      </c>
      <c r="C32" s="9" t="s">
        <v>157</v>
      </c>
      <c r="D32" s="5" t="s">
        <v>90</v>
      </c>
      <c r="E32" s="5" t="s">
        <v>168</v>
      </c>
      <c r="F32" s="5" t="s">
        <v>340</v>
      </c>
      <c r="G32" s="5" t="str" cm="1">
        <f t="array" aca="1" ref="G32" ca="1">IF(COUNTIF(AssetCode,$A32)&gt;1,"E1",IF(ISNA(VLOOKUP($E32,CatAll,1,0))=TRUE,"E2",IF($I32="Add!","E10","-")))</f>
        <v>-</v>
      </c>
      <c r="H32" s="5" t="str">
        <f t="shared" ca="1" si="0"/>
        <v>PM</v>
      </c>
      <c r="I32" s="30" cm="1">
        <f t="array" aca="1" ref="I32" ca="1">IF(SUMIFS(TransIDDate,TransAsset,$A32,TransType,"ACQ")=0,"Add!",SUMIFS(TransIDDate,TransAsset,$A32,TransType,"ACQ"))</f>
        <v>43327</v>
      </c>
      <c r="J32" s="32">
        <f t="shared" ca="1" si="1"/>
        <v>40000</v>
      </c>
      <c r="K32" s="57">
        <f t="shared" ca="1" si="2"/>
        <v>5</v>
      </c>
      <c r="L32" s="32">
        <f t="shared" ca="1" si="3"/>
        <v>0</v>
      </c>
      <c r="M32" s="30" t="str" cm="1">
        <f t="array" ref="M32">IF(SUMIFS(TransIDDate,TransAsset,$A32,TransType,"DIS")=0,"-",IF(SUMIFS(TransIDDate,TransAsset,$A32,TransType,"DIS")&lt;=$I$2,SUMIFS(TransIDDate,TransAsset,$A32,TransType,"DIS"),"-"))</f>
        <v>-</v>
      </c>
      <c r="N32" s="31" cm="1">
        <f t="array" aca="1" ref="N32" ca="1">IF($M32&lt;=$I$2,SUMIFS(TransProceeds,TransAsset,$A32,TransType,"DIS"),0)</f>
        <v>0</v>
      </c>
      <c r="O32" s="32" cm="1">
        <f t="array" aca="1" ref="O32" ca="1">IF(AND($M32&lt;&gt;"-",$M32&lt;$H$2),0,SUMIFS(TransAmount,TransAsset,$A32,TransIDDate,"&lt;"&amp;$H$2,TransType,"ACQ"))</f>
        <v>40000</v>
      </c>
      <c r="P32" s="32">
        <f t="shared" ca="1" si="4"/>
        <v>0</v>
      </c>
      <c r="Q32" s="32">
        <f t="shared" ca="1" si="5"/>
        <v>0</v>
      </c>
      <c r="R32" s="32">
        <f t="shared" ca="1" si="7"/>
        <v>40000</v>
      </c>
      <c r="S32" s="32">
        <f ca="1">IF(AND($M32&lt;&gt;"-",$M32&lt;$H$2),0,IF($K32=0,0,IF(LEFT($AE32,1)="D",(($J32-$L32)*(1-((1-$AD32)^$AI32)))+(($J32-$L32)*(((1-$AD32)^$AI32)-((1-$AD32)^($AI32+1)))*IF('Set-up'!$E$9="Monthly",($AA32-($AI32*12))/12,$AM32/$AQ32)),($J32-$L32)/$AG32*$AA32)))</f>
        <v>12666.666666666666</v>
      </c>
      <c r="T32" s="32">
        <f ca="1">IF($K32=0,0,IF(LEFT($AE32,1)="D",((($J32-$L32)*(1-((1-$AD32)^$AH32)))+(($J32-$L32)*(((1-$AD32)^$AH32)-((1-$AD32)^($AH32+1)))*IF('Set-up'!$E$9="Monthly",($Z32-($AH32*12))/12,$AL32/$AP32)))-(($J32-$L32)*(1-((1-$AD32)^$AI32)))-(($J32-$L32)*(((1-$AD32)^$AI32)-((1-$AD32)^($AI32+1)))*IF('Set-up'!$E$9="Monthly",($AA32-($AI32*12))/12,$AM32/$AQ32)),(($J32-$L32)/$AG32*$Z32)-(($J32-$L32)/$AG32*$AA32)))</f>
        <v>7999.9999999999982</v>
      </c>
      <c r="U32" s="32">
        <f ca="1">-IF(AND($M32&gt;=$H$2,$M32&lt;=$I$2),IF(LEFT($AE32,1)="D",(($J32-$L32)*(1-((1-$AD32)^$AK32)))+(($J32-$L32)*(((1-$AD32)^$AK32)-((1-$AD32)^($AK32+1)))*IF('Set-up'!$E$9="Monthly",($AC32-($AK32*12))/12,$AO32/$AS32)),IF($K32=0,0,($J32-$L32)/$AG32*$AC32)),0)</f>
        <v>0</v>
      </c>
      <c r="V32" s="32">
        <f t="shared" ca="1" si="8"/>
        <v>20666.666666666664</v>
      </c>
      <c r="W32" s="32">
        <f t="shared" ca="1" si="9"/>
        <v>19333.333333333336</v>
      </c>
      <c r="X32" s="32">
        <f t="shared" ca="1" si="10"/>
        <v>0</v>
      </c>
      <c r="Y32" s="32">
        <f ca="1">IF($K32=0,0,IF(LEFT($AE32,1)="D",((($J32-$L32)*(1-((1-$AD32)^$AH32)))+(($J32-$L32)*(((1-$AD32)^$AH32)-((1-$AD32)^($AH32+1)))*IF('Set-up'!$E$9="Monthly",($Z32-($AH32*12))/12,$AL32/$AP32)))-(($J32-$L32)*(1-((1-$AD32)^$AJ32)))-(($J32-$L32)*(((1-$AD32)^$AJ32)-((1-$AD32)^($AJ32+1)))*IF('Set-up'!$E$9="Monthly",($AB32-($AJ32*12))/12,$AN32/$AR32)),(($J32-$L32)/$AG32*$Z32)-(($J32-$L32)/$AG32*$AB32)))</f>
        <v>666.66666666666424</v>
      </c>
      <c r="Z32" s="5">
        <f ca="1">IF('Set-up'!$E$9="Daily",MIN(MAX(((IF($M32="-",$I$2,MIN($I$2,$M32-'Set-up'!$E$13))-(($I32+'Set-up'!$E$11)))+1),0),IF(LEFT($AE32,1)="D",MaxPeriod,$AG32)),MIN(MAX(((IF($M32="-",((YEAR($I$2)*12)+MONTH($I$2)),MIN(((YEAR($I$2)*12)+MONTH($I$2)),((YEAR($M32)*12)+MONTH($M32)-'Set-up'!$E$13)))-(((YEAR($I32)*12)+MONTH($I32)+'Set-up'!$E$11)))+1),0),IF(LEFT($AE32,1)="D",MaxPeriod,$AG32)))</f>
        <v>31</v>
      </c>
      <c r="AA32" s="5">
        <f ca="1">IF('Set-up'!$E$9="Daily",MIN(MAX(((IF($M32="-",$H$2-1,MIN($H$2-1,$M32-'Set-up'!$E$13))-($I32+'Set-up'!$E$11))+1),0),IF(LEFT($AE32,1)="D",MaxPeriod,$AG32)),MIN(MAX(((IF($M32="-",((YEAR($H$2)*12)+MONTH($H$2)-1),MIN(((YEAR($H$2)*12)+MONTH($H$2)-1),((YEAR($M32)*12)+MONTH($M32)-'Set-up'!$E$13)))-(((YEAR($I32)*12)+MONTH($I32)+'Set-up'!$E$11)))+1),0),IF(LEFT($AE32,1)="D",MaxPeriod,$AG32)))</f>
        <v>19</v>
      </c>
      <c r="AB32" s="5">
        <f ca="1">IF('Set-up'!$E$9="Daily",MIN(MAX(((IF($M32="-",$J$2-1,MIN($J$2-1,$M32-'Set-up'!$E$13))-($I32+'Set-up'!$E$11))+1),0),IF(LEFT($AE32,1)="D",MaxPeriod,$AG32)),MIN(MAX(((IF($M32="-",((YEAR($J$2)*12)+MONTH($J$2)-1),MIN(((YEAR($J$2)*12)+MONTH($J$2)-1),((YEAR($M32)*12)+MONTH($M32)-'Set-up'!$E$13)))-(((YEAR($I32)*12)+MONTH($I32)+'Set-up'!$E$11)))+1),0),IF(LEFT($AE32,1)="D",MaxPeriod,$AG32)))</f>
        <v>30</v>
      </c>
      <c r="AC32" s="5">
        <f ca="1">IF('Set-up'!$E$9="Daily",MIN(MAX(((IF($M32="-",0,$M32-'Set-up'!$E$13)-($I32+'Set-up'!$E$11))+1),0),IF(LEFT($AE32,1)="D",MaxPeriod,$AG32)),MIN(MAX(((IF($M32="-",0,((YEAR($M32)*12)+MONTH($M32)-'Set-up'!$E$13))-(((YEAR($I32)*12)+MONTH($I32)+'Set-up'!$E$11)))+1),0),IF(LEFT($AE32,1)="D",MaxPeriod,$AG32)))</f>
        <v>0</v>
      </c>
      <c r="AD32" s="33">
        <f t="shared" ca="1" si="6"/>
        <v>0</v>
      </c>
      <c r="AE32" s="34" t="str">
        <f t="shared" ca="1" si="11"/>
        <v>SL</v>
      </c>
      <c r="AF32" s="34">
        <f t="shared" ca="1" si="12"/>
        <v>1</v>
      </c>
      <c r="AG32" s="5">
        <f ca="1">IF('Set-up'!$E$9="Daily",(DATE(YEAR($I32)+$K32+(1-$AF32),MONTH($I32),DAY($I32))+'Set-up'!$E$11)-($I32+'Set-up'!$E$11),$K32*12)</f>
        <v>60</v>
      </c>
      <c r="AH32" s="5">
        <f ca="1">ROUNDDOWN(MIN(MAX(((IF($M32="-",((YEAR($I$2)*12)+MONTH($I$2)),MIN(((YEAR($I$2)*12)+MONTH($I$2)),((YEAR($M32)*12)+MONTH($M32)-'Set-up'!$E$13)))-(((YEAR($I32)*12)+MONTH($I32)+'Set-up'!$E$11)))),0),IF(LEFT($AE32,1)="D",MaxPeriod,$AG32))/12,0)</f>
        <v>2</v>
      </c>
      <c r="AI32" s="5">
        <f ca="1">ROUNDDOWN(MIN(MAX(((IF($M32="-",((YEAR($H$2)*12)+MONTH($H$2)-1),MIN(((YEAR($H$2)*12)+MONTH($H$2)-1),((YEAR($M32)*12)+MONTH($M32)-'Set-up'!$E$13)))-(((YEAR($I32)*12)+MONTH($I32)+'Set-up'!$E$11)))),0),IF(LEFT($AE32,1)="D",MaxPeriod,$AG32))/12,0)</f>
        <v>1</v>
      </c>
      <c r="AJ32" s="5">
        <f ca="1">ROUNDDOWN(MIN(MAX(((IF($M32="-",((YEAR($J$2)*12)+MONTH($J$2)-1),MIN(((YEAR($J$2)*12)+MONTH($J$2)-1),((YEAR($M32)*12)+MONTH($M32)-'Set-up'!$E$13)))-(((YEAR($I32)*12)+MONTH($I32)+'Set-up'!$E$11)))),0),IF(LEFT($AE32,1)="D",MaxPeriod,$AG32))/12,0)</f>
        <v>2</v>
      </c>
      <c r="AK32" s="5">
        <f ca="1">ROUNDDOWN(MIN(MAX(((IF($M32="-",0,((YEAR($M32)*12)+MONTH($M32)-'Set-up'!$E$13))-(((YEAR($I32)*12)+MONTH($I32)+'Set-up'!$E$11)))),0),IF(LEFT($AE32,1)="D",MaxPeriod,$AG32))/12,0)</f>
        <v>0</v>
      </c>
      <c r="AL32" s="5">
        <f>IF('Set-up'!$E$9="Daily",MIN(MAX(((IF($M32="-",$I$2,MIN($I$2,$M32-'Set-up'!$E$13))-((DATE(YEAR($I32)+$AH32,MONTH($I32),DAY($I32))+'Set-up'!$E$11)))+1),0),IF(LEFT($AE32,1)="D",MaxPeriod,$AG32)),0)</f>
        <v>0</v>
      </c>
      <c r="AM32" s="5">
        <f>IF('Set-up'!$E$9="Daily",MIN(MAX(((IF($M32="-",$H$2-1,MIN($H$2-1,$M32-'Set-up'!$E$13))-(DATE(YEAR($I32)+$AI32,MONTH($I32),DAY($I32))+'Set-up'!$E$11))+1),0),IF(LEFT($AE32,1)="D",MaxPeriod,$AG32)),0)</f>
        <v>0</v>
      </c>
      <c r="AN32" s="5">
        <f>IF('Set-up'!$E$9="Daily",MIN(MAX(((IF($M32="-",$J$2-1,MIN($J$2-1,$M32-'Set-up'!$E$13))-(DATE(YEAR($I32)+$AJ32,MONTH($I32),DAY($I32))+'Set-up'!$E$11))+1),0),IF(LEFT($AE32,1)="D",MaxPeriod,$AG32)),0)</f>
        <v>0</v>
      </c>
      <c r="AO32" s="5">
        <f>IF('Set-up'!$E$9="Daily",MIN(MAX(((IF($M32="-",0,$M32-'Set-up'!$E$13)-(DATE(YEAR($I32)+$AK32,MONTH($I32),DAY($I32))+'Set-up'!$E$11))+1),0),IF(LEFT($AE32,1)="D",MaxPeriod,$AG32)),0)</f>
        <v>0</v>
      </c>
      <c r="AP32" s="5">
        <f>IF('Set-up'!$E$9="Daily",DATE(YEAR($I32)+$AH32+1,MONTH($I32),DAY($I32))-DATE(YEAR($I32)+$AH32,MONTH($I32),DAY($I32)),0)</f>
        <v>0</v>
      </c>
      <c r="AQ32" s="5">
        <f>IF('Set-up'!$E$9="Daily",DATE(YEAR($I32)+$AI32+1,MONTH($I32),DAY($I32))-DATE(YEAR($I32)+$AI32,MONTH($I32),DAY($I32)),0)</f>
        <v>0</v>
      </c>
      <c r="AR32" s="5">
        <f>IF('Set-up'!$E$9="Daily",DATE(YEAR($I32)+$AJ32+1,MONTH($I32),DAY($I32))-DATE(YEAR($I32)+$AJ32,MONTH($I32),DAY($I32)),0)</f>
        <v>0</v>
      </c>
      <c r="AS32" s="5">
        <f>IF('Set-up'!$E$9="Daily",DATE(YEAR($I32)+$AK32+1,MONTH($I32),DAY($I32))-DATE(YEAR($I32)+$AK32,MONTH($I32),DAY($I32)),0)</f>
        <v>0</v>
      </c>
    </row>
    <row r="33" spans="1:46" ht="16" customHeight="1" x14ac:dyDescent="0.25">
      <c r="A33" s="9" t="s">
        <v>243</v>
      </c>
      <c r="B33" s="9">
        <v>892946</v>
      </c>
      <c r="C33" s="9" t="s">
        <v>37</v>
      </c>
      <c r="D33" s="5" t="s">
        <v>90</v>
      </c>
      <c r="E33" s="5" t="s">
        <v>168</v>
      </c>
      <c r="F33" s="5" t="s">
        <v>340</v>
      </c>
      <c r="G33" s="5" t="str" cm="1">
        <f t="array" aca="1" ref="G33" ca="1">IF(COUNTIF(AssetCode,$A33)&gt;1,"E1",IF(ISNA(VLOOKUP($E33,CatAll,1,0))=TRUE,"E2",IF($I33="Add!","E10","-")))</f>
        <v>-</v>
      </c>
      <c r="H33" s="5" t="str">
        <f t="shared" ca="1" si="0"/>
        <v>PM</v>
      </c>
      <c r="I33" s="30" cm="1">
        <f t="array" aca="1" ref="I33" ca="1">IF(SUMIFS(TransIDDate,TransAsset,$A33,TransType,"ACQ")=0,"Add!",SUMIFS(TransIDDate,TransAsset,$A33,TransType,"ACQ"))</f>
        <v>44185</v>
      </c>
      <c r="J33" s="32">
        <f t="shared" ca="1" si="1"/>
        <v>18999</v>
      </c>
      <c r="K33" s="57">
        <f t="shared" ca="1" si="2"/>
        <v>5</v>
      </c>
      <c r="L33" s="32">
        <f t="shared" ca="1" si="3"/>
        <v>0</v>
      </c>
      <c r="M33" s="30" t="str" cm="1">
        <f t="array" ref="M33">IF(SUMIFS(TransIDDate,TransAsset,$A33,TransType,"DIS")=0,"-",IF(SUMIFS(TransIDDate,TransAsset,$A33,TransType,"DIS")&lt;=$I$2,SUMIFS(TransIDDate,TransAsset,$A33,TransType,"DIS"),"-"))</f>
        <v>-</v>
      </c>
      <c r="N33" s="31" cm="1">
        <f t="array" aca="1" ref="N33" ca="1">IF($M33&lt;=$I$2,SUMIFS(TransProceeds,TransAsset,$A33,TransType,"DIS"),0)</f>
        <v>0</v>
      </c>
      <c r="O33" s="32" cm="1">
        <f t="array" aca="1" ref="O33" ca="1">IF(AND($M33&lt;&gt;"-",$M33&lt;$H$2),0,SUMIFS(TransAmount,TransAsset,$A33,TransIDDate,"&lt;"&amp;$H$2,TransType,"ACQ"))</f>
        <v>0</v>
      </c>
      <c r="P33" s="32">
        <f t="shared" ca="1" si="4"/>
        <v>18999</v>
      </c>
      <c r="Q33" s="32">
        <f t="shared" ca="1" si="5"/>
        <v>0</v>
      </c>
      <c r="R33" s="32">
        <f t="shared" ca="1" si="7"/>
        <v>18999</v>
      </c>
      <c r="S33" s="32">
        <f ca="1">IF(AND($M33&lt;&gt;"-",$M33&lt;$H$2),0,IF($K33=0,0,IF(LEFT($AE33,1)="D",(($J33-$L33)*(1-((1-$AD33)^$AI33)))+(($J33-$L33)*(((1-$AD33)^$AI33)-((1-$AD33)^($AI33+1)))*IF('Set-up'!$E$9="Monthly",($AA33-($AI33*12))/12,$AM33/$AQ33)),($J33-$L33)/$AG33*$AA33)))</f>
        <v>0</v>
      </c>
      <c r="T33" s="32">
        <f ca="1">IF($K33=0,0,IF(LEFT($AE33,1)="D",((($J33-$L33)*(1-((1-$AD33)^$AH33)))+(($J33-$L33)*(((1-$AD33)^$AH33)-((1-$AD33)^($AH33+1)))*IF('Set-up'!$E$9="Monthly",($Z33-($AH33*12))/12,$AL33/$AP33)))-(($J33-$L33)*(1-((1-$AD33)^$AI33)))-(($J33-$L33)*(((1-$AD33)^$AI33)-((1-$AD33)^($AI33+1)))*IF('Set-up'!$E$9="Monthly",($AA33-($AI33*12))/12,$AM33/$AQ33)),(($J33-$L33)/$AG33*$Z33)-(($J33-$L33)/$AG33*$AA33)))</f>
        <v>949.94999999999993</v>
      </c>
      <c r="U33" s="32">
        <f ca="1">-IF(AND($M33&gt;=$H$2,$M33&lt;=$I$2),IF(LEFT($AE33,1)="D",(($J33-$L33)*(1-((1-$AD33)^$AK33)))+(($J33-$L33)*(((1-$AD33)^$AK33)-((1-$AD33)^($AK33+1)))*IF('Set-up'!$E$9="Monthly",($AC33-($AK33*12))/12,$AO33/$AS33)),IF($K33=0,0,($J33-$L33)/$AG33*$AC33)),0)</f>
        <v>0</v>
      </c>
      <c r="V33" s="32">
        <f t="shared" ca="1" si="8"/>
        <v>949.94999999999993</v>
      </c>
      <c r="W33" s="32">
        <f t="shared" ca="1" si="9"/>
        <v>18049.05</v>
      </c>
      <c r="X33" s="32">
        <f t="shared" ca="1" si="10"/>
        <v>0</v>
      </c>
      <c r="Y33" s="32">
        <f ca="1">IF($K33=0,0,IF(LEFT($AE33,1)="D",((($J33-$L33)*(1-((1-$AD33)^$AH33)))+(($J33-$L33)*(((1-$AD33)^$AH33)-((1-$AD33)^($AH33+1)))*IF('Set-up'!$E$9="Monthly",($Z33-($AH33*12))/12,$AL33/$AP33)))-(($J33-$L33)*(1-((1-$AD33)^$AJ33)))-(($J33-$L33)*(((1-$AD33)^$AJ33)-((1-$AD33)^($AJ33+1)))*IF('Set-up'!$E$9="Monthly",($AB33-($AJ33*12))/12,$AN33/$AR33)),(($J33-$L33)/$AG33*$Z33)-(($J33-$L33)/$AG33*$AB33)))</f>
        <v>316.64999999999998</v>
      </c>
      <c r="Z33" s="5">
        <f ca="1">IF('Set-up'!$E$9="Daily",MIN(MAX(((IF($M33="-",$I$2,MIN($I$2,$M33-'Set-up'!$E$13))-(($I33+'Set-up'!$E$11)))+1),0),IF(LEFT($AE33,1)="D",MaxPeriod,$AG33)),MIN(MAX(((IF($M33="-",((YEAR($I$2)*12)+MONTH($I$2)),MIN(((YEAR($I$2)*12)+MONTH($I$2)),((YEAR($M33)*12)+MONTH($M33)-'Set-up'!$E$13)))-(((YEAR($I33)*12)+MONTH($I33)+'Set-up'!$E$11)))+1),0),IF(LEFT($AE33,1)="D",MaxPeriod,$AG33)))</f>
        <v>3</v>
      </c>
      <c r="AA33" s="5">
        <f ca="1">IF('Set-up'!$E$9="Daily",MIN(MAX(((IF($M33="-",$H$2-1,MIN($H$2-1,$M33-'Set-up'!$E$13))-($I33+'Set-up'!$E$11))+1),0),IF(LEFT($AE33,1)="D",MaxPeriod,$AG33)),MIN(MAX(((IF($M33="-",((YEAR($H$2)*12)+MONTH($H$2)-1),MIN(((YEAR($H$2)*12)+MONTH($H$2)-1),((YEAR($M33)*12)+MONTH($M33)-'Set-up'!$E$13)))-(((YEAR($I33)*12)+MONTH($I33)+'Set-up'!$E$11)))+1),0),IF(LEFT($AE33,1)="D",MaxPeriod,$AG33)))</f>
        <v>0</v>
      </c>
      <c r="AB33" s="5">
        <f ca="1">IF('Set-up'!$E$9="Daily",MIN(MAX(((IF($M33="-",$J$2-1,MIN($J$2-1,$M33-'Set-up'!$E$13))-($I33+'Set-up'!$E$11))+1),0),IF(LEFT($AE33,1)="D",MaxPeriod,$AG33)),MIN(MAX(((IF($M33="-",((YEAR($J$2)*12)+MONTH($J$2)-1),MIN(((YEAR($J$2)*12)+MONTH($J$2)-1),((YEAR($M33)*12)+MONTH($M33)-'Set-up'!$E$13)))-(((YEAR($I33)*12)+MONTH($I33)+'Set-up'!$E$11)))+1),0),IF(LEFT($AE33,1)="D",MaxPeriod,$AG33)))</f>
        <v>2</v>
      </c>
      <c r="AC33" s="5">
        <f ca="1">IF('Set-up'!$E$9="Daily",MIN(MAX(((IF($M33="-",0,$M33-'Set-up'!$E$13)-($I33+'Set-up'!$E$11))+1),0),IF(LEFT($AE33,1)="D",MaxPeriod,$AG33)),MIN(MAX(((IF($M33="-",0,((YEAR($M33)*12)+MONTH($M33)-'Set-up'!$E$13))-(((YEAR($I33)*12)+MONTH($I33)+'Set-up'!$E$11)))+1),0),IF(LEFT($AE33,1)="D",MaxPeriod,$AG33)))</f>
        <v>0</v>
      </c>
      <c r="AD33" s="33">
        <f t="shared" ca="1" si="6"/>
        <v>0</v>
      </c>
      <c r="AE33" s="34" t="str">
        <f t="shared" ca="1" si="11"/>
        <v>SL</v>
      </c>
      <c r="AF33" s="34">
        <f t="shared" ca="1" si="12"/>
        <v>1</v>
      </c>
      <c r="AG33" s="5">
        <f ca="1">IF('Set-up'!$E$9="Daily",(DATE(YEAR($I33)+$K33+(1-$AF33),MONTH($I33),DAY($I33))+'Set-up'!$E$11)-($I33+'Set-up'!$E$11),$K33*12)</f>
        <v>60</v>
      </c>
      <c r="AH33" s="5">
        <f ca="1">ROUNDDOWN(MIN(MAX(((IF($M33="-",((YEAR($I$2)*12)+MONTH($I$2)),MIN(((YEAR($I$2)*12)+MONTH($I$2)),((YEAR($M33)*12)+MONTH($M33)-'Set-up'!$E$13)))-(((YEAR($I33)*12)+MONTH($I33)+'Set-up'!$E$11)))),0),IF(LEFT($AE33,1)="D",MaxPeriod,$AG33))/12,0)</f>
        <v>0</v>
      </c>
      <c r="AI33" s="5">
        <f ca="1">ROUNDDOWN(MIN(MAX(((IF($M33="-",((YEAR($H$2)*12)+MONTH($H$2)-1),MIN(((YEAR($H$2)*12)+MONTH($H$2)-1),((YEAR($M33)*12)+MONTH($M33)-'Set-up'!$E$13)))-(((YEAR($I33)*12)+MONTH($I33)+'Set-up'!$E$11)))),0),IF(LEFT($AE33,1)="D",MaxPeriod,$AG33))/12,0)</f>
        <v>0</v>
      </c>
      <c r="AJ33" s="5">
        <f ca="1">ROUNDDOWN(MIN(MAX(((IF($M33="-",((YEAR($J$2)*12)+MONTH($J$2)-1),MIN(((YEAR($J$2)*12)+MONTH($J$2)-1),((YEAR($M33)*12)+MONTH($M33)-'Set-up'!$E$13)))-(((YEAR($I33)*12)+MONTH($I33)+'Set-up'!$E$11)))),0),IF(LEFT($AE33,1)="D",MaxPeriod,$AG33))/12,0)</f>
        <v>0</v>
      </c>
      <c r="AK33" s="5">
        <f ca="1">ROUNDDOWN(MIN(MAX(((IF($M33="-",0,((YEAR($M33)*12)+MONTH($M33)-'Set-up'!$E$13))-(((YEAR($I33)*12)+MONTH($I33)+'Set-up'!$E$11)))),0),IF(LEFT($AE33,1)="D",MaxPeriod,$AG33))/12,0)</f>
        <v>0</v>
      </c>
      <c r="AL33" s="5">
        <f>IF('Set-up'!$E$9="Daily",MIN(MAX(((IF($M33="-",$I$2,MIN($I$2,$M33-'Set-up'!$E$13))-((DATE(YEAR($I33)+$AH33,MONTH($I33),DAY($I33))+'Set-up'!$E$11)))+1),0),IF(LEFT($AE33,1)="D",MaxPeriod,$AG33)),0)</f>
        <v>0</v>
      </c>
      <c r="AM33" s="5">
        <f>IF('Set-up'!$E$9="Daily",MIN(MAX(((IF($M33="-",$H$2-1,MIN($H$2-1,$M33-'Set-up'!$E$13))-(DATE(YEAR($I33)+$AI33,MONTH($I33),DAY($I33))+'Set-up'!$E$11))+1),0),IF(LEFT($AE33,1)="D",MaxPeriod,$AG33)),0)</f>
        <v>0</v>
      </c>
      <c r="AN33" s="5">
        <f>IF('Set-up'!$E$9="Daily",MIN(MAX(((IF($M33="-",$J$2-1,MIN($J$2-1,$M33-'Set-up'!$E$13))-(DATE(YEAR($I33)+$AJ33,MONTH($I33),DAY($I33))+'Set-up'!$E$11))+1),0),IF(LEFT($AE33,1)="D",MaxPeriod,$AG33)),0)</f>
        <v>0</v>
      </c>
      <c r="AO33" s="5">
        <f>IF('Set-up'!$E$9="Daily",MIN(MAX(((IF($M33="-",0,$M33-'Set-up'!$E$13)-(DATE(YEAR($I33)+$AK33,MONTH($I33),DAY($I33))+'Set-up'!$E$11))+1),0),IF(LEFT($AE33,1)="D",MaxPeriod,$AG33)),0)</f>
        <v>0</v>
      </c>
      <c r="AP33" s="5">
        <f>IF('Set-up'!$E$9="Daily",DATE(YEAR($I33)+$AH33+1,MONTH($I33),DAY($I33))-DATE(YEAR($I33)+$AH33,MONTH($I33),DAY($I33)),0)</f>
        <v>0</v>
      </c>
      <c r="AQ33" s="5">
        <f>IF('Set-up'!$E$9="Daily",DATE(YEAR($I33)+$AI33+1,MONTH($I33),DAY($I33))-DATE(YEAR($I33)+$AI33,MONTH($I33),DAY($I33)),0)</f>
        <v>0</v>
      </c>
      <c r="AR33" s="5">
        <f>IF('Set-up'!$E$9="Daily",DATE(YEAR($I33)+$AJ33+1,MONTH($I33),DAY($I33))-DATE(YEAR($I33)+$AJ33,MONTH($I33),DAY($I33)),0)</f>
        <v>0</v>
      </c>
      <c r="AS33" s="5">
        <f>IF('Set-up'!$E$9="Daily",DATE(YEAR($I33)+$AK33+1,MONTH($I33),DAY($I33))-DATE(YEAR($I33)+$AK33,MONTH($I33),DAY($I33)),0)</f>
        <v>0</v>
      </c>
    </row>
    <row r="34" spans="1:46" ht="16" customHeight="1" x14ac:dyDescent="0.25">
      <c r="A34" s="9" t="s">
        <v>216</v>
      </c>
      <c r="B34" s="9" t="s">
        <v>208</v>
      </c>
      <c r="C34" s="9" t="s">
        <v>199</v>
      </c>
      <c r="D34" s="5" t="s">
        <v>90</v>
      </c>
      <c r="E34" s="5" t="s">
        <v>204</v>
      </c>
      <c r="F34" s="5" t="s">
        <v>338</v>
      </c>
      <c r="G34" s="5" t="str" cm="1">
        <f t="array" aca="1" ref="G34" ca="1">IF(COUNTIF(AssetCode,$A34)&gt;1,"E1",IF(ISNA(VLOOKUP($E34,CatAll,1,0))=TRUE,"E2",IF($I34="Add!","E10","-")))</f>
        <v>-</v>
      </c>
      <c r="H34" s="5" t="str">
        <f t="shared" ca="1" si="0"/>
        <v>FF</v>
      </c>
      <c r="I34" s="30" cm="1">
        <f t="array" aca="1" ref="I34" ca="1">IF(SUMIFS(TransIDDate,TransAsset,$A34,TransType,"ACQ")=0,"Add!",SUMIFS(TransIDDate,TransAsset,$A34,TransType,"ACQ"))</f>
        <v>42205</v>
      </c>
      <c r="J34" s="32">
        <f t="shared" ca="1" si="1"/>
        <v>3600</v>
      </c>
      <c r="K34" s="57">
        <f t="shared" ca="1" si="2"/>
        <v>6</v>
      </c>
      <c r="L34" s="32">
        <f t="shared" ca="1" si="3"/>
        <v>0</v>
      </c>
      <c r="M34" s="30" t="str" cm="1">
        <f t="array" ref="M34">IF(SUMIFS(TransIDDate,TransAsset,$A34,TransType,"DIS")=0,"-",IF(SUMIFS(TransIDDate,TransAsset,$A34,TransType,"DIS")&lt;=$I$2,SUMIFS(TransIDDate,TransAsset,$A34,TransType,"DIS"),"-"))</f>
        <v>-</v>
      </c>
      <c r="N34" s="31" cm="1">
        <f t="array" aca="1" ref="N34" ca="1">IF($M34&lt;=$I$2,SUMIFS(TransProceeds,TransAsset,$A34,TransType,"DIS"),0)</f>
        <v>0</v>
      </c>
      <c r="O34" s="32" cm="1">
        <f t="array" aca="1" ref="O34" ca="1">IF(AND($M34&lt;&gt;"-",$M34&lt;$H$2),0,SUMIFS(TransAmount,TransAsset,$A34,TransIDDate,"&lt;"&amp;$H$2,TransType,"ACQ"))</f>
        <v>3600</v>
      </c>
      <c r="P34" s="32">
        <f t="shared" ca="1" si="4"/>
        <v>0</v>
      </c>
      <c r="Q34" s="32">
        <f t="shared" ca="1" si="5"/>
        <v>0</v>
      </c>
      <c r="R34" s="32">
        <f t="shared" ca="1" si="7"/>
        <v>3600</v>
      </c>
      <c r="S34" s="32">
        <f ca="1">IF(AND($M34&lt;&gt;"-",$M34&lt;$H$2),0,IF($K34=0,0,IF(LEFT($AE34,1)="D",(($J34-$L34)*(1-((1-$AD34)^$AI34)))+(($J34-$L34)*(((1-$AD34)^$AI34)-((1-$AD34)^($AI34+1)))*IF('Set-up'!$E$9="Monthly",($AA34-($AI34*12))/12,$AM34/$AQ34)),($J34-$L34)/$AG34*$AA34)))</f>
        <v>2056.7901234567898</v>
      </c>
      <c r="T34" s="32">
        <f ca="1">IF($K34=0,0,IF(LEFT($AE34,1)="D",((($J34-$L34)*(1-((1-$AD34)^$AH34)))+(($J34-$L34)*(((1-$AD34)^$AH34)-((1-$AD34)^($AH34+1)))*IF('Set-up'!$E$9="Monthly",($Z34-($AH34*12))/12,$AL34/$AP34)))-(($J34-$L34)*(1-((1-$AD34)^$AI34)))-(($J34-$L34)*(((1-$AD34)^$AI34)-((1-$AD34)^($AI34+1)))*IF('Set-up'!$E$9="Monthly",($AA34-($AI34*12))/12,$AM34/$AQ34)),(($J34-$L34)/$AG34*$Z34)-(($J34-$L34)/$AG34*$AA34)))</f>
        <v>257.20164609053461</v>
      </c>
      <c r="U34" s="32">
        <f ca="1">-IF(AND($M34&gt;=$H$2,$M34&lt;=$I$2),IF(LEFT($AE34,1)="D",(($J34-$L34)*(1-((1-$AD34)^$AK34)))+(($J34-$L34)*(((1-$AD34)^$AK34)-((1-$AD34)^($AK34+1)))*IF('Set-up'!$E$9="Monthly",($AC34-($AK34*12))/12,$AO34/$AS34)),IF($K34=0,0,($J34-$L34)/$AG34*$AC34)),0)</f>
        <v>0</v>
      </c>
      <c r="V34" s="32">
        <f t="shared" ca="1" si="8"/>
        <v>2313.9917695473246</v>
      </c>
      <c r="W34" s="32">
        <f t="shared" ca="1" si="9"/>
        <v>1286.0082304526754</v>
      </c>
      <c r="X34" s="32">
        <f t="shared" ca="1" si="10"/>
        <v>0</v>
      </c>
      <c r="Y34" s="32">
        <f ca="1">IF($K34=0,0,IF(LEFT($AE34,1)="D",((($J34-$L34)*(1-((1-$AD34)^$AH34)))+(($J34-$L34)*(((1-$AD34)^$AH34)-((1-$AD34)^($AH34+1)))*IF('Set-up'!$E$9="Monthly",($Z34-($AH34*12))/12,$AL34/$AP34)))-(($J34-$L34)*(1-((1-$AD34)^$AJ34)))-(($J34-$L34)*(((1-$AD34)^$AJ34)-((1-$AD34)^($AJ34+1)))*IF('Set-up'!$E$9="Monthly",($AB34-($AJ34*12))/12,$AN34/$AR34)),(($J34-$L34)/$AG34*$Z34)-(($J34-$L34)/$AG34*$AB34)))</f>
        <v>20.093878600822904</v>
      </c>
      <c r="Z34" s="5">
        <f ca="1">IF('Set-up'!$E$9="Daily",MIN(MAX(((IF($M34="-",$I$2,MIN($I$2,$M34-'Set-up'!$E$13))-(($I34+'Set-up'!$E$11)))+1),0),IF(LEFT($AE34,1)="D",MaxPeriod,$AG34)),MIN(MAX(((IF($M34="-",((YEAR($I$2)*12)+MONTH($I$2)),MIN(((YEAR($I$2)*12)+MONTH($I$2)),((YEAR($M34)*12)+MONTH($M34)-'Set-up'!$E$13)))-(((YEAR($I34)*12)+MONTH($I34)+'Set-up'!$E$11)))+1),0),IF(LEFT($AE34,1)="D",MaxPeriod,$AG34)))</f>
        <v>68</v>
      </c>
      <c r="AA34" s="5">
        <f ca="1">IF('Set-up'!$E$9="Daily",MIN(MAX(((IF($M34="-",$H$2-1,MIN($H$2-1,$M34-'Set-up'!$E$13))-($I34+'Set-up'!$E$11))+1),0),IF(LEFT($AE34,1)="D",MaxPeriod,$AG34)),MIN(MAX(((IF($M34="-",((YEAR($H$2)*12)+MONTH($H$2)-1),MIN(((YEAR($H$2)*12)+MONTH($H$2)-1),((YEAR($M34)*12)+MONTH($M34)-'Set-up'!$E$13)))-(((YEAR($I34)*12)+MONTH($I34)+'Set-up'!$E$11)))+1),0),IF(LEFT($AE34,1)="D",MaxPeriod,$AG34)))</f>
        <v>56</v>
      </c>
      <c r="AB34" s="5">
        <f ca="1">IF('Set-up'!$E$9="Daily",MIN(MAX(((IF($M34="-",$J$2-1,MIN($J$2-1,$M34-'Set-up'!$E$13))-($I34+'Set-up'!$E$11))+1),0),IF(LEFT($AE34,1)="D",MaxPeriod,$AG34)),MIN(MAX(((IF($M34="-",((YEAR($J$2)*12)+MONTH($J$2)-1),MIN(((YEAR($J$2)*12)+MONTH($J$2)-1),((YEAR($M34)*12)+MONTH($M34)-'Set-up'!$E$13)))-(((YEAR($I34)*12)+MONTH($I34)+'Set-up'!$E$11)))+1),0),IF(LEFT($AE34,1)="D",MaxPeriod,$AG34)))</f>
        <v>67</v>
      </c>
      <c r="AC34" s="5">
        <f ca="1">IF('Set-up'!$E$9="Daily",MIN(MAX(((IF($M34="-",0,$M34-'Set-up'!$E$13)-($I34+'Set-up'!$E$11))+1),0),IF(LEFT($AE34,1)="D",MaxPeriod,$AG34)),MIN(MAX(((IF($M34="-",0,((YEAR($M34)*12)+MONTH($M34)-'Set-up'!$E$13))-(((YEAR($I34)*12)+MONTH($I34)+'Set-up'!$E$11)))+1),0),IF(LEFT($AE34,1)="D",MaxPeriod,$AG34)))</f>
        <v>0</v>
      </c>
      <c r="AD34" s="33">
        <f t="shared" ca="1" si="6"/>
        <v>0.16666666666666666</v>
      </c>
      <c r="AE34" s="34" t="str">
        <f t="shared" ca="1" si="11"/>
        <v>DV</v>
      </c>
      <c r="AF34" s="34">
        <f t="shared" ca="1" si="12"/>
        <v>1</v>
      </c>
      <c r="AG34" s="5">
        <f ca="1">IF('Set-up'!$E$9="Daily",(DATE(YEAR($I34)+$K34+(1-$AF34),MONTH($I34),DAY($I34))+'Set-up'!$E$11)-($I34+'Set-up'!$E$11),$K34*12)</f>
        <v>72</v>
      </c>
      <c r="AH34" s="5">
        <f ca="1">ROUNDDOWN(MIN(MAX(((IF($M34="-",((YEAR($I$2)*12)+MONTH($I$2)),MIN(((YEAR($I$2)*12)+MONTH($I$2)),((YEAR($M34)*12)+MONTH($M34)-'Set-up'!$E$13)))-(((YEAR($I34)*12)+MONTH($I34)+'Set-up'!$E$11)))),0),IF(LEFT($AE34,1)="D",MaxPeriod,$AG34))/12,0)</f>
        <v>5</v>
      </c>
      <c r="AI34" s="5">
        <f ca="1">ROUNDDOWN(MIN(MAX(((IF($M34="-",((YEAR($H$2)*12)+MONTH($H$2)-1),MIN(((YEAR($H$2)*12)+MONTH($H$2)-1),((YEAR($M34)*12)+MONTH($M34)-'Set-up'!$E$13)))-(((YEAR($I34)*12)+MONTH($I34)+'Set-up'!$E$11)))),0),IF(LEFT($AE34,1)="D",MaxPeriod,$AG34))/12,0)</f>
        <v>4</v>
      </c>
      <c r="AJ34" s="5">
        <f ca="1">ROUNDDOWN(MIN(MAX(((IF($M34="-",((YEAR($J$2)*12)+MONTH($J$2)-1),MIN(((YEAR($J$2)*12)+MONTH($J$2)-1),((YEAR($M34)*12)+MONTH($M34)-'Set-up'!$E$13)))-(((YEAR($I34)*12)+MONTH($I34)+'Set-up'!$E$11)))),0),IF(LEFT($AE34,1)="D",MaxPeriod,$AG34))/12,0)</f>
        <v>5</v>
      </c>
      <c r="AK34" s="5">
        <f ca="1">ROUNDDOWN(MIN(MAX(((IF($M34="-",0,((YEAR($M34)*12)+MONTH($M34)-'Set-up'!$E$13))-(((YEAR($I34)*12)+MONTH($I34)+'Set-up'!$E$11)))),0),IF(LEFT($AE34,1)="D",MaxPeriod,$AG34))/12,0)</f>
        <v>0</v>
      </c>
      <c r="AL34" s="5">
        <f>IF('Set-up'!$E$9="Daily",MIN(MAX(((IF($M34="-",$I$2,MIN($I$2,$M34-'Set-up'!$E$13))-((DATE(YEAR($I34)+$AH34,MONTH($I34),DAY($I34))+'Set-up'!$E$11)))+1),0),IF(LEFT($AE34,1)="D",MaxPeriod,$AG34)),0)</f>
        <v>0</v>
      </c>
      <c r="AM34" s="5">
        <f>IF('Set-up'!$E$9="Daily",MIN(MAX(((IF($M34="-",$H$2-1,MIN($H$2-1,$M34-'Set-up'!$E$13))-(DATE(YEAR($I34)+$AI34,MONTH($I34),DAY($I34))+'Set-up'!$E$11))+1),0),IF(LEFT($AE34,1)="D",MaxPeriod,$AG34)),0)</f>
        <v>0</v>
      </c>
      <c r="AN34" s="5">
        <f>IF('Set-up'!$E$9="Daily",MIN(MAX(((IF($M34="-",$J$2-1,MIN($J$2-1,$M34-'Set-up'!$E$13))-(DATE(YEAR($I34)+$AJ34,MONTH($I34),DAY($I34))+'Set-up'!$E$11))+1),0),IF(LEFT($AE34,1)="D",MaxPeriod,$AG34)),0)</f>
        <v>0</v>
      </c>
      <c r="AO34" s="5">
        <f>IF('Set-up'!$E$9="Daily",MIN(MAX(((IF($M34="-",0,$M34-'Set-up'!$E$13)-(DATE(YEAR($I34)+$AK34,MONTH($I34),DAY($I34))+'Set-up'!$E$11))+1),0),IF(LEFT($AE34,1)="D",MaxPeriod,$AG34)),0)</f>
        <v>0</v>
      </c>
      <c r="AP34" s="5">
        <f>IF('Set-up'!$E$9="Daily",DATE(YEAR($I34)+$AH34+1,MONTH($I34),DAY($I34))-DATE(YEAR($I34)+$AH34,MONTH($I34),DAY($I34)),0)</f>
        <v>0</v>
      </c>
      <c r="AQ34" s="5">
        <f>IF('Set-up'!$E$9="Daily",DATE(YEAR($I34)+$AI34+1,MONTH($I34),DAY($I34))-DATE(YEAR($I34)+$AI34,MONTH($I34),DAY($I34)),0)</f>
        <v>0</v>
      </c>
      <c r="AR34" s="5">
        <f>IF('Set-up'!$E$9="Daily",DATE(YEAR($I34)+$AJ34+1,MONTH($I34),DAY($I34))-DATE(YEAR($I34)+$AJ34,MONTH($I34),DAY($I34)),0)</f>
        <v>0</v>
      </c>
      <c r="AS34" s="5">
        <f>IF('Set-up'!$E$9="Daily",DATE(YEAR($I34)+$AK34+1,MONTH($I34),DAY($I34))-DATE(YEAR($I34)+$AK34,MONTH($I34),DAY($I34)),0)</f>
        <v>0</v>
      </c>
    </row>
    <row r="35" spans="1:46" ht="16" customHeight="1" x14ac:dyDescent="0.25">
      <c r="A35" s="9" t="s">
        <v>217</v>
      </c>
      <c r="B35" s="9" t="s">
        <v>209</v>
      </c>
      <c r="C35" s="9" t="s">
        <v>200</v>
      </c>
      <c r="D35" s="5" t="s">
        <v>90</v>
      </c>
      <c r="E35" s="5" t="s">
        <v>204</v>
      </c>
      <c r="F35" s="5" t="s">
        <v>338</v>
      </c>
      <c r="G35" s="5" t="str" cm="1">
        <f t="array" aca="1" ref="G35" ca="1">IF(COUNTIF(AssetCode,$A35)&gt;1,"E1",IF(ISNA(VLOOKUP($E35,CatAll,1,0))=TRUE,"E2",IF($I35="Add!","E10","-")))</f>
        <v>-</v>
      </c>
      <c r="H35" s="5" t="str">
        <f t="shared" ca="1" si="0"/>
        <v>FF</v>
      </c>
      <c r="I35" s="30" cm="1">
        <f t="array" aca="1" ref="I35" ca="1">IF(SUMIFS(TransIDDate,TransAsset,$A35,TransType,"ACQ")=0,"Add!",SUMIFS(TransIDDate,TransAsset,$A35,TransType,"ACQ"))</f>
        <v>42205</v>
      </c>
      <c r="J35" s="32">
        <f t="shared" ca="1" si="1"/>
        <v>12400</v>
      </c>
      <c r="K35" s="57">
        <f t="shared" ca="1" si="2"/>
        <v>6</v>
      </c>
      <c r="L35" s="32">
        <f t="shared" ca="1" si="3"/>
        <v>0</v>
      </c>
      <c r="M35" s="30" t="str" cm="1">
        <f t="array" ref="M35">IF(SUMIFS(TransIDDate,TransAsset,$A35,TransType,"DIS")=0,"-",IF(SUMIFS(TransIDDate,TransAsset,$A35,TransType,"DIS")&lt;=$I$2,SUMIFS(TransIDDate,TransAsset,$A35,TransType,"DIS"),"-"))</f>
        <v>-</v>
      </c>
      <c r="N35" s="31" cm="1">
        <f t="array" aca="1" ref="N35" ca="1">IF($M35&lt;=$I$2,SUMIFS(TransProceeds,TransAsset,$A35,TransType,"DIS"),0)</f>
        <v>0</v>
      </c>
      <c r="O35" s="32" cm="1">
        <f t="array" aca="1" ref="O35" ca="1">IF(AND($M35&lt;&gt;"-",$M35&lt;$H$2),0,SUMIFS(TransAmount,TransAsset,$A35,TransIDDate,"&lt;"&amp;$H$2,TransType,"ACQ"))</f>
        <v>12400</v>
      </c>
      <c r="P35" s="32">
        <f t="shared" ca="1" si="4"/>
        <v>0</v>
      </c>
      <c r="Q35" s="32">
        <f t="shared" ca="1" si="5"/>
        <v>0</v>
      </c>
      <c r="R35" s="32">
        <f t="shared" ca="1" si="7"/>
        <v>12400</v>
      </c>
      <c r="S35" s="32">
        <f ca="1">IF(AND($M35&lt;&gt;"-",$M35&lt;$H$2),0,IF($K35=0,0,IF(LEFT($AE35,1)="D",(($J35-$L35)*(1-((1-$AD35)^$AI35)))+(($J35-$L35)*(((1-$AD35)^$AI35)-((1-$AD35)^($AI35+1)))*IF('Set-up'!$E$9="Monthly",($AA35-($AI35*12))/12,$AM35/$AQ35)),($J35-$L35)/$AG35*$AA35)))</f>
        <v>7084.4993141289433</v>
      </c>
      <c r="T35" s="32">
        <f ca="1">IF($K35=0,0,IF(LEFT($AE35,1)="D",((($J35-$L35)*(1-((1-$AD35)^$AH35)))+(($J35-$L35)*(((1-$AD35)^$AH35)-((1-$AD35)^($AH35+1)))*IF('Set-up'!$E$9="Monthly",($Z35-($AH35*12))/12,$AL35/$AP35)))-(($J35-$L35)*(1-((1-$AD35)^$AI35)))-(($J35-$L35)*(((1-$AD35)^$AI35)-((1-$AD35)^($AI35+1)))*IF('Set-up'!$E$9="Monthly",($AA35-($AI35*12))/12,$AM35/$AQ35)),(($J35-$L35)/$AG35*$Z35)-(($J35-$L35)/$AG35*$AA35)))</f>
        <v>885.916780978509</v>
      </c>
      <c r="U35" s="32">
        <f ca="1">-IF(AND($M35&gt;=$H$2,$M35&lt;=$I$2),IF(LEFT($AE35,1)="D",(($J35-$L35)*(1-((1-$AD35)^$AK35)))+(($J35-$L35)*(((1-$AD35)^$AK35)-((1-$AD35)^($AK35+1)))*IF('Set-up'!$E$9="Monthly",($AC35-($AK35*12))/12,$AO35/$AS35)),IF($K35=0,0,($J35-$L35)/$AG35*$AC35)),0)</f>
        <v>0</v>
      </c>
      <c r="V35" s="32">
        <f t="shared" ca="1" si="8"/>
        <v>7970.4160951074518</v>
      </c>
      <c r="W35" s="32">
        <f t="shared" ca="1" si="9"/>
        <v>4429.5839048925482</v>
      </c>
      <c r="X35" s="32">
        <f t="shared" ca="1" si="10"/>
        <v>0</v>
      </c>
      <c r="Y35" s="32">
        <f ca="1">IF($K35=0,0,IF(LEFT($AE35,1)="D",((($J35-$L35)*(1-((1-$AD35)^$AH35)))+(($J35-$L35)*(((1-$AD35)^$AH35)-((1-$AD35)^($AH35+1)))*IF('Set-up'!$E$9="Monthly",($Z35-($AH35*12))/12,$AL35/$AP35)))-(($J35-$L35)*(1-((1-$AD35)^$AJ35)))-(($J35-$L35)*(((1-$AD35)^$AJ35)-((1-$AD35)^($AJ35+1)))*IF('Set-up'!$E$9="Monthly",($AB35-($AJ35*12))/12,$AN35/$AR35)),(($J35-$L35)/$AG35*$Z35)-(($J35-$L35)/$AG35*$AB35)))</f>
        <v>69.212248513946406</v>
      </c>
      <c r="Z35" s="5">
        <f ca="1">IF('Set-up'!$E$9="Daily",MIN(MAX(((IF($M35="-",$I$2,MIN($I$2,$M35-'Set-up'!$E$13))-(($I35+'Set-up'!$E$11)))+1),0),IF(LEFT($AE35,1)="D",MaxPeriod,$AG35)),MIN(MAX(((IF($M35="-",((YEAR($I$2)*12)+MONTH($I$2)),MIN(((YEAR($I$2)*12)+MONTH($I$2)),((YEAR($M35)*12)+MONTH($M35)-'Set-up'!$E$13)))-(((YEAR($I35)*12)+MONTH($I35)+'Set-up'!$E$11)))+1),0),IF(LEFT($AE35,1)="D",MaxPeriod,$AG35)))</f>
        <v>68</v>
      </c>
      <c r="AA35" s="5">
        <f ca="1">IF('Set-up'!$E$9="Daily",MIN(MAX(((IF($M35="-",$H$2-1,MIN($H$2-1,$M35-'Set-up'!$E$13))-($I35+'Set-up'!$E$11))+1),0),IF(LEFT($AE35,1)="D",MaxPeriod,$AG35)),MIN(MAX(((IF($M35="-",((YEAR($H$2)*12)+MONTH($H$2)-1),MIN(((YEAR($H$2)*12)+MONTH($H$2)-1),((YEAR($M35)*12)+MONTH($M35)-'Set-up'!$E$13)))-(((YEAR($I35)*12)+MONTH($I35)+'Set-up'!$E$11)))+1),0),IF(LEFT($AE35,1)="D",MaxPeriod,$AG35)))</f>
        <v>56</v>
      </c>
      <c r="AB35" s="5">
        <f ca="1">IF('Set-up'!$E$9="Daily",MIN(MAX(((IF($M35="-",$J$2-1,MIN($J$2-1,$M35-'Set-up'!$E$13))-($I35+'Set-up'!$E$11))+1),0),IF(LEFT($AE35,1)="D",MaxPeriod,$AG35)),MIN(MAX(((IF($M35="-",((YEAR($J$2)*12)+MONTH($J$2)-1),MIN(((YEAR($J$2)*12)+MONTH($J$2)-1),((YEAR($M35)*12)+MONTH($M35)-'Set-up'!$E$13)))-(((YEAR($I35)*12)+MONTH($I35)+'Set-up'!$E$11)))+1),0),IF(LEFT($AE35,1)="D",MaxPeriod,$AG35)))</f>
        <v>67</v>
      </c>
      <c r="AC35" s="5">
        <f ca="1">IF('Set-up'!$E$9="Daily",MIN(MAX(((IF($M35="-",0,$M35-'Set-up'!$E$13)-($I35+'Set-up'!$E$11))+1),0),IF(LEFT($AE35,1)="D",MaxPeriod,$AG35)),MIN(MAX(((IF($M35="-",0,((YEAR($M35)*12)+MONTH($M35)-'Set-up'!$E$13))-(((YEAR($I35)*12)+MONTH($I35)+'Set-up'!$E$11)))+1),0),IF(LEFT($AE35,1)="D",MaxPeriod,$AG35)))</f>
        <v>0</v>
      </c>
      <c r="AD35" s="33">
        <f t="shared" ca="1" si="6"/>
        <v>0.16666666666666666</v>
      </c>
      <c r="AE35" s="34" t="str">
        <f t="shared" ca="1" si="11"/>
        <v>DV</v>
      </c>
      <c r="AF35" s="34">
        <f t="shared" ca="1" si="12"/>
        <v>1</v>
      </c>
      <c r="AG35" s="5">
        <f ca="1">IF('Set-up'!$E$9="Daily",(DATE(YEAR($I35)+$K35+(1-$AF35),MONTH($I35),DAY($I35))+'Set-up'!$E$11)-($I35+'Set-up'!$E$11),$K35*12)</f>
        <v>72</v>
      </c>
      <c r="AH35" s="5">
        <f ca="1">ROUNDDOWN(MIN(MAX(((IF($M35="-",((YEAR($I$2)*12)+MONTH($I$2)),MIN(((YEAR($I$2)*12)+MONTH($I$2)),((YEAR($M35)*12)+MONTH($M35)-'Set-up'!$E$13)))-(((YEAR($I35)*12)+MONTH($I35)+'Set-up'!$E$11)))),0),IF(LEFT($AE35,1)="D",MaxPeriod,$AG35))/12,0)</f>
        <v>5</v>
      </c>
      <c r="AI35" s="5">
        <f ca="1">ROUNDDOWN(MIN(MAX(((IF($M35="-",((YEAR($H$2)*12)+MONTH($H$2)-1),MIN(((YEAR($H$2)*12)+MONTH($H$2)-1),((YEAR($M35)*12)+MONTH($M35)-'Set-up'!$E$13)))-(((YEAR($I35)*12)+MONTH($I35)+'Set-up'!$E$11)))),0),IF(LEFT($AE35,1)="D",MaxPeriod,$AG35))/12,0)</f>
        <v>4</v>
      </c>
      <c r="AJ35" s="5">
        <f ca="1">ROUNDDOWN(MIN(MAX(((IF($M35="-",((YEAR($J$2)*12)+MONTH($J$2)-1),MIN(((YEAR($J$2)*12)+MONTH($J$2)-1),((YEAR($M35)*12)+MONTH($M35)-'Set-up'!$E$13)))-(((YEAR($I35)*12)+MONTH($I35)+'Set-up'!$E$11)))),0),IF(LEFT($AE35,1)="D",MaxPeriod,$AG35))/12,0)</f>
        <v>5</v>
      </c>
      <c r="AK35" s="5">
        <f ca="1">ROUNDDOWN(MIN(MAX(((IF($M35="-",0,((YEAR($M35)*12)+MONTH($M35)-'Set-up'!$E$13))-(((YEAR($I35)*12)+MONTH($I35)+'Set-up'!$E$11)))),0),IF(LEFT($AE35,1)="D",MaxPeriod,$AG35))/12,0)</f>
        <v>0</v>
      </c>
      <c r="AL35" s="5">
        <f>IF('Set-up'!$E$9="Daily",MIN(MAX(((IF($M35="-",$I$2,MIN($I$2,$M35-'Set-up'!$E$13))-((DATE(YEAR($I35)+$AH35,MONTH($I35),DAY($I35))+'Set-up'!$E$11)))+1),0),IF(LEFT($AE35,1)="D",MaxPeriod,$AG35)),0)</f>
        <v>0</v>
      </c>
      <c r="AM35" s="5">
        <f>IF('Set-up'!$E$9="Daily",MIN(MAX(((IF($M35="-",$H$2-1,MIN($H$2-1,$M35-'Set-up'!$E$13))-(DATE(YEAR($I35)+$AI35,MONTH($I35),DAY($I35))+'Set-up'!$E$11))+1),0),IF(LEFT($AE35,1)="D",MaxPeriod,$AG35)),0)</f>
        <v>0</v>
      </c>
      <c r="AN35" s="5">
        <f>IF('Set-up'!$E$9="Daily",MIN(MAX(((IF($M35="-",$J$2-1,MIN($J$2-1,$M35-'Set-up'!$E$13))-(DATE(YEAR($I35)+$AJ35,MONTH($I35),DAY($I35))+'Set-up'!$E$11))+1),0),IF(LEFT($AE35,1)="D",MaxPeriod,$AG35)),0)</f>
        <v>0</v>
      </c>
      <c r="AO35" s="5">
        <f>IF('Set-up'!$E$9="Daily",MIN(MAX(((IF($M35="-",0,$M35-'Set-up'!$E$13)-(DATE(YEAR($I35)+$AK35,MONTH($I35),DAY($I35))+'Set-up'!$E$11))+1),0),IF(LEFT($AE35,1)="D",MaxPeriod,$AG35)),0)</f>
        <v>0</v>
      </c>
      <c r="AP35" s="5">
        <f>IF('Set-up'!$E$9="Daily",DATE(YEAR($I35)+$AH35+1,MONTH($I35),DAY($I35))-DATE(YEAR($I35)+$AH35,MONTH($I35),DAY($I35)),0)</f>
        <v>0</v>
      </c>
      <c r="AQ35" s="5">
        <f>IF('Set-up'!$E$9="Daily",DATE(YEAR($I35)+$AI35+1,MONTH($I35),DAY($I35))-DATE(YEAR($I35)+$AI35,MONTH($I35),DAY($I35)),0)</f>
        <v>0</v>
      </c>
      <c r="AR35" s="5">
        <f>IF('Set-up'!$E$9="Daily",DATE(YEAR($I35)+$AJ35+1,MONTH($I35),DAY($I35))-DATE(YEAR($I35)+$AJ35,MONTH($I35),DAY($I35)),0)</f>
        <v>0</v>
      </c>
      <c r="AS35" s="5">
        <f>IF('Set-up'!$E$9="Daily",DATE(YEAR($I35)+$AK35+1,MONTH($I35),DAY($I35))-DATE(YEAR($I35)+$AK35,MONTH($I35),DAY($I35)),0)</f>
        <v>0</v>
      </c>
    </row>
    <row r="36" spans="1:46" ht="16" customHeight="1" x14ac:dyDescent="0.25">
      <c r="A36" s="9" t="s">
        <v>22</v>
      </c>
      <c r="B36" s="9" t="s">
        <v>210</v>
      </c>
      <c r="C36" s="9" t="s">
        <v>261</v>
      </c>
      <c r="D36" s="5" t="s">
        <v>90</v>
      </c>
      <c r="E36" s="5" t="s">
        <v>204</v>
      </c>
      <c r="F36" s="5" t="s">
        <v>338</v>
      </c>
      <c r="G36" s="5" t="str" cm="1">
        <f t="array" aca="1" ref="G36" ca="1">IF(COUNTIF(AssetCode,$A36)&gt;1,"E1",IF(ISNA(VLOOKUP($E36,CatAll,1,0))=TRUE,"E2",IF($I36="Add!","E10","-")))</f>
        <v>-</v>
      </c>
      <c r="H36" s="5" t="str">
        <f t="shared" ca="1" si="0"/>
        <v>FF</v>
      </c>
      <c r="I36" s="30" cm="1">
        <f t="array" aca="1" ref="I36" ca="1">IF(SUMIFS(TransIDDate,TransAsset,$A36,TransType,"ACQ")=0,"Add!",SUMIFS(TransIDDate,TransAsset,$A36,TransType,"ACQ"))</f>
        <v>42205</v>
      </c>
      <c r="J36" s="32">
        <f t="shared" ca="1" si="1"/>
        <v>5100</v>
      </c>
      <c r="K36" s="57">
        <f t="shared" ca="1" si="2"/>
        <v>6</v>
      </c>
      <c r="L36" s="32">
        <f t="shared" ca="1" si="3"/>
        <v>0</v>
      </c>
      <c r="M36" s="30" t="str" cm="1">
        <f t="array" ref="M36">IF(SUMIFS(TransIDDate,TransAsset,$A36,TransType,"DIS")=0,"-",IF(SUMIFS(TransIDDate,TransAsset,$A36,TransType,"DIS")&lt;=$I$2,SUMIFS(TransIDDate,TransAsset,$A36,TransType,"DIS"),"-"))</f>
        <v>-</v>
      </c>
      <c r="N36" s="31" cm="1">
        <f t="array" aca="1" ref="N36" ca="1">IF($M36&lt;=$I$2,SUMIFS(TransProceeds,TransAsset,$A36,TransType,"DIS"),0)</f>
        <v>0</v>
      </c>
      <c r="O36" s="32" cm="1">
        <f t="array" aca="1" ref="O36" ca="1">IF(AND($M36&lt;&gt;"-",$M36&lt;$H$2),0,SUMIFS(TransAmount,TransAsset,$A36,TransIDDate,"&lt;"&amp;$H$2,TransType,"ACQ"))</f>
        <v>5100</v>
      </c>
      <c r="P36" s="32">
        <f t="shared" ca="1" si="4"/>
        <v>0</v>
      </c>
      <c r="Q36" s="32">
        <f t="shared" ca="1" si="5"/>
        <v>0</v>
      </c>
      <c r="R36" s="32">
        <f t="shared" ca="1" si="7"/>
        <v>5100</v>
      </c>
      <c r="S36" s="32">
        <f ca="1">IF(AND($M36&lt;&gt;"-",$M36&lt;$H$2),0,IF($K36=0,0,IF(LEFT($AE36,1)="D",(($J36-$L36)*(1-((1-$AD36)^$AI36)))+(($J36-$L36)*(((1-$AD36)^$AI36)-((1-$AD36)^($AI36+1)))*IF('Set-up'!$E$9="Monthly",($AA36-($AI36*12))/12,$AM36/$AQ36)),($J36-$L36)/$AG36*$AA36)))</f>
        <v>2913.7860082304524</v>
      </c>
      <c r="T36" s="32">
        <f ca="1">IF($K36=0,0,IF(LEFT($AE36,1)="D",((($J36-$L36)*(1-((1-$AD36)^$AH36)))+(($J36-$L36)*(((1-$AD36)^$AH36)-((1-$AD36)^($AH36+1)))*IF('Set-up'!$E$9="Monthly",($Z36-($AH36*12))/12,$AL36/$AP36)))-(($J36-$L36)*(1-((1-$AD36)^$AI36)))-(($J36-$L36)*(((1-$AD36)^$AI36)-((1-$AD36)^($AI36+1)))*IF('Set-up'!$E$9="Monthly",($AA36-($AI36*12))/12,$AM36/$AQ36)),(($J36-$L36)/$AG36*$Z36)-(($J36-$L36)/$AG36*$AA36)))</f>
        <v>364.36899862825766</v>
      </c>
      <c r="U36" s="32">
        <f ca="1">-IF(AND($M36&gt;=$H$2,$M36&lt;=$I$2),IF(LEFT($AE36,1)="D",(($J36-$L36)*(1-((1-$AD36)^$AK36)))+(($J36-$L36)*(((1-$AD36)^$AK36)-((1-$AD36)^($AK36+1)))*IF('Set-up'!$E$9="Monthly",($AC36-($AK36*12))/12,$AO36/$AS36)),IF($K36=0,0,($J36-$L36)/$AG36*$AC36)),0)</f>
        <v>0</v>
      </c>
      <c r="V36" s="32">
        <f t="shared" ca="1" si="8"/>
        <v>3278.1550068587098</v>
      </c>
      <c r="W36" s="32">
        <f t="shared" ca="1" si="9"/>
        <v>1821.8449931412902</v>
      </c>
      <c r="X36" s="32">
        <f t="shared" ca="1" si="10"/>
        <v>0</v>
      </c>
      <c r="Y36" s="32">
        <f ca="1">IF($K36=0,0,IF(LEFT($AE36,1)="D",((($J36-$L36)*(1-((1-$AD36)^$AH36)))+(($J36-$L36)*(((1-$AD36)^$AH36)-((1-$AD36)^($AH36+1)))*IF('Set-up'!$E$9="Monthly",($Z36-($AH36*12))/12,$AL36/$AP36)))-(($J36-$L36)*(1-((1-$AD36)^$AJ36)))-(($J36-$L36)*(((1-$AD36)^$AJ36)-((1-$AD36)^($AJ36+1)))*IF('Set-up'!$E$9="Monthly",($AB36-($AJ36*12))/12,$AN36/$AR36)),(($J36-$L36)/$AG36*$Z36)-(($J36-$L36)/$AG36*$AB36)))</f>
        <v>28.466328017832438</v>
      </c>
      <c r="Z36" s="5">
        <f ca="1">IF('Set-up'!$E$9="Daily",MIN(MAX(((IF($M36="-",$I$2,MIN($I$2,$M36-'Set-up'!$E$13))-(($I36+'Set-up'!$E$11)))+1),0),IF(LEFT($AE36,1)="D",MaxPeriod,$AG36)),MIN(MAX(((IF($M36="-",((YEAR($I$2)*12)+MONTH($I$2)),MIN(((YEAR($I$2)*12)+MONTH($I$2)),((YEAR($M36)*12)+MONTH($M36)-'Set-up'!$E$13)))-(((YEAR($I36)*12)+MONTH($I36)+'Set-up'!$E$11)))+1),0),IF(LEFT($AE36,1)="D",MaxPeriod,$AG36)))</f>
        <v>68</v>
      </c>
      <c r="AA36" s="5">
        <f ca="1">IF('Set-up'!$E$9="Daily",MIN(MAX(((IF($M36="-",$H$2-1,MIN($H$2-1,$M36-'Set-up'!$E$13))-($I36+'Set-up'!$E$11))+1),0),IF(LEFT($AE36,1)="D",MaxPeriod,$AG36)),MIN(MAX(((IF($M36="-",((YEAR($H$2)*12)+MONTH($H$2)-1),MIN(((YEAR($H$2)*12)+MONTH($H$2)-1),((YEAR($M36)*12)+MONTH($M36)-'Set-up'!$E$13)))-(((YEAR($I36)*12)+MONTH($I36)+'Set-up'!$E$11)))+1),0),IF(LEFT($AE36,1)="D",MaxPeriod,$AG36)))</f>
        <v>56</v>
      </c>
      <c r="AB36" s="5">
        <f ca="1">IF('Set-up'!$E$9="Daily",MIN(MAX(((IF($M36="-",$J$2-1,MIN($J$2-1,$M36-'Set-up'!$E$13))-($I36+'Set-up'!$E$11))+1),0),IF(LEFT($AE36,1)="D",MaxPeriod,$AG36)),MIN(MAX(((IF($M36="-",((YEAR($J$2)*12)+MONTH($J$2)-1),MIN(((YEAR($J$2)*12)+MONTH($J$2)-1),((YEAR($M36)*12)+MONTH($M36)-'Set-up'!$E$13)))-(((YEAR($I36)*12)+MONTH($I36)+'Set-up'!$E$11)))+1),0),IF(LEFT($AE36,1)="D",MaxPeriod,$AG36)))</f>
        <v>67</v>
      </c>
      <c r="AC36" s="5">
        <f ca="1">IF('Set-up'!$E$9="Daily",MIN(MAX(((IF($M36="-",0,$M36-'Set-up'!$E$13)-($I36+'Set-up'!$E$11))+1),0),IF(LEFT($AE36,1)="D",MaxPeriod,$AG36)),MIN(MAX(((IF($M36="-",0,((YEAR($M36)*12)+MONTH($M36)-'Set-up'!$E$13))-(((YEAR($I36)*12)+MONTH($I36)+'Set-up'!$E$11)))+1),0),IF(LEFT($AE36,1)="D",MaxPeriod,$AG36)))</f>
        <v>0</v>
      </c>
      <c r="AD36" s="33">
        <f t="shared" ca="1" si="6"/>
        <v>0.16666666666666666</v>
      </c>
      <c r="AE36" s="34" t="str">
        <f t="shared" ca="1" si="11"/>
        <v>DV</v>
      </c>
      <c r="AF36" s="34">
        <f t="shared" ca="1" si="12"/>
        <v>1</v>
      </c>
      <c r="AG36" s="5">
        <f ca="1">IF('Set-up'!$E$9="Daily",(DATE(YEAR($I36)+$K36+(1-$AF36),MONTH($I36),DAY($I36))+'Set-up'!$E$11)-($I36+'Set-up'!$E$11),$K36*12)</f>
        <v>72</v>
      </c>
      <c r="AH36" s="5">
        <f ca="1">ROUNDDOWN(MIN(MAX(((IF($M36="-",((YEAR($I$2)*12)+MONTH($I$2)),MIN(((YEAR($I$2)*12)+MONTH($I$2)),((YEAR($M36)*12)+MONTH($M36)-'Set-up'!$E$13)))-(((YEAR($I36)*12)+MONTH($I36)+'Set-up'!$E$11)))),0),IF(LEFT($AE36,1)="D",MaxPeriod,$AG36))/12,0)</f>
        <v>5</v>
      </c>
      <c r="AI36" s="5">
        <f ca="1">ROUNDDOWN(MIN(MAX(((IF($M36="-",((YEAR($H$2)*12)+MONTH($H$2)-1),MIN(((YEAR($H$2)*12)+MONTH($H$2)-1),((YEAR($M36)*12)+MONTH($M36)-'Set-up'!$E$13)))-(((YEAR($I36)*12)+MONTH($I36)+'Set-up'!$E$11)))),0),IF(LEFT($AE36,1)="D",MaxPeriod,$AG36))/12,0)</f>
        <v>4</v>
      </c>
      <c r="AJ36" s="5">
        <f ca="1">ROUNDDOWN(MIN(MAX(((IF($M36="-",((YEAR($J$2)*12)+MONTH($J$2)-1),MIN(((YEAR($J$2)*12)+MONTH($J$2)-1),((YEAR($M36)*12)+MONTH($M36)-'Set-up'!$E$13)))-(((YEAR($I36)*12)+MONTH($I36)+'Set-up'!$E$11)))),0),IF(LEFT($AE36,1)="D",MaxPeriod,$AG36))/12,0)</f>
        <v>5</v>
      </c>
      <c r="AK36" s="5">
        <f ca="1">ROUNDDOWN(MIN(MAX(((IF($M36="-",0,((YEAR($M36)*12)+MONTH($M36)-'Set-up'!$E$13))-(((YEAR($I36)*12)+MONTH($I36)+'Set-up'!$E$11)))),0),IF(LEFT($AE36,1)="D",MaxPeriod,$AG36))/12,0)</f>
        <v>0</v>
      </c>
      <c r="AL36" s="5">
        <f>IF('Set-up'!$E$9="Daily",MIN(MAX(((IF($M36="-",$I$2,MIN($I$2,$M36-'Set-up'!$E$13))-((DATE(YEAR($I36)+$AH36,MONTH($I36),DAY($I36))+'Set-up'!$E$11)))+1),0),IF(LEFT($AE36,1)="D",MaxPeriod,$AG36)),0)</f>
        <v>0</v>
      </c>
      <c r="AM36" s="5">
        <f>IF('Set-up'!$E$9="Daily",MIN(MAX(((IF($M36="-",$H$2-1,MIN($H$2-1,$M36-'Set-up'!$E$13))-(DATE(YEAR($I36)+$AI36,MONTH($I36),DAY($I36))+'Set-up'!$E$11))+1),0),IF(LEFT($AE36,1)="D",MaxPeriod,$AG36)),0)</f>
        <v>0</v>
      </c>
      <c r="AN36" s="5">
        <f>IF('Set-up'!$E$9="Daily",MIN(MAX(((IF($M36="-",$J$2-1,MIN($J$2-1,$M36-'Set-up'!$E$13))-(DATE(YEAR($I36)+$AJ36,MONTH($I36),DAY($I36))+'Set-up'!$E$11))+1),0),IF(LEFT($AE36,1)="D",MaxPeriod,$AG36)),0)</f>
        <v>0</v>
      </c>
      <c r="AO36" s="5">
        <f>IF('Set-up'!$E$9="Daily",MIN(MAX(((IF($M36="-",0,$M36-'Set-up'!$E$13)-(DATE(YEAR($I36)+$AK36,MONTH($I36),DAY($I36))+'Set-up'!$E$11))+1),0),IF(LEFT($AE36,1)="D",MaxPeriod,$AG36)),0)</f>
        <v>0</v>
      </c>
      <c r="AP36" s="5">
        <f>IF('Set-up'!$E$9="Daily",DATE(YEAR($I36)+$AH36+1,MONTH($I36),DAY($I36))-DATE(YEAR($I36)+$AH36,MONTH($I36),DAY($I36)),0)</f>
        <v>0</v>
      </c>
      <c r="AQ36" s="5">
        <f>IF('Set-up'!$E$9="Daily",DATE(YEAR($I36)+$AI36+1,MONTH($I36),DAY($I36))-DATE(YEAR($I36)+$AI36,MONTH($I36),DAY($I36)),0)</f>
        <v>0</v>
      </c>
      <c r="AR36" s="5">
        <f>IF('Set-up'!$E$9="Daily",DATE(YEAR($I36)+$AJ36+1,MONTH($I36),DAY($I36))-DATE(YEAR($I36)+$AJ36,MONTH($I36),DAY($I36)),0)</f>
        <v>0</v>
      </c>
      <c r="AS36" s="5">
        <f>IF('Set-up'!$E$9="Daily",DATE(YEAR($I36)+$AK36+1,MONTH($I36),DAY($I36))-DATE(YEAR($I36)+$AK36,MONTH($I36),DAY($I36)),0)</f>
        <v>0</v>
      </c>
    </row>
    <row r="37" spans="1:46" ht="16" customHeight="1" x14ac:dyDescent="0.25">
      <c r="A37" s="9" t="s">
        <v>218</v>
      </c>
      <c r="B37" s="9" t="s">
        <v>212</v>
      </c>
      <c r="C37" s="9" t="s">
        <v>201</v>
      </c>
      <c r="D37" s="5" t="s">
        <v>90</v>
      </c>
      <c r="E37" s="5" t="s">
        <v>161</v>
      </c>
      <c r="F37" s="5" t="s">
        <v>340</v>
      </c>
      <c r="G37" s="5" t="str" cm="1">
        <f t="array" aca="1" ref="G37" ca="1">IF(COUNTIF(AssetCode,$A37)&gt;1,"E1",IF(ISNA(VLOOKUP($E37,CatAll,1,0))=TRUE,"E2",IF($I37="Add!","E10","-")))</f>
        <v>-</v>
      </c>
      <c r="H37" s="5" t="str">
        <f t="shared" ca="1" si="0"/>
        <v>CE</v>
      </c>
      <c r="I37" s="30" cm="1">
        <f t="array" aca="1" ref="I37" ca="1">IF(SUMIFS(TransIDDate,TransAsset,$A37,TransType,"ACQ")=0,"Add!",SUMIFS(TransIDDate,TransAsset,$A37,TransType,"ACQ"))</f>
        <v>42205</v>
      </c>
      <c r="J37" s="32">
        <f t="shared" ca="1" si="1"/>
        <v>8200</v>
      </c>
      <c r="K37" s="57">
        <f t="shared" ca="1" si="2"/>
        <v>3</v>
      </c>
      <c r="L37" s="32">
        <f t="shared" ca="1" si="3"/>
        <v>0</v>
      </c>
      <c r="M37" s="30" t="str" cm="1">
        <f t="array" ref="M37">IF(SUMIFS(TransIDDate,TransAsset,$A37,TransType,"DIS")=0,"-",IF(SUMIFS(TransIDDate,TransAsset,$A37,TransType,"DIS")&lt;=$I$2,SUMIFS(TransIDDate,TransAsset,$A37,TransType,"DIS"),"-"))</f>
        <v>-</v>
      </c>
      <c r="N37" s="31" cm="1">
        <f t="array" aca="1" ref="N37" ca="1">IF($M37&lt;=$I$2,SUMIFS(TransProceeds,TransAsset,$A37,TransType,"DIS"),0)</f>
        <v>0</v>
      </c>
      <c r="O37" s="32" cm="1">
        <f t="array" aca="1" ref="O37" ca="1">IF(AND($M37&lt;&gt;"-",$M37&lt;$H$2),0,SUMIFS(TransAmount,TransAsset,$A37,TransIDDate,"&lt;"&amp;$H$2,TransType,"ACQ"))</f>
        <v>8200</v>
      </c>
      <c r="P37" s="32">
        <f t="shared" ca="1" si="4"/>
        <v>0</v>
      </c>
      <c r="Q37" s="32">
        <f t="shared" ca="1" si="5"/>
        <v>0</v>
      </c>
      <c r="R37" s="32">
        <f t="shared" ca="1" si="7"/>
        <v>8200</v>
      </c>
      <c r="S37" s="32">
        <f ca="1">IF(AND($M37&lt;&gt;"-",$M37&lt;$H$2),0,IF($K37=0,0,IF(LEFT($AE37,1)="D",(($J37-$L37)*(1-((1-$AD37)^$AI37)))+(($J37-$L37)*(((1-$AD37)^$AI37)-((1-$AD37)^($AI37+1)))*IF('Set-up'!$E$9="Monthly",($AA37-($AI37*12))/12,$AM37/$AQ37)),($J37-$L37)/$AG37*$AA37)))</f>
        <v>8200</v>
      </c>
      <c r="T37" s="32">
        <f ca="1">IF($K37=0,0,IF(LEFT($AE37,1)="D",((($J37-$L37)*(1-((1-$AD37)^$AH37)))+(($J37-$L37)*(((1-$AD37)^$AH37)-((1-$AD37)^($AH37+1)))*IF('Set-up'!$E$9="Monthly",($Z37-($AH37*12))/12,$AL37/$AP37)))-(($J37-$L37)*(1-((1-$AD37)^$AI37)))-(($J37-$L37)*(((1-$AD37)^$AI37)-((1-$AD37)^($AI37+1)))*IF('Set-up'!$E$9="Monthly",($AA37-($AI37*12))/12,$AM37/$AQ37)),(($J37-$L37)/$AG37*$Z37)-(($J37-$L37)/$AG37*$AA37)))</f>
        <v>0</v>
      </c>
      <c r="U37" s="32">
        <f ca="1">-IF(AND($M37&gt;=$H$2,$M37&lt;=$I$2),IF(LEFT($AE37,1)="D",(($J37-$L37)*(1-((1-$AD37)^$AK37)))+(($J37-$L37)*(((1-$AD37)^$AK37)-((1-$AD37)^($AK37+1)))*IF('Set-up'!$E$9="Monthly",($AC37-($AK37*12))/12,$AO37/$AS37)),IF($K37=0,0,($J37-$L37)/$AG37*$AC37)),0)</f>
        <v>0</v>
      </c>
      <c r="V37" s="32">
        <f t="shared" ca="1" si="8"/>
        <v>8200</v>
      </c>
      <c r="W37" s="32">
        <f t="shared" ca="1" si="9"/>
        <v>0</v>
      </c>
      <c r="X37" s="32">
        <f t="shared" ca="1" si="10"/>
        <v>0</v>
      </c>
      <c r="Y37" s="32">
        <f ca="1">IF($K37=0,0,IF(LEFT($AE37,1)="D",((($J37-$L37)*(1-((1-$AD37)^$AH37)))+(($J37-$L37)*(((1-$AD37)^$AH37)-((1-$AD37)^($AH37+1)))*IF('Set-up'!$E$9="Monthly",($Z37-($AH37*12))/12,$AL37/$AP37)))-(($J37-$L37)*(1-((1-$AD37)^$AJ37)))-(($J37-$L37)*(((1-$AD37)^$AJ37)-((1-$AD37)^($AJ37+1)))*IF('Set-up'!$E$9="Monthly",($AB37-($AJ37*12))/12,$AN37/$AR37)),(($J37-$L37)/$AG37*$Z37)-(($J37-$L37)/$AG37*$AB37)))</f>
        <v>0</v>
      </c>
      <c r="Z37" s="5">
        <f ca="1">IF('Set-up'!$E$9="Daily",MIN(MAX(((IF($M37="-",$I$2,MIN($I$2,$M37-'Set-up'!$E$13))-(($I37+'Set-up'!$E$11)))+1),0),IF(LEFT($AE37,1)="D",MaxPeriod,$AG37)),MIN(MAX(((IF($M37="-",((YEAR($I$2)*12)+MONTH($I$2)),MIN(((YEAR($I$2)*12)+MONTH($I$2)),((YEAR($M37)*12)+MONTH($M37)-'Set-up'!$E$13)))-(((YEAR($I37)*12)+MONTH($I37)+'Set-up'!$E$11)))+1),0),IF(LEFT($AE37,1)="D",MaxPeriod,$AG37)))</f>
        <v>36</v>
      </c>
      <c r="AA37" s="5">
        <f ca="1">IF('Set-up'!$E$9="Daily",MIN(MAX(((IF($M37="-",$H$2-1,MIN($H$2-1,$M37-'Set-up'!$E$13))-($I37+'Set-up'!$E$11))+1),0),IF(LEFT($AE37,1)="D",MaxPeriod,$AG37)),MIN(MAX(((IF($M37="-",((YEAR($H$2)*12)+MONTH($H$2)-1),MIN(((YEAR($H$2)*12)+MONTH($H$2)-1),((YEAR($M37)*12)+MONTH($M37)-'Set-up'!$E$13)))-(((YEAR($I37)*12)+MONTH($I37)+'Set-up'!$E$11)))+1),0),IF(LEFT($AE37,1)="D",MaxPeriod,$AG37)))</f>
        <v>36</v>
      </c>
      <c r="AB37" s="5">
        <f ca="1">IF('Set-up'!$E$9="Daily",MIN(MAX(((IF($M37="-",$J$2-1,MIN($J$2-1,$M37-'Set-up'!$E$13))-($I37+'Set-up'!$E$11))+1),0),IF(LEFT($AE37,1)="D",MaxPeriod,$AG37)),MIN(MAX(((IF($M37="-",((YEAR($J$2)*12)+MONTH($J$2)-1),MIN(((YEAR($J$2)*12)+MONTH($J$2)-1),((YEAR($M37)*12)+MONTH($M37)-'Set-up'!$E$13)))-(((YEAR($I37)*12)+MONTH($I37)+'Set-up'!$E$11)))+1),0),IF(LEFT($AE37,1)="D",MaxPeriod,$AG37)))</f>
        <v>36</v>
      </c>
      <c r="AC37" s="5">
        <f ca="1">IF('Set-up'!$E$9="Daily",MIN(MAX(((IF($M37="-",0,$M37-'Set-up'!$E$13)-($I37+'Set-up'!$E$11))+1),0),IF(LEFT($AE37,1)="D",MaxPeriod,$AG37)),MIN(MAX(((IF($M37="-",0,((YEAR($M37)*12)+MONTH($M37)-'Set-up'!$E$13))-(((YEAR($I37)*12)+MONTH($I37)+'Set-up'!$E$11)))+1),0),IF(LEFT($AE37,1)="D",MaxPeriod,$AG37)))</f>
        <v>0</v>
      </c>
      <c r="AD37" s="33">
        <f t="shared" ca="1" si="6"/>
        <v>0</v>
      </c>
      <c r="AE37" s="34" t="str">
        <f t="shared" ca="1" si="11"/>
        <v>SL</v>
      </c>
      <c r="AF37" s="34">
        <f t="shared" ca="1" si="12"/>
        <v>1</v>
      </c>
      <c r="AG37" s="5">
        <f ca="1">IF('Set-up'!$E$9="Daily",(DATE(YEAR($I37)+$K37+(1-$AF37),MONTH($I37),DAY($I37))+'Set-up'!$E$11)-($I37+'Set-up'!$E$11),$K37*12)</f>
        <v>36</v>
      </c>
      <c r="AH37" s="5">
        <f ca="1">ROUNDDOWN(MIN(MAX(((IF($M37="-",((YEAR($I$2)*12)+MONTH($I$2)),MIN(((YEAR($I$2)*12)+MONTH($I$2)),((YEAR($M37)*12)+MONTH($M37)-'Set-up'!$E$13)))-(((YEAR($I37)*12)+MONTH($I37)+'Set-up'!$E$11)))),0),IF(LEFT($AE37,1)="D",MaxPeriod,$AG37))/12,0)</f>
        <v>3</v>
      </c>
      <c r="AI37" s="5">
        <f ca="1">ROUNDDOWN(MIN(MAX(((IF($M37="-",((YEAR($H$2)*12)+MONTH($H$2)-1),MIN(((YEAR($H$2)*12)+MONTH($H$2)-1),((YEAR($M37)*12)+MONTH($M37)-'Set-up'!$E$13)))-(((YEAR($I37)*12)+MONTH($I37)+'Set-up'!$E$11)))),0),IF(LEFT($AE37,1)="D",MaxPeriod,$AG37))/12,0)</f>
        <v>3</v>
      </c>
      <c r="AJ37" s="5">
        <f ca="1">ROUNDDOWN(MIN(MAX(((IF($M37="-",((YEAR($J$2)*12)+MONTH($J$2)-1),MIN(((YEAR($J$2)*12)+MONTH($J$2)-1),((YEAR($M37)*12)+MONTH($M37)-'Set-up'!$E$13)))-(((YEAR($I37)*12)+MONTH($I37)+'Set-up'!$E$11)))),0),IF(LEFT($AE37,1)="D",MaxPeriod,$AG37))/12,0)</f>
        <v>3</v>
      </c>
      <c r="AK37" s="5">
        <f ca="1">ROUNDDOWN(MIN(MAX(((IF($M37="-",0,((YEAR($M37)*12)+MONTH($M37)-'Set-up'!$E$13))-(((YEAR($I37)*12)+MONTH($I37)+'Set-up'!$E$11)))),0),IF(LEFT($AE37,1)="D",MaxPeriod,$AG37))/12,0)</f>
        <v>0</v>
      </c>
      <c r="AL37" s="5">
        <f>IF('Set-up'!$E$9="Daily",MIN(MAX(((IF($M37="-",$I$2,MIN($I$2,$M37-'Set-up'!$E$13))-((DATE(YEAR($I37)+$AH37,MONTH($I37),DAY($I37))+'Set-up'!$E$11)))+1),0),IF(LEFT($AE37,1)="D",MaxPeriod,$AG37)),0)</f>
        <v>0</v>
      </c>
      <c r="AM37" s="5">
        <f>IF('Set-up'!$E$9="Daily",MIN(MAX(((IF($M37="-",$H$2-1,MIN($H$2-1,$M37-'Set-up'!$E$13))-(DATE(YEAR($I37)+$AI37,MONTH($I37),DAY($I37))+'Set-up'!$E$11))+1),0),IF(LEFT($AE37,1)="D",MaxPeriod,$AG37)),0)</f>
        <v>0</v>
      </c>
      <c r="AN37" s="5">
        <f>IF('Set-up'!$E$9="Daily",MIN(MAX(((IF($M37="-",$J$2-1,MIN($J$2-1,$M37-'Set-up'!$E$13))-(DATE(YEAR($I37)+$AJ37,MONTH($I37),DAY($I37))+'Set-up'!$E$11))+1),0),IF(LEFT($AE37,1)="D",MaxPeriod,$AG37)),0)</f>
        <v>0</v>
      </c>
      <c r="AO37" s="5">
        <f>IF('Set-up'!$E$9="Daily",MIN(MAX(((IF($M37="-",0,$M37-'Set-up'!$E$13)-(DATE(YEAR($I37)+$AK37,MONTH($I37),DAY($I37))+'Set-up'!$E$11))+1),0),IF(LEFT($AE37,1)="D",MaxPeriod,$AG37)),0)</f>
        <v>0</v>
      </c>
      <c r="AP37" s="5">
        <f>IF('Set-up'!$E$9="Daily",DATE(YEAR($I37)+$AH37+1,MONTH($I37),DAY($I37))-DATE(YEAR($I37)+$AH37,MONTH($I37),DAY($I37)),0)</f>
        <v>0</v>
      </c>
      <c r="AQ37" s="5">
        <f>IF('Set-up'!$E$9="Daily",DATE(YEAR($I37)+$AI37+1,MONTH($I37),DAY($I37))-DATE(YEAR($I37)+$AI37,MONTH($I37),DAY($I37)),0)</f>
        <v>0</v>
      </c>
      <c r="AR37" s="5">
        <f>IF('Set-up'!$E$9="Daily",DATE(YEAR($I37)+$AJ37+1,MONTH($I37),DAY($I37))-DATE(YEAR($I37)+$AJ37,MONTH($I37),DAY($I37)),0)</f>
        <v>0</v>
      </c>
      <c r="AS37" s="5">
        <f>IF('Set-up'!$E$9="Daily",DATE(YEAR($I37)+$AK37+1,MONTH($I37),DAY($I37))-DATE(YEAR($I37)+$AK37,MONTH($I37),DAY($I37)),0)</f>
        <v>0</v>
      </c>
    </row>
    <row r="38" spans="1:46" ht="16" customHeight="1" x14ac:dyDescent="0.25">
      <c r="A38" s="9" t="s">
        <v>219</v>
      </c>
      <c r="B38" s="9" t="s">
        <v>213</v>
      </c>
      <c r="C38" s="9" t="s">
        <v>202</v>
      </c>
      <c r="D38" s="5" t="s">
        <v>90</v>
      </c>
      <c r="E38" s="5" t="s">
        <v>161</v>
      </c>
      <c r="F38" s="5" t="s">
        <v>340</v>
      </c>
      <c r="G38" s="5" t="str" cm="1">
        <f t="array" aca="1" ref="G38" ca="1">IF(COUNTIF(AssetCode,$A38)&gt;1,"E1",IF(ISNA(VLOOKUP($E38,CatAll,1,0))=TRUE,"E2",IF($I38="Add!","E10","-")))</f>
        <v>-</v>
      </c>
      <c r="H38" s="5" t="str">
        <f t="shared" ca="1" si="0"/>
        <v>CE</v>
      </c>
      <c r="I38" s="30" cm="1">
        <f t="array" aca="1" ref="I38" ca="1">IF(SUMIFS(TransIDDate,TransAsset,$A38,TransType,"ACQ")=0,"Add!",SUMIFS(TransIDDate,TransAsset,$A38,TransType,"ACQ"))</f>
        <v>42205</v>
      </c>
      <c r="J38" s="32">
        <f t="shared" ca="1" si="1"/>
        <v>6600</v>
      </c>
      <c r="K38" s="57">
        <f t="shared" ca="1" si="2"/>
        <v>3</v>
      </c>
      <c r="L38" s="32">
        <f t="shared" ca="1" si="3"/>
        <v>0</v>
      </c>
      <c r="M38" s="30" t="str" cm="1">
        <f t="array" ref="M38">IF(SUMIFS(TransIDDate,TransAsset,$A38,TransType,"DIS")=0,"-",IF(SUMIFS(TransIDDate,TransAsset,$A38,TransType,"DIS")&lt;=$I$2,SUMIFS(TransIDDate,TransAsset,$A38,TransType,"DIS"),"-"))</f>
        <v>-</v>
      </c>
      <c r="N38" s="31" cm="1">
        <f t="array" aca="1" ref="N38" ca="1">IF($M38&lt;=$I$2,SUMIFS(TransProceeds,TransAsset,$A38,TransType,"DIS"),0)</f>
        <v>0</v>
      </c>
      <c r="O38" s="32" cm="1">
        <f t="array" aca="1" ref="O38" ca="1">IF(AND($M38&lt;&gt;"-",$M38&lt;$H$2),0,SUMIFS(TransAmount,TransAsset,$A38,TransIDDate,"&lt;"&amp;$H$2,TransType,"ACQ"))</f>
        <v>6600</v>
      </c>
      <c r="P38" s="32">
        <f t="shared" ca="1" si="4"/>
        <v>0</v>
      </c>
      <c r="Q38" s="32">
        <f t="shared" ca="1" si="5"/>
        <v>0</v>
      </c>
      <c r="R38" s="32">
        <f t="shared" ca="1" si="7"/>
        <v>6600</v>
      </c>
      <c r="S38" s="32">
        <f ca="1">IF(AND($M38&lt;&gt;"-",$M38&lt;$H$2),0,IF($K38=0,0,IF(LEFT($AE38,1)="D",(($J38-$L38)*(1-((1-$AD38)^$AI38)))+(($J38-$L38)*(((1-$AD38)^$AI38)-((1-$AD38)^($AI38+1)))*IF('Set-up'!$E$9="Monthly",($AA38-($AI38*12))/12,$AM38/$AQ38)),($J38-$L38)/$AG38*$AA38)))</f>
        <v>6600</v>
      </c>
      <c r="T38" s="32">
        <f ca="1">IF($K38=0,0,IF(LEFT($AE38,1)="D",((($J38-$L38)*(1-((1-$AD38)^$AH38)))+(($J38-$L38)*(((1-$AD38)^$AH38)-((1-$AD38)^($AH38+1)))*IF('Set-up'!$E$9="Monthly",($Z38-($AH38*12))/12,$AL38/$AP38)))-(($J38-$L38)*(1-((1-$AD38)^$AI38)))-(($J38-$L38)*(((1-$AD38)^$AI38)-((1-$AD38)^($AI38+1)))*IF('Set-up'!$E$9="Monthly",($AA38-($AI38*12))/12,$AM38/$AQ38)),(($J38-$L38)/$AG38*$Z38)-(($J38-$L38)/$AG38*$AA38)))</f>
        <v>0</v>
      </c>
      <c r="U38" s="32">
        <f ca="1">-IF(AND($M38&gt;=$H$2,$M38&lt;=$I$2),IF(LEFT($AE38,1)="D",(($J38-$L38)*(1-((1-$AD38)^$AK38)))+(($J38-$L38)*(((1-$AD38)^$AK38)-((1-$AD38)^($AK38+1)))*IF('Set-up'!$E$9="Monthly",($AC38-($AK38*12))/12,$AO38/$AS38)),IF($K38=0,0,($J38-$L38)/$AG38*$AC38)),0)</f>
        <v>0</v>
      </c>
      <c r="V38" s="32">
        <f t="shared" ca="1" si="8"/>
        <v>6600</v>
      </c>
      <c r="W38" s="32">
        <f t="shared" ca="1" si="9"/>
        <v>0</v>
      </c>
      <c r="X38" s="32">
        <f t="shared" ca="1" si="10"/>
        <v>0</v>
      </c>
      <c r="Y38" s="32">
        <f ca="1">IF($K38=0,0,IF(LEFT($AE38,1)="D",((($J38-$L38)*(1-((1-$AD38)^$AH38)))+(($J38-$L38)*(((1-$AD38)^$AH38)-((1-$AD38)^($AH38+1)))*IF('Set-up'!$E$9="Monthly",($Z38-($AH38*12))/12,$AL38/$AP38)))-(($J38-$L38)*(1-((1-$AD38)^$AJ38)))-(($J38-$L38)*(((1-$AD38)^$AJ38)-((1-$AD38)^($AJ38+1)))*IF('Set-up'!$E$9="Monthly",($AB38-($AJ38*12))/12,$AN38/$AR38)),(($J38-$L38)/$AG38*$Z38)-(($J38-$L38)/$AG38*$AB38)))</f>
        <v>0</v>
      </c>
      <c r="Z38" s="5">
        <f ca="1">IF('Set-up'!$E$9="Daily",MIN(MAX(((IF($M38="-",$I$2,MIN($I$2,$M38-'Set-up'!$E$13))-(($I38+'Set-up'!$E$11)))+1),0),IF(LEFT($AE38,1)="D",MaxPeriod,$AG38)),MIN(MAX(((IF($M38="-",((YEAR($I$2)*12)+MONTH($I$2)),MIN(((YEAR($I$2)*12)+MONTH($I$2)),((YEAR($M38)*12)+MONTH($M38)-'Set-up'!$E$13)))-(((YEAR($I38)*12)+MONTH($I38)+'Set-up'!$E$11)))+1),0),IF(LEFT($AE38,1)="D",MaxPeriod,$AG38)))</f>
        <v>36</v>
      </c>
      <c r="AA38" s="5">
        <f ca="1">IF('Set-up'!$E$9="Daily",MIN(MAX(((IF($M38="-",$H$2-1,MIN($H$2-1,$M38-'Set-up'!$E$13))-($I38+'Set-up'!$E$11))+1),0),IF(LEFT($AE38,1)="D",MaxPeriod,$AG38)),MIN(MAX(((IF($M38="-",((YEAR($H$2)*12)+MONTH($H$2)-1),MIN(((YEAR($H$2)*12)+MONTH($H$2)-1),((YEAR($M38)*12)+MONTH($M38)-'Set-up'!$E$13)))-(((YEAR($I38)*12)+MONTH($I38)+'Set-up'!$E$11)))+1),0),IF(LEFT($AE38,1)="D",MaxPeriod,$AG38)))</f>
        <v>36</v>
      </c>
      <c r="AB38" s="5">
        <f ca="1">IF('Set-up'!$E$9="Daily",MIN(MAX(((IF($M38="-",$J$2-1,MIN($J$2-1,$M38-'Set-up'!$E$13))-($I38+'Set-up'!$E$11))+1),0),IF(LEFT($AE38,1)="D",MaxPeriod,$AG38)),MIN(MAX(((IF($M38="-",((YEAR($J$2)*12)+MONTH($J$2)-1),MIN(((YEAR($J$2)*12)+MONTH($J$2)-1),((YEAR($M38)*12)+MONTH($M38)-'Set-up'!$E$13)))-(((YEAR($I38)*12)+MONTH($I38)+'Set-up'!$E$11)))+1),0),IF(LEFT($AE38,1)="D",MaxPeriod,$AG38)))</f>
        <v>36</v>
      </c>
      <c r="AC38" s="5">
        <f ca="1">IF('Set-up'!$E$9="Daily",MIN(MAX(((IF($M38="-",0,$M38-'Set-up'!$E$13)-($I38+'Set-up'!$E$11))+1),0),IF(LEFT($AE38,1)="D",MaxPeriod,$AG38)),MIN(MAX(((IF($M38="-",0,((YEAR($M38)*12)+MONTH($M38)-'Set-up'!$E$13))-(((YEAR($I38)*12)+MONTH($I38)+'Set-up'!$E$11)))+1),0),IF(LEFT($AE38,1)="D",MaxPeriod,$AG38)))</f>
        <v>0</v>
      </c>
      <c r="AD38" s="33">
        <f t="shared" ca="1" si="6"/>
        <v>0</v>
      </c>
      <c r="AE38" s="34" t="str">
        <f t="shared" ca="1" si="11"/>
        <v>SL</v>
      </c>
      <c r="AF38" s="34">
        <f t="shared" ca="1" si="12"/>
        <v>1</v>
      </c>
      <c r="AG38" s="5">
        <f ca="1">IF('Set-up'!$E$9="Daily",(DATE(YEAR($I38)+$K38+(1-$AF38),MONTH($I38),DAY($I38))+'Set-up'!$E$11)-($I38+'Set-up'!$E$11),$K38*12)</f>
        <v>36</v>
      </c>
      <c r="AH38" s="5">
        <f ca="1">ROUNDDOWN(MIN(MAX(((IF($M38="-",((YEAR($I$2)*12)+MONTH($I$2)),MIN(((YEAR($I$2)*12)+MONTH($I$2)),((YEAR($M38)*12)+MONTH($M38)-'Set-up'!$E$13)))-(((YEAR($I38)*12)+MONTH($I38)+'Set-up'!$E$11)))),0),IF(LEFT($AE38,1)="D",MaxPeriod,$AG38))/12,0)</f>
        <v>3</v>
      </c>
      <c r="AI38" s="5">
        <f ca="1">ROUNDDOWN(MIN(MAX(((IF($M38="-",((YEAR($H$2)*12)+MONTH($H$2)-1),MIN(((YEAR($H$2)*12)+MONTH($H$2)-1),((YEAR($M38)*12)+MONTH($M38)-'Set-up'!$E$13)))-(((YEAR($I38)*12)+MONTH($I38)+'Set-up'!$E$11)))),0),IF(LEFT($AE38,1)="D",MaxPeriod,$AG38))/12,0)</f>
        <v>3</v>
      </c>
      <c r="AJ38" s="5">
        <f ca="1">ROUNDDOWN(MIN(MAX(((IF($M38="-",((YEAR($J$2)*12)+MONTH($J$2)-1),MIN(((YEAR($J$2)*12)+MONTH($J$2)-1),((YEAR($M38)*12)+MONTH($M38)-'Set-up'!$E$13)))-(((YEAR($I38)*12)+MONTH($I38)+'Set-up'!$E$11)))),0),IF(LEFT($AE38,1)="D",MaxPeriod,$AG38))/12,0)</f>
        <v>3</v>
      </c>
      <c r="AK38" s="5">
        <f ca="1">ROUNDDOWN(MIN(MAX(((IF($M38="-",0,((YEAR($M38)*12)+MONTH($M38)-'Set-up'!$E$13))-(((YEAR($I38)*12)+MONTH($I38)+'Set-up'!$E$11)))),0),IF(LEFT($AE38,1)="D",MaxPeriod,$AG38))/12,0)</f>
        <v>0</v>
      </c>
      <c r="AL38" s="5">
        <f>IF('Set-up'!$E$9="Daily",MIN(MAX(((IF($M38="-",$I$2,MIN($I$2,$M38-'Set-up'!$E$13))-((DATE(YEAR($I38)+$AH38,MONTH($I38),DAY($I38))+'Set-up'!$E$11)))+1),0),IF(LEFT($AE38,1)="D",MaxPeriod,$AG38)),0)</f>
        <v>0</v>
      </c>
      <c r="AM38" s="5">
        <f>IF('Set-up'!$E$9="Daily",MIN(MAX(((IF($M38="-",$H$2-1,MIN($H$2-1,$M38-'Set-up'!$E$13))-(DATE(YEAR($I38)+$AI38,MONTH($I38),DAY($I38))+'Set-up'!$E$11))+1),0),IF(LEFT($AE38,1)="D",MaxPeriod,$AG38)),0)</f>
        <v>0</v>
      </c>
      <c r="AN38" s="5">
        <f>IF('Set-up'!$E$9="Daily",MIN(MAX(((IF($M38="-",$J$2-1,MIN($J$2-1,$M38-'Set-up'!$E$13))-(DATE(YEAR($I38)+$AJ38,MONTH($I38),DAY($I38))+'Set-up'!$E$11))+1),0),IF(LEFT($AE38,1)="D",MaxPeriod,$AG38)),0)</f>
        <v>0</v>
      </c>
      <c r="AO38" s="5">
        <f>IF('Set-up'!$E$9="Daily",MIN(MAX(((IF($M38="-",0,$M38-'Set-up'!$E$13)-(DATE(YEAR($I38)+$AK38,MONTH($I38),DAY($I38))+'Set-up'!$E$11))+1),0),IF(LEFT($AE38,1)="D",MaxPeriod,$AG38)),0)</f>
        <v>0</v>
      </c>
      <c r="AP38" s="5">
        <f>IF('Set-up'!$E$9="Daily",DATE(YEAR($I38)+$AH38+1,MONTH($I38),DAY($I38))-DATE(YEAR($I38)+$AH38,MONTH($I38),DAY($I38)),0)</f>
        <v>0</v>
      </c>
      <c r="AQ38" s="5">
        <f>IF('Set-up'!$E$9="Daily",DATE(YEAR($I38)+$AI38+1,MONTH($I38),DAY($I38))-DATE(YEAR($I38)+$AI38,MONTH($I38),DAY($I38)),0)</f>
        <v>0</v>
      </c>
      <c r="AR38" s="5">
        <f>IF('Set-up'!$E$9="Daily",DATE(YEAR($I38)+$AJ38+1,MONTH($I38),DAY($I38))-DATE(YEAR($I38)+$AJ38,MONTH($I38),DAY($I38)),0)</f>
        <v>0</v>
      </c>
      <c r="AS38" s="5">
        <f>IF('Set-up'!$E$9="Daily",DATE(YEAR($I38)+$AK38+1,MONTH($I38),DAY($I38))-DATE(YEAR($I38)+$AK38,MONTH($I38),DAY($I38)),0)</f>
        <v>0</v>
      </c>
    </row>
    <row r="39" spans="1:46" ht="16" customHeight="1" x14ac:dyDescent="0.25">
      <c r="A39" s="9" t="s">
        <v>220</v>
      </c>
      <c r="B39" s="9" t="s">
        <v>214</v>
      </c>
      <c r="C39" s="9" t="s">
        <v>254</v>
      </c>
      <c r="D39" s="5" t="s">
        <v>90</v>
      </c>
      <c r="E39" s="5" t="s">
        <v>161</v>
      </c>
      <c r="F39" s="5" t="s">
        <v>340</v>
      </c>
      <c r="G39" s="5" t="str" cm="1">
        <f t="array" aca="1" ref="G39" ca="1">IF(COUNTIF(AssetCode,$A39)&gt;1,"E1",IF(ISNA(VLOOKUP($E39,CatAll,1,0))=TRUE,"E2",IF($I39="Add!","E10","-")))</f>
        <v>-</v>
      </c>
      <c r="H39" s="5" t="str">
        <f t="shared" ca="1" si="0"/>
        <v>CE</v>
      </c>
      <c r="I39" s="30" cm="1">
        <f t="array" aca="1" ref="I39" ca="1">IF(SUMIFS(TransIDDate,TransAsset,$A39,TransType,"ACQ")=0,"Add!",SUMIFS(TransIDDate,TransAsset,$A39,TransType,"ACQ"))</f>
        <v>42205</v>
      </c>
      <c r="J39" s="32">
        <f t="shared" ca="1" si="1"/>
        <v>2100</v>
      </c>
      <c r="K39" s="57">
        <f t="shared" ca="1" si="2"/>
        <v>3</v>
      </c>
      <c r="L39" s="32">
        <f t="shared" ca="1" si="3"/>
        <v>0</v>
      </c>
      <c r="M39" s="30" t="str" cm="1">
        <f t="array" ref="M39">IF(SUMIFS(TransIDDate,TransAsset,$A39,TransType,"DIS")=0,"-",IF(SUMIFS(TransIDDate,TransAsset,$A39,TransType,"DIS")&lt;=$I$2,SUMIFS(TransIDDate,TransAsset,$A39,TransType,"DIS"),"-"))</f>
        <v>-</v>
      </c>
      <c r="N39" s="31" cm="1">
        <f t="array" aca="1" ref="N39" ca="1">IF($M39&lt;=$I$2,SUMIFS(TransProceeds,TransAsset,$A39,TransType,"DIS"),0)</f>
        <v>0</v>
      </c>
      <c r="O39" s="32" cm="1">
        <f t="array" aca="1" ref="O39" ca="1">IF(AND($M39&lt;&gt;"-",$M39&lt;$H$2),0,SUMIFS(TransAmount,TransAsset,$A39,TransIDDate,"&lt;"&amp;$H$2,TransType,"ACQ"))</f>
        <v>2100</v>
      </c>
      <c r="P39" s="32">
        <f t="shared" ca="1" si="4"/>
        <v>0</v>
      </c>
      <c r="Q39" s="32">
        <f t="shared" ca="1" si="5"/>
        <v>0</v>
      </c>
      <c r="R39" s="32">
        <f t="shared" ca="1" si="7"/>
        <v>2100</v>
      </c>
      <c r="S39" s="32">
        <f ca="1">IF(AND($M39&lt;&gt;"-",$M39&lt;$H$2),0,IF($K39=0,0,IF(LEFT($AE39,1)="D",(($J39-$L39)*(1-((1-$AD39)^$AI39)))+(($J39-$L39)*(((1-$AD39)^$AI39)-((1-$AD39)^($AI39+1)))*IF('Set-up'!$E$9="Monthly",($AA39-($AI39*12))/12,$AM39/$AQ39)),($J39-$L39)/$AG39*$AA39)))</f>
        <v>2100</v>
      </c>
      <c r="T39" s="32">
        <f ca="1">IF($K39=0,0,IF(LEFT($AE39,1)="D",((($J39-$L39)*(1-((1-$AD39)^$AH39)))+(($J39-$L39)*(((1-$AD39)^$AH39)-((1-$AD39)^($AH39+1)))*IF('Set-up'!$E$9="Monthly",($Z39-($AH39*12))/12,$AL39/$AP39)))-(($J39-$L39)*(1-((1-$AD39)^$AI39)))-(($J39-$L39)*(((1-$AD39)^$AI39)-((1-$AD39)^($AI39+1)))*IF('Set-up'!$E$9="Monthly",($AA39-($AI39*12))/12,$AM39/$AQ39)),(($J39-$L39)/$AG39*$Z39)-(($J39-$L39)/$AG39*$AA39)))</f>
        <v>0</v>
      </c>
      <c r="U39" s="32">
        <f ca="1">-IF(AND($M39&gt;=$H$2,$M39&lt;=$I$2),IF(LEFT($AE39,1)="D",(($J39-$L39)*(1-((1-$AD39)^$AK39)))+(($J39-$L39)*(((1-$AD39)^$AK39)-((1-$AD39)^($AK39+1)))*IF('Set-up'!$E$9="Monthly",($AC39-($AK39*12))/12,$AO39/$AS39)),IF($K39=0,0,($J39-$L39)/$AG39*$AC39)),0)</f>
        <v>0</v>
      </c>
      <c r="V39" s="32">
        <f t="shared" ca="1" si="8"/>
        <v>2100</v>
      </c>
      <c r="W39" s="32">
        <f t="shared" ca="1" si="9"/>
        <v>0</v>
      </c>
      <c r="X39" s="32">
        <f t="shared" ca="1" si="10"/>
        <v>0</v>
      </c>
      <c r="Y39" s="32">
        <f ca="1">IF($K39=0,0,IF(LEFT($AE39,1)="D",((($J39-$L39)*(1-((1-$AD39)^$AH39)))+(($J39-$L39)*(((1-$AD39)^$AH39)-((1-$AD39)^($AH39+1)))*IF('Set-up'!$E$9="Monthly",($Z39-($AH39*12))/12,$AL39/$AP39)))-(($J39-$L39)*(1-((1-$AD39)^$AJ39)))-(($J39-$L39)*(((1-$AD39)^$AJ39)-((1-$AD39)^($AJ39+1)))*IF('Set-up'!$E$9="Monthly",($AB39-($AJ39*12))/12,$AN39/$AR39)),(($J39-$L39)/$AG39*$Z39)-(($J39-$L39)/$AG39*$AB39)))</f>
        <v>0</v>
      </c>
      <c r="Z39" s="5">
        <f ca="1">IF('Set-up'!$E$9="Daily",MIN(MAX(((IF($M39="-",$I$2,MIN($I$2,$M39-'Set-up'!$E$13))-(($I39+'Set-up'!$E$11)))+1),0),IF(LEFT($AE39,1)="D",MaxPeriod,$AG39)),MIN(MAX(((IF($M39="-",((YEAR($I$2)*12)+MONTH($I$2)),MIN(((YEAR($I$2)*12)+MONTH($I$2)),((YEAR($M39)*12)+MONTH($M39)-'Set-up'!$E$13)))-(((YEAR($I39)*12)+MONTH($I39)+'Set-up'!$E$11)))+1),0),IF(LEFT($AE39,1)="D",MaxPeriod,$AG39)))</f>
        <v>36</v>
      </c>
      <c r="AA39" s="5">
        <f ca="1">IF('Set-up'!$E$9="Daily",MIN(MAX(((IF($M39="-",$H$2-1,MIN($H$2-1,$M39-'Set-up'!$E$13))-($I39+'Set-up'!$E$11))+1),0),IF(LEFT($AE39,1)="D",MaxPeriod,$AG39)),MIN(MAX(((IF($M39="-",((YEAR($H$2)*12)+MONTH($H$2)-1),MIN(((YEAR($H$2)*12)+MONTH($H$2)-1),((YEAR($M39)*12)+MONTH($M39)-'Set-up'!$E$13)))-(((YEAR($I39)*12)+MONTH($I39)+'Set-up'!$E$11)))+1),0),IF(LEFT($AE39,1)="D",MaxPeriod,$AG39)))</f>
        <v>36</v>
      </c>
      <c r="AB39" s="5">
        <f ca="1">IF('Set-up'!$E$9="Daily",MIN(MAX(((IF($M39="-",$J$2-1,MIN($J$2-1,$M39-'Set-up'!$E$13))-($I39+'Set-up'!$E$11))+1),0),IF(LEFT($AE39,1)="D",MaxPeriod,$AG39)),MIN(MAX(((IF($M39="-",((YEAR($J$2)*12)+MONTH($J$2)-1),MIN(((YEAR($J$2)*12)+MONTH($J$2)-1),((YEAR($M39)*12)+MONTH($M39)-'Set-up'!$E$13)))-(((YEAR($I39)*12)+MONTH($I39)+'Set-up'!$E$11)))+1),0),IF(LEFT($AE39,1)="D",MaxPeriod,$AG39)))</f>
        <v>36</v>
      </c>
      <c r="AC39" s="5">
        <f ca="1">IF('Set-up'!$E$9="Daily",MIN(MAX(((IF($M39="-",0,$M39-'Set-up'!$E$13)-($I39+'Set-up'!$E$11))+1),0),IF(LEFT($AE39,1)="D",MaxPeriod,$AG39)),MIN(MAX(((IF($M39="-",0,((YEAR($M39)*12)+MONTH($M39)-'Set-up'!$E$13))-(((YEAR($I39)*12)+MONTH($I39)+'Set-up'!$E$11)))+1),0),IF(LEFT($AE39,1)="D",MaxPeriod,$AG39)))</f>
        <v>0</v>
      </c>
      <c r="AD39" s="33">
        <f t="shared" ca="1" si="6"/>
        <v>0</v>
      </c>
      <c r="AE39" s="34" t="str">
        <f t="shared" ca="1" si="11"/>
        <v>SL</v>
      </c>
      <c r="AF39" s="34">
        <f t="shared" ca="1" si="12"/>
        <v>1</v>
      </c>
      <c r="AG39" s="5">
        <f ca="1">IF('Set-up'!$E$9="Daily",(DATE(YEAR($I39)+$K39+(1-$AF39),MONTH($I39),DAY($I39))+'Set-up'!$E$11)-($I39+'Set-up'!$E$11),$K39*12)</f>
        <v>36</v>
      </c>
      <c r="AH39" s="5">
        <f ca="1">ROUNDDOWN(MIN(MAX(((IF($M39="-",((YEAR($I$2)*12)+MONTH($I$2)),MIN(((YEAR($I$2)*12)+MONTH($I$2)),((YEAR($M39)*12)+MONTH($M39)-'Set-up'!$E$13)))-(((YEAR($I39)*12)+MONTH($I39)+'Set-up'!$E$11)))),0),IF(LEFT($AE39,1)="D",MaxPeriod,$AG39))/12,0)</f>
        <v>3</v>
      </c>
      <c r="AI39" s="5">
        <f ca="1">ROUNDDOWN(MIN(MAX(((IF($M39="-",((YEAR($H$2)*12)+MONTH($H$2)-1),MIN(((YEAR($H$2)*12)+MONTH($H$2)-1),((YEAR($M39)*12)+MONTH($M39)-'Set-up'!$E$13)))-(((YEAR($I39)*12)+MONTH($I39)+'Set-up'!$E$11)))),0),IF(LEFT($AE39,1)="D",MaxPeriod,$AG39))/12,0)</f>
        <v>3</v>
      </c>
      <c r="AJ39" s="5">
        <f ca="1">ROUNDDOWN(MIN(MAX(((IF($M39="-",((YEAR($J$2)*12)+MONTH($J$2)-1),MIN(((YEAR($J$2)*12)+MONTH($J$2)-1),((YEAR($M39)*12)+MONTH($M39)-'Set-up'!$E$13)))-(((YEAR($I39)*12)+MONTH($I39)+'Set-up'!$E$11)))),0),IF(LEFT($AE39,1)="D",MaxPeriod,$AG39))/12,0)</f>
        <v>3</v>
      </c>
      <c r="AK39" s="5">
        <f ca="1">ROUNDDOWN(MIN(MAX(((IF($M39="-",0,((YEAR($M39)*12)+MONTH($M39)-'Set-up'!$E$13))-(((YEAR($I39)*12)+MONTH($I39)+'Set-up'!$E$11)))),0),IF(LEFT($AE39,1)="D",MaxPeriod,$AG39))/12,0)</f>
        <v>0</v>
      </c>
      <c r="AL39" s="5">
        <f>IF('Set-up'!$E$9="Daily",MIN(MAX(((IF($M39="-",$I$2,MIN($I$2,$M39-'Set-up'!$E$13))-((DATE(YEAR($I39)+$AH39,MONTH($I39),DAY($I39))+'Set-up'!$E$11)))+1),0),IF(LEFT($AE39,1)="D",MaxPeriod,$AG39)),0)</f>
        <v>0</v>
      </c>
      <c r="AM39" s="5">
        <f>IF('Set-up'!$E$9="Daily",MIN(MAX(((IF($M39="-",$H$2-1,MIN($H$2-1,$M39-'Set-up'!$E$13))-(DATE(YEAR($I39)+$AI39,MONTH($I39),DAY($I39))+'Set-up'!$E$11))+1),0),IF(LEFT($AE39,1)="D",MaxPeriod,$AG39)),0)</f>
        <v>0</v>
      </c>
      <c r="AN39" s="5">
        <f>IF('Set-up'!$E$9="Daily",MIN(MAX(((IF($M39="-",$J$2-1,MIN($J$2-1,$M39-'Set-up'!$E$13))-(DATE(YEAR($I39)+$AJ39,MONTH($I39),DAY($I39))+'Set-up'!$E$11))+1),0),IF(LEFT($AE39,1)="D",MaxPeriod,$AG39)),0)</f>
        <v>0</v>
      </c>
      <c r="AO39" s="5">
        <f>IF('Set-up'!$E$9="Daily",MIN(MAX(((IF($M39="-",0,$M39-'Set-up'!$E$13)-(DATE(YEAR($I39)+$AK39,MONTH($I39),DAY($I39))+'Set-up'!$E$11))+1),0),IF(LEFT($AE39,1)="D",MaxPeriod,$AG39)),0)</f>
        <v>0</v>
      </c>
      <c r="AP39" s="5">
        <f>IF('Set-up'!$E$9="Daily",DATE(YEAR($I39)+$AH39+1,MONTH($I39),DAY($I39))-DATE(YEAR($I39)+$AH39,MONTH($I39),DAY($I39)),0)</f>
        <v>0</v>
      </c>
      <c r="AQ39" s="5">
        <f>IF('Set-up'!$E$9="Daily",DATE(YEAR($I39)+$AI39+1,MONTH($I39),DAY($I39))-DATE(YEAR($I39)+$AI39,MONTH($I39),DAY($I39)),0)</f>
        <v>0</v>
      </c>
      <c r="AR39" s="5">
        <f>IF('Set-up'!$E$9="Daily",DATE(YEAR($I39)+$AJ39+1,MONTH($I39),DAY($I39))-DATE(YEAR($I39)+$AJ39,MONTH($I39),DAY($I39)),0)</f>
        <v>0</v>
      </c>
      <c r="AS39" s="5">
        <f>IF('Set-up'!$E$9="Daily",DATE(YEAR($I39)+$AK39+1,MONTH($I39),DAY($I39))-DATE(YEAR($I39)+$AK39,MONTH($I39),DAY($I39)),0)</f>
        <v>0</v>
      </c>
    </row>
    <row r="40" spans="1:46" ht="16" customHeight="1" x14ac:dyDescent="0.25">
      <c r="A40" s="9" t="s">
        <v>206</v>
      </c>
      <c r="B40" s="9" t="s">
        <v>215</v>
      </c>
      <c r="C40" s="9" t="s">
        <v>211</v>
      </c>
      <c r="D40" s="5" t="s">
        <v>90</v>
      </c>
      <c r="E40" s="5" t="s">
        <v>203</v>
      </c>
      <c r="F40" s="5" t="s">
        <v>340</v>
      </c>
      <c r="G40" s="5" t="str" cm="1">
        <f t="array" aca="1" ref="G40" ca="1">IF(COUNTIF(AssetCode,$A40)&gt;1,"E1",IF(ISNA(VLOOKUP($E40,CatAll,1,0))=TRUE,"E2",IF($I40="Add!","E10","-")))</f>
        <v>-</v>
      </c>
      <c r="H40" s="5" t="str">
        <f t="shared" ca="1" si="0"/>
        <v>OE</v>
      </c>
      <c r="I40" s="30" cm="1">
        <f t="array" aca="1" ref="I40" ca="1">IF(SUMIFS(TransIDDate,TransAsset,$A40,TransType,"ACQ")=0,"Add!",SUMIFS(TransIDDate,TransAsset,$A40,TransType,"ACQ"))</f>
        <v>42205</v>
      </c>
      <c r="J40" s="32">
        <f t="shared" ca="1" si="1"/>
        <v>3400</v>
      </c>
      <c r="K40" s="57">
        <f t="shared" ca="1" si="2"/>
        <v>4</v>
      </c>
      <c r="L40" s="32">
        <f t="shared" ca="1" si="3"/>
        <v>0</v>
      </c>
      <c r="M40" s="30" t="str" cm="1">
        <f t="array" ref="M40">IF(SUMIFS(TransIDDate,TransAsset,$A40,TransType,"DIS")=0,"-",IF(SUMIFS(TransIDDate,TransAsset,$A40,TransType,"DIS")&lt;=$I$2,SUMIFS(TransIDDate,TransAsset,$A40,TransType,"DIS"),"-"))</f>
        <v>-</v>
      </c>
      <c r="N40" s="31" cm="1">
        <f t="array" aca="1" ref="N40" ca="1">IF($M40&lt;=$I$2,SUMIFS(TransProceeds,TransAsset,$A40,TransType,"DIS"),0)</f>
        <v>0</v>
      </c>
      <c r="O40" s="32" cm="1">
        <f t="array" aca="1" ref="O40" ca="1">IF(AND($M40&lt;&gt;"-",$M40&lt;$H$2),0,SUMIFS(TransAmount,TransAsset,$A40,TransIDDate,"&lt;"&amp;$H$2,TransType,"ACQ"))</f>
        <v>3400</v>
      </c>
      <c r="P40" s="32">
        <f t="shared" ca="1" si="4"/>
        <v>0</v>
      </c>
      <c r="Q40" s="32">
        <f t="shared" ca="1" si="5"/>
        <v>0</v>
      </c>
      <c r="R40" s="32">
        <f t="shared" ca="1" si="7"/>
        <v>3400</v>
      </c>
      <c r="S40" s="32">
        <f ca="1">IF(AND($M40&lt;&gt;"-",$M40&lt;$H$2),0,IF($K40=0,0,IF(LEFT($AE40,1)="D",(($J40-$L40)*(1-((1-$AD40)^$AI40)))+(($J40-$L40)*(((1-$AD40)^$AI40)-((1-$AD40)^($AI40+1)))*IF('Set-up'!$E$9="Monthly",($AA40-($AI40*12))/12,$AM40/$AQ40)),($J40-$L40)/$AG40*$AA40)))</f>
        <v>3400</v>
      </c>
      <c r="T40" s="32">
        <f ca="1">IF($K40=0,0,IF(LEFT($AE40,1)="D",((($J40-$L40)*(1-((1-$AD40)^$AH40)))+(($J40-$L40)*(((1-$AD40)^$AH40)-((1-$AD40)^($AH40+1)))*IF('Set-up'!$E$9="Monthly",($Z40-($AH40*12))/12,$AL40/$AP40)))-(($J40-$L40)*(1-((1-$AD40)^$AI40)))-(($J40-$L40)*(((1-$AD40)^$AI40)-((1-$AD40)^($AI40+1)))*IF('Set-up'!$E$9="Monthly",($AA40-($AI40*12))/12,$AM40/$AQ40)),(($J40-$L40)/$AG40*$Z40)-(($J40-$L40)/$AG40*$AA40)))</f>
        <v>0</v>
      </c>
      <c r="U40" s="32">
        <f ca="1">-IF(AND($M40&gt;=$H$2,$M40&lt;=$I$2),IF(LEFT($AE40,1)="D",(($J40-$L40)*(1-((1-$AD40)^$AK40)))+(($J40-$L40)*(((1-$AD40)^$AK40)-((1-$AD40)^($AK40+1)))*IF('Set-up'!$E$9="Monthly",($AC40-($AK40*12))/12,$AO40/$AS40)),IF($K40=0,0,($J40-$L40)/$AG40*$AC40)),0)</f>
        <v>0</v>
      </c>
      <c r="V40" s="32">
        <f t="shared" ca="1" si="8"/>
        <v>3400</v>
      </c>
      <c r="W40" s="32">
        <f t="shared" ca="1" si="9"/>
        <v>0</v>
      </c>
      <c r="X40" s="32">
        <f t="shared" ca="1" si="10"/>
        <v>0</v>
      </c>
      <c r="Y40" s="32">
        <f ca="1">IF($K40=0,0,IF(LEFT($AE40,1)="D",((($J40-$L40)*(1-((1-$AD40)^$AH40)))+(($J40-$L40)*(((1-$AD40)^$AH40)-((1-$AD40)^($AH40+1)))*IF('Set-up'!$E$9="Monthly",($Z40-($AH40*12))/12,$AL40/$AP40)))-(($J40-$L40)*(1-((1-$AD40)^$AJ40)))-(($J40-$L40)*(((1-$AD40)^$AJ40)-((1-$AD40)^($AJ40+1)))*IF('Set-up'!$E$9="Monthly",($AB40-($AJ40*12))/12,$AN40/$AR40)),(($J40-$L40)/$AG40*$Z40)-(($J40-$L40)/$AG40*$AB40)))</f>
        <v>0</v>
      </c>
      <c r="Z40" s="5">
        <f ca="1">IF('Set-up'!$E$9="Daily",MIN(MAX(((IF($M40="-",$I$2,MIN($I$2,$M40-'Set-up'!$E$13))-(($I40+'Set-up'!$E$11)))+1),0),IF(LEFT($AE40,1)="D",MaxPeriod,$AG40)),MIN(MAX(((IF($M40="-",((YEAR($I$2)*12)+MONTH($I$2)),MIN(((YEAR($I$2)*12)+MONTH($I$2)),((YEAR($M40)*12)+MONTH($M40)-'Set-up'!$E$13)))-(((YEAR($I40)*12)+MONTH($I40)+'Set-up'!$E$11)))+1),0),IF(LEFT($AE40,1)="D",MaxPeriod,$AG40)))</f>
        <v>48</v>
      </c>
      <c r="AA40" s="5">
        <f ca="1">IF('Set-up'!$E$9="Daily",MIN(MAX(((IF($M40="-",$H$2-1,MIN($H$2-1,$M40-'Set-up'!$E$13))-($I40+'Set-up'!$E$11))+1),0),IF(LEFT($AE40,1)="D",MaxPeriod,$AG40)),MIN(MAX(((IF($M40="-",((YEAR($H$2)*12)+MONTH($H$2)-1),MIN(((YEAR($H$2)*12)+MONTH($H$2)-1),((YEAR($M40)*12)+MONTH($M40)-'Set-up'!$E$13)))-(((YEAR($I40)*12)+MONTH($I40)+'Set-up'!$E$11)))+1),0),IF(LEFT($AE40,1)="D",MaxPeriod,$AG40)))</f>
        <v>48</v>
      </c>
      <c r="AB40" s="5">
        <f ca="1">IF('Set-up'!$E$9="Daily",MIN(MAX(((IF($M40="-",$J$2-1,MIN($J$2-1,$M40-'Set-up'!$E$13))-($I40+'Set-up'!$E$11))+1),0),IF(LEFT($AE40,1)="D",MaxPeriod,$AG40)),MIN(MAX(((IF($M40="-",((YEAR($J$2)*12)+MONTH($J$2)-1),MIN(((YEAR($J$2)*12)+MONTH($J$2)-1),((YEAR($M40)*12)+MONTH($M40)-'Set-up'!$E$13)))-(((YEAR($I40)*12)+MONTH($I40)+'Set-up'!$E$11)))+1),0),IF(LEFT($AE40,1)="D",MaxPeriod,$AG40)))</f>
        <v>48</v>
      </c>
      <c r="AC40" s="5">
        <f ca="1">IF('Set-up'!$E$9="Daily",MIN(MAX(((IF($M40="-",0,$M40-'Set-up'!$E$13)-($I40+'Set-up'!$E$11))+1),0),IF(LEFT($AE40,1)="D",MaxPeriod,$AG40)),MIN(MAX(((IF($M40="-",0,((YEAR($M40)*12)+MONTH($M40)-'Set-up'!$E$13))-(((YEAR($I40)*12)+MONTH($I40)+'Set-up'!$E$11)))+1),0),IF(LEFT($AE40,1)="D",MaxPeriod,$AG40)))</f>
        <v>0</v>
      </c>
      <c r="AD40" s="33">
        <f t="shared" ca="1" si="6"/>
        <v>0</v>
      </c>
      <c r="AE40" s="34" t="str">
        <f t="shared" ca="1" si="11"/>
        <v>SL</v>
      </c>
      <c r="AF40" s="34">
        <f t="shared" ca="1" si="12"/>
        <v>1</v>
      </c>
      <c r="AG40" s="5">
        <f ca="1">IF('Set-up'!$E$9="Daily",(DATE(YEAR($I40)+$K40+(1-$AF40),MONTH($I40),DAY($I40))+'Set-up'!$E$11)-($I40+'Set-up'!$E$11),$K40*12)</f>
        <v>48</v>
      </c>
      <c r="AH40" s="5">
        <f ca="1">ROUNDDOWN(MIN(MAX(((IF($M40="-",((YEAR($I$2)*12)+MONTH($I$2)),MIN(((YEAR($I$2)*12)+MONTH($I$2)),((YEAR($M40)*12)+MONTH($M40)-'Set-up'!$E$13)))-(((YEAR($I40)*12)+MONTH($I40)+'Set-up'!$E$11)))),0),IF(LEFT($AE40,1)="D",MaxPeriod,$AG40))/12,0)</f>
        <v>4</v>
      </c>
      <c r="AI40" s="5">
        <f ca="1">ROUNDDOWN(MIN(MAX(((IF($M40="-",((YEAR($H$2)*12)+MONTH($H$2)-1),MIN(((YEAR($H$2)*12)+MONTH($H$2)-1),((YEAR($M40)*12)+MONTH($M40)-'Set-up'!$E$13)))-(((YEAR($I40)*12)+MONTH($I40)+'Set-up'!$E$11)))),0),IF(LEFT($AE40,1)="D",MaxPeriod,$AG40))/12,0)</f>
        <v>4</v>
      </c>
      <c r="AJ40" s="5">
        <f ca="1">ROUNDDOWN(MIN(MAX(((IF($M40="-",((YEAR($J$2)*12)+MONTH($J$2)-1),MIN(((YEAR($J$2)*12)+MONTH($J$2)-1),((YEAR($M40)*12)+MONTH($M40)-'Set-up'!$E$13)))-(((YEAR($I40)*12)+MONTH($I40)+'Set-up'!$E$11)))),0),IF(LEFT($AE40,1)="D",MaxPeriod,$AG40))/12,0)</f>
        <v>4</v>
      </c>
      <c r="AK40" s="5">
        <f ca="1">ROUNDDOWN(MIN(MAX(((IF($M40="-",0,((YEAR($M40)*12)+MONTH($M40)-'Set-up'!$E$13))-(((YEAR($I40)*12)+MONTH($I40)+'Set-up'!$E$11)))),0),IF(LEFT($AE40,1)="D",MaxPeriod,$AG40))/12,0)</f>
        <v>0</v>
      </c>
      <c r="AL40" s="5">
        <f>IF('Set-up'!$E$9="Daily",MIN(MAX(((IF($M40="-",$I$2,MIN($I$2,$M40-'Set-up'!$E$13))-((DATE(YEAR($I40)+$AH40,MONTH($I40),DAY($I40))+'Set-up'!$E$11)))+1),0),IF(LEFT($AE40,1)="D",MaxPeriod,$AG40)),0)</f>
        <v>0</v>
      </c>
      <c r="AM40" s="5">
        <f>IF('Set-up'!$E$9="Daily",MIN(MAX(((IF($M40="-",$H$2-1,MIN($H$2-1,$M40-'Set-up'!$E$13))-(DATE(YEAR($I40)+$AI40,MONTH($I40),DAY($I40))+'Set-up'!$E$11))+1),0),IF(LEFT($AE40,1)="D",MaxPeriod,$AG40)),0)</f>
        <v>0</v>
      </c>
      <c r="AN40" s="5">
        <f>IF('Set-up'!$E$9="Daily",MIN(MAX(((IF($M40="-",$J$2-1,MIN($J$2-1,$M40-'Set-up'!$E$13))-(DATE(YEAR($I40)+$AJ40,MONTH($I40),DAY($I40))+'Set-up'!$E$11))+1),0),IF(LEFT($AE40,1)="D",MaxPeriod,$AG40)),0)</f>
        <v>0</v>
      </c>
      <c r="AO40" s="5">
        <f>IF('Set-up'!$E$9="Daily",MIN(MAX(((IF($M40="-",0,$M40-'Set-up'!$E$13)-(DATE(YEAR($I40)+$AK40,MONTH($I40),DAY($I40))+'Set-up'!$E$11))+1),0),IF(LEFT($AE40,1)="D",MaxPeriod,$AG40)),0)</f>
        <v>0</v>
      </c>
      <c r="AP40" s="5">
        <f>IF('Set-up'!$E$9="Daily",DATE(YEAR($I40)+$AH40+1,MONTH($I40),DAY($I40))-DATE(YEAR($I40)+$AH40,MONTH($I40),DAY($I40)),0)</f>
        <v>0</v>
      </c>
      <c r="AQ40" s="5">
        <f>IF('Set-up'!$E$9="Daily",DATE(YEAR($I40)+$AI40+1,MONTH($I40),DAY($I40))-DATE(YEAR($I40)+$AI40,MONTH($I40),DAY($I40)),0)</f>
        <v>0</v>
      </c>
      <c r="AR40" s="5">
        <f>IF('Set-up'!$E$9="Daily",DATE(YEAR($I40)+$AJ40+1,MONTH($I40),DAY($I40))-DATE(YEAR($I40)+$AJ40,MONTH($I40),DAY($I40)),0)</f>
        <v>0</v>
      </c>
      <c r="AS40" s="5">
        <f>IF('Set-up'!$E$9="Daily",DATE(YEAR($I40)+$AK40+1,MONTH($I40),DAY($I40))-DATE(YEAR($I40)+$AK40,MONTH($I40),DAY($I40)),0)</f>
        <v>0</v>
      </c>
    </row>
    <row r="41" spans="1:46" ht="16" customHeight="1" x14ac:dyDescent="0.25">
      <c r="A41" s="9" t="s">
        <v>207</v>
      </c>
      <c r="B41" s="9" t="s">
        <v>255</v>
      </c>
      <c r="C41" s="9" t="s">
        <v>211</v>
      </c>
      <c r="D41" s="5" t="s">
        <v>90</v>
      </c>
      <c r="E41" s="5" t="s">
        <v>203</v>
      </c>
      <c r="F41" s="5" t="s">
        <v>340</v>
      </c>
      <c r="G41" s="5" t="str" cm="1">
        <f t="array" aca="1" ref="G41" ca="1">IF(COUNTIF(AssetCode,$A41)&gt;1,"E1",IF(ISNA(VLOOKUP($E41,CatAll,1,0))=TRUE,"E2",IF($I41="Add!","E10","-")))</f>
        <v>-</v>
      </c>
      <c r="H41" s="5" t="str">
        <f t="shared" ca="1" si="0"/>
        <v>OE</v>
      </c>
      <c r="I41" s="30" cm="1">
        <f t="array" aca="1" ref="I41" ca="1">IF(SUMIFS(TransIDDate,TransAsset,$A41,TransType,"ACQ")=0,"Add!",SUMIFS(TransIDDate,TransAsset,$A41,TransType,"ACQ"))</f>
        <v>43250</v>
      </c>
      <c r="J41" s="32">
        <f t="shared" ca="1" si="1"/>
        <v>5150</v>
      </c>
      <c r="K41" s="57">
        <f t="shared" ca="1" si="2"/>
        <v>4</v>
      </c>
      <c r="L41" s="32">
        <f t="shared" ca="1" si="3"/>
        <v>0</v>
      </c>
      <c r="M41" s="30" t="str" cm="1">
        <f t="array" ref="M41">IF(SUMIFS(TransIDDate,TransAsset,$A41,TransType,"DIS")=0,"-",IF(SUMIFS(TransIDDate,TransAsset,$A41,TransType,"DIS")&lt;=$I$2,SUMIFS(TransIDDate,TransAsset,$A41,TransType,"DIS"),"-"))</f>
        <v>-</v>
      </c>
      <c r="N41" s="31" cm="1">
        <f t="array" aca="1" ref="N41" ca="1">IF($M41&lt;=$I$2,SUMIFS(TransProceeds,TransAsset,$A41,TransType,"DIS"),0)</f>
        <v>0</v>
      </c>
      <c r="O41" s="32" cm="1">
        <f t="array" aca="1" ref="O41" ca="1">IF(AND($M41&lt;&gt;"-",$M41&lt;$H$2),0,SUMIFS(TransAmount,TransAsset,$A41,TransIDDate,"&lt;"&amp;$H$2,TransType,"ACQ"))</f>
        <v>5150</v>
      </c>
      <c r="P41" s="32">
        <f t="shared" ca="1" si="4"/>
        <v>0</v>
      </c>
      <c r="Q41" s="32">
        <f t="shared" ca="1" si="5"/>
        <v>0</v>
      </c>
      <c r="R41" s="32">
        <f t="shared" ca="1" si="7"/>
        <v>5150</v>
      </c>
      <c r="S41" s="32">
        <f ca="1">IF(AND($M41&lt;&gt;"-",$M41&lt;$H$2),0,IF($K41=0,0,IF(LEFT($AE41,1)="D",(($J41-$L41)*(1-((1-$AD41)^$AI41)))+(($J41-$L41)*(((1-$AD41)^$AI41)-((1-$AD41)^($AI41+1)))*IF('Set-up'!$E$9="Monthly",($AA41-($AI41*12))/12,$AM41/$AQ41)),($J41-$L41)/$AG41*$AA41)))</f>
        <v>2360.416666666667</v>
      </c>
      <c r="T41" s="32">
        <f ca="1">IF($K41=0,0,IF(LEFT($AE41,1)="D",((($J41-$L41)*(1-((1-$AD41)^$AH41)))+(($J41-$L41)*(((1-$AD41)^$AH41)-((1-$AD41)^($AH41+1)))*IF('Set-up'!$E$9="Monthly",($Z41-($AH41*12))/12,$AL41/$AP41)))-(($J41-$L41)*(1-((1-$AD41)^$AI41)))-(($J41-$L41)*(((1-$AD41)^$AI41)-((1-$AD41)^($AI41+1)))*IF('Set-up'!$E$9="Monthly",($AA41-($AI41*12))/12,$AM41/$AQ41)),(($J41-$L41)/$AG41*$Z41)-(($J41-$L41)/$AG41*$AA41)))</f>
        <v>1287.5</v>
      </c>
      <c r="U41" s="32">
        <f ca="1">-IF(AND($M41&gt;=$H$2,$M41&lt;=$I$2),IF(LEFT($AE41,1)="D",(($J41-$L41)*(1-((1-$AD41)^$AK41)))+(($J41-$L41)*(((1-$AD41)^$AK41)-((1-$AD41)^($AK41+1)))*IF('Set-up'!$E$9="Monthly",($AC41-($AK41*12))/12,$AO41/$AS41)),IF($K41=0,0,($J41-$L41)/$AG41*$AC41)),0)</f>
        <v>0</v>
      </c>
      <c r="V41" s="32">
        <f t="shared" ca="1" si="8"/>
        <v>3647.916666666667</v>
      </c>
      <c r="W41" s="32">
        <f t="shared" ca="1" si="9"/>
        <v>1502.083333333333</v>
      </c>
      <c r="X41" s="32">
        <f t="shared" ca="1" si="10"/>
        <v>0</v>
      </c>
      <c r="Y41" s="32">
        <f ca="1">IF($K41=0,0,IF(LEFT($AE41,1)="D",((($J41-$L41)*(1-((1-$AD41)^$AH41)))+(($J41-$L41)*(((1-$AD41)^$AH41)-((1-$AD41)^($AH41+1)))*IF('Set-up'!$E$9="Monthly",($Z41-($AH41*12))/12,$AL41/$AP41)))-(($J41-$L41)*(1-((1-$AD41)^$AJ41)))-(($J41-$L41)*(((1-$AD41)^$AJ41)-((1-$AD41)^($AJ41+1)))*IF('Set-up'!$E$9="Monthly",($AB41-($AJ41*12))/12,$AN41/$AR41)),(($J41-$L41)/$AG41*$Z41)-(($J41-$L41)/$AG41*$AB41)))</f>
        <v>107.29166666666697</v>
      </c>
      <c r="Z41" s="5">
        <f ca="1">IF('Set-up'!$E$9="Daily",MIN(MAX(((IF($M41="-",$I$2,MIN($I$2,$M41-'Set-up'!$E$13))-(($I41+'Set-up'!$E$11)))+1),0),IF(LEFT($AE41,1)="D",MaxPeriod,$AG41)),MIN(MAX(((IF($M41="-",((YEAR($I$2)*12)+MONTH($I$2)),MIN(((YEAR($I$2)*12)+MONTH($I$2)),((YEAR($M41)*12)+MONTH($M41)-'Set-up'!$E$13)))-(((YEAR($I41)*12)+MONTH($I41)+'Set-up'!$E$11)))+1),0),IF(LEFT($AE41,1)="D",MaxPeriod,$AG41)))</f>
        <v>34</v>
      </c>
      <c r="AA41" s="5">
        <f ca="1">IF('Set-up'!$E$9="Daily",MIN(MAX(((IF($M41="-",$H$2-1,MIN($H$2-1,$M41-'Set-up'!$E$13))-($I41+'Set-up'!$E$11))+1),0),IF(LEFT($AE41,1)="D",MaxPeriod,$AG41)),MIN(MAX(((IF($M41="-",((YEAR($H$2)*12)+MONTH($H$2)-1),MIN(((YEAR($H$2)*12)+MONTH($H$2)-1),((YEAR($M41)*12)+MONTH($M41)-'Set-up'!$E$13)))-(((YEAR($I41)*12)+MONTH($I41)+'Set-up'!$E$11)))+1),0),IF(LEFT($AE41,1)="D",MaxPeriod,$AG41)))</f>
        <v>22</v>
      </c>
      <c r="AB41" s="5">
        <f ca="1">IF('Set-up'!$E$9="Daily",MIN(MAX(((IF($M41="-",$J$2-1,MIN($J$2-1,$M41-'Set-up'!$E$13))-($I41+'Set-up'!$E$11))+1),0),IF(LEFT($AE41,1)="D",MaxPeriod,$AG41)),MIN(MAX(((IF($M41="-",((YEAR($J$2)*12)+MONTH($J$2)-1),MIN(((YEAR($J$2)*12)+MONTH($J$2)-1),((YEAR($M41)*12)+MONTH($M41)-'Set-up'!$E$13)))-(((YEAR($I41)*12)+MONTH($I41)+'Set-up'!$E$11)))+1),0),IF(LEFT($AE41,1)="D",MaxPeriod,$AG41)))</f>
        <v>33</v>
      </c>
      <c r="AC41" s="5">
        <f ca="1">IF('Set-up'!$E$9="Daily",MIN(MAX(((IF($M41="-",0,$M41-'Set-up'!$E$13)-($I41+'Set-up'!$E$11))+1),0),IF(LEFT($AE41,1)="D",MaxPeriod,$AG41)),MIN(MAX(((IF($M41="-",0,((YEAR($M41)*12)+MONTH($M41)-'Set-up'!$E$13))-(((YEAR($I41)*12)+MONTH($I41)+'Set-up'!$E$11)))+1),0),IF(LEFT($AE41,1)="D",MaxPeriod,$AG41)))</f>
        <v>0</v>
      </c>
      <c r="AD41" s="33">
        <f t="shared" ca="1" si="6"/>
        <v>0</v>
      </c>
      <c r="AE41" s="34" t="str">
        <f t="shared" ca="1" si="11"/>
        <v>SL</v>
      </c>
      <c r="AF41" s="34">
        <f t="shared" ca="1" si="12"/>
        <v>1</v>
      </c>
      <c r="AG41" s="5">
        <f ca="1">IF('Set-up'!$E$9="Daily",(DATE(YEAR($I41)+$K41+(1-$AF41),MONTH($I41),DAY($I41))+'Set-up'!$E$11)-($I41+'Set-up'!$E$11),$K41*12)</f>
        <v>48</v>
      </c>
      <c r="AH41" s="5">
        <f ca="1">ROUNDDOWN(MIN(MAX(((IF($M41="-",((YEAR($I$2)*12)+MONTH($I$2)),MIN(((YEAR($I$2)*12)+MONTH($I$2)),((YEAR($M41)*12)+MONTH($M41)-'Set-up'!$E$13)))-(((YEAR($I41)*12)+MONTH($I41)+'Set-up'!$E$11)))),0),IF(LEFT($AE41,1)="D",MaxPeriod,$AG41))/12,0)</f>
        <v>2</v>
      </c>
      <c r="AI41" s="5">
        <f ca="1">ROUNDDOWN(MIN(MAX(((IF($M41="-",((YEAR($H$2)*12)+MONTH($H$2)-1),MIN(((YEAR($H$2)*12)+MONTH($H$2)-1),((YEAR($M41)*12)+MONTH($M41)-'Set-up'!$E$13)))-(((YEAR($I41)*12)+MONTH($I41)+'Set-up'!$E$11)))),0),IF(LEFT($AE41,1)="D",MaxPeriod,$AG41))/12,0)</f>
        <v>1</v>
      </c>
      <c r="AJ41" s="5">
        <f ca="1">ROUNDDOWN(MIN(MAX(((IF($M41="-",((YEAR($J$2)*12)+MONTH($J$2)-1),MIN(((YEAR($J$2)*12)+MONTH($J$2)-1),((YEAR($M41)*12)+MONTH($M41)-'Set-up'!$E$13)))-(((YEAR($I41)*12)+MONTH($I41)+'Set-up'!$E$11)))),0),IF(LEFT($AE41,1)="D",MaxPeriod,$AG41))/12,0)</f>
        <v>2</v>
      </c>
      <c r="AK41" s="5">
        <f ca="1">ROUNDDOWN(MIN(MAX(((IF($M41="-",0,((YEAR($M41)*12)+MONTH($M41)-'Set-up'!$E$13))-(((YEAR($I41)*12)+MONTH($I41)+'Set-up'!$E$11)))),0),IF(LEFT($AE41,1)="D",MaxPeriod,$AG41))/12,0)</f>
        <v>0</v>
      </c>
      <c r="AL41" s="5">
        <f>IF('Set-up'!$E$9="Daily",MIN(MAX(((IF($M41="-",$I$2,MIN($I$2,$M41-'Set-up'!$E$13))-((DATE(YEAR($I41)+$AH41,MONTH($I41),DAY($I41))+'Set-up'!$E$11)))+1),0),IF(LEFT($AE41,1)="D",MaxPeriod,$AG41)),0)</f>
        <v>0</v>
      </c>
      <c r="AM41" s="5">
        <f>IF('Set-up'!$E$9="Daily",MIN(MAX(((IF($M41="-",$H$2-1,MIN($H$2-1,$M41-'Set-up'!$E$13))-(DATE(YEAR($I41)+$AI41,MONTH($I41),DAY($I41))+'Set-up'!$E$11))+1),0),IF(LEFT($AE41,1)="D",MaxPeriod,$AG41)),0)</f>
        <v>0</v>
      </c>
      <c r="AN41" s="5">
        <f>IF('Set-up'!$E$9="Daily",MIN(MAX(((IF($M41="-",$J$2-1,MIN($J$2-1,$M41-'Set-up'!$E$13))-(DATE(YEAR($I41)+$AJ41,MONTH($I41),DAY($I41))+'Set-up'!$E$11))+1),0),IF(LEFT($AE41,1)="D",MaxPeriod,$AG41)),0)</f>
        <v>0</v>
      </c>
      <c r="AO41" s="5">
        <f>IF('Set-up'!$E$9="Daily",MIN(MAX(((IF($M41="-",0,$M41-'Set-up'!$E$13)-(DATE(YEAR($I41)+$AK41,MONTH($I41),DAY($I41))+'Set-up'!$E$11))+1),0),IF(LEFT($AE41,1)="D",MaxPeriod,$AG41)),0)</f>
        <v>0</v>
      </c>
      <c r="AP41" s="5">
        <f>IF('Set-up'!$E$9="Daily",DATE(YEAR($I41)+$AH41+1,MONTH($I41),DAY($I41))-DATE(YEAR($I41)+$AH41,MONTH($I41),DAY($I41)),0)</f>
        <v>0</v>
      </c>
      <c r="AQ41" s="5">
        <f>IF('Set-up'!$E$9="Daily",DATE(YEAR($I41)+$AI41+1,MONTH($I41),DAY($I41))-DATE(YEAR($I41)+$AI41,MONTH($I41),DAY($I41)),0)</f>
        <v>0</v>
      </c>
      <c r="AR41" s="5">
        <f>IF('Set-up'!$E$9="Daily",DATE(YEAR($I41)+$AJ41+1,MONTH($I41),DAY($I41))-DATE(YEAR($I41)+$AJ41,MONTH($I41),DAY($I41)),0)</f>
        <v>0</v>
      </c>
      <c r="AS41" s="5">
        <f>IF('Set-up'!$E$9="Daily",DATE(YEAR($I41)+$AK41+1,MONTH($I41),DAY($I41))-DATE(YEAR($I41)+$AK41,MONTH($I41),DAY($I41)),0)</f>
        <v>0</v>
      </c>
    </row>
    <row r="42" spans="1:46" ht="16" customHeight="1" x14ac:dyDescent="0.25">
      <c r="A42" s="9" t="s">
        <v>221</v>
      </c>
      <c r="B42" s="9" t="s">
        <v>222</v>
      </c>
      <c r="C42" s="9" t="s">
        <v>262</v>
      </c>
      <c r="D42" s="5" t="s">
        <v>90</v>
      </c>
      <c r="E42" s="5" t="s">
        <v>162</v>
      </c>
      <c r="F42" s="5" t="s">
        <v>340</v>
      </c>
      <c r="G42" s="5" t="str" cm="1">
        <f t="array" aca="1" ref="G42" ca="1">IF(COUNTIF(AssetCode,$A42)&gt;1,"E1",IF(ISNA(VLOOKUP($E42,CatAll,1,0))=TRUE,"E2",IF($I42="Add!","E10","-")))</f>
        <v>-</v>
      </c>
      <c r="H42" s="5" t="str">
        <f t="shared" ca="1" si="0"/>
        <v>CE</v>
      </c>
      <c r="I42" s="30" cm="1">
        <f t="array" aca="1" ref="I42" ca="1">IF(SUMIFS(TransIDDate,TransAsset,$A42,TransType,"ACQ")=0,"Add!",SUMIFS(TransIDDate,TransAsset,$A42,TransType,"ACQ"))</f>
        <v>42216</v>
      </c>
      <c r="J42" s="32">
        <f t="shared" ca="1" si="1"/>
        <v>12800</v>
      </c>
      <c r="K42" s="57">
        <f t="shared" ca="1" si="2"/>
        <v>2</v>
      </c>
      <c r="L42" s="32">
        <f t="shared" ca="1" si="3"/>
        <v>0</v>
      </c>
      <c r="M42" s="30" t="str" cm="1">
        <f t="array" ref="M42">IF(SUMIFS(TransIDDate,TransAsset,$A42,TransType,"DIS")=0,"-",IF(SUMIFS(TransIDDate,TransAsset,$A42,TransType,"DIS")&lt;=$I$2,SUMIFS(TransIDDate,TransAsset,$A42,TransType,"DIS"),"-"))</f>
        <v>-</v>
      </c>
      <c r="N42" s="31" cm="1">
        <f t="array" aca="1" ref="N42" ca="1">IF($M42&lt;=$I$2,SUMIFS(TransProceeds,TransAsset,$A42,TransType,"DIS"),0)</f>
        <v>0</v>
      </c>
      <c r="O42" s="32" cm="1">
        <f t="array" aca="1" ref="O42" ca="1">IF(AND($M42&lt;&gt;"-",$M42&lt;$H$2),0,SUMIFS(TransAmount,TransAsset,$A42,TransIDDate,"&lt;"&amp;$H$2,TransType,"ACQ"))</f>
        <v>12800</v>
      </c>
      <c r="P42" s="32">
        <f t="shared" ca="1" si="4"/>
        <v>0</v>
      </c>
      <c r="Q42" s="32">
        <f t="shared" ca="1" si="5"/>
        <v>0</v>
      </c>
      <c r="R42" s="32">
        <f t="shared" ca="1" si="7"/>
        <v>12800</v>
      </c>
      <c r="S42" s="32">
        <f ca="1">IF(AND($M42&lt;&gt;"-",$M42&lt;$H$2),0,IF($K42=0,0,IF(LEFT($AE42,1)="D",(($J42-$L42)*(1-((1-$AD42)^$AI42)))+(($J42-$L42)*(((1-$AD42)^$AI42)-((1-$AD42)^($AI42+1)))*IF('Set-up'!$E$9="Monthly",($AA42-($AI42*12))/12,$AM42/$AQ42)),($J42-$L42)/$AG42*$AA42)))</f>
        <v>12800</v>
      </c>
      <c r="T42" s="32">
        <f ca="1">IF($K42=0,0,IF(LEFT($AE42,1)="D",((($J42-$L42)*(1-((1-$AD42)^$AH42)))+(($J42-$L42)*(((1-$AD42)^$AH42)-((1-$AD42)^($AH42+1)))*IF('Set-up'!$E$9="Monthly",($Z42-($AH42*12))/12,$AL42/$AP42)))-(($J42-$L42)*(1-((1-$AD42)^$AI42)))-(($J42-$L42)*(((1-$AD42)^$AI42)-((1-$AD42)^($AI42+1)))*IF('Set-up'!$E$9="Monthly",($AA42-($AI42*12))/12,$AM42/$AQ42)),(($J42-$L42)/$AG42*$Z42)-(($J42-$L42)/$AG42*$AA42)))</f>
        <v>0</v>
      </c>
      <c r="U42" s="32">
        <f ca="1">-IF(AND($M42&gt;=$H$2,$M42&lt;=$I$2),IF(LEFT($AE42,1)="D",(($J42-$L42)*(1-((1-$AD42)^$AK42)))+(($J42-$L42)*(((1-$AD42)^$AK42)-((1-$AD42)^($AK42+1)))*IF('Set-up'!$E$9="Monthly",($AC42-($AK42*12))/12,$AO42/$AS42)),IF($K42=0,0,($J42-$L42)/$AG42*$AC42)),0)</f>
        <v>0</v>
      </c>
      <c r="V42" s="32">
        <f t="shared" ca="1" si="8"/>
        <v>12800</v>
      </c>
      <c r="W42" s="32">
        <f t="shared" ca="1" si="9"/>
        <v>0</v>
      </c>
      <c r="X42" s="32">
        <f t="shared" ca="1" si="10"/>
        <v>0</v>
      </c>
      <c r="Y42" s="32">
        <f ca="1">IF($K42=0,0,IF(LEFT($AE42,1)="D",((($J42-$L42)*(1-((1-$AD42)^$AH42)))+(($J42-$L42)*(((1-$AD42)^$AH42)-((1-$AD42)^($AH42+1)))*IF('Set-up'!$E$9="Monthly",($Z42-($AH42*12))/12,$AL42/$AP42)))-(($J42-$L42)*(1-((1-$AD42)^$AJ42)))-(($J42-$L42)*(((1-$AD42)^$AJ42)-((1-$AD42)^($AJ42+1)))*IF('Set-up'!$E$9="Monthly",($AB42-($AJ42*12))/12,$AN42/$AR42)),(($J42-$L42)/$AG42*$Z42)-(($J42-$L42)/$AG42*$AB42)))</f>
        <v>0</v>
      </c>
      <c r="Z42" s="5">
        <f ca="1">IF('Set-up'!$E$9="Daily",MIN(MAX(((IF($M42="-",$I$2,MIN($I$2,$M42-'Set-up'!$E$13))-(($I42+'Set-up'!$E$11)))+1),0),IF(LEFT($AE42,1)="D",MaxPeriod,$AG42)),MIN(MAX(((IF($M42="-",((YEAR($I$2)*12)+MONTH($I$2)),MIN(((YEAR($I$2)*12)+MONTH($I$2)),((YEAR($M42)*12)+MONTH($M42)-'Set-up'!$E$13)))-(((YEAR($I42)*12)+MONTH($I42)+'Set-up'!$E$11)))+1),0),IF(LEFT($AE42,1)="D",MaxPeriod,$AG42)))</f>
        <v>24</v>
      </c>
      <c r="AA42" s="5">
        <f ca="1">IF('Set-up'!$E$9="Daily",MIN(MAX(((IF($M42="-",$H$2-1,MIN($H$2-1,$M42-'Set-up'!$E$13))-($I42+'Set-up'!$E$11))+1),0),IF(LEFT($AE42,1)="D",MaxPeriod,$AG42)),MIN(MAX(((IF($M42="-",((YEAR($H$2)*12)+MONTH($H$2)-1),MIN(((YEAR($H$2)*12)+MONTH($H$2)-1),((YEAR($M42)*12)+MONTH($M42)-'Set-up'!$E$13)))-(((YEAR($I42)*12)+MONTH($I42)+'Set-up'!$E$11)))+1),0),IF(LEFT($AE42,1)="D",MaxPeriod,$AG42)))</f>
        <v>24</v>
      </c>
      <c r="AB42" s="5">
        <f ca="1">IF('Set-up'!$E$9="Daily",MIN(MAX(((IF($M42="-",$J$2-1,MIN($J$2-1,$M42-'Set-up'!$E$13))-($I42+'Set-up'!$E$11))+1),0),IF(LEFT($AE42,1)="D",MaxPeriod,$AG42)),MIN(MAX(((IF($M42="-",((YEAR($J$2)*12)+MONTH($J$2)-1),MIN(((YEAR($J$2)*12)+MONTH($J$2)-1),((YEAR($M42)*12)+MONTH($M42)-'Set-up'!$E$13)))-(((YEAR($I42)*12)+MONTH($I42)+'Set-up'!$E$11)))+1),0),IF(LEFT($AE42,1)="D",MaxPeriod,$AG42)))</f>
        <v>24</v>
      </c>
      <c r="AC42" s="5">
        <f ca="1">IF('Set-up'!$E$9="Daily",MIN(MAX(((IF($M42="-",0,$M42-'Set-up'!$E$13)-($I42+'Set-up'!$E$11))+1),0),IF(LEFT($AE42,1)="D",MaxPeriod,$AG42)),MIN(MAX(((IF($M42="-",0,((YEAR($M42)*12)+MONTH($M42)-'Set-up'!$E$13))-(((YEAR($I42)*12)+MONTH($I42)+'Set-up'!$E$11)))+1),0),IF(LEFT($AE42,1)="D",MaxPeriod,$AG42)))</f>
        <v>0</v>
      </c>
      <c r="AD42" s="33">
        <f t="shared" ca="1" si="6"/>
        <v>0</v>
      </c>
      <c r="AE42" s="34" t="str">
        <f t="shared" ca="1" si="11"/>
        <v>SL</v>
      </c>
      <c r="AF42" s="34">
        <f t="shared" ca="1" si="12"/>
        <v>1</v>
      </c>
      <c r="AG42" s="5">
        <f ca="1">IF('Set-up'!$E$9="Daily",(DATE(YEAR($I42)+$K42+(1-$AF42),MONTH($I42),DAY($I42))+'Set-up'!$E$11)-($I42+'Set-up'!$E$11),$K42*12)</f>
        <v>24</v>
      </c>
      <c r="AH42" s="5">
        <f ca="1">ROUNDDOWN(MIN(MAX(((IF($M42="-",((YEAR($I$2)*12)+MONTH($I$2)),MIN(((YEAR($I$2)*12)+MONTH($I$2)),((YEAR($M42)*12)+MONTH($M42)-'Set-up'!$E$13)))-(((YEAR($I42)*12)+MONTH($I42)+'Set-up'!$E$11)))),0),IF(LEFT($AE42,1)="D",MaxPeriod,$AG42))/12,0)</f>
        <v>2</v>
      </c>
      <c r="AI42" s="5">
        <f ca="1">ROUNDDOWN(MIN(MAX(((IF($M42="-",((YEAR($H$2)*12)+MONTH($H$2)-1),MIN(((YEAR($H$2)*12)+MONTH($H$2)-1),((YEAR($M42)*12)+MONTH($M42)-'Set-up'!$E$13)))-(((YEAR($I42)*12)+MONTH($I42)+'Set-up'!$E$11)))),0),IF(LEFT($AE42,1)="D",MaxPeriod,$AG42))/12,0)</f>
        <v>2</v>
      </c>
      <c r="AJ42" s="5">
        <f ca="1">ROUNDDOWN(MIN(MAX(((IF($M42="-",((YEAR($J$2)*12)+MONTH($J$2)-1),MIN(((YEAR($J$2)*12)+MONTH($J$2)-1),((YEAR($M42)*12)+MONTH($M42)-'Set-up'!$E$13)))-(((YEAR($I42)*12)+MONTH($I42)+'Set-up'!$E$11)))),0),IF(LEFT($AE42,1)="D",MaxPeriod,$AG42))/12,0)</f>
        <v>2</v>
      </c>
      <c r="AK42" s="5">
        <f ca="1">ROUNDDOWN(MIN(MAX(((IF($M42="-",0,((YEAR($M42)*12)+MONTH($M42)-'Set-up'!$E$13))-(((YEAR($I42)*12)+MONTH($I42)+'Set-up'!$E$11)))),0),IF(LEFT($AE42,1)="D",MaxPeriod,$AG42))/12,0)</f>
        <v>0</v>
      </c>
      <c r="AL42" s="5">
        <f>IF('Set-up'!$E$9="Daily",MIN(MAX(((IF($M42="-",$I$2,MIN($I$2,$M42-'Set-up'!$E$13))-((DATE(YEAR($I42)+$AH42,MONTH($I42),DAY($I42))+'Set-up'!$E$11)))+1),0),IF(LEFT($AE42,1)="D",MaxPeriod,$AG42)),0)</f>
        <v>0</v>
      </c>
      <c r="AM42" s="5">
        <f>IF('Set-up'!$E$9="Daily",MIN(MAX(((IF($M42="-",$H$2-1,MIN($H$2-1,$M42-'Set-up'!$E$13))-(DATE(YEAR($I42)+$AI42,MONTH($I42),DAY($I42))+'Set-up'!$E$11))+1),0),IF(LEFT($AE42,1)="D",MaxPeriod,$AG42)),0)</f>
        <v>0</v>
      </c>
      <c r="AN42" s="5">
        <f>IF('Set-up'!$E$9="Daily",MIN(MAX(((IF($M42="-",$J$2-1,MIN($J$2-1,$M42-'Set-up'!$E$13))-(DATE(YEAR($I42)+$AJ42,MONTH($I42),DAY($I42))+'Set-up'!$E$11))+1),0),IF(LEFT($AE42,1)="D",MaxPeriod,$AG42)),0)</f>
        <v>0</v>
      </c>
      <c r="AO42" s="5">
        <f>IF('Set-up'!$E$9="Daily",MIN(MAX(((IF($M42="-",0,$M42-'Set-up'!$E$13)-(DATE(YEAR($I42)+$AK42,MONTH($I42),DAY($I42))+'Set-up'!$E$11))+1),0),IF(LEFT($AE42,1)="D",MaxPeriod,$AG42)),0)</f>
        <v>0</v>
      </c>
      <c r="AP42" s="5">
        <f>IF('Set-up'!$E$9="Daily",DATE(YEAR($I42)+$AH42+1,MONTH($I42),DAY($I42))-DATE(YEAR($I42)+$AH42,MONTH($I42),DAY($I42)),0)</f>
        <v>0</v>
      </c>
      <c r="AQ42" s="5">
        <f>IF('Set-up'!$E$9="Daily",DATE(YEAR($I42)+$AI42+1,MONTH($I42),DAY($I42))-DATE(YEAR($I42)+$AI42,MONTH($I42),DAY($I42)),0)</f>
        <v>0</v>
      </c>
      <c r="AR42" s="5">
        <f>IF('Set-up'!$E$9="Daily",DATE(YEAR($I42)+$AJ42+1,MONTH($I42),DAY($I42))-DATE(YEAR($I42)+$AJ42,MONTH($I42),DAY($I42)),0)</f>
        <v>0</v>
      </c>
      <c r="AS42" s="5">
        <f>IF('Set-up'!$E$9="Daily",DATE(YEAR($I42)+$AK42+1,MONTH($I42),DAY($I42))-DATE(YEAR($I42)+$AK42,MONTH($I42),DAY($I42)),0)</f>
        <v>0</v>
      </c>
    </row>
    <row r="43" spans="1:46" ht="16" customHeight="1" x14ac:dyDescent="0.25">
      <c r="A43" s="9" t="s">
        <v>225</v>
      </c>
      <c r="B43" s="9">
        <v>34543552</v>
      </c>
      <c r="C43" s="9" t="s">
        <v>39</v>
      </c>
      <c r="D43" s="5" t="s">
        <v>226</v>
      </c>
      <c r="E43" s="5" t="s">
        <v>205</v>
      </c>
      <c r="F43" s="5" t="s">
        <v>337</v>
      </c>
      <c r="G43" s="5" t="str" cm="1">
        <f t="array" aca="1" ref="G43" ca="1">IF(COUNTIF(AssetCode,$A43)&gt;1,"E1",IF(ISNA(VLOOKUP($E43,CatAll,1,0))=TRUE,"E2",IF($I43="Add!","E10","-")))</f>
        <v>-</v>
      </c>
      <c r="H43" s="5" t="str">
        <f t="shared" ca="1" si="0"/>
        <v>MV</v>
      </c>
      <c r="I43" s="30" cm="1">
        <f t="array" aca="1" ref="I43" ca="1">IF(SUMIFS(TransIDDate,TransAsset,$A43,TransType,"ACQ")=0,"Add!",SUMIFS(TransIDDate,TransAsset,$A43,TransType,"ACQ"))</f>
        <v>42205</v>
      </c>
      <c r="J43" s="32">
        <f t="shared" ca="1" si="1"/>
        <v>252200</v>
      </c>
      <c r="K43" s="57">
        <f t="shared" ca="1" si="2"/>
        <v>5</v>
      </c>
      <c r="L43" s="32">
        <f t="shared" ca="1" si="3"/>
        <v>0</v>
      </c>
      <c r="M43" s="30" cm="1">
        <f t="array" aca="1" ref="M43" ca="1">IF(SUMIFS(TransIDDate,TransAsset,$A43,TransType,"DIS")=0,"-",IF(SUMIFS(TransIDDate,TransAsset,$A43,TransType,"DIS")&lt;=$I$2,SUMIFS(TransIDDate,TransAsset,$A43,TransType,"DIS"),"-"))</f>
        <v>43653</v>
      </c>
      <c r="N43" s="31" cm="1">
        <f t="array" aca="1" ref="N43" ca="1">IF($M43&lt;=$I$2,SUMIFS(TransProceeds,TransAsset,$A43,TransType,"DIS"),0)</f>
        <v>30000</v>
      </c>
      <c r="O43" s="32" cm="1">
        <f t="array" aca="1" ref="O43" ca="1">IF(AND($M43&lt;&gt;"-",$M43&lt;$H$2),0,SUMIFS(TransAmount,TransAsset,$A43,TransIDDate,"&lt;"&amp;$H$2,TransType,"ACQ"))</f>
        <v>0</v>
      </c>
      <c r="P43" s="32">
        <f t="shared" ca="1" si="4"/>
        <v>0</v>
      </c>
      <c r="Q43" s="32">
        <f t="shared" ca="1" si="5"/>
        <v>0</v>
      </c>
      <c r="R43" s="32">
        <f t="shared" ca="1" si="7"/>
        <v>0</v>
      </c>
      <c r="S43" s="32">
        <f ca="1">IF(AND($M43&lt;&gt;"-",$M43&lt;$H$2),0,IF($K43=0,0,IF(LEFT($AE43,1)="D",(($J43-$L43)*(1-((1-$AD43)^$AI43)))+(($J43-$L43)*(((1-$AD43)^$AI43)-((1-$AD43)^($AI43+1)))*IF('Set-up'!$E$9="Monthly",($AA43-($AI43*12))/12,$AM43/$AQ43)),($J43-$L43)/$AG43*$AA43)))</f>
        <v>0</v>
      </c>
      <c r="T43" s="32">
        <f ca="1">IF($K43=0,0,IF(LEFT($AE43,1)="D",((($J43-$L43)*(1-((1-$AD43)^$AH43)))+(($J43-$L43)*(((1-$AD43)^$AH43)-((1-$AD43)^($AH43+1)))*IF('Set-up'!$E$9="Monthly",($Z43-($AH43*12))/12,$AL43/$AP43)))-(($J43-$L43)*(1-((1-$AD43)^$AI43)))-(($J43-$L43)*(((1-$AD43)^$AI43)-((1-$AD43)^($AI43+1)))*IF('Set-up'!$E$9="Monthly",($AA43-($AI43*12))/12,$AM43/$AQ43)),(($J43-$L43)/$AG43*$Z43)-(($J43-$L43)/$AG43*$AA43)))</f>
        <v>-1.4551915228366852E-11</v>
      </c>
      <c r="U43" s="32">
        <f ca="1">-IF(AND($M43&gt;=$H$2,$M43&lt;=$I$2),IF(LEFT($AE43,1)="D",(($J43-$L43)*(1-((1-$AD43)^$AK43)))+(($J43-$L43)*(((1-$AD43)^$AK43)-((1-$AD43)^($AK43+1)))*IF('Set-up'!$E$9="Monthly",($AC43-($AK43*12))/12,$AO43/$AS43)),IF($K43=0,0,($J43-$L43)/$AG43*$AC43)),0)</f>
        <v>0</v>
      </c>
      <c r="V43" s="32">
        <f t="shared" ca="1" si="8"/>
        <v>0</v>
      </c>
      <c r="W43" s="32">
        <f t="shared" ca="1" si="9"/>
        <v>0</v>
      </c>
      <c r="X43" s="32">
        <f t="shared" ca="1" si="10"/>
        <v>0</v>
      </c>
      <c r="Y43" s="32">
        <f ca="1">IF($K43=0,0,IF(LEFT($AE43,1)="D",((($J43-$L43)*(1-((1-$AD43)^$AH43)))+(($J43-$L43)*(((1-$AD43)^$AH43)-((1-$AD43)^($AH43+1)))*IF('Set-up'!$E$9="Monthly",($Z43-($AH43*12))/12,$AL43/$AP43)))-(($J43-$L43)*(1-((1-$AD43)^$AJ43)))-(($J43-$L43)*(((1-$AD43)^$AJ43)-((1-$AD43)^($AJ43+1)))*IF('Set-up'!$E$9="Monthly",($AB43-($AJ43*12))/12,$AN43/$AR43)),(($J43-$L43)/$AG43*$Z43)-(($J43-$L43)/$AG43*$AB43)))</f>
        <v>-1.4551915228366852E-11</v>
      </c>
      <c r="Z43" s="5">
        <f ca="1">IF('Set-up'!$E$9="Daily",MIN(MAX(((IF($M43="-",$I$2,MIN($I$2,$M43-'Set-up'!$E$13))-(($I43+'Set-up'!$E$11)))+1),0),IF(LEFT($AE43,1)="D",MaxPeriod,$AG43)),MIN(MAX(((IF($M43="-",((YEAR($I$2)*12)+MONTH($I$2)),MIN(((YEAR($I$2)*12)+MONTH($I$2)),((YEAR($M43)*12)+MONTH($M43)-'Set-up'!$E$13)))-(((YEAR($I43)*12)+MONTH($I43)+'Set-up'!$E$11)))+1),0),IF(LEFT($AE43,1)="D",MaxPeriod,$AG43)))</f>
        <v>48</v>
      </c>
      <c r="AA43" s="5">
        <f ca="1">IF('Set-up'!$E$9="Daily",MIN(MAX(((IF($M43="-",$H$2-1,MIN($H$2-1,$M43-'Set-up'!$E$13))-($I43+'Set-up'!$E$11))+1),0),IF(LEFT($AE43,1)="D",MaxPeriod,$AG43)),MIN(MAX(((IF($M43="-",((YEAR($H$2)*12)+MONTH($H$2)-1),MIN(((YEAR($H$2)*12)+MONTH($H$2)-1),((YEAR($M43)*12)+MONTH($M43)-'Set-up'!$E$13)))-(((YEAR($I43)*12)+MONTH($I43)+'Set-up'!$E$11)))+1),0),IF(LEFT($AE43,1)="D",MaxPeriod,$AG43)))</f>
        <v>48</v>
      </c>
      <c r="AB43" s="5">
        <f ca="1">IF('Set-up'!$E$9="Daily",MIN(MAX(((IF($M43="-",$J$2-1,MIN($J$2-1,$M43-'Set-up'!$E$13))-($I43+'Set-up'!$E$11))+1),0),IF(LEFT($AE43,1)="D",MaxPeriod,$AG43)),MIN(MAX(((IF($M43="-",((YEAR($J$2)*12)+MONTH($J$2)-1),MIN(((YEAR($J$2)*12)+MONTH($J$2)-1),((YEAR($M43)*12)+MONTH($M43)-'Set-up'!$E$13)))-(((YEAR($I43)*12)+MONTH($I43)+'Set-up'!$E$11)))+1),0),IF(LEFT($AE43,1)="D",MaxPeriod,$AG43)))</f>
        <v>48</v>
      </c>
      <c r="AC43" s="5">
        <f ca="1">IF('Set-up'!$E$9="Daily",MIN(MAX(((IF($M43="-",0,$M43-'Set-up'!$E$13)-($I43+'Set-up'!$E$11))+1),0),IF(LEFT($AE43,1)="D",MaxPeriod,$AG43)),MIN(MAX(((IF($M43="-",0,((YEAR($M43)*12)+MONTH($M43)-'Set-up'!$E$13))-(((YEAR($I43)*12)+MONTH($I43)+'Set-up'!$E$11)))+1),0),IF(LEFT($AE43,1)="D",MaxPeriod,$AG43)))</f>
        <v>48</v>
      </c>
      <c r="AD43" s="33">
        <f t="shared" ca="1" si="6"/>
        <v>0.4</v>
      </c>
      <c r="AE43" s="34" t="str">
        <f t="shared" ca="1" si="11"/>
        <v>DDV</v>
      </c>
      <c r="AF43" s="34">
        <f t="shared" ca="1" si="12"/>
        <v>1</v>
      </c>
      <c r="AG43" s="5">
        <f ca="1">IF('Set-up'!$E$9="Daily",(DATE(YEAR($I43)+$K43+(1-$AF43),MONTH($I43),DAY($I43))+'Set-up'!$E$11)-($I43+'Set-up'!$E$11),$K43*12)</f>
        <v>60</v>
      </c>
      <c r="AH43" s="5">
        <f ca="1">ROUNDDOWN(MIN(MAX(((IF($M43="-",((YEAR($I$2)*12)+MONTH($I$2)),MIN(((YEAR($I$2)*12)+MONTH($I$2)),((YEAR($M43)*12)+MONTH($M43)-'Set-up'!$E$13)))-(((YEAR($I43)*12)+MONTH($I43)+'Set-up'!$E$11)))),0),IF(LEFT($AE43,1)="D",MaxPeriod,$AG43))/12,0)</f>
        <v>3</v>
      </c>
      <c r="AI43" s="5">
        <f ca="1">ROUNDDOWN(MIN(MAX(((IF($M43="-",((YEAR($H$2)*12)+MONTH($H$2)-1),MIN(((YEAR($H$2)*12)+MONTH($H$2)-1),((YEAR($M43)*12)+MONTH($M43)-'Set-up'!$E$13)))-(((YEAR($I43)*12)+MONTH($I43)+'Set-up'!$E$11)))),0),IF(LEFT($AE43,1)="D",MaxPeriod,$AG43))/12,0)</f>
        <v>3</v>
      </c>
      <c r="AJ43" s="5">
        <f ca="1">ROUNDDOWN(MIN(MAX(((IF($M43="-",((YEAR($J$2)*12)+MONTH($J$2)-1),MIN(((YEAR($J$2)*12)+MONTH($J$2)-1),((YEAR($M43)*12)+MONTH($M43)-'Set-up'!$E$13)))-(((YEAR($I43)*12)+MONTH($I43)+'Set-up'!$E$11)))),0),IF(LEFT($AE43,1)="D",MaxPeriod,$AG43))/12,0)</f>
        <v>3</v>
      </c>
      <c r="AK43" s="5">
        <f ca="1">ROUNDDOWN(MIN(MAX(((IF($M43="-",0,((YEAR($M43)*12)+MONTH($M43)-'Set-up'!$E$13))-(((YEAR($I43)*12)+MONTH($I43)+'Set-up'!$E$11)))),0),IF(LEFT($AE43,1)="D",MaxPeriod,$AG43))/12,0)</f>
        <v>3</v>
      </c>
      <c r="AL43" s="5">
        <f>IF('Set-up'!$E$9="Daily",MIN(MAX(((IF($M43="-",$I$2,MIN($I$2,$M43-'Set-up'!$E$13))-((DATE(YEAR($I43)+$AH43,MONTH($I43),DAY($I43))+'Set-up'!$E$11)))+1),0),IF(LEFT($AE43,1)="D",MaxPeriod,$AG43)),0)</f>
        <v>0</v>
      </c>
      <c r="AM43" s="5">
        <f>IF('Set-up'!$E$9="Daily",MIN(MAX(((IF($M43="-",$H$2-1,MIN($H$2-1,$M43-'Set-up'!$E$13))-(DATE(YEAR($I43)+$AI43,MONTH($I43),DAY($I43))+'Set-up'!$E$11))+1),0),IF(LEFT($AE43,1)="D",MaxPeriod,$AG43)),0)</f>
        <v>0</v>
      </c>
      <c r="AN43" s="5">
        <f>IF('Set-up'!$E$9="Daily",MIN(MAX(((IF($M43="-",$J$2-1,MIN($J$2-1,$M43-'Set-up'!$E$13))-(DATE(YEAR($I43)+$AJ43,MONTH($I43),DAY($I43))+'Set-up'!$E$11))+1),0),IF(LEFT($AE43,1)="D",MaxPeriod,$AG43)),0)</f>
        <v>0</v>
      </c>
      <c r="AO43" s="5">
        <f>IF('Set-up'!$E$9="Daily",MIN(MAX(((IF($M43="-",0,$M43-'Set-up'!$E$13)-(DATE(YEAR($I43)+$AK43,MONTH($I43),DAY($I43))+'Set-up'!$E$11))+1),0),IF(LEFT($AE43,1)="D",MaxPeriod,$AG43)),0)</f>
        <v>0</v>
      </c>
      <c r="AP43" s="5">
        <f>IF('Set-up'!$E$9="Daily",DATE(YEAR($I43)+$AH43+1,MONTH($I43),DAY($I43))-DATE(YEAR($I43)+$AH43,MONTH($I43),DAY($I43)),0)</f>
        <v>0</v>
      </c>
      <c r="AQ43" s="5">
        <f>IF('Set-up'!$E$9="Daily",DATE(YEAR($I43)+$AI43+1,MONTH($I43),DAY($I43))-DATE(YEAR($I43)+$AI43,MONTH($I43),DAY($I43)),0)</f>
        <v>0</v>
      </c>
      <c r="AR43" s="5">
        <f>IF('Set-up'!$E$9="Daily",DATE(YEAR($I43)+$AJ43+1,MONTH($I43),DAY($I43))-DATE(YEAR($I43)+$AJ43,MONTH($I43),DAY($I43)),0)</f>
        <v>0</v>
      </c>
      <c r="AS43" s="5">
        <f>IF('Set-up'!$E$9="Daily",DATE(YEAR($I43)+$AK43+1,MONTH($I43),DAY($I43))-DATE(YEAR($I43)+$AK43,MONTH($I43),DAY($I43)),0)</f>
        <v>0</v>
      </c>
      <c r="AT43" s="58"/>
    </row>
    <row r="44" spans="1:46" ht="16" customHeight="1" x14ac:dyDescent="0.25">
      <c r="A44" s="9" t="s">
        <v>250</v>
      </c>
      <c r="B44" s="9">
        <v>872837829</v>
      </c>
      <c r="C44" s="9" t="s">
        <v>251</v>
      </c>
      <c r="D44" s="5" t="s">
        <v>226</v>
      </c>
      <c r="E44" s="5" t="s">
        <v>205</v>
      </c>
      <c r="F44" s="5" t="s">
        <v>337</v>
      </c>
      <c r="G44" s="5" t="str" cm="1">
        <f t="array" aca="1" ref="G44" ca="1">IF(COUNTIF(AssetCode,$A44)&gt;1,"E1",IF(ISNA(VLOOKUP($E44,CatAll,1,0))=TRUE,"E2",IF($I44="Add!","E10","-")))</f>
        <v>-</v>
      </c>
      <c r="H44" s="5" t="str">
        <f t="shared" ca="1" si="0"/>
        <v>MV</v>
      </c>
      <c r="I44" s="30" cm="1">
        <f t="array" aca="1" ref="I44" ca="1">IF(SUMIFS(TransIDDate,TransAsset,$A44,TransType,"ACQ")=0,"Add!",SUMIFS(TransIDDate,TransAsset,$A44,TransType,"ACQ"))</f>
        <v>44002</v>
      </c>
      <c r="J44" s="32">
        <f t="shared" ca="1" si="1"/>
        <v>288500</v>
      </c>
      <c r="K44" s="57">
        <f t="shared" ca="1" si="2"/>
        <v>5</v>
      </c>
      <c r="L44" s="32">
        <f t="shared" ca="1" si="3"/>
        <v>22000</v>
      </c>
      <c r="M44" s="30" t="str" cm="1">
        <f t="array" ref="M44">IF(SUMIFS(TransIDDate,TransAsset,$A44,TransType,"DIS")=0,"-",IF(SUMIFS(TransIDDate,TransAsset,$A44,TransType,"DIS")&lt;=$I$2,SUMIFS(TransIDDate,TransAsset,$A44,TransType,"DIS"),"-"))</f>
        <v>-</v>
      </c>
      <c r="N44" s="31" cm="1">
        <f t="array" aca="1" ref="N44" ca="1">IF($M44&lt;=$I$2,SUMIFS(TransProceeds,TransAsset,$A44,TransType,"DIS"),0)</f>
        <v>0</v>
      </c>
      <c r="O44" s="32" cm="1">
        <f t="array" aca="1" ref="O44" ca="1">IF(AND($M44&lt;&gt;"-",$M44&lt;$H$2),0,SUMIFS(TransAmount,TransAsset,$A44,TransIDDate,"&lt;"&amp;$H$2,TransType,"ACQ"))</f>
        <v>0</v>
      </c>
      <c r="P44" s="32">
        <f t="shared" ca="1" si="4"/>
        <v>288500</v>
      </c>
      <c r="Q44" s="32">
        <f t="shared" ca="1" si="5"/>
        <v>0</v>
      </c>
      <c r="R44" s="32">
        <f t="shared" ca="1" si="7"/>
        <v>288500</v>
      </c>
      <c r="S44" s="32">
        <f ca="1">IF(AND($M44&lt;&gt;"-",$M44&lt;$H$2),0,IF($K44=0,0,IF(LEFT($AE44,1)="D",(($J44-$L44)*(1-((1-$AD44)^$AI44)))+(($J44-$L44)*(((1-$AD44)^$AI44)-((1-$AD44)^($AI44+1)))*IF('Set-up'!$E$9="Monthly",($AA44-($AI44*12))/12,$AM44/$AQ44)),($J44-$L44)/$AG44*$AA44)))</f>
        <v>0</v>
      </c>
      <c r="T44" s="32">
        <f ca="1">IF($K44=0,0,IF(LEFT($AE44,1)="D",((($J44-$L44)*(1-((1-$AD44)^$AH44)))+(($J44-$L44)*(((1-$AD44)^$AH44)-((1-$AD44)^($AH44+1)))*IF('Set-up'!$E$9="Monthly",($Z44-($AH44*12))/12,$AL44/$AP44)))-(($J44-$L44)*(1-((1-$AD44)^$AI44)))-(($J44-$L44)*(((1-$AD44)^$AI44)-((1-$AD44)^($AI44+1)))*IF('Set-up'!$E$9="Monthly",($AA44-($AI44*12))/12,$AM44/$AQ44)),(($J44-$L44)/$AG44*$Z44)-(($J44-$L44)/$AG44*$AA44)))</f>
        <v>79950</v>
      </c>
      <c r="U44" s="32">
        <f ca="1">-IF(AND($M44&gt;=$H$2,$M44&lt;=$I$2),IF(LEFT($AE44,1)="D",(($J44-$L44)*(1-((1-$AD44)^$AK44)))+(($J44-$L44)*(((1-$AD44)^$AK44)-((1-$AD44)^($AK44+1)))*IF('Set-up'!$E$9="Monthly",($AC44-($AK44*12))/12,$AO44/$AS44)),IF($K44=0,0,($J44-$L44)/$AG44*$AC44)),0)</f>
        <v>0</v>
      </c>
      <c r="V44" s="32">
        <f t="shared" ca="1" si="8"/>
        <v>79950</v>
      </c>
      <c r="W44" s="32">
        <f t="shared" ca="1" si="9"/>
        <v>208550</v>
      </c>
      <c r="X44" s="32">
        <f t="shared" ca="1" si="10"/>
        <v>0</v>
      </c>
      <c r="Y44" s="32">
        <f ca="1">IF($K44=0,0,IF(LEFT($AE44,1)="D",((($J44-$L44)*(1-((1-$AD44)^$AH44)))+(($J44-$L44)*(((1-$AD44)^$AH44)-((1-$AD44)^($AH44+1)))*IF('Set-up'!$E$9="Monthly",($Z44-($AH44*12))/12,$AL44/$AP44)))-(($J44-$L44)*(1-((1-$AD44)^$AJ44)))-(($J44-$L44)*(((1-$AD44)^$AJ44)-((1-$AD44)^($AJ44+1)))*IF('Set-up'!$E$9="Monthly",($AB44-($AJ44*12))/12,$AN44/$AR44)),(($J44-$L44)/$AG44*$Z44)-(($J44-$L44)/$AG44*$AB44)))</f>
        <v>8883.333333333343</v>
      </c>
      <c r="Z44" s="5">
        <f ca="1">IF('Set-up'!$E$9="Daily",MIN(MAX(((IF($M44="-",$I$2,MIN($I$2,$M44-'Set-up'!$E$13))-(($I44+'Set-up'!$E$11)))+1),0),IF(LEFT($AE44,1)="D",MaxPeriod,$AG44)),MIN(MAX(((IF($M44="-",((YEAR($I$2)*12)+MONTH($I$2)),MIN(((YEAR($I$2)*12)+MONTH($I$2)),((YEAR($M44)*12)+MONTH($M44)-'Set-up'!$E$13)))-(((YEAR($I44)*12)+MONTH($I44)+'Set-up'!$E$11)))+1),0),IF(LEFT($AE44,1)="D",MaxPeriod,$AG44)))</f>
        <v>9</v>
      </c>
      <c r="AA44" s="5">
        <f ca="1">IF('Set-up'!$E$9="Daily",MIN(MAX(((IF($M44="-",$H$2-1,MIN($H$2-1,$M44-'Set-up'!$E$13))-($I44+'Set-up'!$E$11))+1),0),IF(LEFT($AE44,1)="D",MaxPeriod,$AG44)),MIN(MAX(((IF($M44="-",((YEAR($H$2)*12)+MONTH($H$2)-1),MIN(((YEAR($H$2)*12)+MONTH($H$2)-1),((YEAR($M44)*12)+MONTH($M44)-'Set-up'!$E$13)))-(((YEAR($I44)*12)+MONTH($I44)+'Set-up'!$E$11)))+1),0),IF(LEFT($AE44,1)="D",MaxPeriod,$AG44)))</f>
        <v>0</v>
      </c>
      <c r="AB44" s="5">
        <f ca="1">IF('Set-up'!$E$9="Daily",MIN(MAX(((IF($M44="-",$J$2-1,MIN($J$2-1,$M44-'Set-up'!$E$13))-($I44+'Set-up'!$E$11))+1),0),IF(LEFT($AE44,1)="D",MaxPeriod,$AG44)),MIN(MAX(((IF($M44="-",((YEAR($J$2)*12)+MONTH($J$2)-1),MIN(((YEAR($J$2)*12)+MONTH($J$2)-1),((YEAR($M44)*12)+MONTH($M44)-'Set-up'!$E$13)))-(((YEAR($I44)*12)+MONTH($I44)+'Set-up'!$E$11)))+1),0),IF(LEFT($AE44,1)="D",MaxPeriod,$AG44)))</f>
        <v>8</v>
      </c>
      <c r="AC44" s="5">
        <f ca="1">IF('Set-up'!$E$9="Daily",MIN(MAX(((IF($M44="-",0,$M44-'Set-up'!$E$13)-($I44+'Set-up'!$E$11))+1),0),IF(LEFT($AE44,1)="D",MaxPeriod,$AG44)),MIN(MAX(((IF($M44="-",0,((YEAR($M44)*12)+MONTH($M44)-'Set-up'!$E$13))-(((YEAR($I44)*12)+MONTH($I44)+'Set-up'!$E$11)))+1),0),IF(LEFT($AE44,1)="D",MaxPeriod,$AG44)))</f>
        <v>0</v>
      </c>
      <c r="AD44" s="33">
        <f t="shared" ca="1" si="6"/>
        <v>0.4</v>
      </c>
      <c r="AE44" s="34" t="str">
        <f t="shared" ca="1" si="11"/>
        <v>DDV</v>
      </c>
      <c r="AF44" s="34">
        <f t="shared" ca="1" si="12"/>
        <v>1</v>
      </c>
      <c r="AG44" s="5">
        <f ca="1">IF('Set-up'!$E$9="Daily",(DATE(YEAR($I44)+$K44+(1-$AF44),MONTH($I44),DAY($I44))+'Set-up'!$E$11)-($I44+'Set-up'!$E$11),$K44*12)</f>
        <v>60</v>
      </c>
      <c r="AH44" s="5">
        <f ca="1">ROUNDDOWN(MIN(MAX(((IF($M44="-",((YEAR($I$2)*12)+MONTH($I$2)),MIN(((YEAR($I$2)*12)+MONTH($I$2)),((YEAR($M44)*12)+MONTH($M44)-'Set-up'!$E$13)))-(((YEAR($I44)*12)+MONTH($I44)+'Set-up'!$E$11)))),0),IF(LEFT($AE44,1)="D",MaxPeriod,$AG44))/12,0)</f>
        <v>0</v>
      </c>
      <c r="AI44" s="5">
        <f ca="1">ROUNDDOWN(MIN(MAX(((IF($M44="-",((YEAR($H$2)*12)+MONTH($H$2)-1),MIN(((YEAR($H$2)*12)+MONTH($H$2)-1),((YEAR($M44)*12)+MONTH($M44)-'Set-up'!$E$13)))-(((YEAR($I44)*12)+MONTH($I44)+'Set-up'!$E$11)))),0),IF(LEFT($AE44,1)="D",MaxPeriod,$AG44))/12,0)</f>
        <v>0</v>
      </c>
      <c r="AJ44" s="5">
        <f ca="1">ROUNDDOWN(MIN(MAX(((IF($M44="-",((YEAR($J$2)*12)+MONTH($J$2)-1),MIN(((YEAR($J$2)*12)+MONTH($J$2)-1),((YEAR($M44)*12)+MONTH($M44)-'Set-up'!$E$13)))-(((YEAR($I44)*12)+MONTH($I44)+'Set-up'!$E$11)))),0),IF(LEFT($AE44,1)="D",MaxPeriod,$AG44))/12,0)</f>
        <v>0</v>
      </c>
      <c r="AK44" s="5">
        <f ca="1">ROUNDDOWN(MIN(MAX(((IF($M44="-",0,((YEAR($M44)*12)+MONTH($M44)-'Set-up'!$E$13))-(((YEAR($I44)*12)+MONTH($I44)+'Set-up'!$E$11)))),0),IF(LEFT($AE44,1)="D",MaxPeriod,$AG44))/12,0)</f>
        <v>0</v>
      </c>
      <c r="AL44" s="5">
        <f>IF('Set-up'!$E$9="Daily",MIN(MAX(((IF($M44="-",$I$2,MIN($I$2,$M44-'Set-up'!$E$13))-((DATE(YEAR($I44)+$AH44,MONTH($I44),DAY($I44))+'Set-up'!$E$11)))+1),0),IF(LEFT($AE44,1)="D",MaxPeriod,$AG44)),0)</f>
        <v>0</v>
      </c>
      <c r="AM44" s="5">
        <f>IF('Set-up'!$E$9="Daily",MIN(MAX(((IF($M44="-",$H$2-1,MIN($H$2-1,$M44-'Set-up'!$E$13))-(DATE(YEAR($I44)+$AI44,MONTH($I44),DAY($I44))+'Set-up'!$E$11))+1),0),IF(LEFT($AE44,1)="D",MaxPeriod,$AG44)),0)</f>
        <v>0</v>
      </c>
      <c r="AN44" s="5">
        <f>IF('Set-up'!$E$9="Daily",MIN(MAX(((IF($M44="-",$J$2-1,MIN($J$2-1,$M44-'Set-up'!$E$13))-(DATE(YEAR($I44)+$AJ44,MONTH($I44),DAY($I44))+'Set-up'!$E$11))+1),0),IF(LEFT($AE44,1)="D",MaxPeriod,$AG44)),0)</f>
        <v>0</v>
      </c>
      <c r="AO44" s="5">
        <f>IF('Set-up'!$E$9="Daily",MIN(MAX(((IF($M44="-",0,$M44-'Set-up'!$E$13)-(DATE(YEAR($I44)+$AK44,MONTH($I44),DAY($I44))+'Set-up'!$E$11))+1),0),IF(LEFT($AE44,1)="D",MaxPeriod,$AG44)),0)</f>
        <v>0</v>
      </c>
      <c r="AP44" s="5">
        <f>IF('Set-up'!$E$9="Daily",DATE(YEAR($I44)+$AH44+1,MONTH($I44),DAY($I44))-DATE(YEAR($I44)+$AH44,MONTH($I44),DAY($I44)),0)</f>
        <v>0</v>
      </c>
      <c r="AQ44" s="5">
        <f>IF('Set-up'!$E$9="Daily",DATE(YEAR($I44)+$AI44+1,MONTH($I44),DAY($I44))-DATE(YEAR($I44)+$AI44,MONTH($I44),DAY($I44)),0)</f>
        <v>0</v>
      </c>
      <c r="AR44" s="5">
        <f>IF('Set-up'!$E$9="Daily",DATE(YEAR($I44)+$AJ44+1,MONTH($I44),DAY($I44))-DATE(YEAR($I44)+$AJ44,MONTH($I44),DAY($I44)),0)</f>
        <v>0</v>
      </c>
      <c r="AS44" s="5">
        <f>IF('Set-up'!$E$9="Daily",DATE(YEAR($I44)+$AK44+1,MONTH($I44),DAY($I44))-DATE(YEAR($I44)+$AK44,MONTH($I44),DAY($I44)),0)</f>
        <v>0</v>
      </c>
    </row>
  </sheetData>
  <mergeCells count="2">
    <mergeCell ref="O3:R3"/>
    <mergeCell ref="S3:V3"/>
  </mergeCells>
  <conditionalFormatting sqref="A4">
    <cfRule type="expression" dxfId="78" priority="5" stopIfTrue="1">
      <formula>COUNTIF(AssetErrorCode,"E1")&gt;0</formula>
    </cfRule>
  </conditionalFormatting>
  <conditionalFormatting sqref="E4:F4">
    <cfRule type="expression" dxfId="77" priority="4" stopIfTrue="1">
      <formula>COUNTIF(AssetErrorCode,"E2")&gt;0</formula>
    </cfRule>
  </conditionalFormatting>
  <conditionalFormatting sqref="E2">
    <cfRule type="expression" dxfId="76" priority="3" stopIfTrue="1">
      <formula>ISBLANK($E$2)=TRUE</formula>
    </cfRule>
  </conditionalFormatting>
  <conditionalFormatting sqref="I4:J4">
    <cfRule type="expression" dxfId="75" priority="2" stopIfTrue="1">
      <formula>COUNTIF(AssetErrorCode,"E10")&gt;0</formula>
    </cfRule>
  </conditionalFormatting>
  <dataValidations count="4">
    <dataValidation type="date" operator="greaterThan" allowBlank="1" showInputMessage="1" showErrorMessage="1" errorTitle="Invalid Date" error="Enter a valid date in accordance with the regional date settings that are specified in the System Control Panel." sqref="E2 G2" xr:uid="{00000000-0002-0000-0500-000000000000}">
      <formula1>18264</formula1>
    </dataValidation>
    <dataValidation type="list" allowBlank="1" showInputMessage="1" showErrorMessage="1" errorTitle="Invalid Data" error="Select a valid depreciation basis from the list box." sqref="F5:F44" xr:uid="{00000000-0002-0000-0500-000001000000}">
      <formula1>"SL,DV,DDV"</formula1>
    </dataValidation>
    <dataValidation type="list" allowBlank="1" showInputMessage="1" showErrorMessage="1" errorTitle="Invalid Data" error="Select a valid category code from the list box." sqref="E5:E44" xr:uid="{00000000-0002-0000-0500-000002000000}">
      <formula1>CatCode</formula1>
    </dataValidation>
    <dataValidation type="list" allowBlank="1" showInputMessage="1" showErrorMessage="1" errorTitle="Invalid Data" error="Select a valid asset type from the list box." sqref="D5:D44" xr:uid="{00000000-0002-0000-0500-000003000000}">
      <formula1>"Owned,Leased"</formula1>
    </dataValidation>
  </dataValidations>
  <pageMargins left="0.55118110236220474" right="0.55118110236220474" top="0.59055118110236227" bottom="0.59055118110236227" header="0.39370078740157483" footer="0.39370078740157483"/>
  <pageSetup paperSize="9" scale="55" fitToWidth="2" fitToHeight="0" orientation="landscape" r:id="rId1"/>
  <headerFooter>
    <oddFooter>&amp;C&amp;9Page &amp;P of &amp;N</oddFooter>
  </headerFooter>
  <colBreaks count="1" manualBreakCount="1">
    <brk id="14" max="43" man="1"/>
  </colBreaks>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P47"/>
  <sheetViews>
    <sheetView zoomScale="95" zoomScaleNormal="95" workbookViewId="0">
      <pane xSplit="3" ySplit="4" topLeftCell="D5" activePane="bottomRight" state="frozen"/>
      <selection pane="topRight" activeCell="D1" sqref="D1"/>
      <selection pane="bottomLeft" activeCell="A5" sqref="A5"/>
      <selection pane="bottomRight" activeCell="A4" sqref="A4"/>
    </sheetView>
  </sheetViews>
  <sheetFormatPr defaultColWidth="9.08984375" defaultRowHeight="16" customHeight="1" x14ac:dyDescent="0.25"/>
  <cols>
    <col min="1" max="1" width="13.6328125" style="30" customWidth="1"/>
    <col min="2" max="2" width="13.6328125" style="5" customWidth="1"/>
    <col min="3" max="3" width="12.6328125" style="9" customWidth="1"/>
    <col min="4" max="4" width="20.6328125" style="4" customWidth="1"/>
    <col min="5" max="5" width="24.6328125" style="4" customWidth="1"/>
    <col min="6" max="6" width="16.81640625" style="59" customWidth="1"/>
    <col min="7" max="8" width="13.6328125" style="59" customWidth="1"/>
    <col min="9" max="9" width="14.6328125" style="59" customWidth="1"/>
    <col min="10" max="10" width="8.6328125" style="57" customWidth="1"/>
    <col min="11" max="11" width="12.36328125" style="60" customWidth="1"/>
    <col min="12" max="12" width="13.6328125" style="61" customWidth="1"/>
    <col min="13" max="13" width="16.81640625" style="61" customWidth="1"/>
    <col min="14" max="14" width="16.81640625" style="60" customWidth="1"/>
    <col min="15" max="16" width="14.6328125" style="60" customWidth="1"/>
    <col min="17" max="21" width="14.6328125" style="4" customWidth="1"/>
    <col min="22" max="16384" width="9.08984375" style="4"/>
  </cols>
  <sheetData>
    <row r="1" spans="1:16" ht="16" customHeight="1" x14ac:dyDescent="0.3">
      <c r="A1" s="91" t="str">
        <f>'Set-up'!$C$5</f>
        <v>Example (Pty) Ltd</v>
      </c>
    </row>
    <row r="2" spans="1:16" ht="16" customHeight="1" x14ac:dyDescent="0.25">
      <c r="A2" s="62" t="s">
        <v>80</v>
      </c>
    </row>
    <row r="3" spans="1:16" s="65" customFormat="1" ht="16" customHeight="1" x14ac:dyDescent="0.25">
      <c r="A3" s="46" t="s">
        <v>260</v>
      </c>
      <c r="B3" s="63"/>
      <c r="C3" s="64"/>
      <c r="F3" s="66"/>
      <c r="G3" s="66"/>
      <c r="H3" s="66"/>
      <c r="I3" s="66"/>
      <c r="J3" s="67"/>
      <c r="K3" s="66"/>
      <c r="L3" s="68"/>
      <c r="M3" s="69"/>
      <c r="N3" s="70"/>
      <c r="O3" s="70"/>
      <c r="P3" s="70"/>
    </row>
    <row r="4" spans="1:16" s="56" customFormat="1" ht="25" x14ac:dyDescent="0.25">
      <c r="A4" s="71" t="s">
        <v>81</v>
      </c>
      <c r="B4" s="72" t="s">
        <v>82</v>
      </c>
      <c r="C4" s="73" t="s">
        <v>18</v>
      </c>
      <c r="D4" s="74" t="s">
        <v>4</v>
      </c>
      <c r="E4" s="74" t="s">
        <v>83</v>
      </c>
      <c r="F4" s="75" t="s">
        <v>84</v>
      </c>
      <c r="G4" s="75" t="s">
        <v>87</v>
      </c>
      <c r="H4" s="75" t="s">
        <v>92</v>
      </c>
      <c r="I4" s="75" t="s">
        <v>93</v>
      </c>
      <c r="J4" s="76" t="s">
        <v>11</v>
      </c>
      <c r="K4" s="77" t="s">
        <v>21</v>
      </c>
      <c r="L4" s="78" t="s">
        <v>88</v>
      </c>
      <c r="M4" s="79" t="s">
        <v>106</v>
      </c>
      <c r="N4" s="77" t="s">
        <v>314</v>
      </c>
      <c r="O4" s="77" t="s">
        <v>134</v>
      </c>
      <c r="P4" s="77" t="s">
        <v>135</v>
      </c>
    </row>
    <row r="5" spans="1:16" ht="16" customHeight="1" x14ac:dyDescent="0.25">
      <c r="A5" s="30">
        <v>42205</v>
      </c>
      <c r="B5" s="5" t="s">
        <v>79</v>
      </c>
      <c r="C5" s="9" t="s">
        <v>218</v>
      </c>
      <c r="D5" s="4" t="s">
        <v>173</v>
      </c>
      <c r="E5" s="4" t="s">
        <v>174</v>
      </c>
      <c r="F5" s="59">
        <v>8200</v>
      </c>
      <c r="G5" s="59">
        <v>3</v>
      </c>
      <c r="H5" s="59">
        <v>0</v>
      </c>
      <c r="I5" s="59">
        <v>0</v>
      </c>
      <c r="J5" s="57" t="str" cm="1">
        <f t="array" aca="1" ref="J5" ca="1">IF(ISNA(VLOOKUP($C5,AssetCode,1,0))=TRUE,"E3",IF(OR(ISBLANK($B5)=TRUE,COUNTIFS(TransAsset,$C5,TransIDDate,"&lt;"&amp;$L5,TransType,"DIS")&gt;0),"E4",IF(COUNTIFS(TransAsset,$C5,TransType,"ACQ")&gt;1,"E5",IF(OR($F5&lt;0,AND(TransType="DIS",$F5&lt;&gt;0)=TRUE),"E6",IF(OR(AND($G5&lt;0,TransType&lt;&gt;"DIS")=TRUE,AND(TransType="DIS",$G5&lt;&gt;0)=TRUE),"E7",IF(OR($H5&lt;0,AND(TransType="DIS",$H5&lt;&gt;0)=TRUE,$H5&gt;$F5),"E8",IF($I5&lt;0,"E9","-")))))))</f>
        <v>-</v>
      </c>
      <c r="K5" s="60" t="str">
        <f>IF(ISNA(VLOOKUP($C5,AssetAll,COLUMN(Assets!$E$4),0))=TRUE,"add!",VLOOKUP($C5,AssetAll,COLUMN(Assets!$E$4),0))</f>
        <v>CHW01</v>
      </c>
      <c r="L5" s="61">
        <f ca="1">IF(OR(ISBLANK($A5)=TRUE,ISNUMBER($A5)=FALSE),TODAY(),$A5)</f>
        <v>42205</v>
      </c>
      <c r="M5" s="60">
        <f t="shared" ref="M5:M36" si="0">IF(ISBLANK($B5)=FALSE,IF(ISNUMBER($F5)=TRUE,$F5,0),0)</f>
        <v>8200</v>
      </c>
      <c r="N5" s="60" cm="1">
        <f t="array" ref="N5">IF(ISBLANK($B5)=FALSE,SUMIFS(TransAmount,TransAsset,$C5,TransType,"ACQ"),0)</f>
        <v>8200</v>
      </c>
      <c r="O5" s="60">
        <f t="shared" ref="O5:O36" si="1">IF(ISBLANK($B5)=FALSE,IF(ISNUMBER($G5)=TRUE,$G5,0),0)</f>
        <v>3</v>
      </c>
      <c r="P5" s="60">
        <f t="shared" ref="P5:P36" si="2">IF(ISBLANK($B5)=FALSE,IF(ISNUMBER($H5)=TRUE,$H5,0),0)</f>
        <v>0</v>
      </c>
    </row>
    <row r="6" spans="1:16" ht="16" customHeight="1" x14ac:dyDescent="0.25">
      <c r="A6" s="30">
        <v>42205</v>
      </c>
      <c r="B6" s="5" t="s">
        <v>79</v>
      </c>
      <c r="C6" s="9" t="s">
        <v>219</v>
      </c>
      <c r="D6" s="4" t="s">
        <v>173</v>
      </c>
      <c r="E6" s="4" t="s">
        <v>174</v>
      </c>
      <c r="F6" s="59">
        <v>6600</v>
      </c>
      <c r="G6" s="59">
        <v>3</v>
      </c>
      <c r="H6" s="59">
        <v>0</v>
      </c>
      <c r="I6" s="59">
        <v>0</v>
      </c>
      <c r="J6" s="57" t="str" cm="1">
        <f t="array" aca="1" ref="J6" ca="1">IF(ISNA(VLOOKUP($C6,AssetCode,1,0))=TRUE,"E3",IF(OR(ISBLANK($B6)=TRUE,COUNTIFS(TransAsset,$C6,TransIDDate,"&lt;"&amp;$L6,TransType,"DIS")&gt;0),"E4",IF(COUNTIFS(TransAsset,$C6,TransType,"ACQ")&gt;1,"E5",IF(OR($F6&lt;0,AND(TransType="DIS",$F6&lt;&gt;0)=TRUE),"E6",IF(OR(AND($G6&lt;0,TransType&lt;&gt;"DIS")=TRUE,AND(TransType="DIS",$G6&lt;&gt;0)=TRUE),"E7",IF(OR($H6&lt;0,AND(TransType="DIS",$H6&lt;&gt;0)=TRUE,$H6&gt;$F6),"E8",IF($I6&lt;0,"E9","-")))))))</f>
        <v>-</v>
      </c>
      <c r="K6" s="60" t="str">
        <f>IF(ISNA(VLOOKUP($C6,AssetAll,COLUMN(Assets!$E$4),0))=TRUE,"add!",VLOOKUP($C6,AssetAll,COLUMN(Assets!$E$4),0))</f>
        <v>CHW01</v>
      </c>
      <c r="L6" s="61">
        <f t="shared" ref="L6:L46" ca="1" si="3">IF(OR(ISBLANK($A6)=TRUE,ISNUMBER($A6)=FALSE),TODAY(),$A6)</f>
        <v>42205</v>
      </c>
      <c r="M6" s="60">
        <f t="shared" si="0"/>
        <v>6600</v>
      </c>
      <c r="N6" s="60" cm="1">
        <f t="array" ref="N6">IF(ISBLANK($B6)=FALSE,SUMIFS(TransAmount,TransAsset,$C6,TransType,"ACQ"),0)</f>
        <v>6600</v>
      </c>
      <c r="O6" s="60">
        <f t="shared" si="1"/>
        <v>3</v>
      </c>
      <c r="P6" s="60">
        <f t="shared" si="2"/>
        <v>0</v>
      </c>
    </row>
    <row r="7" spans="1:16" ht="16" customHeight="1" x14ac:dyDescent="0.25">
      <c r="A7" s="30">
        <v>42205</v>
      </c>
      <c r="B7" s="5" t="s">
        <v>79</v>
      </c>
      <c r="C7" s="9" t="s">
        <v>220</v>
      </c>
      <c r="D7" s="4" t="s">
        <v>173</v>
      </c>
      <c r="E7" s="4" t="s">
        <v>174</v>
      </c>
      <c r="F7" s="59">
        <v>2100</v>
      </c>
      <c r="G7" s="59">
        <v>3</v>
      </c>
      <c r="H7" s="59">
        <v>0</v>
      </c>
      <c r="I7" s="59">
        <v>0</v>
      </c>
      <c r="J7" s="57" t="str" cm="1">
        <f t="array" aca="1" ref="J7" ca="1">IF(ISNA(VLOOKUP($C7,AssetCode,1,0))=TRUE,"E3",IF(OR(ISBLANK($B7)=TRUE,COUNTIFS(TransAsset,$C7,TransIDDate,"&lt;"&amp;$L7,TransType,"DIS")&gt;0),"E4",IF(COUNTIFS(TransAsset,$C7,TransType,"ACQ")&gt;1,"E5",IF(OR($F7&lt;0,AND(TransType="DIS",$F7&lt;&gt;0)=TRUE),"E6",IF(OR(AND($G7&lt;0,TransType&lt;&gt;"DIS")=TRUE,AND(TransType="DIS",$G7&lt;&gt;0)=TRUE),"E7",IF(OR($H7&lt;0,AND(TransType="DIS",$H7&lt;&gt;0)=TRUE,$H7&gt;$F7),"E8",IF($I7&lt;0,"E9","-")))))))</f>
        <v>-</v>
      </c>
      <c r="K7" s="60" t="str">
        <f>IF(ISNA(VLOOKUP($C7,AssetAll,COLUMN(Assets!$E$4),0))=TRUE,"add!",VLOOKUP($C7,AssetAll,COLUMN(Assets!$E$4),0))</f>
        <v>CHW01</v>
      </c>
      <c r="L7" s="61">
        <f t="shared" ca="1" si="3"/>
        <v>42205</v>
      </c>
      <c r="M7" s="60">
        <f t="shared" si="0"/>
        <v>2100</v>
      </c>
      <c r="N7" s="60" cm="1">
        <f t="array" ref="N7">IF(ISBLANK($B7)=FALSE,SUMIFS(TransAmount,TransAsset,$C7,TransType,"ACQ"),0)</f>
        <v>2100</v>
      </c>
      <c r="O7" s="60">
        <f t="shared" si="1"/>
        <v>3</v>
      </c>
      <c r="P7" s="60">
        <f t="shared" si="2"/>
        <v>0</v>
      </c>
    </row>
    <row r="8" spans="1:16" ht="16" customHeight="1" x14ac:dyDescent="0.25">
      <c r="A8" s="30">
        <v>42205</v>
      </c>
      <c r="B8" s="5" t="s">
        <v>79</v>
      </c>
      <c r="C8" s="9" t="s">
        <v>216</v>
      </c>
      <c r="D8" s="4" t="s">
        <v>173</v>
      </c>
      <c r="E8" s="4" t="s">
        <v>174</v>
      </c>
      <c r="F8" s="59">
        <v>3600</v>
      </c>
      <c r="G8" s="59">
        <v>6</v>
      </c>
      <c r="H8" s="59">
        <v>0</v>
      </c>
      <c r="I8" s="59">
        <v>0</v>
      </c>
      <c r="J8" s="57" t="str" cm="1">
        <f t="array" aca="1" ref="J8" ca="1">IF(ISNA(VLOOKUP($C8,AssetCode,1,0))=TRUE,"E3",IF(OR(ISBLANK($B8)=TRUE,COUNTIFS(TransAsset,$C8,TransIDDate,"&lt;"&amp;$L8,TransType,"DIS")&gt;0),"E4",IF(COUNTIFS(TransAsset,$C8,TransType,"ACQ")&gt;1,"E5",IF(OR($F8&lt;0,AND(TransType="DIS",$F8&lt;&gt;0)=TRUE),"E6",IF(OR(AND($G8&lt;0,TransType&lt;&gt;"DIS")=TRUE,AND(TransType="DIS",$G8&lt;&gt;0)=TRUE),"E7",IF(OR($H8&lt;0,AND(TransType="DIS",$H8&lt;&gt;0)=TRUE,$H8&gt;$F8),"E8",IF($I8&lt;0,"E9","-")))))))</f>
        <v>-</v>
      </c>
      <c r="K8" s="60" t="str">
        <f>IF(ISNA(VLOOKUP($C8,AssetAll,COLUMN(Assets!$E$4),0))=TRUE,"add!",VLOOKUP($C8,AssetAll,COLUMN(Assets!$E$4),0))</f>
        <v>FFX01</v>
      </c>
      <c r="L8" s="61">
        <f t="shared" ca="1" si="3"/>
        <v>42205</v>
      </c>
      <c r="M8" s="60">
        <f t="shared" si="0"/>
        <v>3600</v>
      </c>
      <c r="N8" s="60" cm="1">
        <f t="array" ref="N8">IF(ISBLANK($B8)=FALSE,SUMIFS(TransAmount,TransAsset,$C8,TransType,"ACQ"),0)</f>
        <v>3600</v>
      </c>
      <c r="O8" s="60">
        <f t="shared" si="1"/>
        <v>6</v>
      </c>
      <c r="P8" s="60">
        <f t="shared" si="2"/>
        <v>0</v>
      </c>
    </row>
    <row r="9" spans="1:16" ht="16" customHeight="1" x14ac:dyDescent="0.25">
      <c r="A9" s="30">
        <v>42205</v>
      </c>
      <c r="B9" s="5" t="s">
        <v>79</v>
      </c>
      <c r="C9" s="9" t="s">
        <v>217</v>
      </c>
      <c r="D9" s="4" t="s">
        <v>173</v>
      </c>
      <c r="E9" s="4" t="s">
        <v>174</v>
      </c>
      <c r="F9" s="59">
        <v>12400</v>
      </c>
      <c r="G9" s="59">
        <v>6</v>
      </c>
      <c r="H9" s="59">
        <v>0</v>
      </c>
      <c r="I9" s="59">
        <v>0</v>
      </c>
      <c r="J9" s="57" t="str" cm="1">
        <f t="array" aca="1" ref="J9" ca="1">IF(ISNA(VLOOKUP($C9,AssetCode,1,0))=TRUE,"E3",IF(OR(ISBLANK($B9)=TRUE,COUNTIFS(TransAsset,$C9,TransIDDate,"&lt;"&amp;$L9,TransType,"DIS")&gt;0),"E4",IF(COUNTIFS(TransAsset,$C9,TransType,"ACQ")&gt;1,"E5",IF(OR($F9&lt;0,AND(TransType="DIS",$F9&lt;&gt;0)=TRUE),"E6",IF(OR(AND($G9&lt;0,TransType&lt;&gt;"DIS")=TRUE,AND(TransType="DIS",$G9&lt;&gt;0)=TRUE),"E7",IF(OR($H9&lt;0,AND(TransType="DIS",$H9&lt;&gt;0)=TRUE,$H9&gt;$F9),"E8",IF($I9&lt;0,"E9","-")))))))</f>
        <v>-</v>
      </c>
      <c r="K9" s="60" t="str">
        <f>IF(ISNA(VLOOKUP($C9,AssetAll,COLUMN(Assets!$E$4),0))=TRUE,"add!",VLOOKUP($C9,AssetAll,COLUMN(Assets!$E$4),0))</f>
        <v>FFX01</v>
      </c>
      <c r="L9" s="61">
        <f t="shared" ca="1" si="3"/>
        <v>42205</v>
      </c>
      <c r="M9" s="60">
        <f t="shared" si="0"/>
        <v>12400</v>
      </c>
      <c r="N9" s="60" cm="1">
        <f t="array" ref="N9">IF(ISBLANK($B9)=FALSE,SUMIFS(TransAmount,TransAsset,$C9,TransType,"ACQ"),0)</f>
        <v>12400</v>
      </c>
      <c r="O9" s="60">
        <f t="shared" si="1"/>
        <v>6</v>
      </c>
      <c r="P9" s="60">
        <f t="shared" si="2"/>
        <v>0</v>
      </c>
    </row>
    <row r="10" spans="1:16" ht="16" customHeight="1" x14ac:dyDescent="0.25">
      <c r="A10" s="30">
        <v>42205</v>
      </c>
      <c r="B10" s="5" t="s">
        <v>79</v>
      </c>
      <c r="C10" s="9" t="s">
        <v>22</v>
      </c>
      <c r="D10" s="4" t="s">
        <v>173</v>
      </c>
      <c r="E10" s="4" t="s">
        <v>174</v>
      </c>
      <c r="F10" s="59">
        <v>5100</v>
      </c>
      <c r="G10" s="59">
        <v>6</v>
      </c>
      <c r="H10" s="59">
        <v>0</v>
      </c>
      <c r="I10" s="59">
        <v>0</v>
      </c>
      <c r="J10" s="57" t="str" cm="1">
        <f t="array" aca="1" ref="J10" ca="1">IF(ISNA(VLOOKUP($C10,AssetCode,1,0))=TRUE,"E3",IF(OR(ISBLANK($B10)=TRUE,COUNTIFS(TransAsset,$C10,TransIDDate,"&lt;"&amp;$L10,TransType,"DIS")&gt;0),"E4",IF(COUNTIFS(TransAsset,$C10,TransType,"ACQ")&gt;1,"E5",IF(OR($F10&lt;0,AND(TransType="DIS",$F10&lt;&gt;0)=TRUE),"E6",IF(OR(AND($G10&lt;0,TransType&lt;&gt;"DIS")=TRUE,AND(TransType="DIS",$G10&lt;&gt;0)=TRUE),"E7",IF(OR($H10&lt;0,AND(TransType="DIS",$H10&lt;&gt;0)=TRUE,$H10&gt;$F10),"E8",IF($I10&lt;0,"E9","-")))))))</f>
        <v>-</v>
      </c>
      <c r="K10" s="60" t="str">
        <f>IF(ISNA(VLOOKUP($C10,AssetAll,COLUMN(Assets!$E$4),0))=TRUE,"add!",VLOOKUP($C10,AssetAll,COLUMN(Assets!$E$4),0))</f>
        <v>FFX01</v>
      </c>
      <c r="L10" s="61">
        <f t="shared" ca="1" si="3"/>
        <v>42205</v>
      </c>
      <c r="M10" s="60">
        <f t="shared" si="0"/>
        <v>5100</v>
      </c>
      <c r="N10" s="60" cm="1">
        <f t="array" ref="N10">IF(ISBLANK($B10)=FALSE,SUMIFS(TransAmount,TransAsset,$C10,TransType,"ACQ"),0)</f>
        <v>5100</v>
      </c>
      <c r="O10" s="60">
        <f t="shared" si="1"/>
        <v>6</v>
      </c>
      <c r="P10" s="60">
        <f t="shared" si="2"/>
        <v>0</v>
      </c>
    </row>
    <row r="11" spans="1:16" ht="16" customHeight="1" x14ac:dyDescent="0.25">
      <c r="A11" s="30">
        <v>42205</v>
      </c>
      <c r="B11" s="5" t="s">
        <v>79</v>
      </c>
      <c r="C11" s="9" t="s">
        <v>171</v>
      </c>
      <c r="D11" s="4" t="s">
        <v>173</v>
      </c>
      <c r="E11" s="4" t="s">
        <v>174</v>
      </c>
      <c r="F11" s="59">
        <v>1500000</v>
      </c>
      <c r="G11" s="59">
        <v>0</v>
      </c>
      <c r="H11" s="59">
        <v>0</v>
      </c>
      <c r="I11" s="59">
        <v>0</v>
      </c>
      <c r="J11" s="57" t="str" cm="1">
        <f t="array" aca="1" ref="J11" ca="1">IF(ISNA(VLOOKUP($C11,AssetCode,1,0))=TRUE,"E3",IF(OR(ISBLANK($B11)=TRUE,COUNTIFS(TransAsset,$C11,TransIDDate,"&lt;"&amp;$L11,TransType,"DIS")&gt;0),"E4",IF(COUNTIFS(TransAsset,$C11,TransType,"ACQ")&gt;1,"E5",IF(OR($F11&lt;0,AND(TransType="DIS",$F11&lt;&gt;0)=TRUE),"E6",IF(OR(AND($G11&lt;0,TransType&lt;&gt;"DIS")=TRUE,AND(TransType="DIS",$G11&lt;&gt;0)=TRUE),"E7",IF(OR($H11&lt;0,AND(TransType="DIS",$H11&lt;&gt;0)=TRUE,$H11&gt;$F11),"E8",IF($I11&lt;0,"E9","-")))))))</f>
        <v>-</v>
      </c>
      <c r="K11" s="60" t="str">
        <f>IF(ISNA(VLOOKUP($C11,AssetAll,COLUMN(Assets!$E$4),0))=TRUE,"add!",VLOOKUP($C11,AssetAll,COLUMN(Assets!$E$4),0))</f>
        <v>LBU01</v>
      </c>
      <c r="L11" s="61">
        <f t="shared" ca="1" si="3"/>
        <v>42205</v>
      </c>
      <c r="M11" s="60">
        <f t="shared" si="0"/>
        <v>1500000</v>
      </c>
      <c r="N11" s="60" cm="1">
        <f t="array" ref="N11">IF(ISBLANK($B11)=FALSE,SUMIFS(TransAmount,TransAsset,$C11,TransType,"ACQ"),0)</f>
        <v>1500000</v>
      </c>
      <c r="O11" s="60">
        <f t="shared" si="1"/>
        <v>0</v>
      </c>
      <c r="P11" s="60">
        <f t="shared" si="2"/>
        <v>0</v>
      </c>
    </row>
    <row r="12" spans="1:16" ht="16" customHeight="1" x14ac:dyDescent="0.25">
      <c r="A12" s="30">
        <v>42205</v>
      </c>
      <c r="B12" s="5" t="s">
        <v>79</v>
      </c>
      <c r="C12" s="9" t="s">
        <v>225</v>
      </c>
      <c r="D12" s="4" t="s">
        <v>173</v>
      </c>
      <c r="E12" s="4" t="s">
        <v>174</v>
      </c>
      <c r="F12" s="59">
        <v>252200</v>
      </c>
      <c r="G12" s="59">
        <v>5</v>
      </c>
      <c r="H12" s="59">
        <v>0</v>
      </c>
      <c r="I12" s="59">
        <v>0</v>
      </c>
      <c r="J12" s="57" t="str" cm="1">
        <f t="array" aca="1" ref="J12" ca="1">IF(ISNA(VLOOKUP($C12,AssetCode,1,0))=TRUE,"E3",IF(OR(ISBLANK($B12)=TRUE,COUNTIFS(TransAsset,$C12,TransIDDate,"&lt;"&amp;$L12,TransType,"DIS")&gt;0),"E4",IF(COUNTIFS(TransAsset,$C12,TransType,"ACQ")&gt;1,"E5",IF(OR($F12&lt;0,AND(TransType="DIS",$F12&lt;&gt;0)=TRUE),"E6",IF(OR(AND($G12&lt;0,TransType&lt;&gt;"DIS")=TRUE,AND(TransType="DIS",$G12&lt;&gt;0)=TRUE),"E7",IF(OR($H12&lt;0,AND(TransType="DIS",$H12&lt;&gt;0)=TRUE,$H12&gt;$F12),"E8",IF($I12&lt;0,"E9","-")))))))</f>
        <v>-</v>
      </c>
      <c r="K12" s="60" t="str">
        <f>IF(ISNA(VLOOKUP($C12,AssetAll,COLUMN(Assets!$E$4),0))=TRUE,"add!",VLOOKUP($C12,AssetAll,COLUMN(Assets!$E$4),0))</f>
        <v>MVH01</v>
      </c>
      <c r="L12" s="61">
        <f t="shared" ca="1" si="3"/>
        <v>42205</v>
      </c>
      <c r="M12" s="60">
        <f t="shared" si="0"/>
        <v>252200</v>
      </c>
      <c r="N12" s="60" cm="1">
        <f t="array" ref="N12">IF(ISBLANK($B12)=FALSE,SUMIFS(TransAmount,TransAsset,$C12,TransType,"ACQ"),0)</f>
        <v>252200</v>
      </c>
      <c r="O12" s="60">
        <f t="shared" si="1"/>
        <v>5</v>
      </c>
      <c r="P12" s="60">
        <f t="shared" si="2"/>
        <v>0</v>
      </c>
    </row>
    <row r="13" spans="1:16" ht="16" customHeight="1" x14ac:dyDescent="0.25">
      <c r="A13" s="30">
        <v>42205</v>
      </c>
      <c r="B13" s="5" t="s">
        <v>79</v>
      </c>
      <c r="C13" s="9" t="s">
        <v>206</v>
      </c>
      <c r="D13" s="4" t="s">
        <v>173</v>
      </c>
      <c r="E13" s="4" t="s">
        <v>174</v>
      </c>
      <c r="F13" s="59">
        <v>3400</v>
      </c>
      <c r="G13" s="59">
        <v>4</v>
      </c>
      <c r="H13" s="59">
        <v>0</v>
      </c>
      <c r="I13" s="59">
        <v>0</v>
      </c>
      <c r="J13" s="57" t="str" cm="1">
        <f t="array" aca="1" ref="J13" ca="1">IF(ISNA(VLOOKUP($C13,AssetCode,1,0))=TRUE,"E3",IF(OR(ISBLANK($B13)=TRUE,COUNTIFS(TransAsset,$C13,TransIDDate,"&lt;"&amp;$L13,TransType,"DIS")&gt;0),"E4",IF(COUNTIFS(TransAsset,$C13,TransType,"ACQ")&gt;1,"E5",IF(OR($F13&lt;0,AND(TransType="DIS",$F13&lt;&gt;0)=TRUE),"E6",IF(OR(AND($G13&lt;0,TransType&lt;&gt;"DIS")=TRUE,AND(TransType="DIS",$G13&lt;&gt;0)=TRUE),"E7",IF(OR($H13&lt;0,AND(TransType="DIS",$H13&lt;&gt;0)=TRUE,$H13&gt;$F13),"E8",IF($I13&lt;0,"E9","-")))))))</f>
        <v>-</v>
      </c>
      <c r="K13" s="60" t="str">
        <f>IF(ISNA(VLOOKUP($C13,AssetAll,COLUMN(Assets!$E$4),0))=TRUE,"add!",VLOOKUP($C13,AssetAll,COLUMN(Assets!$E$4),0))</f>
        <v>OFE01</v>
      </c>
      <c r="L13" s="61">
        <f t="shared" ca="1" si="3"/>
        <v>42205</v>
      </c>
      <c r="M13" s="60">
        <f t="shared" si="0"/>
        <v>3400</v>
      </c>
      <c r="N13" s="60" cm="1">
        <f t="array" ref="N13">IF(ISBLANK($B13)=FALSE,SUMIFS(TransAmount,TransAsset,$C13,TransType,"ACQ"),0)</f>
        <v>3400</v>
      </c>
      <c r="O13" s="60">
        <f t="shared" si="1"/>
        <v>4</v>
      </c>
      <c r="P13" s="60">
        <f t="shared" si="2"/>
        <v>0</v>
      </c>
    </row>
    <row r="14" spans="1:16" ht="16" customHeight="1" x14ac:dyDescent="0.25">
      <c r="A14" s="30">
        <v>42205</v>
      </c>
      <c r="B14" s="5" t="s">
        <v>79</v>
      </c>
      <c r="C14" s="9" t="s">
        <v>176</v>
      </c>
      <c r="D14" s="4" t="s">
        <v>173</v>
      </c>
      <c r="E14" s="4" t="s">
        <v>174</v>
      </c>
      <c r="F14" s="59">
        <v>80000</v>
      </c>
      <c r="G14" s="59">
        <v>5</v>
      </c>
      <c r="H14" s="59">
        <v>0</v>
      </c>
      <c r="I14" s="59">
        <v>0</v>
      </c>
      <c r="J14" s="57" t="str" cm="1">
        <f t="array" aca="1" ref="J14" ca="1">IF(ISNA(VLOOKUP($C14,AssetCode,1,0))=TRUE,"E3",IF(OR(ISBLANK($B14)=TRUE,COUNTIFS(TransAsset,$C14,TransIDDate,"&lt;"&amp;$L14,TransType,"DIS")&gt;0),"E4",IF(COUNTIFS(TransAsset,$C14,TransType,"ACQ")&gt;1,"E5",IF(OR($F14&lt;0,AND(TransType="DIS",$F14&lt;&gt;0)=TRUE),"E6",IF(OR(AND($G14&lt;0,TransType&lt;&gt;"DIS")=TRUE,AND(TransType="DIS",$G14&lt;&gt;0)=TRUE),"E7",IF(OR($H14&lt;0,AND(TransType="DIS",$H14&lt;&gt;0)=TRUE,$H14&gt;$F14),"E8",IF($I14&lt;0,"E9","-")))))))</f>
        <v>-</v>
      </c>
      <c r="K14" s="60" t="str">
        <f>IF(ISNA(VLOOKUP($C14,AssetAll,COLUMN(Assets!$E$4),0))=TRUE,"add!",VLOOKUP($C14,AssetAll,COLUMN(Assets!$E$4),0))</f>
        <v>PPM01</v>
      </c>
      <c r="L14" s="61">
        <f t="shared" ca="1" si="3"/>
        <v>42205</v>
      </c>
      <c r="M14" s="60">
        <f t="shared" si="0"/>
        <v>80000</v>
      </c>
      <c r="N14" s="60" cm="1">
        <f t="array" ref="N14">IF(ISBLANK($B14)=FALSE,SUMIFS(TransAmount,TransAsset,$C14,TransType,"ACQ"),0)</f>
        <v>80000</v>
      </c>
      <c r="O14" s="60">
        <f t="shared" si="1"/>
        <v>5</v>
      </c>
      <c r="P14" s="60">
        <f t="shared" si="2"/>
        <v>0</v>
      </c>
    </row>
    <row r="15" spans="1:16" ht="16" customHeight="1" x14ac:dyDescent="0.25">
      <c r="A15" s="30">
        <v>42205</v>
      </c>
      <c r="B15" s="5" t="s">
        <v>79</v>
      </c>
      <c r="C15" s="9" t="s">
        <v>177</v>
      </c>
      <c r="D15" s="4" t="s">
        <v>173</v>
      </c>
      <c r="E15" s="4" t="s">
        <v>174</v>
      </c>
      <c r="F15" s="59">
        <v>200000</v>
      </c>
      <c r="G15" s="59">
        <v>5</v>
      </c>
      <c r="H15" s="59">
        <v>0</v>
      </c>
      <c r="I15" s="59">
        <v>0</v>
      </c>
      <c r="J15" s="57" t="str" cm="1">
        <f t="array" aca="1" ref="J15" ca="1">IF(ISNA(VLOOKUP($C15,AssetCode,1,0))=TRUE,"E3",IF(OR(ISBLANK($B15)=TRUE,COUNTIFS(TransAsset,$C15,TransIDDate,"&lt;"&amp;$L15,TransType,"DIS")&gt;0),"E4",IF(COUNTIFS(TransAsset,$C15,TransType,"ACQ")&gt;1,"E5",IF(OR($F15&lt;0,AND(TransType="DIS",$F15&lt;&gt;0)=TRUE),"E6",IF(OR(AND($G15&lt;0,TransType&lt;&gt;"DIS")=TRUE,AND(TransType="DIS",$G15&lt;&gt;0)=TRUE),"E7",IF(OR($H15&lt;0,AND(TransType="DIS",$H15&lt;&gt;0)=TRUE,$H15&gt;$F15),"E8",IF($I15&lt;0,"E9","-")))))))</f>
        <v>-</v>
      </c>
      <c r="K15" s="60" t="str">
        <f>IF(ISNA(VLOOKUP($C15,AssetAll,COLUMN(Assets!$E$4),0))=TRUE,"add!",VLOOKUP($C15,AssetAll,COLUMN(Assets!$E$4),0))</f>
        <v>PPM01</v>
      </c>
      <c r="L15" s="61">
        <f t="shared" ca="1" si="3"/>
        <v>42205</v>
      </c>
      <c r="M15" s="60">
        <f t="shared" si="0"/>
        <v>200000</v>
      </c>
      <c r="N15" s="60" cm="1">
        <f t="array" ref="N15">IF(ISBLANK($B15)=FALSE,SUMIFS(TransAmount,TransAsset,$C15,TransType,"ACQ"),0)</f>
        <v>200000</v>
      </c>
      <c r="O15" s="60">
        <f t="shared" si="1"/>
        <v>5</v>
      </c>
      <c r="P15" s="60">
        <f t="shared" si="2"/>
        <v>0</v>
      </c>
    </row>
    <row r="16" spans="1:16" ht="16" customHeight="1" x14ac:dyDescent="0.25">
      <c r="A16" s="30">
        <v>42205</v>
      </c>
      <c r="B16" s="5" t="s">
        <v>79</v>
      </c>
      <c r="C16" s="9" t="s">
        <v>178</v>
      </c>
      <c r="D16" s="4" t="s">
        <v>173</v>
      </c>
      <c r="E16" s="4" t="s">
        <v>174</v>
      </c>
      <c r="F16" s="59">
        <v>250000</v>
      </c>
      <c r="G16" s="59">
        <v>5</v>
      </c>
      <c r="H16" s="59">
        <v>0</v>
      </c>
      <c r="I16" s="59">
        <v>0</v>
      </c>
      <c r="J16" s="57" t="str" cm="1">
        <f t="array" aca="1" ref="J16" ca="1">IF(ISNA(VLOOKUP($C16,AssetCode,1,0))=TRUE,"E3",IF(OR(ISBLANK($B16)=TRUE,COUNTIFS(TransAsset,$C16,TransIDDate,"&lt;"&amp;$L16,TransType,"DIS")&gt;0),"E4",IF(COUNTIFS(TransAsset,$C16,TransType,"ACQ")&gt;1,"E5",IF(OR($F16&lt;0,AND(TransType="DIS",$F16&lt;&gt;0)=TRUE),"E6",IF(OR(AND($G16&lt;0,TransType&lt;&gt;"DIS")=TRUE,AND(TransType="DIS",$G16&lt;&gt;0)=TRUE),"E7",IF(OR($H16&lt;0,AND(TransType="DIS",$H16&lt;&gt;0)=TRUE,$H16&gt;$F16),"E8",IF($I16&lt;0,"E9","-")))))))</f>
        <v>-</v>
      </c>
      <c r="K16" s="60" t="str">
        <f>IF(ISNA(VLOOKUP($C16,AssetAll,COLUMN(Assets!$E$4),0))=TRUE,"add!",VLOOKUP($C16,AssetAll,COLUMN(Assets!$E$4),0))</f>
        <v>PPM01</v>
      </c>
      <c r="L16" s="61">
        <f t="shared" ca="1" si="3"/>
        <v>42205</v>
      </c>
      <c r="M16" s="60">
        <f t="shared" si="0"/>
        <v>250000</v>
      </c>
      <c r="N16" s="60" cm="1">
        <f t="array" ref="N16">IF(ISBLANK($B16)=FALSE,SUMIFS(TransAmount,TransAsset,$C16,TransType,"ACQ"),0)</f>
        <v>250000</v>
      </c>
      <c r="O16" s="60">
        <f t="shared" si="1"/>
        <v>5</v>
      </c>
      <c r="P16" s="60">
        <f t="shared" si="2"/>
        <v>0</v>
      </c>
    </row>
    <row r="17" spans="1:16" ht="16" customHeight="1" x14ac:dyDescent="0.25">
      <c r="A17" s="30">
        <v>42205</v>
      </c>
      <c r="B17" s="5" t="s">
        <v>79</v>
      </c>
      <c r="C17" s="9" t="s">
        <v>179</v>
      </c>
      <c r="D17" s="4" t="s">
        <v>173</v>
      </c>
      <c r="E17" s="4" t="s">
        <v>174</v>
      </c>
      <c r="F17" s="59">
        <v>915000</v>
      </c>
      <c r="G17" s="59">
        <v>5</v>
      </c>
      <c r="H17" s="59">
        <v>0</v>
      </c>
      <c r="I17" s="59">
        <v>0</v>
      </c>
      <c r="J17" s="57" t="str" cm="1">
        <f t="array" aca="1" ref="J17" ca="1">IF(ISNA(VLOOKUP($C17,AssetCode,1,0))=TRUE,"E3",IF(OR(ISBLANK($B17)=TRUE,COUNTIFS(TransAsset,$C17,TransIDDate,"&lt;"&amp;$L17,TransType,"DIS")&gt;0),"E4",IF(COUNTIFS(TransAsset,$C17,TransType,"ACQ")&gt;1,"E5",IF(OR($F17&lt;0,AND(TransType="DIS",$F17&lt;&gt;0)=TRUE),"E6",IF(OR(AND($G17&lt;0,TransType&lt;&gt;"DIS")=TRUE,AND(TransType="DIS",$G17&lt;&gt;0)=TRUE),"E7",IF(OR($H17&lt;0,AND(TransType="DIS",$H17&lt;&gt;0)=TRUE,$H17&gt;$F17),"E8",IF($I17&lt;0,"E9","-")))))))</f>
        <v>-</v>
      </c>
      <c r="K17" s="60" t="str">
        <f>IF(ISNA(VLOOKUP($C17,AssetAll,COLUMN(Assets!$E$4),0))=TRUE,"add!",VLOOKUP($C17,AssetAll,COLUMN(Assets!$E$4),0))</f>
        <v>PPM01</v>
      </c>
      <c r="L17" s="61">
        <f t="shared" ca="1" si="3"/>
        <v>42205</v>
      </c>
      <c r="M17" s="60">
        <f t="shared" si="0"/>
        <v>915000</v>
      </c>
      <c r="N17" s="60" cm="1">
        <f t="array" ref="N17">IF(ISBLANK($B17)=FALSE,SUMIFS(TransAmount,TransAsset,$C17,TransType,"ACQ"),0)</f>
        <v>915000</v>
      </c>
      <c r="O17" s="60">
        <f t="shared" si="1"/>
        <v>5</v>
      </c>
      <c r="P17" s="60">
        <f t="shared" si="2"/>
        <v>0</v>
      </c>
    </row>
    <row r="18" spans="1:16" ht="16" customHeight="1" x14ac:dyDescent="0.25">
      <c r="A18" s="30">
        <v>42205</v>
      </c>
      <c r="B18" s="5" t="s">
        <v>79</v>
      </c>
      <c r="C18" s="9" t="s">
        <v>180</v>
      </c>
      <c r="D18" s="4" t="s">
        <v>173</v>
      </c>
      <c r="E18" s="4" t="s">
        <v>174</v>
      </c>
      <c r="F18" s="59">
        <v>500000</v>
      </c>
      <c r="G18" s="59">
        <v>5</v>
      </c>
      <c r="H18" s="59">
        <v>0</v>
      </c>
      <c r="I18" s="59">
        <v>0</v>
      </c>
      <c r="J18" s="57" t="str" cm="1">
        <f t="array" aca="1" ref="J18" ca="1">IF(ISNA(VLOOKUP($C18,AssetCode,1,0))=TRUE,"E3",IF(OR(ISBLANK($B18)=TRUE,COUNTIFS(TransAsset,$C18,TransIDDate,"&lt;"&amp;$L18,TransType,"DIS")&gt;0),"E4",IF(COUNTIFS(TransAsset,$C18,TransType,"ACQ")&gt;1,"E5",IF(OR($F18&lt;0,AND(TransType="DIS",$F18&lt;&gt;0)=TRUE),"E6",IF(OR(AND($G18&lt;0,TransType&lt;&gt;"DIS")=TRUE,AND(TransType="DIS",$G18&lt;&gt;0)=TRUE),"E7",IF(OR($H18&lt;0,AND(TransType="DIS",$H18&lt;&gt;0)=TRUE,$H18&gt;$F18),"E8",IF($I18&lt;0,"E9","-")))))))</f>
        <v>-</v>
      </c>
      <c r="K18" s="60" t="str">
        <f>IF(ISNA(VLOOKUP($C18,AssetAll,COLUMN(Assets!$E$4),0))=TRUE,"add!",VLOOKUP($C18,AssetAll,COLUMN(Assets!$E$4),0))</f>
        <v>PPM01</v>
      </c>
      <c r="L18" s="61">
        <f t="shared" ca="1" si="3"/>
        <v>42205</v>
      </c>
      <c r="M18" s="60">
        <f t="shared" si="0"/>
        <v>500000</v>
      </c>
      <c r="N18" s="60" cm="1">
        <f t="array" ref="N18">IF(ISBLANK($B18)=FALSE,SUMIFS(TransAmount,TransAsset,$C18,TransType,"ACQ"),0)</f>
        <v>500000</v>
      </c>
      <c r="O18" s="60">
        <f t="shared" si="1"/>
        <v>5</v>
      </c>
      <c r="P18" s="60">
        <f t="shared" si="2"/>
        <v>0</v>
      </c>
    </row>
    <row r="19" spans="1:16" ht="16" customHeight="1" x14ac:dyDescent="0.25">
      <c r="A19" s="30">
        <v>42205</v>
      </c>
      <c r="B19" s="5" t="s">
        <v>79</v>
      </c>
      <c r="C19" s="9" t="s">
        <v>181</v>
      </c>
      <c r="D19" s="4" t="s">
        <v>173</v>
      </c>
      <c r="E19" s="4" t="s">
        <v>174</v>
      </c>
      <c r="F19" s="59">
        <v>400000</v>
      </c>
      <c r="G19" s="59">
        <v>5</v>
      </c>
      <c r="H19" s="59">
        <v>0</v>
      </c>
      <c r="I19" s="59">
        <v>0</v>
      </c>
      <c r="J19" s="57" t="str" cm="1">
        <f t="array" aca="1" ref="J19" ca="1">IF(ISNA(VLOOKUP($C19,AssetCode,1,0))=TRUE,"E3",IF(OR(ISBLANK($B19)=TRUE,COUNTIFS(TransAsset,$C19,TransIDDate,"&lt;"&amp;$L19,TransType,"DIS")&gt;0),"E4",IF(COUNTIFS(TransAsset,$C19,TransType,"ACQ")&gt;1,"E5",IF(OR($F19&lt;0,AND(TransType="DIS",$F19&lt;&gt;0)=TRUE),"E6",IF(OR(AND($G19&lt;0,TransType&lt;&gt;"DIS")=TRUE,AND(TransType="DIS",$G19&lt;&gt;0)=TRUE),"E7",IF(OR($H19&lt;0,AND(TransType="DIS",$H19&lt;&gt;0)=TRUE,$H19&gt;$F19),"E8",IF($I19&lt;0,"E9","-")))))))</f>
        <v>-</v>
      </c>
      <c r="K19" s="60" t="str">
        <f>IF(ISNA(VLOOKUP($C19,AssetAll,COLUMN(Assets!$E$4),0))=TRUE,"add!",VLOOKUP($C19,AssetAll,COLUMN(Assets!$E$4),0))</f>
        <v>PPM01</v>
      </c>
      <c r="L19" s="61">
        <f t="shared" ca="1" si="3"/>
        <v>42205</v>
      </c>
      <c r="M19" s="60">
        <f t="shared" si="0"/>
        <v>400000</v>
      </c>
      <c r="N19" s="60" cm="1">
        <f t="array" ref="N19">IF(ISBLANK($B19)=FALSE,SUMIFS(TransAmount,TransAsset,$C19,TransType,"ACQ"),0)</f>
        <v>400000</v>
      </c>
      <c r="O19" s="60">
        <f t="shared" si="1"/>
        <v>5</v>
      </c>
      <c r="P19" s="60">
        <f t="shared" si="2"/>
        <v>0</v>
      </c>
    </row>
    <row r="20" spans="1:16" ht="16" customHeight="1" x14ac:dyDescent="0.25">
      <c r="A20" s="30">
        <v>42205</v>
      </c>
      <c r="B20" s="5" t="s">
        <v>79</v>
      </c>
      <c r="C20" s="9" t="s">
        <v>182</v>
      </c>
      <c r="D20" s="4" t="s">
        <v>173</v>
      </c>
      <c r="E20" s="4" t="s">
        <v>174</v>
      </c>
      <c r="F20" s="59">
        <v>260000</v>
      </c>
      <c r="G20" s="59">
        <v>5</v>
      </c>
      <c r="H20" s="59">
        <v>0</v>
      </c>
      <c r="I20" s="59">
        <v>0</v>
      </c>
      <c r="J20" s="57" t="str" cm="1">
        <f t="array" aca="1" ref="J20" ca="1">IF(ISNA(VLOOKUP($C20,AssetCode,1,0))=TRUE,"E3",IF(OR(ISBLANK($B20)=TRUE,COUNTIFS(TransAsset,$C20,TransIDDate,"&lt;"&amp;$L20,TransType,"DIS")&gt;0),"E4",IF(COUNTIFS(TransAsset,$C20,TransType,"ACQ")&gt;1,"E5",IF(OR($F20&lt;0,AND(TransType="DIS",$F20&lt;&gt;0)=TRUE),"E6",IF(OR(AND($G20&lt;0,TransType&lt;&gt;"DIS")=TRUE,AND(TransType="DIS",$G20&lt;&gt;0)=TRUE),"E7",IF(OR($H20&lt;0,AND(TransType="DIS",$H20&lt;&gt;0)=TRUE,$H20&gt;$F20),"E8",IF($I20&lt;0,"E9","-")))))))</f>
        <v>-</v>
      </c>
      <c r="K20" s="60" t="str">
        <f>IF(ISNA(VLOOKUP($C20,AssetAll,COLUMN(Assets!$E$4),0))=TRUE,"add!",VLOOKUP($C20,AssetAll,COLUMN(Assets!$E$4),0))</f>
        <v>PPM01</v>
      </c>
      <c r="L20" s="61">
        <f t="shared" ca="1" si="3"/>
        <v>42205</v>
      </c>
      <c r="M20" s="60">
        <f t="shared" si="0"/>
        <v>260000</v>
      </c>
      <c r="N20" s="60" cm="1">
        <f t="array" ref="N20">IF(ISBLANK($B20)=FALSE,SUMIFS(TransAmount,TransAsset,$C20,TransType,"ACQ"),0)</f>
        <v>260000</v>
      </c>
      <c r="O20" s="60">
        <f t="shared" si="1"/>
        <v>5</v>
      </c>
      <c r="P20" s="60">
        <f t="shared" si="2"/>
        <v>0</v>
      </c>
    </row>
    <row r="21" spans="1:16" ht="16" customHeight="1" x14ac:dyDescent="0.25">
      <c r="A21" s="30">
        <v>42205</v>
      </c>
      <c r="B21" s="5" t="s">
        <v>79</v>
      </c>
      <c r="C21" s="9" t="s">
        <v>183</v>
      </c>
      <c r="D21" s="4" t="s">
        <v>173</v>
      </c>
      <c r="E21" s="4" t="s">
        <v>174</v>
      </c>
      <c r="F21" s="59">
        <v>295000</v>
      </c>
      <c r="G21" s="59">
        <v>5</v>
      </c>
      <c r="H21" s="59">
        <v>0</v>
      </c>
      <c r="I21" s="59">
        <v>0</v>
      </c>
      <c r="J21" s="57" t="str" cm="1">
        <f t="array" aca="1" ref="J21" ca="1">IF(ISNA(VLOOKUP($C21,AssetCode,1,0))=TRUE,"E3",IF(OR(ISBLANK($B21)=TRUE,COUNTIFS(TransAsset,$C21,TransIDDate,"&lt;"&amp;$L21,TransType,"DIS")&gt;0),"E4",IF(COUNTIFS(TransAsset,$C21,TransType,"ACQ")&gt;1,"E5",IF(OR($F21&lt;0,AND(TransType="DIS",$F21&lt;&gt;0)=TRUE),"E6",IF(OR(AND($G21&lt;0,TransType&lt;&gt;"DIS")=TRUE,AND(TransType="DIS",$G21&lt;&gt;0)=TRUE),"E7",IF(OR($H21&lt;0,AND(TransType="DIS",$H21&lt;&gt;0)=TRUE,$H21&gt;$F21),"E8",IF($I21&lt;0,"E9","-")))))))</f>
        <v>-</v>
      </c>
      <c r="K21" s="60" t="str">
        <f>IF(ISNA(VLOOKUP($C21,AssetAll,COLUMN(Assets!$E$4),0))=TRUE,"add!",VLOOKUP($C21,AssetAll,COLUMN(Assets!$E$4),0))</f>
        <v>PPM01</v>
      </c>
      <c r="L21" s="61">
        <f t="shared" ca="1" si="3"/>
        <v>42205</v>
      </c>
      <c r="M21" s="60">
        <f t="shared" si="0"/>
        <v>295000</v>
      </c>
      <c r="N21" s="60" cm="1">
        <f t="array" ref="N21">IF(ISBLANK($B21)=FALSE,SUMIFS(TransAmount,TransAsset,$C21,TransType,"ACQ"),0)</f>
        <v>295000</v>
      </c>
      <c r="O21" s="60">
        <f t="shared" si="1"/>
        <v>5</v>
      </c>
      <c r="P21" s="60">
        <f t="shared" si="2"/>
        <v>0</v>
      </c>
    </row>
    <row r="22" spans="1:16" ht="16" customHeight="1" x14ac:dyDescent="0.25">
      <c r="A22" s="30">
        <v>42205</v>
      </c>
      <c r="B22" s="5" t="s">
        <v>79</v>
      </c>
      <c r="C22" s="9" t="s">
        <v>184</v>
      </c>
      <c r="D22" s="4" t="s">
        <v>173</v>
      </c>
      <c r="E22" s="4" t="s">
        <v>174</v>
      </c>
      <c r="F22" s="59">
        <v>750000</v>
      </c>
      <c r="G22" s="59">
        <v>5</v>
      </c>
      <c r="H22" s="59">
        <v>0</v>
      </c>
      <c r="I22" s="59">
        <v>0</v>
      </c>
      <c r="J22" s="57" t="str" cm="1">
        <f t="array" aca="1" ref="J22" ca="1">IF(ISNA(VLOOKUP($C22,AssetCode,1,0))=TRUE,"E3",IF(OR(ISBLANK($B22)=TRUE,COUNTIFS(TransAsset,$C22,TransIDDate,"&lt;"&amp;$L22,TransType,"DIS")&gt;0),"E4",IF(COUNTIFS(TransAsset,$C22,TransType,"ACQ")&gt;1,"E5",IF(OR($F22&lt;0,AND(TransType="DIS",$F22&lt;&gt;0)=TRUE),"E6",IF(OR(AND($G22&lt;0,TransType&lt;&gt;"DIS")=TRUE,AND(TransType="DIS",$G22&lt;&gt;0)=TRUE),"E7",IF(OR($H22&lt;0,AND(TransType="DIS",$H22&lt;&gt;0)=TRUE,$H22&gt;$F22),"E8",IF($I22&lt;0,"E9","-")))))))</f>
        <v>-</v>
      </c>
      <c r="K22" s="60" t="str">
        <f>IF(ISNA(VLOOKUP($C22,AssetAll,COLUMN(Assets!$E$4),0))=TRUE,"add!",VLOOKUP($C22,AssetAll,COLUMN(Assets!$E$4),0))</f>
        <v>PPM01</v>
      </c>
      <c r="L22" s="61">
        <f t="shared" ca="1" si="3"/>
        <v>42205</v>
      </c>
      <c r="M22" s="60">
        <f t="shared" si="0"/>
        <v>750000</v>
      </c>
      <c r="N22" s="60" cm="1">
        <f t="array" ref="N22">IF(ISBLANK($B22)=FALSE,SUMIFS(TransAmount,TransAsset,$C22,TransType,"ACQ"),0)</f>
        <v>750000</v>
      </c>
      <c r="O22" s="60">
        <f t="shared" si="1"/>
        <v>5</v>
      </c>
      <c r="P22" s="60">
        <f t="shared" si="2"/>
        <v>0</v>
      </c>
    </row>
    <row r="23" spans="1:16" ht="16" customHeight="1" x14ac:dyDescent="0.25">
      <c r="A23" s="30">
        <v>42205</v>
      </c>
      <c r="B23" s="5" t="s">
        <v>79</v>
      </c>
      <c r="C23" s="9" t="s">
        <v>185</v>
      </c>
      <c r="D23" s="4" t="s">
        <v>173</v>
      </c>
      <c r="E23" s="4" t="s">
        <v>174</v>
      </c>
      <c r="F23" s="59">
        <v>422200</v>
      </c>
      <c r="G23" s="59">
        <v>5</v>
      </c>
      <c r="H23" s="59">
        <v>0</v>
      </c>
      <c r="I23" s="59">
        <v>0</v>
      </c>
      <c r="J23" s="57" t="str" cm="1">
        <f t="array" aca="1" ref="J23" ca="1">IF(ISNA(VLOOKUP($C23,AssetCode,1,0))=TRUE,"E3",IF(OR(ISBLANK($B23)=TRUE,COUNTIFS(TransAsset,$C23,TransIDDate,"&lt;"&amp;$L23,TransType,"DIS")&gt;0),"E4",IF(COUNTIFS(TransAsset,$C23,TransType,"ACQ")&gt;1,"E5",IF(OR($F23&lt;0,AND(TransType="DIS",$F23&lt;&gt;0)=TRUE),"E6",IF(OR(AND($G23&lt;0,TransType&lt;&gt;"DIS")=TRUE,AND(TransType="DIS",$G23&lt;&gt;0)=TRUE),"E7",IF(OR($H23&lt;0,AND(TransType="DIS",$H23&lt;&gt;0)=TRUE,$H23&gt;$F23),"E8",IF($I23&lt;0,"E9","-")))))))</f>
        <v>-</v>
      </c>
      <c r="K23" s="60" t="str">
        <f>IF(ISNA(VLOOKUP($C23,AssetAll,COLUMN(Assets!$E$4),0))=TRUE,"add!",VLOOKUP($C23,AssetAll,COLUMN(Assets!$E$4),0))</f>
        <v>PPM01</v>
      </c>
      <c r="L23" s="61">
        <f t="shared" ca="1" si="3"/>
        <v>42205</v>
      </c>
      <c r="M23" s="60">
        <f t="shared" si="0"/>
        <v>422200</v>
      </c>
      <c r="N23" s="60" cm="1">
        <f t="array" ref="N23">IF(ISBLANK($B23)=FALSE,SUMIFS(TransAmount,TransAsset,$C23,TransType,"ACQ"),0)</f>
        <v>422200</v>
      </c>
      <c r="O23" s="60">
        <f t="shared" si="1"/>
        <v>5</v>
      </c>
      <c r="P23" s="60">
        <f t="shared" si="2"/>
        <v>0</v>
      </c>
    </row>
    <row r="24" spans="1:16" ht="16" customHeight="1" x14ac:dyDescent="0.25">
      <c r="A24" s="30">
        <v>42205</v>
      </c>
      <c r="B24" s="5" t="s">
        <v>79</v>
      </c>
      <c r="C24" s="9" t="s">
        <v>186</v>
      </c>
      <c r="D24" s="4" t="s">
        <v>173</v>
      </c>
      <c r="E24" s="4" t="s">
        <v>174</v>
      </c>
      <c r="F24" s="59">
        <v>660450</v>
      </c>
      <c r="G24" s="59">
        <v>5</v>
      </c>
      <c r="H24" s="59">
        <v>0</v>
      </c>
      <c r="I24" s="59">
        <v>0</v>
      </c>
      <c r="J24" s="57" t="str" cm="1">
        <f t="array" aca="1" ref="J24" ca="1">IF(ISNA(VLOOKUP($C24,AssetCode,1,0))=TRUE,"E3",IF(OR(ISBLANK($B24)=TRUE,COUNTIFS(TransAsset,$C24,TransIDDate,"&lt;"&amp;$L24,TransType,"DIS")&gt;0),"E4",IF(COUNTIFS(TransAsset,$C24,TransType,"ACQ")&gt;1,"E5",IF(OR($F24&lt;0,AND(TransType="DIS",$F24&lt;&gt;0)=TRUE),"E6",IF(OR(AND($G24&lt;0,TransType&lt;&gt;"DIS")=TRUE,AND(TransType="DIS",$G24&lt;&gt;0)=TRUE),"E7",IF(OR($H24&lt;0,AND(TransType="DIS",$H24&lt;&gt;0)=TRUE,$H24&gt;$F24),"E8",IF($I24&lt;0,"E9","-")))))))</f>
        <v>-</v>
      </c>
      <c r="K24" s="60" t="str">
        <f>IF(ISNA(VLOOKUP($C24,AssetAll,COLUMN(Assets!$E$4),0))=TRUE,"add!",VLOOKUP($C24,AssetAll,COLUMN(Assets!$E$4),0))</f>
        <v>PPM01</v>
      </c>
      <c r="L24" s="61">
        <f t="shared" ca="1" si="3"/>
        <v>42205</v>
      </c>
      <c r="M24" s="60">
        <f t="shared" si="0"/>
        <v>660450</v>
      </c>
      <c r="N24" s="60" cm="1">
        <f t="array" ref="N24">IF(ISBLANK($B24)=FALSE,SUMIFS(TransAmount,TransAsset,$C24,TransType,"ACQ"),0)</f>
        <v>660450</v>
      </c>
      <c r="O24" s="60">
        <f t="shared" si="1"/>
        <v>5</v>
      </c>
      <c r="P24" s="60">
        <f t="shared" si="2"/>
        <v>0</v>
      </c>
    </row>
    <row r="25" spans="1:16" ht="16" customHeight="1" x14ac:dyDescent="0.25">
      <c r="A25" s="30">
        <v>42205</v>
      </c>
      <c r="B25" s="5" t="s">
        <v>79</v>
      </c>
      <c r="C25" s="9" t="s">
        <v>187</v>
      </c>
      <c r="D25" s="4" t="s">
        <v>173</v>
      </c>
      <c r="E25" s="4" t="s">
        <v>174</v>
      </c>
      <c r="F25" s="59">
        <v>354600</v>
      </c>
      <c r="G25" s="59">
        <v>5</v>
      </c>
      <c r="H25" s="59">
        <v>0</v>
      </c>
      <c r="I25" s="59">
        <v>0</v>
      </c>
      <c r="J25" s="57" t="str" cm="1">
        <f t="array" aca="1" ref="J25" ca="1">IF(ISNA(VLOOKUP($C25,AssetCode,1,0))=TRUE,"E3",IF(OR(ISBLANK($B25)=TRUE,COUNTIFS(TransAsset,$C25,TransIDDate,"&lt;"&amp;$L25,TransType,"DIS")&gt;0),"E4",IF(COUNTIFS(TransAsset,$C25,TransType,"ACQ")&gt;1,"E5",IF(OR($F25&lt;0,AND(TransType="DIS",$F25&lt;&gt;0)=TRUE),"E6",IF(OR(AND($G25&lt;0,TransType&lt;&gt;"DIS")=TRUE,AND(TransType="DIS",$G25&lt;&gt;0)=TRUE),"E7",IF(OR($H25&lt;0,AND(TransType="DIS",$H25&lt;&gt;0)=TRUE,$H25&gt;$F25),"E8",IF($I25&lt;0,"E9","-")))))))</f>
        <v>-</v>
      </c>
      <c r="K25" s="60" t="str">
        <f>IF(ISNA(VLOOKUP($C25,AssetAll,COLUMN(Assets!$E$4),0))=TRUE,"add!",VLOOKUP($C25,AssetAll,COLUMN(Assets!$E$4),0))</f>
        <v>PPM01</v>
      </c>
      <c r="L25" s="61">
        <f t="shared" ca="1" si="3"/>
        <v>42205</v>
      </c>
      <c r="M25" s="60">
        <f t="shared" si="0"/>
        <v>354600</v>
      </c>
      <c r="N25" s="60" cm="1">
        <f t="array" ref="N25">IF(ISBLANK($B25)=FALSE,SUMIFS(TransAmount,TransAsset,$C25,TransType,"ACQ"),0)</f>
        <v>354600</v>
      </c>
      <c r="O25" s="60">
        <f t="shared" si="1"/>
        <v>5</v>
      </c>
      <c r="P25" s="60">
        <f t="shared" si="2"/>
        <v>0</v>
      </c>
    </row>
    <row r="26" spans="1:16" ht="16" customHeight="1" x14ac:dyDescent="0.25">
      <c r="A26" s="30">
        <v>42205</v>
      </c>
      <c r="B26" s="5" t="s">
        <v>79</v>
      </c>
      <c r="C26" s="9" t="s">
        <v>193</v>
      </c>
      <c r="D26" s="4" t="s">
        <v>173</v>
      </c>
      <c r="E26" s="4" t="s">
        <v>174</v>
      </c>
      <c r="F26" s="59">
        <v>15000</v>
      </c>
      <c r="G26" s="59">
        <v>5</v>
      </c>
      <c r="H26" s="59">
        <v>0</v>
      </c>
      <c r="I26" s="59">
        <v>0</v>
      </c>
      <c r="J26" s="57" t="str" cm="1">
        <f t="array" aca="1" ref="J26" ca="1">IF(ISNA(VLOOKUP($C26,AssetCode,1,0))=TRUE,"E3",IF(OR(ISBLANK($B26)=TRUE,COUNTIFS(TransAsset,$C26,TransIDDate,"&lt;"&amp;$L26,TransType,"DIS")&gt;0),"E4",IF(COUNTIFS(TransAsset,$C26,TransType,"ACQ")&gt;1,"E5",IF(OR($F26&lt;0,AND(TransType="DIS",$F26&lt;&gt;0)=TRUE),"E6",IF(OR(AND($G26&lt;0,TransType&lt;&gt;"DIS")=TRUE,AND(TransType="DIS",$G26&lt;&gt;0)=TRUE),"E7",IF(OR($H26&lt;0,AND(TransType="DIS",$H26&lt;&gt;0)=TRUE,$H26&gt;$F26),"E8",IF($I26&lt;0,"E9","-")))))))</f>
        <v>-</v>
      </c>
      <c r="K26" s="60" t="str">
        <f>IF(ISNA(VLOOKUP($C26,AssetAll,COLUMN(Assets!$E$4),0))=TRUE,"add!",VLOOKUP($C26,AssetAll,COLUMN(Assets!$E$4),0))</f>
        <v>EQP01</v>
      </c>
      <c r="L26" s="61">
        <f t="shared" ca="1" si="3"/>
        <v>42205</v>
      </c>
      <c r="M26" s="60">
        <f t="shared" si="0"/>
        <v>15000</v>
      </c>
      <c r="N26" s="60" cm="1">
        <f t="array" ref="N26">IF(ISBLANK($B26)=FALSE,SUMIFS(TransAmount,TransAsset,$C26,TransType,"ACQ"),0)</f>
        <v>15000</v>
      </c>
      <c r="O26" s="60">
        <f t="shared" si="1"/>
        <v>5</v>
      </c>
      <c r="P26" s="60">
        <f t="shared" si="2"/>
        <v>0</v>
      </c>
    </row>
    <row r="27" spans="1:16" ht="16" customHeight="1" x14ac:dyDescent="0.25">
      <c r="A27" s="30">
        <v>42205</v>
      </c>
      <c r="B27" s="5" t="s">
        <v>79</v>
      </c>
      <c r="C27" s="9" t="s">
        <v>194</v>
      </c>
      <c r="D27" s="4" t="s">
        <v>173</v>
      </c>
      <c r="E27" s="4" t="s">
        <v>174</v>
      </c>
      <c r="F27" s="59">
        <v>1500</v>
      </c>
      <c r="G27" s="59">
        <v>5</v>
      </c>
      <c r="H27" s="59">
        <v>0</v>
      </c>
      <c r="I27" s="59">
        <v>0</v>
      </c>
      <c r="J27" s="57" t="str" cm="1">
        <f t="array" aca="1" ref="J27" ca="1">IF(ISNA(VLOOKUP($C27,AssetCode,1,0))=TRUE,"E3",IF(OR(ISBLANK($B27)=TRUE,COUNTIFS(TransAsset,$C27,TransIDDate,"&lt;"&amp;$L27,TransType,"DIS")&gt;0),"E4",IF(COUNTIFS(TransAsset,$C27,TransType,"ACQ")&gt;1,"E5",IF(OR($F27&lt;0,AND(TransType="DIS",$F27&lt;&gt;0)=TRUE),"E6",IF(OR(AND($G27&lt;0,TransType&lt;&gt;"DIS")=TRUE,AND(TransType="DIS",$G27&lt;&gt;0)=TRUE),"E7",IF(OR($H27&lt;0,AND(TransType="DIS",$H27&lt;&gt;0)=TRUE,$H27&gt;$F27),"E8",IF($I27&lt;0,"E9","-")))))))</f>
        <v>-</v>
      </c>
      <c r="K27" s="60" t="str">
        <f>IF(ISNA(VLOOKUP($C27,AssetAll,COLUMN(Assets!$E$4),0))=TRUE,"add!",VLOOKUP($C27,AssetAll,COLUMN(Assets!$E$4),0))</f>
        <v>EQP01</v>
      </c>
      <c r="L27" s="61">
        <f t="shared" ca="1" si="3"/>
        <v>42205</v>
      </c>
      <c r="M27" s="60">
        <f t="shared" si="0"/>
        <v>1500</v>
      </c>
      <c r="N27" s="60" cm="1">
        <f t="array" ref="N27">IF(ISBLANK($B27)=FALSE,SUMIFS(TransAmount,TransAsset,$C27,TransType,"ACQ"),0)</f>
        <v>1500</v>
      </c>
      <c r="O27" s="60">
        <f t="shared" si="1"/>
        <v>5</v>
      </c>
      <c r="P27" s="60">
        <f t="shared" si="2"/>
        <v>0</v>
      </c>
    </row>
    <row r="28" spans="1:16" ht="16" customHeight="1" x14ac:dyDescent="0.25">
      <c r="A28" s="30">
        <v>42205</v>
      </c>
      <c r="B28" s="5" t="s">
        <v>79</v>
      </c>
      <c r="C28" s="9" t="s">
        <v>195</v>
      </c>
      <c r="D28" s="4" t="s">
        <v>173</v>
      </c>
      <c r="E28" s="4" t="s">
        <v>174</v>
      </c>
      <c r="F28" s="59">
        <v>42200</v>
      </c>
      <c r="G28" s="59">
        <v>5</v>
      </c>
      <c r="H28" s="59">
        <v>0</v>
      </c>
      <c r="I28" s="59">
        <v>0</v>
      </c>
      <c r="J28" s="57" t="str" cm="1">
        <f t="array" aca="1" ref="J28" ca="1">IF(ISNA(VLOOKUP($C28,AssetCode,1,0))=TRUE,"E3",IF(OR(ISBLANK($B28)=TRUE,COUNTIFS(TransAsset,$C28,TransIDDate,"&lt;"&amp;$L28,TransType,"DIS")&gt;0),"E4",IF(COUNTIFS(TransAsset,$C28,TransType,"ACQ")&gt;1,"E5",IF(OR($F28&lt;0,AND(TransType="DIS",$F28&lt;&gt;0)=TRUE),"E6",IF(OR(AND($G28&lt;0,TransType&lt;&gt;"DIS")=TRUE,AND(TransType="DIS",$G28&lt;&gt;0)=TRUE),"E7",IF(OR($H28&lt;0,AND(TransType="DIS",$H28&lt;&gt;0)=TRUE,$H28&gt;$F28),"E8",IF($I28&lt;0,"E9","-")))))))</f>
        <v>-</v>
      </c>
      <c r="K28" s="60" t="str">
        <f>IF(ISNA(VLOOKUP($C28,AssetAll,COLUMN(Assets!$E$4),0))=TRUE,"add!",VLOOKUP($C28,AssetAll,COLUMN(Assets!$E$4),0))</f>
        <v>EQP01</v>
      </c>
      <c r="L28" s="61">
        <f t="shared" ca="1" si="3"/>
        <v>42205</v>
      </c>
      <c r="M28" s="60">
        <f t="shared" si="0"/>
        <v>42200</v>
      </c>
      <c r="N28" s="60" cm="1">
        <f t="array" ref="N28">IF(ISBLANK($B28)=FALSE,SUMIFS(TransAmount,TransAsset,$C28,TransType,"ACQ"),0)</f>
        <v>42200</v>
      </c>
      <c r="O28" s="60">
        <f t="shared" si="1"/>
        <v>5</v>
      </c>
      <c r="P28" s="60">
        <f t="shared" si="2"/>
        <v>0</v>
      </c>
    </row>
    <row r="29" spans="1:16" ht="16" customHeight="1" x14ac:dyDescent="0.25">
      <c r="A29" s="30">
        <v>42205</v>
      </c>
      <c r="B29" s="5" t="s">
        <v>79</v>
      </c>
      <c r="C29" s="9" t="s">
        <v>196</v>
      </c>
      <c r="D29" s="4" t="s">
        <v>173</v>
      </c>
      <c r="E29" s="4" t="s">
        <v>174</v>
      </c>
      <c r="F29" s="59">
        <v>36900</v>
      </c>
      <c r="G29" s="59">
        <v>5</v>
      </c>
      <c r="H29" s="59">
        <v>0</v>
      </c>
      <c r="I29" s="59">
        <v>0</v>
      </c>
      <c r="J29" s="57" t="str" cm="1">
        <f t="array" aca="1" ref="J29" ca="1">IF(ISNA(VLOOKUP($C29,AssetCode,1,0))=TRUE,"E3",IF(OR(ISBLANK($B29)=TRUE,COUNTIFS(TransAsset,$C29,TransIDDate,"&lt;"&amp;$L29,TransType,"DIS")&gt;0),"E4",IF(COUNTIFS(TransAsset,$C29,TransType,"ACQ")&gt;1,"E5",IF(OR($F29&lt;0,AND(TransType="DIS",$F29&lt;&gt;0)=TRUE),"E6",IF(OR(AND($G29&lt;0,TransType&lt;&gt;"DIS")=TRUE,AND(TransType="DIS",$G29&lt;&gt;0)=TRUE),"E7",IF(OR($H29&lt;0,AND(TransType="DIS",$H29&lt;&gt;0)=TRUE,$H29&gt;$F29),"E8",IF($I29&lt;0,"E9","-")))))))</f>
        <v>-</v>
      </c>
      <c r="K29" s="60" t="str">
        <f>IF(ISNA(VLOOKUP($C29,AssetAll,COLUMN(Assets!$E$4),0))=TRUE,"add!",VLOOKUP($C29,AssetAll,COLUMN(Assets!$E$4),0))</f>
        <v>EQP01</v>
      </c>
      <c r="L29" s="61">
        <f t="shared" ca="1" si="3"/>
        <v>42205</v>
      </c>
      <c r="M29" s="60">
        <f t="shared" si="0"/>
        <v>36900</v>
      </c>
      <c r="N29" s="60" cm="1">
        <f t="array" ref="N29">IF(ISBLANK($B29)=FALSE,SUMIFS(TransAmount,TransAsset,$C29,TransType,"ACQ"),0)</f>
        <v>36900</v>
      </c>
      <c r="O29" s="60">
        <f t="shared" si="1"/>
        <v>5</v>
      </c>
      <c r="P29" s="60">
        <f t="shared" si="2"/>
        <v>0</v>
      </c>
    </row>
    <row r="30" spans="1:16" ht="16" customHeight="1" x14ac:dyDescent="0.25">
      <c r="A30" s="30">
        <v>42205</v>
      </c>
      <c r="B30" s="5" t="s">
        <v>79</v>
      </c>
      <c r="C30" s="9" t="s">
        <v>197</v>
      </c>
      <c r="D30" s="4" t="s">
        <v>173</v>
      </c>
      <c r="E30" s="4" t="s">
        <v>174</v>
      </c>
      <c r="F30" s="59">
        <v>49950</v>
      </c>
      <c r="G30" s="59">
        <v>5</v>
      </c>
      <c r="H30" s="59">
        <v>0</v>
      </c>
      <c r="I30" s="59">
        <v>0</v>
      </c>
      <c r="J30" s="57" t="str" cm="1">
        <f t="array" aca="1" ref="J30" ca="1">IF(ISNA(VLOOKUP($C30,AssetCode,1,0))=TRUE,"E3",IF(OR(ISBLANK($B30)=TRUE,COUNTIFS(TransAsset,$C30,TransIDDate,"&lt;"&amp;$L30,TransType,"DIS")&gt;0),"E4",IF(COUNTIFS(TransAsset,$C30,TransType,"ACQ")&gt;1,"E5",IF(OR($F30&lt;0,AND(TransType="DIS",$F30&lt;&gt;0)=TRUE),"E6",IF(OR(AND($G30&lt;0,TransType&lt;&gt;"DIS")=TRUE,AND(TransType="DIS",$G30&lt;&gt;0)=TRUE),"E7",IF(OR($H30&lt;0,AND(TransType="DIS",$H30&lt;&gt;0)=TRUE,$H30&gt;$F30),"E8",IF($I30&lt;0,"E9","-")))))))</f>
        <v>-</v>
      </c>
      <c r="K30" s="60" t="str">
        <f>IF(ISNA(VLOOKUP($C30,AssetAll,COLUMN(Assets!$E$4),0))=TRUE,"add!",VLOOKUP($C30,AssetAll,COLUMN(Assets!$E$4),0))</f>
        <v>EQP01</v>
      </c>
      <c r="L30" s="61">
        <f t="shared" ca="1" si="3"/>
        <v>42205</v>
      </c>
      <c r="M30" s="60">
        <f t="shared" si="0"/>
        <v>49950</v>
      </c>
      <c r="N30" s="60" cm="1">
        <f t="array" ref="N30">IF(ISBLANK($B30)=FALSE,SUMIFS(TransAmount,TransAsset,$C30,TransType,"ACQ"),0)</f>
        <v>49950</v>
      </c>
      <c r="O30" s="60">
        <f t="shared" si="1"/>
        <v>5</v>
      </c>
      <c r="P30" s="60">
        <f t="shared" si="2"/>
        <v>0</v>
      </c>
    </row>
    <row r="31" spans="1:16" ht="16" customHeight="1" x14ac:dyDescent="0.25">
      <c r="A31" s="30">
        <v>42205</v>
      </c>
      <c r="B31" s="5" t="s">
        <v>79</v>
      </c>
      <c r="C31" s="9" t="s">
        <v>198</v>
      </c>
      <c r="D31" s="4" t="s">
        <v>173</v>
      </c>
      <c r="E31" s="4" t="s">
        <v>174</v>
      </c>
      <c r="F31" s="59">
        <v>113130</v>
      </c>
      <c r="G31" s="59">
        <v>5</v>
      </c>
      <c r="H31" s="59">
        <v>0</v>
      </c>
      <c r="I31" s="59">
        <v>0</v>
      </c>
      <c r="J31" s="57" t="str" cm="1">
        <f t="array" aca="1" ref="J31" ca="1">IF(ISNA(VLOOKUP($C31,AssetCode,1,0))=TRUE,"E3",IF(OR(ISBLANK($B31)=TRUE,COUNTIFS(TransAsset,$C31,TransIDDate,"&lt;"&amp;$L31,TransType,"DIS")&gt;0),"E4",IF(COUNTIFS(TransAsset,$C31,TransType,"ACQ")&gt;1,"E5",IF(OR($F31&lt;0,AND(TransType="DIS",$F31&lt;&gt;0)=TRUE),"E6",IF(OR(AND($G31&lt;0,TransType&lt;&gt;"DIS")=TRUE,AND(TransType="DIS",$G31&lt;&gt;0)=TRUE),"E7",IF(OR($H31&lt;0,AND(TransType="DIS",$H31&lt;&gt;0)=TRUE,$H31&gt;$F31),"E8",IF($I31&lt;0,"E9","-")))))))</f>
        <v>-</v>
      </c>
      <c r="K31" s="60" t="str">
        <f>IF(ISNA(VLOOKUP($C31,AssetAll,COLUMN(Assets!$E$4),0))=TRUE,"add!",VLOOKUP($C31,AssetAll,COLUMN(Assets!$E$4),0))</f>
        <v>EQP01</v>
      </c>
      <c r="L31" s="61">
        <f t="shared" ca="1" si="3"/>
        <v>42205</v>
      </c>
      <c r="M31" s="60">
        <f t="shared" si="0"/>
        <v>113130</v>
      </c>
      <c r="N31" s="60" cm="1">
        <f t="array" ref="N31">IF(ISBLANK($B31)=FALSE,SUMIFS(TransAmount,TransAsset,$C31,TransType,"ACQ"),0)</f>
        <v>113130</v>
      </c>
      <c r="O31" s="60">
        <f t="shared" si="1"/>
        <v>5</v>
      </c>
      <c r="P31" s="60">
        <f t="shared" si="2"/>
        <v>0</v>
      </c>
    </row>
    <row r="32" spans="1:16" ht="16" customHeight="1" x14ac:dyDescent="0.25">
      <c r="A32" s="30">
        <v>42216</v>
      </c>
      <c r="B32" s="5" t="s">
        <v>79</v>
      </c>
      <c r="C32" s="9" t="s">
        <v>221</v>
      </c>
      <c r="D32" s="4" t="s">
        <v>223</v>
      </c>
      <c r="E32" s="4" t="s">
        <v>224</v>
      </c>
      <c r="F32" s="59">
        <v>12800</v>
      </c>
      <c r="G32" s="59">
        <v>2</v>
      </c>
      <c r="H32" s="59">
        <v>0</v>
      </c>
      <c r="I32" s="59">
        <v>0</v>
      </c>
      <c r="J32" s="57" t="str" cm="1">
        <f t="array" aca="1" ref="J32" ca="1">IF(ISNA(VLOOKUP($C32,AssetCode,1,0))=TRUE,"E3",IF(OR(ISBLANK($B32)=TRUE,COUNTIFS(TransAsset,$C32,TransIDDate,"&lt;"&amp;$L32,TransType,"DIS")&gt;0),"E4",IF(COUNTIFS(TransAsset,$C32,TransType,"ACQ")&gt;1,"E5",IF(OR($F32&lt;0,AND(TransType="DIS",$F32&lt;&gt;0)=TRUE),"E6",IF(OR(AND($G32&lt;0,TransType&lt;&gt;"DIS")=TRUE,AND(TransType="DIS",$G32&lt;&gt;0)=TRUE),"E7",IF(OR($H32&lt;0,AND(TransType="DIS",$H32&lt;&gt;0)=TRUE,$H32&gt;$F32),"E8",IF($I32&lt;0,"E9","-")))))))</f>
        <v>-</v>
      </c>
      <c r="K32" s="60" t="str">
        <f>IF(ISNA(VLOOKUP($C32,AssetAll,COLUMN(Assets!$E$4),0))=TRUE,"add!",VLOOKUP($C32,AssetAll,COLUMN(Assets!$E$4),0))</f>
        <v>CSW01</v>
      </c>
      <c r="L32" s="61">
        <f t="shared" ca="1" si="3"/>
        <v>42216</v>
      </c>
      <c r="M32" s="60">
        <f t="shared" si="0"/>
        <v>12800</v>
      </c>
      <c r="N32" s="60" cm="1">
        <f t="array" ref="N32">IF(ISBLANK($B32)=FALSE,SUMIFS(TransAmount,TransAsset,$C32,TransType,"ACQ"),0)</f>
        <v>12800</v>
      </c>
      <c r="O32" s="60">
        <f t="shared" si="1"/>
        <v>2</v>
      </c>
      <c r="P32" s="60">
        <f t="shared" si="2"/>
        <v>0</v>
      </c>
    </row>
    <row r="33" spans="1:16" ht="16" customHeight="1" x14ac:dyDescent="0.25">
      <c r="A33" s="30">
        <v>42623</v>
      </c>
      <c r="B33" s="5" t="s">
        <v>79</v>
      </c>
      <c r="C33" s="9" t="s">
        <v>227</v>
      </c>
      <c r="D33" s="4" t="s">
        <v>232</v>
      </c>
      <c r="E33" s="4" t="s">
        <v>234</v>
      </c>
      <c r="F33" s="59">
        <v>12500</v>
      </c>
      <c r="G33" s="59">
        <v>5</v>
      </c>
      <c r="H33" s="59">
        <v>0</v>
      </c>
      <c r="I33" s="59">
        <v>0</v>
      </c>
      <c r="J33" s="57" t="str" cm="1">
        <f t="array" aca="1" ref="J33" ca="1">IF(ISNA(VLOOKUP($C33,AssetCode,1,0))=TRUE,"E3",IF(OR(ISBLANK($B33)=TRUE,COUNTIFS(TransAsset,$C33,TransIDDate,"&lt;"&amp;$L33,TransType,"DIS")&gt;0),"E4",IF(COUNTIFS(TransAsset,$C33,TransType,"ACQ")&gt;1,"E5",IF(OR($F33&lt;0,AND(TransType="DIS",$F33&lt;&gt;0)=TRUE),"E6",IF(OR(AND($G33&lt;0,TransType&lt;&gt;"DIS")=TRUE,AND(TransType="DIS",$G33&lt;&gt;0)=TRUE),"E7",IF(OR($H33&lt;0,AND(TransType="DIS",$H33&lt;&gt;0)=TRUE,$H33&gt;$F33),"E8",IF($I33&lt;0,"E9","-")))))))</f>
        <v>-</v>
      </c>
      <c r="K33" s="60" t="str">
        <f>IF(ISNA(VLOOKUP($C33,AssetAll,COLUMN(Assets!$E$4),0))=TRUE,"add!",VLOOKUP($C33,AssetAll,COLUMN(Assets!$E$4),0))</f>
        <v>PPM01</v>
      </c>
      <c r="L33" s="61">
        <f t="shared" ca="1" si="3"/>
        <v>42623</v>
      </c>
      <c r="M33" s="60">
        <f t="shared" si="0"/>
        <v>12500</v>
      </c>
      <c r="N33" s="60" cm="1">
        <f t="array" ref="N33">IF(ISBLANK($B33)=FALSE,SUMIFS(TransAmount,TransAsset,$C33,TransType,"ACQ"),0)</f>
        <v>12500</v>
      </c>
      <c r="O33" s="60">
        <f t="shared" si="1"/>
        <v>5</v>
      </c>
      <c r="P33" s="60">
        <f t="shared" si="2"/>
        <v>0</v>
      </c>
    </row>
    <row r="34" spans="1:16" ht="16" customHeight="1" x14ac:dyDescent="0.25">
      <c r="A34" s="30">
        <v>42655</v>
      </c>
      <c r="B34" s="5" t="s">
        <v>79</v>
      </c>
      <c r="C34" s="9" t="s">
        <v>239</v>
      </c>
      <c r="D34" s="4" t="s">
        <v>232</v>
      </c>
      <c r="E34" s="4" t="s">
        <v>245</v>
      </c>
      <c r="F34" s="59">
        <v>6890</v>
      </c>
      <c r="G34" s="59">
        <v>5</v>
      </c>
      <c r="H34" s="59">
        <v>0</v>
      </c>
      <c r="I34" s="59">
        <v>0</v>
      </c>
      <c r="J34" s="57" t="str" cm="1">
        <f t="array" aca="1" ref="J34" ca="1">IF(ISNA(VLOOKUP($C34,AssetCode,1,0))=TRUE,"E3",IF(OR(ISBLANK($B34)=TRUE,COUNTIFS(TransAsset,$C34,TransIDDate,"&lt;"&amp;$L34,TransType,"DIS")&gt;0),"E4",IF(COUNTIFS(TransAsset,$C34,TransType,"ACQ")&gt;1,"E5",IF(OR($F34&lt;0,AND(TransType="DIS",$F34&lt;&gt;0)=TRUE),"E6",IF(OR(AND($G34&lt;0,TransType&lt;&gt;"DIS")=TRUE,AND(TransType="DIS",$G34&lt;&gt;0)=TRUE),"E7",IF(OR($H34&lt;0,AND(TransType="DIS",$H34&lt;&gt;0)=TRUE,$H34&gt;$F34),"E8",IF($I34&lt;0,"E9","-")))))))</f>
        <v>-</v>
      </c>
      <c r="K34" s="60" t="str">
        <f>IF(ISNA(VLOOKUP($C34,AssetAll,COLUMN(Assets!$E$4),0))=TRUE,"add!",VLOOKUP($C34,AssetAll,COLUMN(Assets!$E$4),0))</f>
        <v>EQP01</v>
      </c>
      <c r="L34" s="61">
        <f t="shared" ca="1" si="3"/>
        <v>42655</v>
      </c>
      <c r="M34" s="60">
        <f t="shared" si="0"/>
        <v>6890</v>
      </c>
      <c r="N34" s="60" cm="1">
        <f t="array" ref="N34">IF(ISBLANK($B34)=FALSE,SUMIFS(TransAmount,TransAsset,$C34,TransType,"ACQ"),0)</f>
        <v>6890</v>
      </c>
      <c r="O34" s="60">
        <f t="shared" si="1"/>
        <v>5</v>
      </c>
      <c r="P34" s="60">
        <f t="shared" si="2"/>
        <v>0</v>
      </c>
    </row>
    <row r="35" spans="1:16" ht="16" customHeight="1" x14ac:dyDescent="0.25">
      <c r="A35" s="30">
        <v>42811</v>
      </c>
      <c r="B35" s="5" t="s">
        <v>79</v>
      </c>
      <c r="C35" s="9" t="s">
        <v>228</v>
      </c>
      <c r="D35" s="4" t="s">
        <v>232</v>
      </c>
      <c r="E35" s="4" t="s">
        <v>235</v>
      </c>
      <c r="F35" s="59">
        <v>70000</v>
      </c>
      <c r="G35" s="59">
        <v>5</v>
      </c>
      <c r="H35" s="59">
        <v>0</v>
      </c>
      <c r="I35" s="59">
        <v>0</v>
      </c>
      <c r="J35" s="57" t="str" cm="1">
        <f t="array" aca="1" ref="J35" ca="1">IF(ISNA(VLOOKUP($C35,AssetCode,1,0))=TRUE,"E3",IF(OR(ISBLANK($B35)=TRUE,COUNTIFS(TransAsset,$C35,TransIDDate,"&lt;"&amp;$L35,TransType,"DIS")&gt;0),"E4",IF(COUNTIFS(TransAsset,$C35,TransType,"ACQ")&gt;1,"E5",IF(OR($F35&lt;0,AND(TransType="DIS",$F35&lt;&gt;0)=TRUE),"E6",IF(OR(AND($G35&lt;0,TransType&lt;&gt;"DIS")=TRUE,AND(TransType="DIS",$G35&lt;&gt;0)=TRUE),"E7",IF(OR($H35&lt;0,AND(TransType="DIS",$H35&lt;&gt;0)=TRUE,$H35&gt;$F35),"E8",IF($I35&lt;0,"E9","-")))))))</f>
        <v>-</v>
      </c>
      <c r="K35" s="60" t="str">
        <f>IF(ISNA(VLOOKUP($C35,AssetAll,COLUMN(Assets!$E$4),0))=TRUE,"add!",VLOOKUP($C35,AssetAll,COLUMN(Assets!$E$4),0))</f>
        <v>PPM01</v>
      </c>
      <c r="L35" s="61">
        <f t="shared" ca="1" si="3"/>
        <v>42811</v>
      </c>
      <c r="M35" s="60">
        <f t="shared" si="0"/>
        <v>70000</v>
      </c>
      <c r="N35" s="60" cm="1">
        <f t="array" ref="N35">IF(ISBLANK($B35)=FALSE,SUMIFS(TransAmount,TransAsset,$C35,TransType,"ACQ"),0)</f>
        <v>70000</v>
      </c>
      <c r="O35" s="60">
        <f t="shared" si="1"/>
        <v>5</v>
      </c>
      <c r="P35" s="60">
        <f t="shared" si="2"/>
        <v>0</v>
      </c>
    </row>
    <row r="36" spans="1:16" ht="16" customHeight="1" x14ac:dyDescent="0.25">
      <c r="A36" s="30">
        <v>43062</v>
      </c>
      <c r="B36" s="5" t="s">
        <v>79</v>
      </c>
      <c r="C36" s="9" t="s">
        <v>240</v>
      </c>
      <c r="D36" s="4" t="s">
        <v>232</v>
      </c>
      <c r="E36" s="4" t="s">
        <v>246</v>
      </c>
      <c r="F36" s="59">
        <v>19100</v>
      </c>
      <c r="G36" s="59">
        <v>5</v>
      </c>
      <c r="H36" s="59">
        <v>0</v>
      </c>
      <c r="I36" s="59">
        <v>0</v>
      </c>
      <c r="J36" s="57" t="str" cm="1">
        <f t="array" aca="1" ref="J36" ca="1">IF(ISNA(VLOOKUP($C36,AssetCode,1,0))=TRUE,"E3",IF(OR(ISBLANK($B36)=TRUE,COUNTIFS(TransAsset,$C36,TransIDDate,"&lt;"&amp;$L36,TransType,"DIS")&gt;0),"E4",IF(COUNTIFS(TransAsset,$C36,TransType,"ACQ")&gt;1,"E5",IF(OR($F36&lt;0,AND(TransType="DIS",$F36&lt;&gt;0)=TRUE),"E6",IF(OR(AND($G36&lt;0,TransType&lt;&gt;"DIS")=TRUE,AND(TransType="DIS",$G36&lt;&gt;0)=TRUE),"E7",IF(OR($H36&lt;0,AND(TransType="DIS",$H36&lt;&gt;0)=TRUE,$H36&gt;$F36),"E8",IF($I36&lt;0,"E9","-")))))))</f>
        <v>-</v>
      </c>
      <c r="K36" s="60" t="str">
        <f>IF(ISNA(VLOOKUP($C36,AssetAll,COLUMN(Assets!$E$4),0))=TRUE,"add!",VLOOKUP($C36,AssetAll,COLUMN(Assets!$E$4),0))</f>
        <v>EQP01</v>
      </c>
      <c r="L36" s="61">
        <f t="shared" ca="1" si="3"/>
        <v>43062</v>
      </c>
      <c r="M36" s="60">
        <f t="shared" si="0"/>
        <v>19100</v>
      </c>
      <c r="N36" s="60" cm="1">
        <f t="array" ref="N36">IF(ISBLANK($B36)=FALSE,SUMIFS(TransAmount,TransAsset,$C36,TransType,"ACQ"),0)</f>
        <v>19100</v>
      </c>
      <c r="O36" s="60">
        <f t="shared" si="1"/>
        <v>5</v>
      </c>
      <c r="P36" s="60">
        <f t="shared" si="2"/>
        <v>0</v>
      </c>
    </row>
    <row r="37" spans="1:16" ht="16" customHeight="1" x14ac:dyDescent="0.25">
      <c r="A37" s="30">
        <v>43151</v>
      </c>
      <c r="B37" s="5" t="s">
        <v>79</v>
      </c>
      <c r="C37" s="9" t="s">
        <v>241</v>
      </c>
      <c r="D37" s="4" t="s">
        <v>232</v>
      </c>
      <c r="E37" s="4" t="s">
        <v>247</v>
      </c>
      <c r="F37" s="59">
        <v>36900</v>
      </c>
      <c r="G37" s="59">
        <v>5</v>
      </c>
      <c r="H37" s="59">
        <v>0</v>
      </c>
      <c r="I37" s="59">
        <v>0</v>
      </c>
      <c r="J37" s="57" t="str" cm="1">
        <f t="array" aca="1" ref="J37" ca="1">IF(ISNA(VLOOKUP($C37,AssetCode,1,0))=TRUE,"E3",IF(OR(ISBLANK($B37)=TRUE,COUNTIFS(TransAsset,$C37,TransIDDate,"&lt;"&amp;$L37,TransType,"DIS")&gt;0),"E4",IF(COUNTIFS(TransAsset,$C37,TransType,"ACQ")&gt;1,"E5",IF(OR($F37&lt;0,AND(TransType="DIS",$F37&lt;&gt;0)=TRUE),"E6",IF(OR(AND($G37&lt;0,TransType&lt;&gt;"DIS")=TRUE,AND(TransType="DIS",$G37&lt;&gt;0)=TRUE),"E7",IF(OR($H37&lt;0,AND(TransType="DIS",$H37&lt;&gt;0)=TRUE,$H37&gt;$F37),"E8",IF($I37&lt;0,"E9","-")))))))</f>
        <v>-</v>
      </c>
      <c r="K37" s="60" t="str">
        <f>IF(ISNA(VLOOKUP($C37,AssetAll,COLUMN(Assets!$E$4),0))=TRUE,"add!",VLOOKUP($C37,AssetAll,COLUMN(Assets!$E$4),0))</f>
        <v>EQP01</v>
      </c>
      <c r="L37" s="61">
        <f t="shared" ca="1" si="3"/>
        <v>43151</v>
      </c>
      <c r="M37" s="60">
        <f>IF(ISBLANK($B37)=FALSE,IF(ISNUMBER($F37)=TRUE,$F37,0),0)</f>
        <v>36900</v>
      </c>
      <c r="N37" s="60" cm="1">
        <f t="array" ref="N37">IF(ISBLANK($B37)=FALSE,SUMIFS(TransAmount,TransAsset,$C37,TransType,"ACQ"),0)</f>
        <v>36900</v>
      </c>
      <c r="O37" s="60">
        <f>IF(ISBLANK($B37)=FALSE,IF(ISNUMBER($G37)=TRUE,$G37,0),0)</f>
        <v>5</v>
      </c>
      <c r="P37" s="60">
        <f>IF(ISBLANK($B37)=FALSE,IF(ISNUMBER($H37)=TRUE,$H37,0),0)</f>
        <v>0</v>
      </c>
    </row>
    <row r="38" spans="1:16" ht="16" customHeight="1" x14ac:dyDescent="0.25">
      <c r="A38" s="30">
        <v>43250</v>
      </c>
      <c r="B38" s="5" t="s">
        <v>79</v>
      </c>
      <c r="C38" s="9" t="s">
        <v>207</v>
      </c>
      <c r="D38" s="4" t="s">
        <v>256</v>
      </c>
      <c r="E38" s="4" t="s">
        <v>257</v>
      </c>
      <c r="F38" s="59">
        <v>5150</v>
      </c>
      <c r="G38" s="59">
        <v>4</v>
      </c>
      <c r="H38" s="59">
        <v>0</v>
      </c>
      <c r="I38" s="59">
        <v>0</v>
      </c>
      <c r="J38" s="57" t="str" cm="1">
        <f t="array" aca="1" ref="J38" ca="1">IF(ISNA(VLOOKUP($C38,AssetCode,1,0))=TRUE,"E3",IF(OR(ISBLANK($B38)=TRUE,COUNTIFS(TransAsset,$C38,TransIDDate,"&lt;"&amp;$L38,TransType,"DIS")&gt;0),"E4",IF(COUNTIFS(TransAsset,$C38,TransType,"ACQ")&gt;1,"E5",IF(OR($F38&lt;0,AND(TransType="DIS",$F38&lt;&gt;0)=TRUE),"E6",IF(OR(AND($G38&lt;0,TransType&lt;&gt;"DIS")=TRUE,AND(TransType="DIS",$G38&lt;&gt;0)=TRUE),"E7",IF(OR($H38&lt;0,AND(TransType="DIS",$H38&lt;&gt;0)=TRUE,$H38&gt;$F38),"E8",IF($I38&lt;0,"E9","-")))))))</f>
        <v>-</v>
      </c>
      <c r="K38" s="60" t="str">
        <f>IF(ISNA(VLOOKUP($C38,AssetAll,COLUMN(Assets!$E$4),0))=TRUE,"add!",VLOOKUP($C38,AssetAll,COLUMN(Assets!$E$4),0))</f>
        <v>OFE01</v>
      </c>
      <c r="L38" s="61">
        <f t="shared" ca="1" si="3"/>
        <v>43250</v>
      </c>
      <c r="M38" s="60">
        <f>IF(ISBLANK($B38)=FALSE,IF(ISNUMBER($F38)=TRUE,$F38,0),0)</f>
        <v>5150</v>
      </c>
      <c r="N38" s="60" cm="1">
        <f t="array" ref="N38">IF(ISBLANK($B38)=FALSE,SUMIFS(TransAmount,TransAsset,$C38,TransType,"ACQ"),0)</f>
        <v>5150</v>
      </c>
      <c r="O38" s="60">
        <f>IF(ISBLANK($B38)=FALSE,IF(ISNUMBER($G38)=TRUE,$G38,0),0)</f>
        <v>4</v>
      </c>
      <c r="P38" s="60">
        <f>IF(ISBLANK($B38)=FALSE,IF(ISNUMBER($H38)=TRUE,$H38,0),0)</f>
        <v>0</v>
      </c>
    </row>
    <row r="39" spans="1:16" ht="16" customHeight="1" x14ac:dyDescent="0.25">
      <c r="A39" s="30">
        <v>43263</v>
      </c>
      <c r="B39" s="5" t="s">
        <v>79</v>
      </c>
      <c r="C39" s="9" t="s">
        <v>229</v>
      </c>
      <c r="D39" s="4" t="s">
        <v>232</v>
      </c>
      <c r="E39" s="4" t="s">
        <v>236</v>
      </c>
      <c r="F39" s="59">
        <v>15000</v>
      </c>
      <c r="G39" s="59">
        <v>5</v>
      </c>
      <c r="H39" s="59">
        <v>0</v>
      </c>
      <c r="I39" s="59">
        <v>0</v>
      </c>
      <c r="J39" s="57" t="str" cm="1">
        <f t="array" aca="1" ref="J39" ca="1">IF(ISNA(VLOOKUP($C39,AssetCode,1,0))=TRUE,"E3",IF(OR(ISBLANK($B39)=TRUE,COUNTIFS(TransAsset,$C39,TransIDDate,"&lt;"&amp;$L39,TransType,"DIS")&gt;0),"E4",IF(COUNTIFS(TransAsset,$C39,TransType,"ACQ")&gt;1,"E5",IF(OR($F39&lt;0,AND(TransType="DIS",$F39&lt;&gt;0)=TRUE),"E6",IF(OR(AND($G39&lt;0,TransType&lt;&gt;"DIS")=TRUE,AND(TransType="DIS",$G39&lt;&gt;0)=TRUE),"E7",IF(OR($H39&lt;0,AND(TransType="DIS",$H39&lt;&gt;0)=TRUE,$H39&gt;$F39),"E8",IF($I39&lt;0,"E9","-")))))))</f>
        <v>-</v>
      </c>
      <c r="K39" s="60" t="str">
        <f>IF(ISNA(VLOOKUP($C39,AssetAll,COLUMN(Assets!$E$4),0))=TRUE,"add!",VLOOKUP($C39,AssetAll,COLUMN(Assets!$E$4),0))</f>
        <v>PPM01</v>
      </c>
      <c r="L39" s="61">
        <f t="shared" ca="1" si="3"/>
        <v>43263</v>
      </c>
      <c r="M39" s="60">
        <f>IF(ISBLANK($B39)=FALSE,IF(ISNUMBER($F39)=TRUE,$F39,0),0)</f>
        <v>15000</v>
      </c>
      <c r="N39" s="60" cm="1">
        <f t="array" ref="N39">IF(ISBLANK($B39)=FALSE,SUMIFS(TransAmount,TransAsset,$C39,TransType,"ACQ"),0)</f>
        <v>15000</v>
      </c>
      <c r="O39" s="60">
        <f>IF(ISBLANK($B39)=FALSE,IF(ISNUMBER($G39)=TRUE,$G39,0),0)</f>
        <v>5</v>
      </c>
      <c r="P39" s="60">
        <f>IF(ISBLANK($B39)=FALSE,IF(ISNUMBER($H39)=TRUE,$H39,0),0)</f>
        <v>0</v>
      </c>
    </row>
    <row r="40" spans="1:16" ht="16" customHeight="1" x14ac:dyDescent="0.25">
      <c r="A40" s="30">
        <v>43327</v>
      </c>
      <c r="B40" s="5" t="s">
        <v>79</v>
      </c>
      <c r="C40" s="9" t="s">
        <v>242</v>
      </c>
      <c r="D40" s="4" t="s">
        <v>232</v>
      </c>
      <c r="E40" s="4" t="s">
        <v>248</v>
      </c>
      <c r="F40" s="59">
        <v>40000</v>
      </c>
      <c r="G40" s="59">
        <v>5</v>
      </c>
      <c r="H40" s="59">
        <v>0</v>
      </c>
      <c r="I40" s="59">
        <v>0</v>
      </c>
      <c r="J40" s="57" t="str" cm="1">
        <f t="array" aca="1" ref="J40" ca="1">IF(ISNA(VLOOKUP($C40,AssetCode,1,0))=TRUE,"E3",IF(OR(ISBLANK($B40)=TRUE,COUNTIFS(TransAsset,$C40,TransIDDate,"&lt;"&amp;$L40,TransType,"DIS")&gt;0),"E4",IF(COUNTIFS(TransAsset,$C40,TransType,"ACQ")&gt;1,"E5",IF(OR($F40&lt;0,AND(TransType="DIS",$F40&lt;&gt;0)=TRUE),"E6",IF(OR(AND($G40&lt;0,TransType&lt;&gt;"DIS")=TRUE,AND(TransType="DIS",$G40&lt;&gt;0)=TRUE),"E7",IF(OR($H40&lt;0,AND(TransType="DIS",$H40&lt;&gt;0)=TRUE,$H40&gt;$F40),"E8",IF($I40&lt;0,"E9","-")))))))</f>
        <v>-</v>
      </c>
      <c r="K40" s="60" t="str">
        <f>IF(ISNA(VLOOKUP($C40,AssetAll,COLUMN(Assets!$E$4),0))=TRUE,"add!",VLOOKUP($C40,AssetAll,COLUMN(Assets!$E$4),0))</f>
        <v>EQP01</v>
      </c>
      <c r="L40" s="61">
        <f t="shared" ca="1" si="3"/>
        <v>43327</v>
      </c>
      <c r="M40" s="60">
        <f>IF(ISBLANK($B40)=FALSE,IF(ISNUMBER($F40)=TRUE,$F40,0),0)</f>
        <v>40000</v>
      </c>
      <c r="N40" s="60" cm="1">
        <f t="array" ref="N40">IF(ISBLANK($B40)=FALSE,SUMIFS(TransAmount,TransAsset,$C40,TransType,"ACQ"),0)</f>
        <v>40000</v>
      </c>
      <c r="O40" s="60">
        <f>IF(ISBLANK($B40)=FALSE,IF(ISNUMBER($G40)=TRUE,$G40,0),0)</f>
        <v>5</v>
      </c>
      <c r="P40" s="60">
        <f>IF(ISBLANK($B40)=FALSE,IF(ISNUMBER($H40)=TRUE,$H40,0),0)</f>
        <v>0</v>
      </c>
    </row>
    <row r="41" spans="1:16" ht="16" customHeight="1" x14ac:dyDescent="0.25">
      <c r="A41" s="30">
        <v>43653</v>
      </c>
      <c r="B41" s="5" t="s">
        <v>95</v>
      </c>
      <c r="C41" s="9" t="s">
        <v>225</v>
      </c>
      <c r="D41" s="4" t="s">
        <v>233</v>
      </c>
      <c r="E41" s="4" t="s">
        <v>258</v>
      </c>
      <c r="F41" s="59">
        <v>0</v>
      </c>
      <c r="G41" s="59">
        <v>0</v>
      </c>
      <c r="H41" s="59">
        <v>0</v>
      </c>
      <c r="I41" s="59">
        <v>30000</v>
      </c>
      <c r="J41" s="57" t="str" cm="1">
        <f t="array" aca="1" ref="J41" ca="1">IF(ISNA(VLOOKUP($C41,AssetCode,1,0))=TRUE,"E3",IF(OR(ISBLANK($B41)=TRUE,COUNTIFS(TransAsset,$C41,TransIDDate,"&lt;"&amp;$L41,TransType,"DIS")&gt;0),"E4",IF(COUNTIFS(TransAsset,$C41,TransType,"ACQ")&gt;1,"E5",IF(OR($F41&lt;0,AND(TransType="DIS",$F41&lt;&gt;0)=TRUE),"E6",IF(OR(AND($G41&lt;0,TransType&lt;&gt;"DIS")=TRUE,AND(TransType="DIS",$G41&lt;&gt;0)=TRUE),"E7",IF(OR($H41&lt;0,AND(TransType="DIS",$H41&lt;&gt;0)=TRUE,$H41&gt;$F41),"E8",IF($I41&lt;0,"E9","-")))))))</f>
        <v>-</v>
      </c>
      <c r="K41" s="60" t="str">
        <f>IF(ISNA(VLOOKUP($C41,AssetAll,COLUMN(Assets!$E$4),0))=TRUE,"add!",VLOOKUP($C41,AssetAll,COLUMN(Assets!$E$4),0))</f>
        <v>MVH01</v>
      </c>
      <c r="L41" s="61">
        <f t="shared" ca="1" si="3"/>
        <v>43653</v>
      </c>
      <c r="M41" s="60">
        <f t="shared" ref="M41:M46" si="4">IF(ISBLANK($B41)=FALSE,IF(ISNUMBER($F41)=TRUE,$F41,0),0)</f>
        <v>0</v>
      </c>
      <c r="N41" s="60" cm="1">
        <f t="array" ref="N41">IF(ISBLANK($B41)=FALSE,SUMIFS(TransAmount,TransAsset,$C41,TransType,"ACQ"),0)</f>
        <v>252200</v>
      </c>
      <c r="O41" s="60">
        <f t="shared" ref="O41:O46" si="5">IF(ISBLANK($B41)=FALSE,IF(ISNUMBER($G41)=TRUE,$G41,0),0)</f>
        <v>0</v>
      </c>
      <c r="P41" s="60">
        <f t="shared" ref="P41:P46" si="6">IF(ISBLANK($B41)=FALSE,IF(ISNUMBER($H41)=TRUE,$H41,0),0)</f>
        <v>0</v>
      </c>
    </row>
    <row r="42" spans="1:16" ht="16" customHeight="1" x14ac:dyDescent="0.25">
      <c r="A42" s="30">
        <v>44002</v>
      </c>
      <c r="B42" s="5" t="s">
        <v>79</v>
      </c>
      <c r="C42" s="9" t="s">
        <v>250</v>
      </c>
      <c r="D42" s="4" t="s">
        <v>233</v>
      </c>
      <c r="E42" s="4" t="s">
        <v>252</v>
      </c>
      <c r="F42" s="59">
        <v>288500</v>
      </c>
      <c r="G42" s="59">
        <v>5</v>
      </c>
      <c r="H42" s="59">
        <v>22000</v>
      </c>
      <c r="I42" s="59">
        <v>0</v>
      </c>
      <c r="J42" s="57" t="str" cm="1">
        <f t="array" aca="1" ref="J42" ca="1">IF(ISNA(VLOOKUP($C42,AssetCode,1,0))=TRUE,"E3",IF(OR(ISBLANK($B42)=TRUE,COUNTIFS(TransAsset,$C42,TransIDDate,"&lt;"&amp;$L42,TransType,"DIS")&gt;0),"E4",IF(COUNTIFS(TransAsset,$C42,TransType,"ACQ")&gt;1,"E5",IF(OR($F42&lt;0,AND(TransType="DIS",$F42&lt;&gt;0)=TRUE),"E6",IF(OR(AND($G42&lt;0,TransType&lt;&gt;"DIS")=TRUE,AND(TransType="DIS",$G42&lt;&gt;0)=TRUE),"E7",IF(OR($H42&lt;0,AND(TransType="DIS",$H42&lt;&gt;0)=TRUE,$H42&gt;$F42),"E8",IF($I42&lt;0,"E9","-")))))))</f>
        <v>-</v>
      </c>
      <c r="K42" s="60" t="str">
        <f>IF(ISNA(VLOOKUP($C42,AssetAll,COLUMN(Assets!$E$4),0))=TRUE,"add!",VLOOKUP($C42,AssetAll,COLUMN(Assets!$E$4),0))</f>
        <v>MVH01</v>
      </c>
      <c r="L42" s="61">
        <f t="shared" ca="1" si="3"/>
        <v>44002</v>
      </c>
      <c r="M42" s="60">
        <f t="shared" si="4"/>
        <v>288500</v>
      </c>
      <c r="N42" s="60" cm="1">
        <f t="array" ref="N42">IF(ISBLANK($B42)=FALSE,SUMIFS(TransAmount,TransAsset,$C42,TransType,"ACQ"),0)</f>
        <v>288500</v>
      </c>
      <c r="O42" s="60">
        <f t="shared" si="5"/>
        <v>5</v>
      </c>
      <c r="P42" s="60">
        <f t="shared" si="6"/>
        <v>22000</v>
      </c>
    </row>
    <row r="43" spans="1:16" ht="16" customHeight="1" x14ac:dyDescent="0.25">
      <c r="A43" s="30">
        <v>44058</v>
      </c>
      <c r="B43" s="5" t="s">
        <v>79</v>
      </c>
      <c r="C43" s="9" t="s">
        <v>230</v>
      </c>
      <c r="D43" s="4" t="s">
        <v>232</v>
      </c>
      <c r="E43" s="4" t="s">
        <v>237</v>
      </c>
      <c r="F43" s="59">
        <v>3420</v>
      </c>
      <c r="G43" s="59">
        <v>5</v>
      </c>
      <c r="H43" s="59">
        <v>0</v>
      </c>
      <c r="I43" s="59">
        <v>0</v>
      </c>
      <c r="J43" s="57" t="str" cm="1">
        <f t="array" aca="1" ref="J43" ca="1">IF(ISNA(VLOOKUP($C43,AssetCode,1,0))=TRUE,"E3",IF(OR(ISBLANK($B43)=TRUE,COUNTIFS(TransAsset,$C43,TransIDDate,"&lt;"&amp;$L43,TransType,"DIS")&gt;0),"E4",IF(COUNTIFS(TransAsset,$C43,TransType,"ACQ")&gt;1,"E5",IF(OR($F43&lt;0,AND(TransType="DIS",$F43&lt;&gt;0)=TRUE),"E6",IF(OR(AND($G43&lt;0,TransType&lt;&gt;"DIS")=TRUE,AND(TransType="DIS",$G43&lt;&gt;0)=TRUE),"E7",IF(OR($H43&lt;0,AND(TransType="DIS",$H43&lt;&gt;0)=TRUE,$H43&gt;$F43),"E8",IF($I43&lt;0,"E9","-")))))))</f>
        <v>-</v>
      </c>
      <c r="K43" s="60" t="str">
        <f>IF(ISNA(VLOOKUP($C43,AssetAll,COLUMN(Assets!$E$4),0))=TRUE,"add!",VLOOKUP($C43,AssetAll,COLUMN(Assets!$E$4),0))</f>
        <v>PPM01</v>
      </c>
      <c r="L43" s="61">
        <f t="shared" ca="1" si="3"/>
        <v>44058</v>
      </c>
      <c r="M43" s="60">
        <f t="shared" si="4"/>
        <v>3420</v>
      </c>
      <c r="N43" s="60" cm="1">
        <f t="array" ref="N43">IF(ISBLANK($B43)=FALSE,SUMIFS(TransAmount,TransAsset,$C43,TransType,"ACQ"),0)</f>
        <v>3420</v>
      </c>
      <c r="O43" s="60">
        <f t="shared" si="5"/>
        <v>5</v>
      </c>
      <c r="P43" s="60">
        <f t="shared" si="6"/>
        <v>0</v>
      </c>
    </row>
    <row r="44" spans="1:16" ht="16" customHeight="1" x14ac:dyDescent="0.25">
      <c r="A44" s="30">
        <v>44185</v>
      </c>
      <c r="B44" s="5" t="s">
        <v>79</v>
      </c>
      <c r="C44" s="9" t="s">
        <v>243</v>
      </c>
      <c r="D44" s="4" t="s">
        <v>232</v>
      </c>
      <c r="E44" s="4" t="s">
        <v>249</v>
      </c>
      <c r="F44" s="59">
        <v>18999</v>
      </c>
      <c r="G44" s="59">
        <v>5</v>
      </c>
      <c r="H44" s="59">
        <v>0</v>
      </c>
      <c r="I44" s="59">
        <v>0</v>
      </c>
      <c r="J44" s="57" t="str" cm="1">
        <f t="array" aca="1" ref="J44" ca="1">IF(ISNA(VLOOKUP($C44,AssetCode,1,0))=TRUE,"E3",IF(OR(ISBLANK($B44)=TRUE,COUNTIFS(TransAsset,$C44,TransIDDate,"&lt;"&amp;$L44,TransType,"DIS")&gt;0),"E4",IF(COUNTIFS(TransAsset,$C44,TransType,"ACQ")&gt;1,"E5",IF(OR($F44&lt;0,AND(TransType="DIS",$F44&lt;&gt;0)=TRUE),"E6",IF(OR(AND($G44&lt;0,TransType&lt;&gt;"DIS")=TRUE,AND(TransType="DIS",$G44&lt;&gt;0)=TRUE),"E7",IF(OR($H44&lt;0,AND(TransType="DIS",$H44&lt;&gt;0)=TRUE,$H44&gt;$F44),"E8",IF($I44&lt;0,"E9","-")))))))</f>
        <v>-</v>
      </c>
      <c r="K44" s="60" t="str">
        <f>IF(ISNA(VLOOKUP($C44,AssetAll,COLUMN(Assets!$E$4),0))=TRUE,"add!",VLOOKUP($C44,AssetAll,COLUMN(Assets!$E$4),0))</f>
        <v>EQP01</v>
      </c>
      <c r="L44" s="61">
        <f t="shared" ca="1" si="3"/>
        <v>44185</v>
      </c>
      <c r="M44" s="60">
        <f t="shared" si="4"/>
        <v>18999</v>
      </c>
      <c r="N44" s="60" cm="1">
        <f t="array" ref="N44">IF(ISBLANK($B44)=FALSE,SUMIFS(TransAmount,TransAsset,$C44,TransType,"ACQ"),0)</f>
        <v>18999</v>
      </c>
      <c r="O44" s="60">
        <f t="shared" si="5"/>
        <v>5</v>
      </c>
      <c r="P44" s="60">
        <f t="shared" si="6"/>
        <v>0</v>
      </c>
    </row>
    <row r="45" spans="1:16" ht="16" customHeight="1" x14ac:dyDescent="0.25">
      <c r="A45" s="30">
        <v>44216</v>
      </c>
      <c r="B45" s="5" t="s">
        <v>79</v>
      </c>
      <c r="C45" s="9" t="s">
        <v>231</v>
      </c>
      <c r="D45" s="4" t="s">
        <v>233</v>
      </c>
      <c r="E45" s="4" t="s">
        <v>253</v>
      </c>
      <c r="F45" s="59">
        <v>65000</v>
      </c>
      <c r="G45" s="59">
        <v>5</v>
      </c>
      <c r="H45" s="59">
        <v>5000</v>
      </c>
      <c r="I45" s="59">
        <v>0</v>
      </c>
      <c r="J45" s="57" t="str" cm="1">
        <f t="array" aca="1" ref="J45" ca="1">IF(ISNA(VLOOKUP($C45,AssetCode,1,0))=TRUE,"E3",IF(OR(ISBLANK($B45)=TRUE,COUNTIFS(TransAsset,$C45,TransIDDate,"&lt;"&amp;$L45,TransType,"DIS")&gt;0),"E4",IF(COUNTIFS(TransAsset,$C45,TransType,"ACQ")&gt;1,"E5",IF(OR($F45&lt;0,AND(TransType="DIS",$F45&lt;&gt;0)=TRUE),"E6",IF(OR(AND($G45&lt;0,TransType&lt;&gt;"DIS")=TRUE,AND(TransType="DIS",$G45&lt;&gt;0)=TRUE),"E7",IF(OR($H45&lt;0,AND(TransType="DIS",$H45&lt;&gt;0)=TRUE,$H45&gt;$F45),"E8",IF($I45&lt;0,"E9","-")))))))</f>
        <v>-</v>
      </c>
      <c r="K45" s="60" t="str">
        <f>IF(ISNA(VLOOKUP($C45,AssetAll,COLUMN(Assets!$E$4),0))=TRUE,"add!",VLOOKUP($C45,AssetAll,COLUMN(Assets!$E$4),0))</f>
        <v>PPM01</v>
      </c>
      <c r="L45" s="61">
        <f t="shared" ca="1" si="3"/>
        <v>44216</v>
      </c>
      <c r="M45" s="60">
        <f t="shared" si="4"/>
        <v>65000</v>
      </c>
      <c r="N45" s="60" cm="1">
        <f t="array" ref="N45">IF(ISBLANK($B45)=FALSE,SUMIFS(TransAmount,TransAsset,$C45,TransType,"ACQ"),0)</f>
        <v>65000</v>
      </c>
      <c r="O45" s="60">
        <f t="shared" si="5"/>
        <v>5</v>
      </c>
      <c r="P45" s="60">
        <f t="shared" si="6"/>
        <v>5000</v>
      </c>
    </row>
    <row r="46" spans="1:16" ht="16" customHeight="1" x14ac:dyDescent="0.25">
      <c r="A46" s="30">
        <v>44217</v>
      </c>
      <c r="B46" s="5" t="s">
        <v>95</v>
      </c>
      <c r="C46" s="9" t="s">
        <v>186</v>
      </c>
      <c r="D46" s="4" t="s">
        <v>259</v>
      </c>
      <c r="E46" s="4" t="s">
        <v>258</v>
      </c>
      <c r="F46" s="59">
        <v>0</v>
      </c>
      <c r="G46" s="59">
        <v>0</v>
      </c>
      <c r="H46" s="59">
        <v>0</v>
      </c>
      <c r="I46" s="59">
        <v>150000</v>
      </c>
      <c r="J46" s="57" t="str" cm="1">
        <f t="array" aca="1" ref="J46" ca="1">IF(ISNA(VLOOKUP($C46,AssetCode,1,0))=TRUE,"E3",IF(OR(ISBLANK($B46)=TRUE,COUNTIFS(TransAsset,$C46,TransIDDate,"&lt;"&amp;$L46,TransType,"DIS")&gt;0),"E4",IF(COUNTIFS(TransAsset,$C46,TransType,"ACQ")&gt;1,"E5",IF(OR($F46&lt;0,AND(TransType="DIS",$F46&lt;&gt;0)=TRUE),"E6",IF(OR(AND($G46&lt;0,TransType&lt;&gt;"DIS")=TRUE,AND(TransType="DIS",$G46&lt;&gt;0)=TRUE),"E7",IF(OR($H46&lt;0,AND(TransType="DIS",$H46&lt;&gt;0)=TRUE,$H46&gt;$F46),"E8",IF($I46&lt;0,"E9","-")))))))</f>
        <v>-</v>
      </c>
      <c r="K46" s="60" t="str">
        <f>IF(ISNA(VLOOKUP($C46,AssetAll,COLUMN(Assets!$E$4),0))=TRUE,"add!",VLOOKUP($C46,AssetAll,COLUMN(Assets!$E$4),0))</f>
        <v>PPM01</v>
      </c>
      <c r="L46" s="61">
        <f t="shared" ca="1" si="3"/>
        <v>44217</v>
      </c>
      <c r="M46" s="60">
        <f t="shared" si="4"/>
        <v>0</v>
      </c>
      <c r="N46" s="60" cm="1">
        <f t="array" ref="N46">IF(ISBLANK($B46)=FALSE,SUMIFS(TransAmount,TransAsset,$C46,TransType,"ACQ"),0)</f>
        <v>660450</v>
      </c>
      <c r="O46" s="60">
        <f t="shared" si="5"/>
        <v>0</v>
      </c>
      <c r="P46" s="60">
        <f t="shared" si="6"/>
        <v>0</v>
      </c>
    </row>
    <row r="47" spans="1:16" ht="16" customHeight="1" x14ac:dyDescent="0.25">
      <c r="M47" s="60"/>
    </row>
  </sheetData>
  <sheetProtection autoFilter="0"/>
  <phoneticPr fontId="2" type="noConversion"/>
  <conditionalFormatting sqref="C4">
    <cfRule type="expression" dxfId="25" priority="6" stopIfTrue="1">
      <formula>OR(COUNTIF(TransError,"E3")&gt;0,COUNTIF(TransError,"E5"))=TRUE</formula>
    </cfRule>
  </conditionalFormatting>
  <conditionalFormatting sqref="B4">
    <cfRule type="expression" dxfId="24" priority="5" stopIfTrue="1">
      <formula>COUNTIF(TransError,"E4")&gt;0</formula>
    </cfRule>
  </conditionalFormatting>
  <conditionalFormatting sqref="F4">
    <cfRule type="expression" dxfId="23" priority="4" stopIfTrue="1">
      <formula>COUNTIF(TransError,"E6")&gt;0</formula>
    </cfRule>
  </conditionalFormatting>
  <conditionalFormatting sqref="G4">
    <cfRule type="expression" dxfId="22" priority="3" stopIfTrue="1">
      <formula>COUNTIF(TransError,"E7")&gt;0</formula>
    </cfRule>
  </conditionalFormatting>
  <conditionalFormatting sqref="H4">
    <cfRule type="expression" dxfId="21" priority="2" stopIfTrue="1">
      <formula>COUNTIF(TransError,"E8")&gt;0</formula>
    </cfRule>
  </conditionalFormatting>
  <conditionalFormatting sqref="I4">
    <cfRule type="expression" dxfId="20" priority="1" stopIfTrue="1">
      <formula>COUNTIF(TransError,"E9")&gt;0</formula>
    </cfRule>
  </conditionalFormatting>
  <dataValidations count="3">
    <dataValidation type="date" operator="greaterThan" allowBlank="1" showInputMessage="1" showErrorMessage="1" errorTitle="Invalid Date" error="Enter a valid date in accordance with the Regional Settings that are specified in the System Control Panel." sqref="A5:A964" xr:uid="{00000000-0002-0000-0600-000000000000}">
      <formula1>18264</formula1>
    </dataValidation>
    <dataValidation type="list" allowBlank="1" showInputMessage="1" showErrorMessage="1" errorTitle="Invalid Data" error="Select a valid transaction type from the list box." sqref="B5:B964" xr:uid="{00000000-0002-0000-0600-000001000000}">
      <formula1>"ACQ,DIS"</formula1>
    </dataValidation>
    <dataValidation type="list" allowBlank="1" showInputMessage="1" showErrorMessage="1" errorTitle="Invalid Data" error="Select a valid asset number from the list box." sqref="C5:C964" xr:uid="{00000000-0002-0000-0600-000002000000}">
      <formula1>AssetNo</formula1>
    </dataValidation>
  </dataValidations>
  <pageMargins left="0.55118110236220474" right="0.55118110236220474" top="0.59055118110236227" bottom="0.39370078740157483" header="0.39370078740157483" footer="0.39370078740157483"/>
  <pageSetup paperSize="9" scale="49" fitToHeight="0" orientation="landscape" r:id="rId1"/>
  <headerFooter alignWithMargins="0">
    <oddFooter>&amp;C&amp;9Page &amp;P of &amp;N</oddFooter>
  </headerFooter>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M35"/>
  <sheetViews>
    <sheetView zoomScale="95" zoomScaleNormal="95" workbookViewId="0">
      <pane ySplit="5" topLeftCell="A6" activePane="bottomLeft" state="frozen"/>
      <selection pane="bottomLeft" activeCell="A5" sqref="A5"/>
    </sheetView>
  </sheetViews>
  <sheetFormatPr defaultColWidth="9.08984375" defaultRowHeight="16" customHeight="1" x14ac:dyDescent="0.25"/>
  <cols>
    <col min="1" max="1" width="10.6328125" style="4" customWidth="1"/>
    <col min="2" max="2" width="30.6328125" style="4" customWidth="1"/>
    <col min="3" max="13" width="14.6328125" style="32" customWidth="1"/>
    <col min="14" max="16384" width="9.08984375" style="4"/>
  </cols>
  <sheetData>
    <row r="1" spans="1:13" ht="16" customHeight="1" x14ac:dyDescent="0.3">
      <c r="A1" s="90" t="str">
        <f>'Set-up'!$C$5</f>
        <v>Example (Pty) Ltd</v>
      </c>
    </row>
    <row r="2" spans="1:13" ht="16" customHeight="1" x14ac:dyDescent="0.25">
      <c r="A2" s="19" t="s">
        <v>107</v>
      </c>
    </row>
    <row r="3" spans="1:13" s="6" customFormat="1" ht="16" customHeight="1" x14ac:dyDescent="0.25">
      <c r="A3" s="19" t="str">
        <f ca="1">"From "&amp;TEXT(Assets!$H$2,"d mmmm yyyy")&amp;" to "&amp;TEXT(Assets!$I$2,"d mmmm yyyy")</f>
        <v>From 1 March 2020 to 28 February 2021</v>
      </c>
      <c r="C3" s="41" cm="1">
        <f t="array" aca="1" ref="C3" ca="1">SUBTOTAL(109,OFFSET(C$5,1,0,CatSumCount,1))</f>
        <v>7105670</v>
      </c>
      <c r="D3" s="41" cm="1">
        <f t="array" aca="1" ref="D3" ca="1">SUBTOTAL(109,OFFSET(D$5,1,0,CatSumCount,1))</f>
        <v>375919</v>
      </c>
      <c r="E3" s="41" cm="1">
        <f t="array" aca="1" ref="E3" ca="1">SUBTOTAL(109,OFFSET(E$5,1,0,CatSumCount,1))</f>
        <v>-660450</v>
      </c>
      <c r="F3" s="41" cm="1">
        <f t="array" aca="1" ref="F3" ca="1">SUBTOTAL(109,OFFSET(F$5,1,0,CatSumCount,1))</f>
        <v>6821139</v>
      </c>
      <c r="G3" s="41" cm="1">
        <f t="array" aca="1" ref="G3" ca="1">SUBTOTAL(109,OFFSET(G$5,1,0,CatSumCount,1))</f>
        <v>5134713.3254458159</v>
      </c>
      <c r="H3" s="41" cm="1">
        <f t="array" aca="1" ref="H3" ca="1">SUBTOTAL(109,OFFSET(H$5,1,0,CatSumCount,1))</f>
        <v>482567.27075903054</v>
      </c>
      <c r="I3" s="41" cm="1">
        <f t="array" aca="1" ref="I3" ca="1">SUBTOTAL(109,OFFSET(I$5,1,0,CatSumCount,1))</f>
        <v>-660450</v>
      </c>
      <c r="J3" s="41" cm="1">
        <f t="array" aca="1" ref="J3" ca="1">SUBTOTAL(109,OFFSET(J$5,1,0,CatSumCount,1))</f>
        <v>4956830.596204848</v>
      </c>
      <c r="K3" s="41" cm="1">
        <f t="array" aca="1" ref="K3" ca="1">SUBTOTAL(109,OFFSET(K$5,1,0,CatSumCount,1))</f>
        <v>1864308.4037951531</v>
      </c>
      <c r="L3" s="41" cm="1">
        <f t="array" aca="1" ref="L3" ca="1">SUBTOTAL(109,OFFSET(L$5,1,0,CatSumCount,1))</f>
        <v>150000</v>
      </c>
      <c r="M3" s="41" cm="1">
        <f t="array" aca="1" ref="M3" ca="1">SUBTOTAL(109,OFFSET(M$5,1,0,CatSumCount,1))</f>
        <v>13821.880788465924</v>
      </c>
    </row>
    <row r="4" spans="1:13" ht="18" customHeight="1" x14ac:dyDescent="0.25">
      <c r="A4" s="46" t="s">
        <v>260</v>
      </c>
      <c r="C4" s="113" t="s">
        <v>103</v>
      </c>
      <c r="D4" s="114"/>
      <c r="E4" s="114"/>
      <c r="F4" s="115"/>
      <c r="G4" s="113" t="s">
        <v>104</v>
      </c>
      <c r="H4" s="114"/>
      <c r="I4" s="114"/>
      <c r="J4" s="115"/>
      <c r="K4" s="116" t="s">
        <v>105</v>
      </c>
      <c r="L4" s="116" t="s">
        <v>96</v>
      </c>
      <c r="M4" s="80" t="s">
        <v>312</v>
      </c>
    </row>
    <row r="5" spans="1:13" s="2" customFormat="1" ht="25" x14ac:dyDescent="0.25">
      <c r="A5" s="81" t="s">
        <v>21</v>
      </c>
      <c r="B5" s="81" t="s">
        <v>5</v>
      </c>
      <c r="C5" s="82" t="s">
        <v>99</v>
      </c>
      <c r="D5" s="82" t="s">
        <v>100</v>
      </c>
      <c r="E5" s="82" t="s">
        <v>101</v>
      </c>
      <c r="F5" s="82" t="s">
        <v>102</v>
      </c>
      <c r="G5" s="82" t="s">
        <v>99</v>
      </c>
      <c r="H5" s="82" t="s">
        <v>293</v>
      </c>
      <c r="I5" s="82" t="s">
        <v>101</v>
      </c>
      <c r="J5" s="82" t="s">
        <v>102</v>
      </c>
      <c r="K5" s="117"/>
      <c r="L5" s="117"/>
      <c r="M5" s="82" t="s">
        <v>293</v>
      </c>
    </row>
    <row r="6" spans="1:13" ht="16" customHeight="1" x14ac:dyDescent="0.25">
      <c r="A6" s="4" t="str" cm="1">
        <f t="array" aca="1" ref="A6" ca="1">IF(ROW($B6)-ROW($B$5)&gt;CatCount,"",OFFSET('Set-up'!$A$26,ROW($B6)-ROW($B$5),0,1,1))</f>
        <v>LBU01</v>
      </c>
      <c r="B6" s="4" t="str">
        <f t="shared" ref="B6:B35" ca="1" si="0">IF(ISNA(VLOOKUP($A6,CatAll,3,0))=TRUE,"",VLOOKUP($A6,CatAll,3,0))</f>
        <v>Land &amp; Buildings</v>
      </c>
      <c r="C6" s="32" cm="1">
        <f t="array" aca="1" ref="C6" ca="1">IF(LEN($A6)&gt;1,SUMIFS(AssetCOB,AssetCat,$A6),"")</f>
        <v>1500000</v>
      </c>
      <c r="D6" s="32" cm="1">
        <f t="array" aca="1" ref="D6" ca="1">IF(LEN($A6)&gt;1,SUMIFS(AssetCAdd,AssetCat,$A6),"")</f>
        <v>0</v>
      </c>
      <c r="E6" s="32" cm="1">
        <f t="array" aca="1" ref="E6" ca="1">IF(LEN($A6)&gt;1,SUMIFS(AssetCDis,AssetCat,$A6),"")</f>
        <v>0</v>
      </c>
      <c r="F6" s="32">
        <f t="shared" ref="F6:F35" ca="1" si="1">IF(LEN($A6)&gt;1,SUM($C6:$E6),"")</f>
        <v>1500000</v>
      </c>
      <c r="G6" s="32" cm="1">
        <f t="array" aca="1" ref="G6" ca="1">IF(LEN($A6)&gt;1,SUMIFS(AssetDOB,AssetCat,$A6),"")</f>
        <v>0</v>
      </c>
      <c r="H6" s="32" cm="1">
        <f t="array" aca="1" ref="H6" ca="1">IF(LEN($A6)&gt;1,SUMIFS(AssetDDep,AssetCat,$A6),"")</f>
        <v>0</v>
      </c>
      <c r="I6" s="32" cm="1">
        <f t="array" aca="1" ref="I6" ca="1">IF(LEN($A6)&gt;1,SUMIFS(AssetDDis,AssetCat,$A6),"")</f>
        <v>0</v>
      </c>
      <c r="J6" s="32">
        <f ca="1">IF(LEN($A6)&gt;1,SUM($G6,$H6,$I6),"")</f>
        <v>0</v>
      </c>
      <c r="K6" s="32">
        <f t="shared" ref="K6:K35" ca="1" si="2">IF(LEN($A6)&gt;1,SUM($F6,-$J6),"")</f>
        <v>1500000</v>
      </c>
      <c r="L6" s="32" cm="1">
        <f t="array" aca="1" ref="L6" ca="1">IF(LEN($A6)&gt;1,SUMIFS(AssetPLoss,AssetCat,$A6),"")</f>
        <v>0</v>
      </c>
      <c r="M6" s="32" cm="1">
        <f t="array" aca="1" ref="M6" ca="1">IF(LEN($A6)&gt;1,SUMIFS(AssetMDep,AssetCat,$A6),"")</f>
        <v>0</v>
      </c>
    </row>
    <row r="7" spans="1:13" ht="16" customHeight="1" x14ac:dyDescent="0.25">
      <c r="A7" s="4" t="str" cm="1">
        <f t="array" aca="1" ref="A7" ca="1">IF(ROW($B7)-ROW($B$5)&gt;CatCount,"",OFFSET('Set-up'!$A$26,ROW($B7)-ROW($B$5),0,1,1))</f>
        <v>PPM01</v>
      </c>
      <c r="B7" s="4" t="str">
        <f t="shared" ca="1" si="0"/>
        <v>Main Production Plant</v>
      </c>
      <c r="C7" s="32" cm="1">
        <f t="array" aca="1" ref="C7" ca="1">IF(LEN($A7)&gt;1,SUMIFS(AssetCOB,AssetCat,$A7),"")</f>
        <v>5184750</v>
      </c>
      <c r="D7" s="32" cm="1">
        <f t="array" aca="1" ref="D7" ca="1">IF(LEN($A7)&gt;1,SUMIFS(AssetCAdd,AssetCat,$A7),"")</f>
        <v>68420</v>
      </c>
      <c r="E7" s="32" cm="1">
        <f t="array" aca="1" ref="E7" ca="1">IF(LEN($A7)&gt;1,SUMIFS(AssetCDis,AssetCat,$A7),"")</f>
        <v>-660450</v>
      </c>
      <c r="F7" s="32">
        <f t="shared" ca="1" si="1"/>
        <v>4592720</v>
      </c>
      <c r="G7" s="32" cm="1">
        <f t="array" aca="1" ref="G7" ca="1">IF(LEN($A7)&gt;1,SUMIFS(AssetDOB,AssetCat,$A7),"")</f>
        <v>4804100</v>
      </c>
      <c r="H7" s="32" cm="1">
        <f t="array" aca="1" ref="H7" ca="1">IF(LEN($A7)&gt;1,SUMIFS(AssetDDep,AssetCat,$A7),"")</f>
        <v>361048.99999999988</v>
      </c>
      <c r="I7" s="32" cm="1">
        <f t="array" aca="1" ref="I7" ca="1">IF(LEN($A7)&gt;1,SUMIFS(AssetDDis,AssetCat,$A7),"")</f>
        <v>-660450</v>
      </c>
      <c r="J7" s="32">
        <f t="shared" ref="J7:J35" ca="1" si="3">IF(LEN($A7)&gt;1,SUM($G7,$H7,$I7),"")</f>
        <v>4504699</v>
      </c>
      <c r="K7" s="32">
        <f t="shared" ca="1" si="2"/>
        <v>88021</v>
      </c>
      <c r="L7" s="32" cm="1">
        <f t="array" aca="1" ref="L7" ca="1">IF(LEN($A7)&gt;1,SUMIFS(AssetPLoss,AssetCat,$A7),"")</f>
        <v>150000</v>
      </c>
      <c r="M7" s="32" cm="1">
        <f t="array" aca="1" ref="M7" ca="1">IF(LEN($A7)&gt;1,SUMIFS(AssetMDep,AssetCat,$A7),"")</f>
        <v>2681.9999999999964</v>
      </c>
    </row>
    <row r="8" spans="1:13" ht="16" customHeight="1" x14ac:dyDescent="0.25">
      <c r="A8" s="4" t="str" cm="1">
        <f t="array" aca="1" ref="A8" ca="1">IF(ROW($B8)-ROW($B$5)&gt;CatCount,"",OFFSET('Set-up'!$A$26,ROW($B8)-ROW($B$5),0,1,1))</f>
        <v>PPS02</v>
      </c>
      <c r="B8" s="4" t="str">
        <f t="shared" ca="1" si="0"/>
        <v>Secondary Plant</v>
      </c>
      <c r="C8" s="32" cm="1">
        <f t="array" aca="1" ref="C8" ca="1">IF(LEN($A8)&gt;1,SUMIFS(AssetCOB,AssetCat,$A8),"")</f>
        <v>0</v>
      </c>
      <c r="D8" s="32" cm="1">
        <f t="array" aca="1" ref="D8" ca="1">IF(LEN($A8)&gt;1,SUMIFS(AssetCAdd,AssetCat,$A8),"")</f>
        <v>0</v>
      </c>
      <c r="E8" s="32" cm="1">
        <f t="array" aca="1" ref="E8" ca="1">IF(LEN($A8)&gt;1,SUMIFS(AssetCDis,AssetCat,$A8),"")</f>
        <v>0</v>
      </c>
      <c r="F8" s="32">
        <f t="shared" ca="1" si="1"/>
        <v>0</v>
      </c>
      <c r="G8" s="32" cm="1">
        <f t="array" aca="1" ref="G8" ca="1">IF(LEN($A8)&gt;1,SUMIFS(AssetDOB,AssetCat,$A8),"")</f>
        <v>0</v>
      </c>
      <c r="H8" s="32" cm="1">
        <f t="array" aca="1" ref="H8" ca="1">IF(LEN($A8)&gt;1,SUMIFS(AssetDDep,AssetCat,$A8),"")</f>
        <v>0</v>
      </c>
      <c r="I8" s="32" cm="1">
        <f t="array" aca="1" ref="I8" ca="1">IF(LEN($A8)&gt;1,SUMIFS(AssetDDis,AssetCat,$A8),"")</f>
        <v>0</v>
      </c>
      <c r="J8" s="32">
        <f t="shared" ca="1" si="3"/>
        <v>0</v>
      </c>
      <c r="K8" s="32">
        <f t="shared" ca="1" si="2"/>
        <v>0</v>
      </c>
      <c r="L8" s="32" cm="1">
        <f t="array" aca="1" ref="L8" ca="1">IF(LEN($A8)&gt;1,SUMIFS(AssetPLoss,AssetCat,$A8),"")</f>
        <v>0</v>
      </c>
      <c r="M8" s="32" cm="1">
        <f t="array" aca="1" ref="M8" ca="1">IF(LEN($A8)&gt;1,SUMIFS(AssetMDep,AssetCat,$A8),"")</f>
        <v>0</v>
      </c>
    </row>
    <row r="9" spans="1:13" ht="16" customHeight="1" x14ac:dyDescent="0.25">
      <c r="A9" s="4" t="str" cm="1">
        <f t="array" aca="1" ref="A9" ca="1">IF(ROW($B9)-ROW($B$5)&gt;CatCount,"",OFFSET('Set-up'!$A$26,ROW($B9)-ROW($B$5),0,1,1))</f>
        <v>EQP01</v>
      </c>
      <c r="B9" s="4" t="str">
        <f t="shared" ca="1" si="0"/>
        <v>Primary Equipment</v>
      </c>
      <c r="C9" s="32" cm="1">
        <f t="array" aca="1" ref="C9" ca="1">IF(LEN($A9)&gt;1,SUMIFS(AssetCOB,AssetCat,$A9),"")</f>
        <v>361570</v>
      </c>
      <c r="D9" s="32" cm="1">
        <f t="array" aca="1" ref="D9" ca="1">IF(LEN($A9)&gt;1,SUMIFS(AssetCAdd,AssetCat,$A9),"")</f>
        <v>18999</v>
      </c>
      <c r="E9" s="32" cm="1">
        <f t="array" aca="1" ref="E9" ca="1">IF(LEN($A9)&gt;1,SUMIFS(AssetCDis,AssetCat,$A9),"")</f>
        <v>0</v>
      </c>
      <c r="F9" s="32">
        <f t="shared" ca="1" si="1"/>
        <v>380569</v>
      </c>
      <c r="G9" s="32" cm="1">
        <f t="array" aca="1" ref="G9" ca="1">IF(LEN($A9)&gt;1,SUMIFS(AssetDOB,AssetCat,$A9),"")</f>
        <v>283097.83333333337</v>
      </c>
      <c r="H9" s="32" cm="1">
        <f t="array" aca="1" ref="H9" ca="1">IF(LEN($A9)&gt;1,SUMIFS(AssetDDep,AssetCat,$A9),"")</f>
        <v>38773.283333333326</v>
      </c>
      <c r="I9" s="32" cm="1">
        <f t="array" aca="1" ref="I9" ca="1">IF(LEN($A9)&gt;1,SUMIFS(AssetDDis,AssetCat,$A9),"")</f>
        <v>0</v>
      </c>
      <c r="J9" s="32">
        <f t="shared" ca="1" si="3"/>
        <v>321871.1166666667</v>
      </c>
      <c r="K9" s="32">
        <f t="shared" ca="1" si="2"/>
        <v>58697.883333333302</v>
      </c>
      <c r="L9" s="32" cm="1">
        <f t="array" aca="1" ref="L9" ca="1">IF(LEN($A9)&gt;1,SUMIFS(AssetPLoss,AssetCat,$A9),"")</f>
        <v>0</v>
      </c>
      <c r="M9" s="32" cm="1">
        <f t="array" aca="1" ref="M9" ca="1">IF(LEN($A9)&gt;1,SUMIFS(AssetMDep,AssetCat,$A9),"")</f>
        <v>2031.4833333333295</v>
      </c>
    </row>
    <row r="10" spans="1:13" ht="16" customHeight="1" x14ac:dyDescent="0.25">
      <c r="A10" s="4" t="str" cm="1">
        <f t="array" aca="1" ref="A10" ca="1">IF(ROW($B10)-ROW($B$5)&gt;CatCount,"",OFFSET('Set-up'!$A$26,ROW($B10)-ROW($B$5),0,1,1))</f>
        <v>EQS01</v>
      </c>
      <c r="B10" s="4" t="str">
        <f t="shared" ca="1" si="0"/>
        <v>Secondary Equipment</v>
      </c>
      <c r="C10" s="32" cm="1">
        <f t="array" aca="1" ref="C10" ca="1">IF(LEN($A10)&gt;1,SUMIFS(AssetCOB,AssetCat,$A10),"")</f>
        <v>0</v>
      </c>
      <c r="D10" s="32" cm="1">
        <f t="array" aca="1" ref="D10" ca="1">IF(LEN($A10)&gt;1,SUMIFS(AssetCAdd,AssetCat,$A10),"")</f>
        <v>0</v>
      </c>
      <c r="E10" s="32" cm="1">
        <f t="array" aca="1" ref="E10" ca="1">IF(LEN($A10)&gt;1,SUMIFS(AssetCDis,AssetCat,$A10),"")</f>
        <v>0</v>
      </c>
      <c r="F10" s="32">
        <f t="shared" ca="1" si="1"/>
        <v>0</v>
      </c>
      <c r="G10" s="32" cm="1">
        <f t="array" aca="1" ref="G10" ca="1">IF(LEN($A10)&gt;1,SUMIFS(AssetDOB,AssetCat,$A10),"")</f>
        <v>0</v>
      </c>
      <c r="H10" s="32" cm="1">
        <f t="array" aca="1" ref="H10" ca="1">IF(LEN($A10)&gt;1,SUMIFS(AssetDDep,AssetCat,$A10),"")</f>
        <v>0</v>
      </c>
      <c r="I10" s="32" cm="1">
        <f t="array" aca="1" ref="I10" ca="1">IF(LEN($A10)&gt;1,SUMIFS(AssetDDis,AssetCat,$A10),"")</f>
        <v>0</v>
      </c>
      <c r="J10" s="32">
        <f t="shared" ca="1" si="3"/>
        <v>0</v>
      </c>
      <c r="K10" s="32">
        <f t="shared" ca="1" si="2"/>
        <v>0</v>
      </c>
      <c r="L10" s="32" cm="1">
        <f t="array" aca="1" ref="L10" ca="1">IF(LEN($A10)&gt;1,SUMIFS(AssetPLoss,AssetCat,$A10),"")</f>
        <v>0</v>
      </c>
      <c r="M10" s="32" cm="1">
        <f t="array" aca="1" ref="M10" ca="1">IF(LEN($A10)&gt;1,SUMIFS(AssetMDep,AssetCat,$A10),"")</f>
        <v>0</v>
      </c>
    </row>
    <row r="11" spans="1:13" ht="16" customHeight="1" x14ac:dyDescent="0.25">
      <c r="A11" s="4" t="str" cm="1">
        <f t="array" aca="1" ref="A11" ca="1">IF(ROW($B11)-ROW($B$5)&gt;CatCount,"",OFFSET('Set-up'!$A$26,ROW($B11)-ROW($B$5),0,1,1))</f>
        <v>SMA01</v>
      </c>
      <c r="B11" s="4" t="str">
        <f t="shared" ca="1" si="0"/>
        <v>Small Assets</v>
      </c>
      <c r="C11" s="32" cm="1">
        <f t="array" aca="1" ref="C11" ca="1">IF(LEN($A11)&gt;1,SUMIFS(AssetCOB,AssetCat,$A11),"")</f>
        <v>0</v>
      </c>
      <c r="D11" s="32" cm="1">
        <f t="array" aca="1" ref="D11" ca="1">IF(LEN($A11)&gt;1,SUMIFS(AssetCAdd,AssetCat,$A11),"")</f>
        <v>0</v>
      </c>
      <c r="E11" s="32" cm="1">
        <f t="array" aca="1" ref="E11" ca="1">IF(LEN($A11)&gt;1,SUMIFS(AssetCDis,AssetCat,$A11),"")</f>
        <v>0</v>
      </c>
      <c r="F11" s="32">
        <f t="shared" ca="1" si="1"/>
        <v>0</v>
      </c>
      <c r="G11" s="32" cm="1">
        <f t="array" aca="1" ref="G11" ca="1">IF(LEN($A11)&gt;1,SUMIFS(AssetDOB,AssetCat,$A11),"")</f>
        <v>0</v>
      </c>
      <c r="H11" s="32" cm="1">
        <f t="array" aca="1" ref="H11" ca="1">IF(LEN($A11)&gt;1,SUMIFS(AssetDDep,AssetCat,$A11),"")</f>
        <v>0</v>
      </c>
      <c r="I11" s="32" cm="1">
        <f t="array" aca="1" ref="I11" ca="1">IF(LEN($A11)&gt;1,SUMIFS(AssetDDis,AssetCat,$A11),"")</f>
        <v>0</v>
      </c>
      <c r="J11" s="32">
        <f t="shared" ca="1" si="3"/>
        <v>0</v>
      </c>
      <c r="K11" s="32">
        <f t="shared" ca="1" si="2"/>
        <v>0</v>
      </c>
      <c r="L11" s="32" cm="1">
        <f t="array" aca="1" ref="L11" ca="1">IF(LEN($A11)&gt;1,SUMIFS(AssetPLoss,AssetCat,$A11),"")</f>
        <v>0</v>
      </c>
      <c r="M11" s="32" cm="1">
        <f t="array" aca="1" ref="M11" ca="1">IF(LEN($A11)&gt;1,SUMIFS(AssetMDep,AssetCat,$A11),"")</f>
        <v>0</v>
      </c>
    </row>
    <row r="12" spans="1:13" ht="16" customHeight="1" x14ac:dyDescent="0.25">
      <c r="A12" s="4" t="str" cm="1">
        <f t="array" aca="1" ref="A12" ca="1">IF(ROW($B12)-ROW($B$5)&gt;CatCount,"",OFFSET('Set-up'!$A$26,ROW($B12)-ROW($B$5),0,1,1))</f>
        <v>CHW01</v>
      </c>
      <c r="B12" s="4" t="str">
        <f t="shared" ca="1" si="0"/>
        <v>Computer Hardware</v>
      </c>
      <c r="C12" s="32" cm="1">
        <f t="array" aca="1" ref="C12" ca="1">IF(LEN($A12)&gt;1,SUMIFS(AssetCOB,AssetCat,$A12),"")</f>
        <v>16900</v>
      </c>
      <c r="D12" s="32" cm="1">
        <f t="array" aca="1" ref="D12" ca="1">IF(LEN($A12)&gt;1,SUMIFS(AssetCAdd,AssetCat,$A12),"")</f>
        <v>0</v>
      </c>
      <c r="E12" s="32" cm="1">
        <f t="array" aca="1" ref="E12" ca="1">IF(LEN($A12)&gt;1,SUMIFS(AssetCDis,AssetCat,$A12),"")</f>
        <v>0</v>
      </c>
      <c r="F12" s="32">
        <f t="shared" ca="1" si="1"/>
        <v>16900</v>
      </c>
      <c r="G12" s="32" cm="1">
        <f t="array" aca="1" ref="G12" ca="1">IF(LEN($A12)&gt;1,SUMIFS(AssetDOB,AssetCat,$A12),"")</f>
        <v>16900</v>
      </c>
      <c r="H12" s="32" cm="1">
        <f t="array" aca="1" ref="H12" ca="1">IF(LEN($A12)&gt;1,SUMIFS(AssetDDep,AssetCat,$A12),"")</f>
        <v>0</v>
      </c>
      <c r="I12" s="32" cm="1">
        <f t="array" aca="1" ref="I12" ca="1">IF(LEN($A12)&gt;1,SUMIFS(AssetDDis,AssetCat,$A12),"")</f>
        <v>0</v>
      </c>
      <c r="J12" s="32">
        <f t="shared" ca="1" si="3"/>
        <v>16900</v>
      </c>
      <c r="K12" s="32">
        <f t="shared" ca="1" si="2"/>
        <v>0</v>
      </c>
      <c r="L12" s="32" cm="1">
        <f t="array" aca="1" ref="L12" ca="1">IF(LEN($A12)&gt;1,SUMIFS(AssetPLoss,AssetCat,$A12),"")</f>
        <v>0</v>
      </c>
      <c r="M12" s="32" cm="1">
        <f t="array" aca="1" ref="M12" ca="1">IF(LEN($A12)&gt;1,SUMIFS(AssetMDep,AssetCat,$A12),"")</f>
        <v>0</v>
      </c>
    </row>
    <row r="13" spans="1:13" ht="16" customHeight="1" x14ac:dyDescent="0.25">
      <c r="A13" s="4" t="str" cm="1">
        <f t="array" aca="1" ref="A13" ca="1">IF(ROW($B13)-ROW($B$5)&gt;CatCount,"",OFFSET('Set-up'!$A$26,ROW($B13)-ROW($B$5),0,1,1))</f>
        <v>CSW01</v>
      </c>
      <c r="B13" s="4" t="str">
        <f t="shared" ca="1" si="0"/>
        <v>Computer Software</v>
      </c>
      <c r="C13" s="32" cm="1">
        <f t="array" aca="1" ref="C13" ca="1">IF(LEN($A13)&gt;1,SUMIFS(AssetCOB,AssetCat,$A13),"")</f>
        <v>12800</v>
      </c>
      <c r="D13" s="32" cm="1">
        <f t="array" aca="1" ref="D13" ca="1">IF(LEN($A13)&gt;1,SUMIFS(AssetCAdd,AssetCat,$A13),"")</f>
        <v>0</v>
      </c>
      <c r="E13" s="32" cm="1">
        <f t="array" aca="1" ref="E13" ca="1">IF(LEN($A13)&gt;1,SUMIFS(AssetCDis,AssetCat,$A13),"")</f>
        <v>0</v>
      </c>
      <c r="F13" s="32">
        <f t="shared" ca="1" si="1"/>
        <v>12800</v>
      </c>
      <c r="G13" s="32" cm="1">
        <f t="array" aca="1" ref="G13" ca="1">IF(LEN($A13)&gt;1,SUMIFS(AssetDOB,AssetCat,$A13),"")</f>
        <v>12800</v>
      </c>
      <c r="H13" s="32" cm="1">
        <f t="array" aca="1" ref="H13" ca="1">IF(LEN($A13)&gt;1,SUMIFS(AssetDDep,AssetCat,$A13),"")</f>
        <v>0</v>
      </c>
      <c r="I13" s="32" cm="1">
        <f t="array" aca="1" ref="I13" ca="1">IF(LEN($A13)&gt;1,SUMIFS(AssetDDis,AssetCat,$A13),"")</f>
        <v>0</v>
      </c>
      <c r="J13" s="32">
        <f t="shared" ca="1" si="3"/>
        <v>12800</v>
      </c>
      <c r="K13" s="32">
        <f t="shared" ca="1" si="2"/>
        <v>0</v>
      </c>
      <c r="L13" s="32" cm="1">
        <f t="array" aca="1" ref="L13" ca="1">IF(LEN($A13)&gt;1,SUMIFS(AssetPLoss,AssetCat,$A13),"")</f>
        <v>0</v>
      </c>
      <c r="M13" s="32" cm="1">
        <f t="array" aca="1" ref="M13" ca="1">IF(LEN($A13)&gt;1,SUMIFS(AssetMDep,AssetCat,$A13),"")</f>
        <v>0</v>
      </c>
    </row>
    <row r="14" spans="1:13" ht="16" customHeight="1" x14ac:dyDescent="0.25">
      <c r="A14" s="4" t="str" cm="1">
        <f t="array" aca="1" ref="A14" ca="1">IF(ROW($B14)-ROW($B$5)&gt;CatCount,"",OFFSET('Set-up'!$A$26,ROW($B14)-ROW($B$5),0,1,1))</f>
        <v>OFE01</v>
      </c>
      <c r="B14" s="4" t="str">
        <f t="shared" ca="1" si="0"/>
        <v>Office Equipment</v>
      </c>
      <c r="C14" s="32" cm="1">
        <f t="array" aca="1" ref="C14" ca="1">IF(LEN($A14)&gt;1,SUMIFS(AssetCOB,AssetCat,$A14),"")</f>
        <v>8550</v>
      </c>
      <c r="D14" s="32" cm="1">
        <f t="array" aca="1" ref="D14" ca="1">IF(LEN($A14)&gt;1,SUMIFS(AssetCAdd,AssetCat,$A14),"")</f>
        <v>0</v>
      </c>
      <c r="E14" s="32" cm="1">
        <f t="array" aca="1" ref="E14" ca="1">IF(LEN($A14)&gt;1,SUMIFS(AssetCDis,AssetCat,$A14),"")</f>
        <v>0</v>
      </c>
      <c r="F14" s="32">
        <f t="shared" ca="1" si="1"/>
        <v>8550</v>
      </c>
      <c r="G14" s="32" cm="1">
        <f t="array" aca="1" ref="G14" ca="1">IF(LEN($A14)&gt;1,SUMIFS(AssetDOB,AssetCat,$A14),"")</f>
        <v>5760.416666666667</v>
      </c>
      <c r="H14" s="32" cm="1">
        <f t="array" aca="1" ref="H14" ca="1">IF(LEN($A14)&gt;1,SUMIFS(AssetDDep,AssetCat,$A14),"")</f>
        <v>1287.5</v>
      </c>
      <c r="I14" s="32" cm="1">
        <f t="array" aca="1" ref="I14" ca="1">IF(LEN($A14)&gt;1,SUMIFS(AssetDDis,AssetCat,$A14),"")</f>
        <v>0</v>
      </c>
      <c r="J14" s="32">
        <f t="shared" ca="1" si="3"/>
        <v>7047.916666666667</v>
      </c>
      <c r="K14" s="32">
        <f t="shared" ca="1" si="2"/>
        <v>1502.083333333333</v>
      </c>
      <c r="L14" s="32" cm="1">
        <f t="array" aca="1" ref="L14" ca="1">IF(LEN($A14)&gt;1,SUMIFS(AssetPLoss,AssetCat,$A14),"")</f>
        <v>0</v>
      </c>
      <c r="M14" s="32" cm="1">
        <f t="array" aca="1" ref="M14" ca="1">IF(LEN($A14)&gt;1,SUMIFS(AssetMDep,AssetCat,$A14),"")</f>
        <v>107.29166666666697</v>
      </c>
    </row>
    <row r="15" spans="1:13" ht="16" customHeight="1" x14ac:dyDescent="0.25">
      <c r="A15" s="4" t="str" cm="1">
        <f t="array" aca="1" ref="A15" ca="1">IF(ROW($B15)-ROW($B$5)&gt;CatCount,"",OFFSET('Set-up'!$A$26,ROW($B15)-ROW($B$5),0,1,1))</f>
        <v>FFX01</v>
      </c>
      <c r="B15" s="4" t="str">
        <f t="shared" ca="1" si="0"/>
        <v>Furniture &amp; Fixtures</v>
      </c>
      <c r="C15" s="32" cm="1">
        <f t="array" aca="1" ref="C15" ca="1">IF(LEN($A15)&gt;1,SUMIFS(AssetCOB,AssetCat,$A15),"")</f>
        <v>21100</v>
      </c>
      <c r="D15" s="32" cm="1">
        <f t="array" aca="1" ref="D15" ca="1">IF(LEN($A15)&gt;1,SUMIFS(AssetCAdd,AssetCat,$A15),"")</f>
        <v>0</v>
      </c>
      <c r="E15" s="32" cm="1">
        <f t="array" aca="1" ref="E15" ca="1">IF(LEN($A15)&gt;1,SUMIFS(AssetCDis,AssetCat,$A15),"")</f>
        <v>0</v>
      </c>
      <c r="F15" s="32">
        <f t="shared" ca="1" si="1"/>
        <v>21100</v>
      </c>
      <c r="G15" s="32" cm="1">
        <f t="array" aca="1" ref="G15" ca="1">IF(LEN($A15)&gt;1,SUMIFS(AssetDOB,AssetCat,$A15),"")</f>
        <v>12055.075445816185</v>
      </c>
      <c r="H15" s="32" cm="1">
        <f t="array" aca="1" ref="H15" ca="1">IF(LEN($A15)&gt;1,SUMIFS(AssetDDep,AssetCat,$A15),"")</f>
        <v>1507.4874256973014</v>
      </c>
      <c r="I15" s="32" cm="1">
        <f t="array" aca="1" ref="I15" ca="1">IF(LEN($A15)&gt;1,SUMIFS(AssetDDis,AssetCat,$A15),"")</f>
        <v>0</v>
      </c>
      <c r="J15" s="32">
        <f t="shared" ca="1" si="3"/>
        <v>13562.562871513486</v>
      </c>
      <c r="K15" s="32">
        <f t="shared" ca="1" si="2"/>
        <v>7537.4371284865138</v>
      </c>
      <c r="L15" s="32" cm="1">
        <f t="array" aca="1" ref="L15" ca="1">IF(LEN($A15)&gt;1,SUMIFS(AssetPLoss,AssetCat,$A15),"")</f>
        <v>0</v>
      </c>
      <c r="M15" s="32" cm="1">
        <f t="array" aca="1" ref="M15" ca="1">IF(LEN($A15)&gt;1,SUMIFS(AssetMDep,AssetCat,$A15),"")</f>
        <v>117.77245513260175</v>
      </c>
    </row>
    <row r="16" spans="1:13" ht="16" customHeight="1" x14ac:dyDescent="0.25">
      <c r="A16" s="4" t="str" cm="1">
        <f t="array" aca="1" ref="A16" ca="1">IF(ROW($B16)-ROW($B$5)&gt;CatCount,"",OFFSET('Set-up'!$A$26,ROW($B16)-ROW($B$5),0,1,1))</f>
        <v>MVH01</v>
      </c>
      <c r="B16" s="4" t="str">
        <f t="shared" ca="1" si="0"/>
        <v>Motor Vehicles</v>
      </c>
      <c r="C16" s="32" cm="1">
        <f t="array" aca="1" ref="C16" ca="1">IF(LEN($A16)&gt;1,SUMIFS(AssetCOB,AssetCat,$A16),"")</f>
        <v>0</v>
      </c>
      <c r="D16" s="32" cm="1">
        <f t="array" aca="1" ref="D16" ca="1">IF(LEN($A16)&gt;1,SUMIFS(AssetCAdd,AssetCat,$A16),"")</f>
        <v>288500</v>
      </c>
      <c r="E16" s="32" cm="1">
        <f t="array" aca="1" ref="E16" ca="1">IF(LEN($A16)&gt;1,SUMIFS(AssetCDis,AssetCat,$A16),"")</f>
        <v>0</v>
      </c>
      <c r="F16" s="32">
        <f t="shared" ca="1" si="1"/>
        <v>288500</v>
      </c>
      <c r="G16" s="32" cm="1">
        <f t="array" aca="1" ref="G16" ca="1">IF(LEN($A16)&gt;1,SUMIFS(AssetDOB,AssetCat,$A16),"")</f>
        <v>0</v>
      </c>
      <c r="H16" s="32" cm="1">
        <f t="array" aca="1" ref="H16" ca="1">IF(LEN($A16)&gt;1,SUMIFS(AssetDDep,AssetCat,$A16),"")</f>
        <v>79949.999999999985</v>
      </c>
      <c r="I16" s="32" cm="1">
        <f t="array" aca="1" ref="I16" ca="1">IF(LEN($A16)&gt;1,SUMIFS(AssetDDis,AssetCat,$A16),"")</f>
        <v>0</v>
      </c>
      <c r="J16" s="32">
        <f t="shared" ca="1" si="3"/>
        <v>79949.999999999985</v>
      </c>
      <c r="K16" s="32">
        <f t="shared" ca="1" si="2"/>
        <v>208550</v>
      </c>
      <c r="L16" s="32" cm="1">
        <f t="array" aca="1" ref="L16" ca="1">IF(LEN($A16)&gt;1,SUMIFS(AssetPLoss,AssetCat,$A16),"")</f>
        <v>0</v>
      </c>
      <c r="M16" s="32" cm="1">
        <f t="array" aca="1" ref="M16" ca="1">IF(LEN($A16)&gt;1,SUMIFS(AssetMDep,AssetCat,$A16),"")</f>
        <v>8883.3333333333285</v>
      </c>
    </row>
    <row r="17" spans="1:13" ht="16" customHeight="1" x14ac:dyDescent="0.25">
      <c r="A17" s="4" t="str" cm="1">
        <f t="array" aca="1" ref="A17" ca="1">IF(ROW($B17)-ROW($B$5)&gt;CatCount,"",OFFSET('Set-up'!$A$26,ROW($B17)-ROW($B$5),0,1,1))</f>
        <v/>
      </c>
      <c r="B17" s="4" t="str">
        <f t="shared" ca="1" si="0"/>
        <v/>
      </c>
      <c r="C17" s="32" t="str" cm="1">
        <f t="array" aca="1" ref="C17" ca="1">IF(LEN($A17)&gt;1,SUMIFS(AssetCOB,AssetCat,$A17),"")</f>
        <v/>
      </c>
      <c r="D17" s="32" t="str" cm="1">
        <f t="array" aca="1" ref="D17" ca="1">IF(LEN($A17)&gt;1,SUMIFS(AssetCAdd,AssetCat,$A17),"")</f>
        <v/>
      </c>
      <c r="E17" s="32" t="str" cm="1">
        <f t="array" aca="1" ref="E17" ca="1">IF(LEN($A17)&gt;1,SUMIFS(AssetCDis,AssetCat,$A17),"")</f>
        <v/>
      </c>
      <c r="F17" s="32" t="str">
        <f t="shared" ca="1" si="1"/>
        <v/>
      </c>
      <c r="G17" s="32" t="str" cm="1">
        <f t="array" aca="1" ref="G17" ca="1">IF(LEN($A17)&gt;1,SUMIFS(AssetDOB,AssetCat,$A17),"")</f>
        <v/>
      </c>
      <c r="H17" s="32" t="str" cm="1">
        <f t="array" aca="1" ref="H17" ca="1">IF(LEN($A17)&gt;1,SUMIFS(AssetDDep,AssetCat,$A17),"")</f>
        <v/>
      </c>
      <c r="I17" s="32" t="str" cm="1">
        <f t="array" aca="1" ref="I17" ca="1">IF(LEN($A17)&gt;1,SUMIFS(AssetDDis,AssetCat,$A17),"")</f>
        <v/>
      </c>
      <c r="J17" s="32" t="str">
        <f t="shared" ca="1" si="3"/>
        <v/>
      </c>
      <c r="K17" s="32" t="str">
        <f t="shared" ca="1" si="2"/>
        <v/>
      </c>
      <c r="L17" s="32" t="str" cm="1">
        <f t="array" aca="1" ref="L17" ca="1">IF(LEN($A17)&gt;1,SUMIFS(AssetPLoss,AssetCat,$A17),"")</f>
        <v/>
      </c>
      <c r="M17" s="32" t="str" cm="1">
        <f t="array" aca="1" ref="M17" ca="1">IF(LEN($A17)&gt;1,SUMIFS(AssetMDep,AssetCat,$A17),"")</f>
        <v/>
      </c>
    </row>
    <row r="18" spans="1:13" ht="16" customHeight="1" x14ac:dyDescent="0.25">
      <c r="A18" s="4" t="str" cm="1">
        <f t="array" aca="1" ref="A18" ca="1">IF(ROW($B18)-ROW($B$5)&gt;CatCount,"",OFFSET('Set-up'!$A$26,ROW($B18)-ROW($B$5),0,1,1))</f>
        <v/>
      </c>
      <c r="B18" s="4" t="str">
        <f t="shared" ca="1" si="0"/>
        <v/>
      </c>
      <c r="C18" s="32" t="str" cm="1">
        <f t="array" aca="1" ref="C18" ca="1">IF(LEN($A18)&gt;1,SUMIFS(AssetCOB,AssetCat,$A18),"")</f>
        <v/>
      </c>
      <c r="D18" s="32" t="str" cm="1">
        <f t="array" aca="1" ref="D18" ca="1">IF(LEN($A18)&gt;1,SUMIFS(AssetCAdd,AssetCat,$A18),"")</f>
        <v/>
      </c>
      <c r="E18" s="32" t="str" cm="1">
        <f t="array" aca="1" ref="E18" ca="1">IF(LEN($A18)&gt;1,SUMIFS(AssetCDis,AssetCat,$A18),"")</f>
        <v/>
      </c>
      <c r="F18" s="32" t="str">
        <f t="shared" ca="1" si="1"/>
        <v/>
      </c>
      <c r="G18" s="32" t="str" cm="1">
        <f t="array" aca="1" ref="G18" ca="1">IF(LEN($A18)&gt;1,SUMIFS(AssetDOB,AssetCat,$A18),"")</f>
        <v/>
      </c>
      <c r="H18" s="32" t="str" cm="1">
        <f t="array" aca="1" ref="H18" ca="1">IF(LEN($A18)&gt;1,SUMIFS(AssetDDep,AssetCat,$A18),"")</f>
        <v/>
      </c>
      <c r="I18" s="32" t="str" cm="1">
        <f t="array" aca="1" ref="I18" ca="1">IF(LEN($A18)&gt;1,SUMIFS(AssetDDis,AssetCat,$A18),"")</f>
        <v/>
      </c>
      <c r="J18" s="32" t="str">
        <f t="shared" ca="1" si="3"/>
        <v/>
      </c>
      <c r="K18" s="32" t="str">
        <f t="shared" ca="1" si="2"/>
        <v/>
      </c>
      <c r="L18" s="32" t="str" cm="1">
        <f t="array" aca="1" ref="L18" ca="1">IF(LEN($A18)&gt;1,SUMIFS(AssetPLoss,AssetCat,$A18),"")</f>
        <v/>
      </c>
      <c r="M18" s="32" t="str" cm="1">
        <f t="array" aca="1" ref="M18" ca="1">IF(LEN($A18)&gt;1,SUMIFS(AssetMDep,AssetCat,$A18),"")</f>
        <v/>
      </c>
    </row>
    <row r="19" spans="1:13" ht="16" customHeight="1" x14ac:dyDescent="0.25">
      <c r="A19" s="4" t="str" cm="1">
        <f t="array" aca="1" ref="A19" ca="1">IF(ROW($B19)-ROW($B$5)&gt;CatCount,"",OFFSET('Set-up'!$A$26,ROW($B19)-ROW($B$5),0,1,1))</f>
        <v/>
      </c>
      <c r="B19" s="4" t="str">
        <f t="shared" ca="1" si="0"/>
        <v/>
      </c>
      <c r="C19" s="32" t="str" cm="1">
        <f t="array" aca="1" ref="C19" ca="1">IF(LEN($A19)&gt;1,SUMIFS(AssetCOB,AssetCat,$A19),"")</f>
        <v/>
      </c>
      <c r="D19" s="32" t="str" cm="1">
        <f t="array" aca="1" ref="D19" ca="1">IF(LEN($A19)&gt;1,SUMIFS(AssetCAdd,AssetCat,$A19),"")</f>
        <v/>
      </c>
      <c r="E19" s="32" t="str" cm="1">
        <f t="array" aca="1" ref="E19" ca="1">IF(LEN($A19)&gt;1,SUMIFS(AssetCDis,AssetCat,$A19),"")</f>
        <v/>
      </c>
      <c r="F19" s="32" t="str">
        <f t="shared" ca="1" si="1"/>
        <v/>
      </c>
      <c r="G19" s="32" t="str" cm="1">
        <f t="array" aca="1" ref="G19" ca="1">IF(LEN($A19)&gt;1,SUMIFS(AssetDOB,AssetCat,$A19),"")</f>
        <v/>
      </c>
      <c r="H19" s="32" t="str" cm="1">
        <f t="array" aca="1" ref="H19" ca="1">IF(LEN($A19)&gt;1,SUMIFS(AssetDDep,AssetCat,$A19),"")</f>
        <v/>
      </c>
      <c r="I19" s="32" t="str" cm="1">
        <f t="array" aca="1" ref="I19" ca="1">IF(LEN($A19)&gt;1,SUMIFS(AssetDDis,AssetCat,$A19),"")</f>
        <v/>
      </c>
      <c r="J19" s="32" t="str">
        <f t="shared" ca="1" si="3"/>
        <v/>
      </c>
      <c r="K19" s="32" t="str">
        <f t="shared" ca="1" si="2"/>
        <v/>
      </c>
      <c r="L19" s="32" t="str" cm="1">
        <f t="array" aca="1" ref="L19" ca="1">IF(LEN($A19)&gt;1,SUMIFS(AssetPLoss,AssetCat,$A19),"")</f>
        <v/>
      </c>
      <c r="M19" s="32" t="str" cm="1">
        <f t="array" aca="1" ref="M19" ca="1">IF(LEN($A19)&gt;1,SUMIFS(AssetMDep,AssetCat,$A19),"")</f>
        <v/>
      </c>
    </row>
    <row r="20" spans="1:13" ht="16" customHeight="1" x14ac:dyDescent="0.25">
      <c r="A20" s="4" t="str" cm="1">
        <f t="array" aca="1" ref="A20" ca="1">IF(ROW($B20)-ROW($B$5)&gt;CatCount,"",OFFSET('Set-up'!$A$26,ROW($B20)-ROW($B$5),0,1,1))</f>
        <v/>
      </c>
      <c r="B20" s="4" t="str">
        <f t="shared" ca="1" si="0"/>
        <v/>
      </c>
      <c r="C20" s="32" t="str" cm="1">
        <f t="array" aca="1" ref="C20" ca="1">IF(LEN($A20)&gt;1,SUMIFS(AssetCOB,AssetCat,$A20),"")</f>
        <v/>
      </c>
      <c r="D20" s="32" t="str" cm="1">
        <f t="array" aca="1" ref="D20" ca="1">IF(LEN($A20)&gt;1,SUMIFS(AssetCAdd,AssetCat,$A20),"")</f>
        <v/>
      </c>
      <c r="E20" s="32" t="str" cm="1">
        <f t="array" aca="1" ref="E20" ca="1">IF(LEN($A20)&gt;1,SUMIFS(AssetCDis,AssetCat,$A20),"")</f>
        <v/>
      </c>
      <c r="F20" s="32" t="str">
        <f t="shared" ca="1" si="1"/>
        <v/>
      </c>
      <c r="G20" s="32" t="str" cm="1">
        <f t="array" aca="1" ref="G20" ca="1">IF(LEN($A20)&gt;1,SUMIFS(AssetDOB,AssetCat,$A20),"")</f>
        <v/>
      </c>
      <c r="H20" s="32" t="str" cm="1">
        <f t="array" aca="1" ref="H20" ca="1">IF(LEN($A20)&gt;1,SUMIFS(AssetDDep,AssetCat,$A20),"")</f>
        <v/>
      </c>
      <c r="I20" s="32" t="str" cm="1">
        <f t="array" aca="1" ref="I20" ca="1">IF(LEN($A20)&gt;1,SUMIFS(AssetDDis,AssetCat,$A20),"")</f>
        <v/>
      </c>
      <c r="J20" s="32" t="str">
        <f t="shared" ca="1" si="3"/>
        <v/>
      </c>
      <c r="K20" s="32" t="str">
        <f t="shared" ca="1" si="2"/>
        <v/>
      </c>
      <c r="L20" s="32" t="str" cm="1">
        <f t="array" aca="1" ref="L20" ca="1">IF(LEN($A20)&gt;1,SUMIFS(AssetPLoss,AssetCat,$A20),"")</f>
        <v/>
      </c>
      <c r="M20" s="32" t="str" cm="1">
        <f t="array" aca="1" ref="M20" ca="1">IF(LEN($A20)&gt;1,SUMIFS(AssetMDep,AssetCat,$A20),"")</f>
        <v/>
      </c>
    </row>
    <row r="21" spans="1:13" ht="16" customHeight="1" x14ac:dyDescent="0.25">
      <c r="A21" s="4" t="str" cm="1">
        <f t="array" aca="1" ref="A21" ca="1">IF(ROW($B21)-ROW($B$5)&gt;CatCount,"",OFFSET('Set-up'!$A$26,ROW($B21)-ROW($B$5),0,1,1))</f>
        <v/>
      </c>
      <c r="B21" s="4" t="str">
        <f t="shared" ca="1" si="0"/>
        <v/>
      </c>
      <c r="C21" s="32" t="str" cm="1">
        <f t="array" aca="1" ref="C21" ca="1">IF(LEN($A21)&gt;1,SUMIFS(AssetCOB,AssetCat,$A21),"")</f>
        <v/>
      </c>
      <c r="D21" s="32" t="str" cm="1">
        <f t="array" aca="1" ref="D21" ca="1">IF(LEN($A21)&gt;1,SUMIFS(AssetCAdd,AssetCat,$A21),"")</f>
        <v/>
      </c>
      <c r="E21" s="32" t="str" cm="1">
        <f t="array" aca="1" ref="E21" ca="1">IF(LEN($A21)&gt;1,SUMIFS(AssetCDis,AssetCat,$A21),"")</f>
        <v/>
      </c>
      <c r="F21" s="32" t="str">
        <f t="shared" ca="1" si="1"/>
        <v/>
      </c>
      <c r="G21" s="32" t="str" cm="1">
        <f t="array" aca="1" ref="G21" ca="1">IF(LEN($A21)&gt;1,SUMIFS(AssetDOB,AssetCat,$A21),"")</f>
        <v/>
      </c>
      <c r="H21" s="32" t="str" cm="1">
        <f t="array" aca="1" ref="H21" ca="1">IF(LEN($A21)&gt;1,SUMIFS(AssetDDep,AssetCat,$A21),"")</f>
        <v/>
      </c>
      <c r="I21" s="32" t="str" cm="1">
        <f t="array" aca="1" ref="I21" ca="1">IF(LEN($A21)&gt;1,SUMIFS(AssetDDis,AssetCat,$A21),"")</f>
        <v/>
      </c>
      <c r="J21" s="32" t="str">
        <f t="shared" ca="1" si="3"/>
        <v/>
      </c>
      <c r="K21" s="32" t="str">
        <f t="shared" ca="1" si="2"/>
        <v/>
      </c>
      <c r="L21" s="32" t="str" cm="1">
        <f t="array" aca="1" ref="L21" ca="1">IF(LEN($A21)&gt;1,SUMIFS(AssetPLoss,AssetCat,$A21),"")</f>
        <v/>
      </c>
      <c r="M21" s="32" t="str" cm="1">
        <f t="array" aca="1" ref="M21" ca="1">IF(LEN($A21)&gt;1,SUMIFS(AssetMDep,AssetCat,$A21),"")</f>
        <v/>
      </c>
    </row>
    <row r="22" spans="1:13" ht="16" customHeight="1" x14ac:dyDescent="0.25">
      <c r="A22" s="4" t="str" cm="1">
        <f t="array" aca="1" ref="A22" ca="1">IF(ROW($B22)-ROW($B$5)&gt;CatCount,"",OFFSET('Set-up'!$A$26,ROW($B22)-ROW($B$5),0,1,1))</f>
        <v/>
      </c>
      <c r="B22" s="4" t="str">
        <f t="shared" ca="1" si="0"/>
        <v/>
      </c>
      <c r="C22" s="32" t="str" cm="1">
        <f t="array" aca="1" ref="C22" ca="1">IF(LEN($A22)&gt;1,SUMIFS(AssetCOB,AssetCat,$A22),"")</f>
        <v/>
      </c>
      <c r="D22" s="32" t="str" cm="1">
        <f t="array" aca="1" ref="D22" ca="1">IF(LEN($A22)&gt;1,SUMIFS(AssetCAdd,AssetCat,$A22),"")</f>
        <v/>
      </c>
      <c r="E22" s="32" t="str" cm="1">
        <f t="array" aca="1" ref="E22" ca="1">IF(LEN($A22)&gt;1,SUMIFS(AssetCDis,AssetCat,$A22),"")</f>
        <v/>
      </c>
      <c r="F22" s="32" t="str">
        <f t="shared" ca="1" si="1"/>
        <v/>
      </c>
      <c r="G22" s="32" t="str" cm="1">
        <f t="array" aca="1" ref="G22" ca="1">IF(LEN($A22)&gt;1,SUMIFS(AssetDOB,AssetCat,$A22),"")</f>
        <v/>
      </c>
      <c r="H22" s="32" t="str" cm="1">
        <f t="array" aca="1" ref="H22" ca="1">IF(LEN($A22)&gt;1,SUMIFS(AssetDDep,AssetCat,$A22),"")</f>
        <v/>
      </c>
      <c r="I22" s="32" t="str" cm="1">
        <f t="array" aca="1" ref="I22" ca="1">IF(LEN($A22)&gt;1,SUMIFS(AssetDDis,AssetCat,$A22),"")</f>
        <v/>
      </c>
      <c r="J22" s="32" t="str">
        <f t="shared" ca="1" si="3"/>
        <v/>
      </c>
      <c r="K22" s="32" t="str">
        <f t="shared" ca="1" si="2"/>
        <v/>
      </c>
      <c r="L22" s="32" t="str" cm="1">
        <f t="array" aca="1" ref="L22" ca="1">IF(LEN($A22)&gt;1,SUMIFS(AssetPLoss,AssetCat,$A22),"")</f>
        <v/>
      </c>
      <c r="M22" s="32" t="str" cm="1">
        <f t="array" aca="1" ref="M22" ca="1">IF(LEN($A22)&gt;1,SUMIFS(AssetMDep,AssetCat,$A22),"")</f>
        <v/>
      </c>
    </row>
    <row r="23" spans="1:13" ht="16" customHeight="1" x14ac:dyDescent="0.25">
      <c r="A23" s="4" t="str" cm="1">
        <f t="array" aca="1" ref="A23" ca="1">IF(ROW($B23)-ROW($B$5)&gt;CatCount,"",OFFSET('Set-up'!$A$26,ROW($B23)-ROW($B$5),0,1,1))</f>
        <v/>
      </c>
      <c r="B23" s="4" t="str">
        <f t="shared" ca="1" si="0"/>
        <v/>
      </c>
      <c r="C23" s="32" t="str" cm="1">
        <f t="array" aca="1" ref="C23" ca="1">IF(LEN($A23)&gt;1,SUMIFS(AssetCOB,AssetCat,$A23),"")</f>
        <v/>
      </c>
      <c r="D23" s="32" t="str" cm="1">
        <f t="array" aca="1" ref="D23" ca="1">IF(LEN($A23)&gt;1,SUMIFS(AssetCAdd,AssetCat,$A23),"")</f>
        <v/>
      </c>
      <c r="E23" s="32" t="str" cm="1">
        <f t="array" aca="1" ref="E23" ca="1">IF(LEN($A23)&gt;1,SUMIFS(AssetCDis,AssetCat,$A23),"")</f>
        <v/>
      </c>
      <c r="F23" s="32" t="str">
        <f t="shared" ca="1" si="1"/>
        <v/>
      </c>
      <c r="G23" s="32" t="str" cm="1">
        <f t="array" aca="1" ref="G23" ca="1">IF(LEN($A23)&gt;1,SUMIFS(AssetDOB,AssetCat,$A23),"")</f>
        <v/>
      </c>
      <c r="H23" s="32" t="str" cm="1">
        <f t="array" aca="1" ref="H23" ca="1">IF(LEN($A23)&gt;1,SUMIFS(AssetDDep,AssetCat,$A23),"")</f>
        <v/>
      </c>
      <c r="I23" s="32" t="str" cm="1">
        <f t="array" aca="1" ref="I23" ca="1">IF(LEN($A23)&gt;1,SUMIFS(AssetDDis,AssetCat,$A23),"")</f>
        <v/>
      </c>
      <c r="J23" s="32" t="str">
        <f t="shared" ca="1" si="3"/>
        <v/>
      </c>
      <c r="K23" s="32" t="str">
        <f t="shared" ca="1" si="2"/>
        <v/>
      </c>
      <c r="L23" s="32" t="str" cm="1">
        <f t="array" aca="1" ref="L23" ca="1">IF(LEN($A23)&gt;1,SUMIFS(AssetPLoss,AssetCat,$A23),"")</f>
        <v/>
      </c>
      <c r="M23" s="32" t="str" cm="1">
        <f t="array" aca="1" ref="M23" ca="1">IF(LEN($A23)&gt;1,SUMIFS(AssetMDep,AssetCat,$A23),"")</f>
        <v/>
      </c>
    </row>
    <row r="24" spans="1:13" ht="16" customHeight="1" x14ac:dyDescent="0.25">
      <c r="A24" s="4" t="str" cm="1">
        <f t="array" aca="1" ref="A24" ca="1">IF(ROW($B24)-ROW($B$5)&gt;CatCount,"",OFFSET('Set-up'!$A$26,ROW($B24)-ROW($B$5),0,1,1))</f>
        <v/>
      </c>
      <c r="B24" s="4" t="str">
        <f t="shared" ca="1" si="0"/>
        <v/>
      </c>
      <c r="C24" s="32" t="str" cm="1">
        <f t="array" aca="1" ref="C24" ca="1">IF(LEN($A24)&gt;1,SUMIFS(AssetCOB,AssetCat,$A24),"")</f>
        <v/>
      </c>
      <c r="D24" s="32" t="str" cm="1">
        <f t="array" aca="1" ref="D24" ca="1">IF(LEN($A24)&gt;1,SUMIFS(AssetCAdd,AssetCat,$A24),"")</f>
        <v/>
      </c>
      <c r="E24" s="32" t="str" cm="1">
        <f t="array" aca="1" ref="E24" ca="1">IF(LEN($A24)&gt;1,SUMIFS(AssetCDis,AssetCat,$A24),"")</f>
        <v/>
      </c>
      <c r="F24" s="32" t="str">
        <f t="shared" ca="1" si="1"/>
        <v/>
      </c>
      <c r="G24" s="32" t="str" cm="1">
        <f t="array" aca="1" ref="G24" ca="1">IF(LEN($A24)&gt;1,SUMIFS(AssetDOB,AssetCat,$A24),"")</f>
        <v/>
      </c>
      <c r="H24" s="32" t="str" cm="1">
        <f t="array" aca="1" ref="H24" ca="1">IF(LEN($A24)&gt;1,SUMIFS(AssetDDep,AssetCat,$A24),"")</f>
        <v/>
      </c>
      <c r="I24" s="32" t="str" cm="1">
        <f t="array" aca="1" ref="I24" ca="1">IF(LEN($A24)&gt;1,SUMIFS(AssetDDis,AssetCat,$A24),"")</f>
        <v/>
      </c>
      <c r="J24" s="32" t="str">
        <f t="shared" ca="1" si="3"/>
        <v/>
      </c>
      <c r="K24" s="32" t="str">
        <f t="shared" ca="1" si="2"/>
        <v/>
      </c>
      <c r="L24" s="32" t="str" cm="1">
        <f t="array" aca="1" ref="L24" ca="1">IF(LEN($A24)&gt;1,SUMIFS(AssetPLoss,AssetCat,$A24),"")</f>
        <v/>
      </c>
      <c r="M24" s="32" t="str" cm="1">
        <f t="array" aca="1" ref="M24" ca="1">IF(LEN($A24)&gt;1,SUMIFS(AssetMDep,AssetCat,$A24),"")</f>
        <v/>
      </c>
    </row>
    <row r="25" spans="1:13" ht="16" customHeight="1" x14ac:dyDescent="0.25">
      <c r="A25" s="4" t="str" cm="1">
        <f t="array" aca="1" ref="A25" ca="1">IF(ROW($B25)-ROW($B$5)&gt;CatCount,"",OFFSET('Set-up'!$A$26,ROW($B25)-ROW($B$5),0,1,1))</f>
        <v/>
      </c>
      <c r="B25" s="4" t="str">
        <f t="shared" ca="1" si="0"/>
        <v/>
      </c>
      <c r="C25" s="32" t="str" cm="1">
        <f t="array" aca="1" ref="C25" ca="1">IF(LEN($A25)&gt;1,SUMIFS(AssetCOB,AssetCat,$A25),"")</f>
        <v/>
      </c>
      <c r="D25" s="32" t="str" cm="1">
        <f t="array" aca="1" ref="D25" ca="1">IF(LEN($A25)&gt;1,SUMIFS(AssetCAdd,AssetCat,$A25),"")</f>
        <v/>
      </c>
      <c r="E25" s="32" t="str" cm="1">
        <f t="array" aca="1" ref="E25" ca="1">IF(LEN($A25)&gt;1,SUMIFS(AssetCDis,AssetCat,$A25),"")</f>
        <v/>
      </c>
      <c r="F25" s="32" t="str">
        <f t="shared" ca="1" si="1"/>
        <v/>
      </c>
      <c r="G25" s="32" t="str" cm="1">
        <f t="array" aca="1" ref="G25" ca="1">IF(LEN($A25)&gt;1,SUMIFS(AssetDOB,AssetCat,$A25),"")</f>
        <v/>
      </c>
      <c r="H25" s="32" t="str" cm="1">
        <f t="array" aca="1" ref="H25" ca="1">IF(LEN($A25)&gt;1,SUMIFS(AssetDDep,AssetCat,$A25),"")</f>
        <v/>
      </c>
      <c r="I25" s="32" t="str" cm="1">
        <f t="array" aca="1" ref="I25" ca="1">IF(LEN($A25)&gt;1,SUMIFS(AssetDDis,AssetCat,$A25),"")</f>
        <v/>
      </c>
      <c r="J25" s="32" t="str">
        <f t="shared" ca="1" si="3"/>
        <v/>
      </c>
      <c r="K25" s="32" t="str">
        <f t="shared" ca="1" si="2"/>
        <v/>
      </c>
      <c r="L25" s="32" t="str" cm="1">
        <f t="array" aca="1" ref="L25" ca="1">IF(LEN($A25)&gt;1,SUMIFS(AssetPLoss,AssetCat,$A25),"")</f>
        <v/>
      </c>
      <c r="M25" s="32" t="str" cm="1">
        <f t="array" aca="1" ref="M25" ca="1">IF(LEN($A25)&gt;1,SUMIFS(AssetMDep,AssetCat,$A25),"")</f>
        <v/>
      </c>
    </row>
    <row r="26" spans="1:13" ht="16" customHeight="1" x14ac:dyDescent="0.25">
      <c r="A26" s="4" t="str" cm="1">
        <f t="array" aca="1" ref="A26" ca="1">IF(ROW($B26)-ROW($B$5)&gt;CatCount,"",OFFSET('Set-up'!$A$26,ROW($B26)-ROW($B$5),0,1,1))</f>
        <v/>
      </c>
      <c r="B26" s="4" t="str">
        <f t="shared" ca="1" si="0"/>
        <v/>
      </c>
      <c r="C26" s="32" t="str" cm="1">
        <f t="array" aca="1" ref="C26" ca="1">IF(LEN($A26)&gt;1,SUMIFS(AssetCOB,AssetCat,$A26),"")</f>
        <v/>
      </c>
      <c r="D26" s="32" t="str" cm="1">
        <f t="array" aca="1" ref="D26" ca="1">IF(LEN($A26)&gt;1,SUMIFS(AssetCAdd,AssetCat,$A26),"")</f>
        <v/>
      </c>
      <c r="E26" s="32" t="str" cm="1">
        <f t="array" aca="1" ref="E26" ca="1">IF(LEN($A26)&gt;1,SUMIFS(AssetCDis,AssetCat,$A26),"")</f>
        <v/>
      </c>
      <c r="F26" s="32" t="str">
        <f t="shared" ca="1" si="1"/>
        <v/>
      </c>
      <c r="G26" s="32" t="str" cm="1">
        <f t="array" aca="1" ref="G26" ca="1">IF(LEN($A26)&gt;1,SUMIFS(AssetDOB,AssetCat,$A26),"")</f>
        <v/>
      </c>
      <c r="H26" s="32" t="str" cm="1">
        <f t="array" aca="1" ref="H26" ca="1">IF(LEN($A26)&gt;1,SUMIFS(AssetDDep,AssetCat,$A26),"")</f>
        <v/>
      </c>
      <c r="I26" s="32" t="str" cm="1">
        <f t="array" aca="1" ref="I26" ca="1">IF(LEN($A26)&gt;1,SUMIFS(AssetDDis,AssetCat,$A26),"")</f>
        <v/>
      </c>
      <c r="J26" s="32" t="str">
        <f t="shared" ca="1" si="3"/>
        <v/>
      </c>
      <c r="K26" s="32" t="str">
        <f t="shared" ca="1" si="2"/>
        <v/>
      </c>
      <c r="L26" s="32" t="str" cm="1">
        <f t="array" aca="1" ref="L26" ca="1">IF(LEN($A26)&gt;1,SUMIFS(AssetPLoss,AssetCat,$A26),"")</f>
        <v/>
      </c>
      <c r="M26" s="32" t="str" cm="1">
        <f t="array" aca="1" ref="M26" ca="1">IF(LEN($A26)&gt;1,SUMIFS(AssetMDep,AssetCat,$A26),"")</f>
        <v/>
      </c>
    </row>
    <row r="27" spans="1:13" ht="16" customHeight="1" x14ac:dyDescent="0.25">
      <c r="A27" s="4" t="str" cm="1">
        <f t="array" aca="1" ref="A27" ca="1">IF(ROW($B27)-ROW($B$5)&gt;CatCount,"",OFFSET('Set-up'!$A$26,ROW($B27)-ROW($B$5),0,1,1))</f>
        <v/>
      </c>
      <c r="B27" s="4" t="str">
        <f t="shared" ca="1" si="0"/>
        <v/>
      </c>
      <c r="C27" s="32" t="str" cm="1">
        <f t="array" aca="1" ref="C27" ca="1">IF(LEN($A27)&gt;1,SUMIFS(AssetCOB,AssetCat,$A27),"")</f>
        <v/>
      </c>
      <c r="D27" s="32" t="str" cm="1">
        <f t="array" aca="1" ref="D27" ca="1">IF(LEN($A27)&gt;1,SUMIFS(AssetCAdd,AssetCat,$A27),"")</f>
        <v/>
      </c>
      <c r="E27" s="32" t="str" cm="1">
        <f t="array" aca="1" ref="E27" ca="1">IF(LEN($A27)&gt;1,SUMIFS(AssetCDis,AssetCat,$A27),"")</f>
        <v/>
      </c>
      <c r="F27" s="32" t="str">
        <f t="shared" ca="1" si="1"/>
        <v/>
      </c>
      <c r="G27" s="32" t="str" cm="1">
        <f t="array" aca="1" ref="G27" ca="1">IF(LEN($A27)&gt;1,SUMIFS(AssetDOB,AssetCat,$A27),"")</f>
        <v/>
      </c>
      <c r="H27" s="32" t="str" cm="1">
        <f t="array" aca="1" ref="H27" ca="1">IF(LEN($A27)&gt;1,SUMIFS(AssetDDep,AssetCat,$A27),"")</f>
        <v/>
      </c>
      <c r="I27" s="32" t="str" cm="1">
        <f t="array" aca="1" ref="I27" ca="1">IF(LEN($A27)&gt;1,SUMIFS(AssetDDis,AssetCat,$A27),"")</f>
        <v/>
      </c>
      <c r="J27" s="32" t="str">
        <f t="shared" ca="1" si="3"/>
        <v/>
      </c>
      <c r="K27" s="32" t="str">
        <f t="shared" ca="1" si="2"/>
        <v/>
      </c>
      <c r="L27" s="32" t="str" cm="1">
        <f t="array" aca="1" ref="L27" ca="1">IF(LEN($A27)&gt;1,SUMIFS(AssetPLoss,AssetCat,$A27),"")</f>
        <v/>
      </c>
      <c r="M27" s="32" t="str" cm="1">
        <f t="array" aca="1" ref="M27" ca="1">IF(LEN($A27)&gt;1,SUMIFS(AssetMDep,AssetCat,$A27),"")</f>
        <v/>
      </c>
    </row>
    <row r="28" spans="1:13" ht="16" customHeight="1" x14ac:dyDescent="0.25">
      <c r="A28" s="4" t="str" cm="1">
        <f t="array" aca="1" ref="A28" ca="1">IF(ROW($B28)-ROW($B$5)&gt;CatCount,"",OFFSET('Set-up'!$A$26,ROW($B28)-ROW($B$5),0,1,1))</f>
        <v/>
      </c>
      <c r="B28" s="4" t="str">
        <f t="shared" ca="1" si="0"/>
        <v/>
      </c>
      <c r="C28" s="32" t="str" cm="1">
        <f t="array" aca="1" ref="C28" ca="1">IF(LEN($A28)&gt;1,SUMIFS(AssetCOB,AssetCat,$A28),"")</f>
        <v/>
      </c>
      <c r="D28" s="32" t="str" cm="1">
        <f t="array" aca="1" ref="D28" ca="1">IF(LEN($A28)&gt;1,SUMIFS(AssetCAdd,AssetCat,$A28),"")</f>
        <v/>
      </c>
      <c r="E28" s="32" t="str" cm="1">
        <f t="array" aca="1" ref="E28" ca="1">IF(LEN($A28)&gt;1,SUMIFS(AssetCDis,AssetCat,$A28),"")</f>
        <v/>
      </c>
      <c r="F28" s="32" t="str">
        <f t="shared" ca="1" si="1"/>
        <v/>
      </c>
      <c r="G28" s="32" t="str" cm="1">
        <f t="array" aca="1" ref="G28" ca="1">IF(LEN($A28)&gt;1,SUMIFS(AssetDOB,AssetCat,$A28),"")</f>
        <v/>
      </c>
      <c r="H28" s="32" t="str" cm="1">
        <f t="array" aca="1" ref="H28" ca="1">IF(LEN($A28)&gt;1,SUMIFS(AssetDDep,AssetCat,$A28),"")</f>
        <v/>
      </c>
      <c r="I28" s="32" t="str" cm="1">
        <f t="array" aca="1" ref="I28" ca="1">IF(LEN($A28)&gt;1,SUMIFS(AssetDDis,AssetCat,$A28),"")</f>
        <v/>
      </c>
      <c r="J28" s="32" t="str">
        <f t="shared" ca="1" si="3"/>
        <v/>
      </c>
      <c r="K28" s="32" t="str">
        <f t="shared" ca="1" si="2"/>
        <v/>
      </c>
      <c r="L28" s="32" t="str" cm="1">
        <f t="array" aca="1" ref="L28" ca="1">IF(LEN($A28)&gt;1,SUMIFS(AssetPLoss,AssetCat,$A28),"")</f>
        <v/>
      </c>
      <c r="M28" s="32" t="str" cm="1">
        <f t="array" aca="1" ref="M28" ca="1">IF(LEN($A28)&gt;1,SUMIFS(AssetMDep,AssetCat,$A28),"")</f>
        <v/>
      </c>
    </row>
    <row r="29" spans="1:13" ht="16" customHeight="1" x14ac:dyDescent="0.25">
      <c r="A29" s="4" t="str" cm="1">
        <f t="array" aca="1" ref="A29" ca="1">IF(ROW($B29)-ROW($B$5)&gt;CatCount,"",OFFSET('Set-up'!$A$26,ROW($B29)-ROW($B$5),0,1,1))</f>
        <v/>
      </c>
      <c r="B29" s="4" t="str">
        <f t="shared" ca="1" si="0"/>
        <v/>
      </c>
      <c r="C29" s="32" t="str" cm="1">
        <f t="array" aca="1" ref="C29" ca="1">IF(LEN($A29)&gt;1,SUMIFS(AssetCOB,AssetCat,$A29),"")</f>
        <v/>
      </c>
      <c r="D29" s="32" t="str" cm="1">
        <f t="array" aca="1" ref="D29" ca="1">IF(LEN($A29)&gt;1,SUMIFS(AssetCAdd,AssetCat,$A29),"")</f>
        <v/>
      </c>
      <c r="E29" s="32" t="str" cm="1">
        <f t="array" aca="1" ref="E29" ca="1">IF(LEN($A29)&gt;1,SUMIFS(AssetCDis,AssetCat,$A29),"")</f>
        <v/>
      </c>
      <c r="F29" s="32" t="str">
        <f t="shared" ca="1" si="1"/>
        <v/>
      </c>
      <c r="G29" s="32" t="str" cm="1">
        <f t="array" aca="1" ref="G29" ca="1">IF(LEN($A29)&gt;1,SUMIFS(AssetDOB,AssetCat,$A29),"")</f>
        <v/>
      </c>
      <c r="H29" s="32" t="str" cm="1">
        <f t="array" aca="1" ref="H29" ca="1">IF(LEN($A29)&gt;1,SUMIFS(AssetDDep,AssetCat,$A29),"")</f>
        <v/>
      </c>
      <c r="I29" s="32" t="str" cm="1">
        <f t="array" aca="1" ref="I29" ca="1">IF(LEN($A29)&gt;1,SUMIFS(AssetDDis,AssetCat,$A29),"")</f>
        <v/>
      </c>
      <c r="J29" s="32" t="str">
        <f t="shared" ca="1" si="3"/>
        <v/>
      </c>
      <c r="K29" s="32" t="str">
        <f t="shared" ca="1" si="2"/>
        <v/>
      </c>
      <c r="L29" s="32" t="str" cm="1">
        <f t="array" aca="1" ref="L29" ca="1">IF(LEN($A29)&gt;1,SUMIFS(AssetPLoss,AssetCat,$A29),"")</f>
        <v/>
      </c>
      <c r="M29" s="32" t="str" cm="1">
        <f t="array" aca="1" ref="M29" ca="1">IF(LEN($A29)&gt;1,SUMIFS(AssetMDep,AssetCat,$A29),"")</f>
        <v/>
      </c>
    </row>
    <row r="30" spans="1:13" ht="16" customHeight="1" x14ac:dyDescent="0.25">
      <c r="A30" s="4" t="str" cm="1">
        <f t="array" aca="1" ref="A30" ca="1">IF(ROW($B30)-ROW($B$5)&gt;CatCount,"",OFFSET('Set-up'!$A$26,ROW($B30)-ROW($B$5),0,1,1))</f>
        <v/>
      </c>
      <c r="B30" s="4" t="str">
        <f t="shared" ca="1" si="0"/>
        <v/>
      </c>
      <c r="C30" s="32" t="str" cm="1">
        <f t="array" aca="1" ref="C30" ca="1">IF(LEN($A30)&gt;1,SUMIFS(AssetCOB,AssetCat,$A30),"")</f>
        <v/>
      </c>
      <c r="D30" s="32" t="str" cm="1">
        <f t="array" aca="1" ref="D30" ca="1">IF(LEN($A30)&gt;1,SUMIFS(AssetCAdd,AssetCat,$A30),"")</f>
        <v/>
      </c>
      <c r="E30" s="32" t="str" cm="1">
        <f t="array" aca="1" ref="E30" ca="1">IF(LEN($A30)&gt;1,SUMIFS(AssetCDis,AssetCat,$A30),"")</f>
        <v/>
      </c>
      <c r="F30" s="32" t="str">
        <f t="shared" ca="1" si="1"/>
        <v/>
      </c>
      <c r="G30" s="32" t="str" cm="1">
        <f t="array" aca="1" ref="G30" ca="1">IF(LEN($A30)&gt;1,SUMIFS(AssetDOB,AssetCat,$A30),"")</f>
        <v/>
      </c>
      <c r="H30" s="32" t="str" cm="1">
        <f t="array" aca="1" ref="H30" ca="1">IF(LEN($A30)&gt;1,SUMIFS(AssetDDep,AssetCat,$A30),"")</f>
        <v/>
      </c>
      <c r="I30" s="32" t="str" cm="1">
        <f t="array" aca="1" ref="I30" ca="1">IF(LEN($A30)&gt;1,SUMIFS(AssetDDis,AssetCat,$A30),"")</f>
        <v/>
      </c>
      <c r="J30" s="32" t="str">
        <f t="shared" ca="1" si="3"/>
        <v/>
      </c>
      <c r="K30" s="32" t="str">
        <f t="shared" ca="1" si="2"/>
        <v/>
      </c>
      <c r="L30" s="32" t="str" cm="1">
        <f t="array" aca="1" ref="L30" ca="1">IF(LEN($A30)&gt;1,SUMIFS(AssetPLoss,AssetCat,$A30),"")</f>
        <v/>
      </c>
      <c r="M30" s="32" t="str" cm="1">
        <f t="array" aca="1" ref="M30" ca="1">IF(LEN($A30)&gt;1,SUMIFS(AssetMDep,AssetCat,$A30),"")</f>
        <v/>
      </c>
    </row>
    <row r="31" spans="1:13" ht="16" customHeight="1" x14ac:dyDescent="0.25">
      <c r="A31" s="4" t="str" cm="1">
        <f t="array" aca="1" ref="A31" ca="1">IF(ROW($B31)-ROW($B$5)&gt;CatCount,"",OFFSET('Set-up'!$A$26,ROW($B31)-ROW($B$5),0,1,1))</f>
        <v/>
      </c>
      <c r="B31" s="4" t="str">
        <f t="shared" ca="1" si="0"/>
        <v/>
      </c>
      <c r="C31" s="32" t="str" cm="1">
        <f t="array" aca="1" ref="C31" ca="1">IF(LEN($A31)&gt;1,SUMIFS(AssetCOB,AssetCat,$A31),"")</f>
        <v/>
      </c>
      <c r="D31" s="32" t="str" cm="1">
        <f t="array" aca="1" ref="D31" ca="1">IF(LEN($A31)&gt;1,SUMIFS(AssetCAdd,AssetCat,$A31),"")</f>
        <v/>
      </c>
      <c r="E31" s="32" t="str" cm="1">
        <f t="array" aca="1" ref="E31" ca="1">IF(LEN($A31)&gt;1,SUMIFS(AssetCDis,AssetCat,$A31),"")</f>
        <v/>
      </c>
      <c r="F31" s="32" t="str">
        <f t="shared" ca="1" si="1"/>
        <v/>
      </c>
      <c r="G31" s="32" t="str" cm="1">
        <f t="array" aca="1" ref="G31" ca="1">IF(LEN($A31)&gt;1,SUMIFS(AssetDOB,AssetCat,$A31),"")</f>
        <v/>
      </c>
      <c r="H31" s="32" t="str" cm="1">
        <f t="array" aca="1" ref="H31" ca="1">IF(LEN($A31)&gt;1,SUMIFS(AssetDDep,AssetCat,$A31),"")</f>
        <v/>
      </c>
      <c r="I31" s="32" t="str" cm="1">
        <f t="array" aca="1" ref="I31" ca="1">IF(LEN($A31)&gt;1,SUMIFS(AssetDDis,AssetCat,$A31),"")</f>
        <v/>
      </c>
      <c r="J31" s="32" t="str">
        <f t="shared" ca="1" si="3"/>
        <v/>
      </c>
      <c r="K31" s="32" t="str">
        <f t="shared" ca="1" si="2"/>
        <v/>
      </c>
      <c r="L31" s="32" t="str" cm="1">
        <f t="array" aca="1" ref="L31" ca="1">IF(LEN($A31)&gt;1,SUMIFS(AssetPLoss,AssetCat,$A31),"")</f>
        <v/>
      </c>
      <c r="M31" s="32" t="str" cm="1">
        <f t="array" aca="1" ref="M31" ca="1">IF(LEN($A31)&gt;1,SUMIFS(AssetMDep,AssetCat,$A31),"")</f>
        <v/>
      </c>
    </row>
    <row r="32" spans="1:13" ht="16" customHeight="1" x14ac:dyDescent="0.25">
      <c r="A32" s="4" t="str" cm="1">
        <f t="array" aca="1" ref="A32" ca="1">IF(ROW($B32)-ROW($B$5)&gt;CatCount,"",OFFSET('Set-up'!$A$26,ROW($B32)-ROW($B$5),0,1,1))</f>
        <v/>
      </c>
      <c r="B32" s="4" t="str">
        <f t="shared" ca="1" si="0"/>
        <v/>
      </c>
      <c r="C32" s="32" t="str" cm="1">
        <f t="array" aca="1" ref="C32" ca="1">IF(LEN($A32)&gt;1,SUMIFS(AssetCOB,AssetCat,$A32),"")</f>
        <v/>
      </c>
      <c r="D32" s="32" t="str" cm="1">
        <f t="array" aca="1" ref="D32" ca="1">IF(LEN($A32)&gt;1,SUMIFS(AssetCAdd,AssetCat,$A32),"")</f>
        <v/>
      </c>
      <c r="E32" s="32" t="str" cm="1">
        <f t="array" aca="1" ref="E32" ca="1">IF(LEN($A32)&gt;1,SUMIFS(AssetCDis,AssetCat,$A32),"")</f>
        <v/>
      </c>
      <c r="F32" s="32" t="str">
        <f t="shared" ca="1" si="1"/>
        <v/>
      </c>
      <c r="G32" s="32" t="str" cm="1">
        <f t="array" aca="1" ref="G32" ca="1">IF(LEN($A32)&gt;1,SUMIFS(AssetDOB,AssetCat,$A32),"")</f>
        <v/>
      </c>
      <c r="H32" s="32" t="str" cm="1">
        <f t="array" aca="1" ref="H32" ca="1">IF(LEN($A32)&gt;1,SUMIFS(AssetDDep,AssetCat,$A32),"")</f>
        <v/>
      </c>
      <c r="I32" s="32" t="str" cm="1">
        <f t="array" aca="1" ref="I32" ca="1">IF(LEN($A32)&gt;1,SUMIFS(AssetDDis,AssetCat,$A32),"")</f>
        <v/>
      </c>
      <c r="J32" s="32" t="str">
        <f t="shared" ca="1" si="3"/>
        <v/>
      </c>
      <c r="K32" s="32" t="str">
        <f t="shared" ca="1" si="2"/>
        <v/>
      </c>
      <c r="L32" s="32" t="str" cm="1">
        <f t="array" aca="1" ref="L32" ca="1">IF(LEN($A32)&gt;1,SUMIFS(AssetPLoss,AssetCat,$A32),"")</f>
        <v/>
      </c>
      <c r="M32" s="32" t="str" cm="1">
        <f t="array" aca="1" ref="M32" ca="1">IF(LEN($A32)&gt;1,SUMIFS(AssetMDep,AssetCat,$A32),"")</f>
        <v/>
      </c>
    </row>
    <row r="33" spans="1:13" ht="16" customHeight="1" x14ac:dyDescent="0.25">
      <c r="A33" s="4" t="str" cm="1">
        <f t="array" aca="1" ref="A33" ca="1">IF(ROW($B33)-ROW($B$5)&gt;CatCount,"",OFFSET('Set-up'!$A$26,ROW($B33)-ROW($B$5),0,1,1))</f>
        <v/>
      </c>
      <c r="B33" s="4" t="str">
        <f t="shared" ca="1" si="0"/>
        <v/>
      </c>
      <c r="C33" s="32" t="str" cm="1">
        <f t="array" aca="1" ref="C33" ca="1">IF(LEN($A33)&gt;1,SUMIFS(AssetCOB,AssetCat,$A33),"")</f>
        <v/>
      </c>
      <c r="D33" s="32" t="str" cm="1">
        <f t="array" aca="1" ref="D33" ca="1">IF(LEN($A33)&gt;1,SUMIFS(AssetCAdd,AssetCat,$A33),"")</f>
        <v/>
      </c>
      <c r="E33" s="32" t="str" cm="1">
        <f t="array" aca="1" ref="E33" ca="1">IF(LEN($A33)&gt;1,SUMIFS(AssetCDis,AssetCat,$A33),"")</f>
        <v/>
      </c>
      <c r="F33" s="32" t="str">
        <f t="shared" ca="1" si="1"/>
        <v/>
      </c>
      <c r="G33" s="32" t="str" cm="1">
        <f t="array" aca="1" ref="G33" ca="1">IF(LEN($A33)&gt;1,SUMIFS(AssetDOB,AssetCat,$A33),"")</f>
        <v/>
      </c>
      <c r="H33" s="32" t="str" cm="1">
        <f t="array" aca="1" ref="H33" ca="1">IF(LEN($A33)&gt;1,SUMIFS(AssetDDep,AssetCat,$A33),"")</f>
        <v/>
      </c>
      <c r="I33" s="32" t="str" cm="1">
        <f t="array" aca="1" ref="I33" ca="1">IF(LEN($A33)&gt;1,SUMIFS(AssetDDis,AssetCat,$A33),"")</f>
        <v/>
      </c>
      <c r="J33" s="32" t="str">
        <f t="shared" ca="1" si="3"/>
        <v/>
      </c>
      <c r="K33" s="32" t="str">
        <f t="shared" ca="1" si="2"/>
        <v/>
      </c>
      <c r="L33" s="32" t="str" cm="1">
        <f t="array" aca="1" ref="L33" ca="1">IF(LEN($A33)&gt;1,SUMIFS(AssetPLoss,AssetCat,$A33),"")</f>
        <v/>
      </c>
      <c r="M33" s="32" t="str" cm="1">
        <f t="array" aca="1" ref="M33" ca="1">IF(LEN($A33)&gt;1,SUMIFS(AssetMDep,AssetCat,$A33),"")</f>
        <v/>
      </c>
    </row>
    <row r="34" spans="1:13" ht="16" customHeight="1" x14ac:dyDescent="0.25">
      <c r="A34" s="4" t="str" cm="1">
        <f t="array" aca="1" ref="A34" ca="1">IF(ROW($B34)-ROW($B$5)&gt;CatCount,"",OFFSET('Set-up'!$A$26,ROW($B34)-ROW($B$5),0,1,1))</f>
        <v/>
      </c>
      <c r="B34" s="4" t="str">
        <f t="shared" ca="1" si="0"/>
        <v/>
      </c>
      <c r="C34" s="32" t="str" cm="1">
        <f t="array" aca="1" ref="C34" ca="1">IF(LEN($A34)&gt;1,SUMIFS(AssetCOB,AssetCat,$A34),"")</f>
        <v/>
      </c>
      <c r="D34" s="32" t="str" cm="1">
        <f t="array" aca="1" ref="D34" ca="1">IF(LEN($A34)&gt;1,SUMIFS(AssetCAdd,AssetCat,$A34),"")</f>
        <v/>
      </c>
      <c r="E34" s="32" t="str" cm="1">
        <f t="array" aca="1" ref="E34" ca="1">IF(LEN($A34)&gt;1,SUMIFS(AssetCDis,AssetCat,$A34),"")</f>
        <v/>
      </c>
      <c r="F34" s="32" t="str">
        <f t="shared" ca="1" si="1"/>
        <v/>
      </c>
      <c r="G34" s="32" t="str" cm="1">
        <f t="array" aca="1" ref="G34" ca="1">IF(LEN($A34)&gt;1,SUMIFS(AssetDOB,AssetCat,$A34),"")</f>
        <v/>
      </c>
      <c r="H34" s="32" t="str" cm="1">
        <f t="array" aca="1" ref="H34" ca="1">IF(LEN($A34)&gt;1,SUMIFS(AssetDDep,AssetCat,$A34),"")</f>
        <v/>
      </c>
      <c r="I34" s="32" t="str" cm="1">
        <f t="array" aca="1" ref="I34" ca="1">IF(LEN($A34)&gt;1,SUMIFS(AssetDDis,AssetCat,$A34),"")</f>
        <v/>
      </c>
      <c r="J34" s="32" t="str">
        <f t="shared" ca="1" si="3"/>
        <v/>
      </c>
      <c r="K34" s="32" t="str">
        <f t="shared" ca="1" si="2"/>
        <v/>
      </c>
      <c r="L34" s="32" t="str" cm="1">
        <f t="array" aca="1" ref="L34" ca="1">IF(LEN($A34)&gt;1,SUMIFS(AssetPLoss,AssetCat,$A34),"")</f>
        <v/>
      </c>
      <c r="M34" s="32" t="str" cm="1">
        <f t="array" aca="1" ref="M34" ca="1">IF(LEN($A34)&gt;1,SUMIFS(AssetMDep,AssetCat,$A34),"")</f>
        <v/>
      </c>
    </row>
    <row r="35" spans="1:13" ht="16" customHeight="1" x14ac:dyDescent="0.25">
      <c r="A35" s="4" t="str" cm="1">
        <f t="array" aca="1" ref="A35" ca="1">IF(ROW($B35)-ROW($B$5)&gt;CatCount,"",OFFSET('Set-up'!$A$26,ROW($B35)-ROW($B$5),0,1,1))</f>
        <v/>
      </c>
      <c r="B35" s="4" t="str">
        <f t="shared" ca="1" si="0"/>
        <v/>
      </c>
      <c r="C35" s="32" t="str" cm="1">
        <f t="array" aca="1" ref="C35" ca="1">IF(LEN($A35)&gt;1,SUMIFS(AssetCOB,AssetCat,$A35),"")</f>
        <v/>
      </c>
      <c r="D35" s="32" t="str" cm="1">
        <f t="array" aca="1" ref="D35" ca="1">IF(LEN($A35)&gt;1,SUMIFS(AssetCAdd,AssetCat,$A35),"")</f>
        <v/>
      </c>
      <c r="E35" s="32" t="str" cm="1">
        <f t="array" aca="1" ref="E35" ca="1">IF(LEN($A35)&gt;1,SUMIFS(AssetCDis,AssetCat,$A35),"")</f>
        <v/>
      </c>
      <c r="F35" s="32" t="str">
        <f t="shared" ca="1" si="1"/>
        <v/>
      </c>
      <c r="G35" s="32" t="str" cm="1">
        <f t="array" aca="1" ref="G35" ca="1">IF(LEN($A35)&gt;1,SUMIFS(AssetDOB,AssetCat,$A35),"")</f>
        <v/>
      </c>
      <c r="H35" s="32" t="str" cm="1">
        <f t="array" aca="1" ref="H35" ca="1">IF(LEN($A35)&gt;1,SUMIFS(AssetDDep,AssetCat,$A35),"")</f>
        <v/>
      </c>
      <c r="I35" s="32" t="str" cm="1">
        <f t="array" aca="1" ref="I35" ca="1">IF(LEN($A35)&gt;1,SUMIFS(AssetDDis,AssetCat,$A35),"")</f>
        <v/>
      </c>
      <c r="J35" s="32" t="str">
        <f t="shared" ca="1" si="3"/>
        <v/>
      </c>
      <c r="K35" s="32" t="str">
        <f t="shared" ca="1" si="2"/>
        <v/>
      </c>
      <c r="L35" s="32" t="str" cm="1">
        <f t="array" aca="1" ref="L35" ca="1">IF(LEN($A35)&gt;1,SUMIFS(AssetPLoss,AssetCat,$A35),"")</f>
        <v/>
      </c>
      <c r="M35" s="32" t="str" cm="1">
        <f t="array" aca="1" ref="M35" ca="1">IF(LEN($A35)&gt;1,SUMIFS(AssetMDep,AssetCat,$A35),"")</f>
        <v/>
      </c>
    </row>
  </sheetData>
  <mergeCells count="4">
    <mergeCell ref="C4:F4"/>
    <mergeCell ref="G4:J4"/>
    <mergeCell ref="K4:K5"/>
    <mergeCell ref="L4:L5"/>
  </mergeCells>
  <pageMargins left="0.55118110236220474" right="0.55118110236220474" top="0.59055118110236227" bottom="0.59055118110236227" header="0.39370078740157483" footer="0.39370078740157483"/>
  <pageSetup paperSize="9" scale="56" fitToHeight="0" orientation="landscape" r:id="rId1"/>
  <headerFooter>
    <oddFooter>&amp;C&amp;9Page &amp;P of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M34"/>
  <sheetViews>
    <sheetView zoomScale="95" zoomScaleNormal="95" workbookViewId="0">
      <pane ySplit="5" topLeftCell="A6" activePane="bottomLeft" state="frozen"/>
      <selection pane="bottomLeft" activeCell="A5" sqref="A5"/>
    </sheetView>
  </sheetViews>
  <sheetFormatPr defaultColWidth="9.08984375" defaultRowHeight="16" customHeight="1" x14ac:dyDescent="0.25"/>
  <cols>
    <col min="1" max="1" width="10.6328125" style="4" customWidth="1"/>
    <col min="2" max="2" width="30.6328125" style="4" customWidth="1"/>
    <col min="3" max="13" width="14.6328125" style="32" customWidth="1"/>
    <col min="14" max="16384" width="9.08984375" style="4"/>
  </cols>
  <sheetData>
    <row r="1" spans="1:13" ht="16" customHeight="1" x14ac:dyDescent="0.3">
      <c r="A1" s="90" t="str">
        <f>'Set-up'!$C$5</f>
        <v>Example (Pty) Ltd</v>
      </c>
    </row>
    <row r="2" spans="1:13" ht="16" customHeight="1" x14ac:dyDescent="0.25">
      <c r="A2" s="19" t="s">
        <v>111</v>
      </c>
    </row>
    <row r="3" spans="1:13" s="6" customFormat="1" ht="16" customHeight="1" x14ac:dyDescent="0.25">
      <c r="A3" s="19" t="str">
        <f ca="1">"From "&amp;TEXT(Assets!$H$2,"d mmmm yyyy")&amp;" to "&amp;TEXT(Assets!$I$2,"d mmmm yyyy")</f>
        <v>From 1 March 2020 to 28 February 2021</v>
      </c>
      <c r="C3" s="41" cm="1">
        <f t="array" aca="1" ref="C3" ca="1">SUBTOTAL(109,OFFSET(C$5,1,0,ClassSumCount,1))</f>
        <v>7105670</v>
      </c>
      <c r="D3" s="41" cm="1">
        <f t="array" aca="1" ref="D3" ca="1">SUBTOTAL(109,OFFSET(D$5,1,0,ClassSumCount,1))</f>
        <v>375919</v>
      </c>
      <c r="E3" s="41" cm="1">
        <f t="array" aca="1" ref="E3" ca="1">SUBTOTAL(109,OFFSET(E$5,1,0,ClassSumCount,1))</f>
        <v>-660450</v>
      </c>
      <c r="F3" s="41" cm="1">
        <f t="array" aca="1" ref="F3" ca="1">SUBTOTAL(109,OFFSET(F$5,1,0,ClassSumCount,1))</f>
        <v>6821139</v>
      </c>
      <c r="G3" s="41" cm="1">
        <f t="array" aca="1" ref="G3" ca="1">SUBTOTAL(109,OFFSET(G$5,1,0,ClassSumCount,1))</f>
        <v>5134713.3254458169</v>
      </c>
      <c r="H3" s="41" cm="1">
        <f t="array" aca="1" ref="H3" ca="1">SUBTOTAL(109,OFFSET(H$5,1,0,ClassSumCount,1))</f>
        <v>482567.27075903054</v>
      </c>
      <c r="I3" s="41" cm="1">
        <f t="array" aca="1" ref="I3" ca="1">SUBTOTAL(109,OFFSET(I$5,1,0,ClassSumCount,1))</f>
        <v>-660450</v>
      </c>
      <c r="J3" s="41" cm="1">
        <f t="array" aca="1" ref="J3" ca="1">SUBTOTAL(109,OFFSET(J$5,1,0,ClassSumCount,1))</f>
        <v>4956830.596204848</v>
      </c>
      <c r="K3" s="41" cm="1">
        <f t="array" aca="1" ref="K3" ca="1">SUBTOTAL(109,OFFSET(K$5,1,0,ClassSumCount,1))</f>
        <v>1864308.4037951527</v>
      </c>
      <c r="L3" s="41" cm="1">
        <f t="array" aca="1" ref="L3" ca="1">SUBTOTAL(109,OFFSET(L$5,1,0,ClassSumCount,1))</f>
        <v>150000</v>
      </c>
      <c r="M3" s="41" cm="1">
        <f t="array" aca="1" ref="M3" ca="1">SUBTOTAL(109,OFFSET(M$5,1,0,ClassSumCount,1))</f>
        <v>13821.880788465922</v>
      </c>
    </row>
    <row r="4" spans="1:13" ht="18" customHeight="1" x14ac:dyDescent="0.25">
      <c r="A4" s="83" t="s">
        <v>260</v>
      </c>
      <c r="C4" s="113" t="s">
        <v>103</v>
      </c>
      <c r="D4" s="114"/>
      <c r="E4" s="114"/>
      <c r="F4" s="115"/>
      <c r="G4" s="113" t="s">
        <v>104</v>
      </c>
      <c r="H4" s="114"/>
      <c r="I4" s="114"/>
      <c r="J4" s="115"/>
      <c r="K4" s="116" t="s">
        <v>105</v>
      </c>
      <c r="L4" s="116" t="s">
        <v>96</v>
      </c>
      <c r="M4" s="47" t="s">
        <v>312</v>
      </c>
    </row>
    <row r="5" spans="1:13" s="2" customFormat="1" ht="25" x14ac:dyDescent="0.25">
      <c r="A5" s="81" t="s">
        <v>20</v>
      </c>
      <c r="B5" s="81" t="s">
        <v>5</v>
      </c>
      <c r="C5" s="82" t="s">
        <v>99</v>
      </c>
      <c r="D5" s="82" t="s">
        <v>100</v>
      </c>
      <c r="E5" s="82" t="s">
        <v>101</v>
      </c>
      <c r="F5" s="82" t="s">
        <v>102</v>
      </c>
      <c r="G5" s="82" t="s">
        <v>99</v>
      </c>
      <c r="H5" s="82" t="s">
        <v>293</v>
      </c>
      <c r="I5" s="82" t="s">
        <v>101</v>
      </c>
      <c r="J5" s="82" t="s">
        <v>102</v>
      </c>
      <c r="K5" s="117"/>
      <c r="L5" s="117"/>
      <c r="M5" s="82" t="s">
        <v>293</v>
      </c>
    </row>
    <row r="6" spans="1:13" ht="16" customHeight="1" x14ac:dyDescent="0.25">
      <c r="A6" s="4" t="str" cm="1">
        <f t="array" aca="1" ref="A6" ca="1">IF(ROW($B6)-ROW($B$5)&gt;ClassCount,"",OFFSET('Set-up'!$A$16,ROW($B6)-ROW($B$5),0,1,1))</f>
        <v>LB</v>
      </c>
      <c r="B6" s="4" t="str">
        <f t="shared" ref="B6:B34" ca="1" si="0">IF(ISNA(VLOOKUP($A6,ClassAll,2,0))=TRUE,"",VLOOKUP($A6,ClassAll,2,0))</f>
        <v>Land &amp; Buildings</v>
      </c>
      <c r="C6" s="32" cm="1">
        <f t="array" aca="1" ref="C6" ca="1">IF(LEN($A6)&gt;1,SUMIFS(AssetCOB,AssetClass,$A6),"")</f>
        <v>1500000</v>
      </c>
      <c r="D6" s="32" cm="1">
        <f t="array" aca="1" ref="D6" ca="1">IF(LEN($A6)&gt;1,SUMIFS(AssetCAdd,AssetClass,$A6),"")</f>
        <v>0</v>
      </c>
      <c r="E6" s="32" cm="1">
        <f t="array" aca="1" ref="E6" ca="1">IF(LEN($A6)&gt;1,SUMIFS(AssetCDis,AssetClass,$A6),"")</f>
        <v>0</v>
      </c>
      <c r="F6" s="32">
        <f t="shared" ref="F6:F34" ca="1" si="1">IF(LEN($A6)&gt;1,SUM($C6:$E6),"")</f>
        <v>1500000</v>
      </c>
      <c r="G6" s="32" cm="1">
        <f t="array" aca="1" ref="G6" ca="1">IF(LEN($A6)&gt;1,SUMIFS(AssetDOB,AssetClass,$A6),"")</f>
        <v>0</v>
      </c>
      <c r="H6" s="32" cm="1">
        <f t="array" aca="1" ref="H6" ca="1">IF(LEN($A6)&gt;1,SUMIFS(AssetDDep,AssetClass,$A6),"")</f>
        <v>0</v>
      </c>
      <c r="I6" s="32" cm="1">
        <f t="array" aca="1" ref="I6" ca="1">IF(LEN($A6)&gt;1,SUMIFS(AssetDDis,AssetClass,$A6),"")</f>
        <v>0</v>
      </c>
      <c r="J6" s="32">
        <f ca="1">IF(LEN($A6)&gt;1,SUM($G6,$H6,$I6),"")</f>
        <v>0</v>
      </c>
      <c r="K6" s="32">
        <f t="shared" ref="K6:K34" ca="1" si="2">IF(LEN($A6)&gt;1,SUM($F6,-$J6),"")</f>
        <v>1500000</v>
      </c>
      <c r="L6" s="32" cm="1">
        <f t="array" aca="1" ref="L6" ca="1">IF(LEN($A6)&gt;1,SUMIFS(AssetPLoss,AssetClass,$A6),"")</f>
        <v>0</v>
      </c>
      <c r="M6" s="32" cm="1">
        <f t="array" aca="1" ref="M6" ca="1">IF(LEN($A6)&gt;1,SUMIFS(AssetMDep,AssetClass,$A6),"")</f>
        <v>0</v>
      </c>
    </row>
    <row r="7" spans="1:13" ht="16" customHeight="1" x14ac:dyDescent="0.25">
      <c r="A7" s="4" t="str" cm="1">
        <f t="array" aca="1" ref="A7" ca="1">IF(ROW($B7)-ROW($B$5)&gt;ClassCount,"",OFFSET('Set-up'!$A$16,ROW($B7)-ROW($B$5),0,1,1))</f>
        <v>PM</v>
      </c>
      <c r="B7" s="4" t="str">
        <f t="shared" ca="1" si="0"/>
        <v>Plant &amp; Equipment</v>
      </c>
      <c r="C7" s="32" cm="1">
        <f t="array" aca="1" ref="C7" ca="1">IF(LEN($A7)&gt;1,SUMIFS(AssetCOB,AssetClass,$A7),"")</f>
        <v>5546320</v>
      </c>
      <c r="D7" s="32" cm="1">
        <f t="array" aca="1" ref="D7" ca="1">IF(LEN($A7)&gt;1,SUMIFS(AssetCAdd,AssetClass,$A7),"")</f>
        <v>87419</v>
      </c>
      <c r="E7" s="32" cm="1">
        <f t="array" aca="1" ref="E7" ca="1">IF(LEN($A7)&gt;1,SUMIFS(AssetCDis,AssetClass,$A7),"")</f>
        <v>-660450</v>
      </c>
      <c r="F7" s="32">
        <f t="shared" ca="1" si="1"/>
        <v>4973289</v>
      </c>
      <c r="G7" s="32" cm="1">
        <f t="array" aca="1" ref="G7" ca="1">IF(LEN($A7)&gt;1,SUMIFS(AssetDOB,AssetClass,$A7),"")</f>
        <v>5087197.833333334</v>
      </c>
      <c r="H7" s="32" cm="1">
        <f t="array" aca="1" ref="H7" ca="1">IF(LEN($A7)&gt;1,SUMIFS(AssetDDep,AssetClass,$A7),"")</f>
        <v>399822.28333333321</v>
      </c>
      <c r="I7" s="32" cm="1">
        <f t="array" aca="1" ref="I7" ca="1">IF(LEN($A7)&gt;1,SUMIFS(AssetDDis,AssetClass,$A7),"")</f>
        <v>-660450</v>
      </c>
      <c r="J7" s="32">
        <f t="shared" ref="J7:J34" ca="1" si="3">IF(LEN($A7)&gt;1,SUM($G7,$H7,$I7),"")</f>
        <v>4826570.1166666672</v>
      </c>
      <c r="K7" s="32">
        <f t="shared" ca="1" si="2"/>
        <v>146718.88333333284</v>
      </c>
      <c r="L7" s="32" cm="1">
        <f t="array" aca="1" ref="L7" ca="1">IF(LEN($A7)&gt;1,SUMIFS(AssetPLoss,AssetClass,$A7),"")</f>
        <v>150000</v>
      </c>
      <c r="M7" s="32" cm="1">
        <f t="array" aca="1" ref="M7" ca="1">IF(LEN($A7)&gt;1,SUMIFS(AssetMDep,AssetClass,$A7),"")</f>
        <v>4713.4833333333254</v>
      </c>
    </row>
    <row r="8" spans="1:13" ht="16" customHeight="1" x14ac:dyDescent="0.25">
      <c r="A8" s="4" t="str" cm="1">
        <f t="array" aca="1" ref="A8" ca="1">IF(ROW($B8)-ROW($B$5)&gt;ClassCount,"",OFFSET('Set-up'!$A$16,ROW($B8)-ROW($B$5),0,1,1))</f>
        <v>CE</v>
      </c>
      <c r="B8" s="4" t="str">
        <f t="shared" ca="1" si="0"/>
        <v>Computer Equipment</v>
      </c>
      <c r="C8" s="32" cm="1">
        <f t="array" aca="1" ref="C8" ca="1">IF(LEN($A8)&gt;1,SUMIFS(AssetCOB,AssetClass,$A8),"")</f>
        <v>29700</v>
      </c>
      <c r="D8" s="32" cm="1">
        <f t="array" aca="1" ref="D8" ca="1">IF(LEN($A8)&gt;1,SUMIFS(AssetCAdd,AssetClass,$A8),"")</f>
        <v>0</v>
      </c>
      <c r="E8" s="32" cm="1">
        <f t="array" aca="1" ref="E8" ca="1">IF(LEN($A8)&gt;1,SUMIFS(AssetCDis,AssetClass,$A8),"")</f>
        <v>0</v>
      </c>
      <c r="F8" s="32">
        <f t="shared" ca="1" si="1"/>
        <v>29700</v>
      </c>
      <c r="G8" s="32" cm="1">
        <f t="array" aca="1" ref="G8" ca="1">IF(LEN($A8)&gt;1,SUMIFS(AssetDOB,AssetClass,$A8),"")</f>
        <v>29700</v>
      </c>
      <c r="H8" s="32" cm="1">
        <f t="array" aca="1" ref="H8" ca="1">IF(LEN($A8)&gt;1,SUMIFS(AssetDDep,AssetClass,$A8),"")</f>
        <v>0</v>
      </c>
      <c r="I8" s="32" cm="1">
        <f t="array" aca="1" ref="I8" ca="1">IF(LEN($A8)&gt;1,SUMIFS(AssetDDis,AssetClass,$A8),"")</f>
        <v>0</v>
      </c>
      <c r="J8" s="32">
        <f t="shared" ca="1" si="3"/>
        <v>29700</v>
      </c>
      <c r="K8" s="32">
        <f t="shared" ca="1" si="2"/>
        <v>0</v>
      </c>
      <c r="L8" s="32" cm="1">
        <f t="array" aca="1" ref="L8" ca="1">IF(LEN($A8)&gt;1,SUMIFS(AssetPLoss,AssetClass,$A8),"")</f>
        <v>0</v>
      </c>
      <c r="M8" s="32" cm="1">
        <f t="array" aca="1" ref="M8" ca="1">IF(LEN($A8)&gt;1,SUMIFS(AssetMDep,AssetClass,$A8),"")</f>
        <v>0</v>
      </c>
    </row>
    <row r="9" spans="1:13" ht="16" customHeight="1" x14ac:dyDescent="0.25">
      <c r="A9" s="4" t="str" cm="1">
        <f t="array" aca="1" ref="A9" ca="1">IF(ROW($B9)-ROW($B$5)&gt;ClassCount,"",OFFSET('Set-up'!$A$16,ROW($B9)-ROW($B$5),0,1,1))</f>
        <v>OE</v>
      </c>
      <c r="B9" s="4" t="str">
        <f t="shared" ca="1" si="0"/>
        <v>Office Equipment</v>
      </c>
      <c r="C9" s="32" cm="1">
        <f t="array" aca="1" ref="C9" ca="1">IF(LEN($A9)&gt;1,SUMIFS(AssetCOB,AssetClass,$A9),"")</f>
        <v>8550</v>
      </c>
      <c r="D9" s="32" cm="1">
        <f t="array" aca="1" ref="D9" ca="1">IF(LEN($A9)&gt;1,SUMIFS(AssetCAdd,AssetClass,$A9),"")</f>
        <v>0</v>
      </c>
      <c r="E9" s="32" cm="1">
        <f t="array" aca="1" ref="E9" ca="1">IF(LEN($A9)&gt;1,SUMIFS(AssetCDis,AssetClass,$A9),"")</f>
        <v>0</v>
      </c>
      <c r="F9" s="32">
        <f t="shared" ca="1" si="1"/>
        <v>8550</v>
      </c>
      <c r="G9" s="32" cm="1">
        <f t="array" aca="1" ref="G9" ca="1">IF(LEN($A9)&gt;1,SUMIFS(AssetDOB,AssetClass,$A9),"")</f>
        <v>5760.416666666667</v>
      </c>
      <c r="H9" s="32" cm="1">
        <f t="array" aca="1" ref="H9" ca="1">IF(LEN($A9)&gt;1,SUMIFS(AssetDDep,AssetClass,$A9),"")</f>
        <v>1287.5</v>
      </c>
      <c r="I9" s="32" cm="1">
        <f t="array" aca="1" ref="I9" ca="1">IF(LEN($A9)&gt;1,SUMIFS(AssetDDis,AssetClass,$A9),"")</f>
        <v>0</v>
      </c>
      <c r="J9" s="32">
        <f t="shared" ca="1" si="3"/>
        <v>7047.916666666667</v>
      </c>
      <c r="K9" s="32">
        <f t="shared" ca="1" si="2"/>
        <v>1502.083333333333</v>
      </c>
      <c r="L9" s="32" cm="1">
        <f t="array" aca="1" ref="L9" ca="1">IF(LEN($A9)&gt;1,SUMIFS(AssetPLoss,AssetClass,$A9),"")</f>
        <v>0</v>
      </c>
      <c r="M9" s="32" cm="1">
        <f t="array" aca="1" ref="M9" ca="1">IF(LEN($A9)&gt;1,SUMIFS(AssetMDep,AssetClass,$A9),"")</f>
        <v>107.29166666666697</v>
      </c>
    </row>
    <row r="10" spans="1:13" ht="16" customHeight="1" x14ac:dyDescent="0.25">
      <c r="A10" s="4" t="str" cm="1">
        <f t="array" aca="1" ref="A10" ca="1">IF(ROW($B10)-ROW($B$5)&gt;ClassCount,"",OFFSET('Set-up'!$A$16,ROW($B10)-ROW($B$5),0,1,1))</f>
        <v>FF</v>
      </c>
      <c r="B10" s="4" t="str">
        <f t="shared" ca="1" si="0"/>
        <v>Furniture &amp; Fixtures</v>
      </c>
      <c r="C10" s="32" cm="1">
        <f t="array" aca="1" ref="C10" ca="1">IF(LEN($A10)&gt;1,SUMIFS(AssetCOB,AssetClass,$A10),"")</f>
        <v>21100</v>
      </c>
      <c r="D10" s="32" cm="1">
        <f t="array" aca="1" ref="D10" ca="1">IF(LEN($A10)&gt;1,SUMIFS(AssetCAdd,AssetClass,$A10),"")</f>
        <v>0</v>
      </c>
      <c r="E10" s="32" cm="1">
        <f t="array" aca="1" ref="E10" ca="1">IF(LEN($A10)&gt;1,SUMIFS(AssetCDis,AssetClass,$A10),"")</f>
        <v>0</v>
      </c>
      <c r="F10" s="32">
        <f t="shared" ca="1" si="1"/>
        <v>21100</v>
      </c>
      <c r="G10" s="32" cm="1">
        <f t="array" aca="1" ref="G10" ca="1">IF(LEN($A10)&gt;1,SUMIFS(AssetDOB,AssetClass,$A10),"")</f>
        <v>12055.075445816185</v>
      </c>
      <c r="H10" s="32" cm="1">
        <f t="array" aca="1" ref="H10" ca="1">IF(LEN($A10)&gt;1,SUMIFS(AssetDDep,AssetClass,$A10),"")</f>
        <v>1507.4874256973014</v>
      </c>
      <c r="I10" s="32" cm="1">
        <f t="array" aca="1" ref="I10" ca="1">IF(LEN($A10)&gt;1,SUMIFS(AssetDDis,AssetClass,$A10),"")</f>
        <v>0</v>
      </c>
      <c r="J10" s="32">
        <f t="shared" ca="1" si="3"/>
        <v>13562.562871513486</v>
      </c>
      <c r="K10" s="32">
        <f t="shared" ca="1" si="2"/>
        <v>7537.4371284865138</v>
      </c>
      <c r="L10" s="32" cm="1">
        <f t="array" aca="1" ref="L10" ca="1">IF(LEN($A10)&gt;1,SUMIFS(AssetPLoss,AssetClass,$A10),"")</f>
        <v>0</v>
      </c>
      <c r="M10" s="32" cm="1">
        <f t="array" aca="1" ref="M10" ca="1">IF(LEN($A10)&gt;1,SUMIFS(AssetMDep,AssetClass,$A10),"")</f>
        <v>117.77245513260175</v>
      </c>
    </row>
    <row r="11" spans="1:13" ht="16" customHeight="1" x14ac:dyDescent="0.25">
      <c r="A11" s="4" t="str" cm="1">
        <f t="array" aca="1" ref="A11" ca="1">IF(ROW($B11)-ROW($B$5)&gt;ClassCount,"",OFFSET('Set-up'!$A$16,ROW($B11)-ROW($B$5),0,1,1))</f>
        <v>MV</v>
      </c>
      <c r="B11" s="4" t="str">
        <f t="shared" ca="1" si="0"/>
        <v>Motor Vehicles</v>
      </c>
      <c r="C11" s="32" cm="1">
        <f t="array" aca="1" ref="C11" ca="1">IF(LEN($A11)&gt;1,SUMIFS(AssetCOB,AssetClass,$A11),"")</f>
        <v>0</v>
      </c>
      <c r="D11" s="32" cm="1">
        <f t="array" aca="1" ref="D11" ca="1">IF(LEN($A11)&gt;1,SUMIFS(AssetCAdd,AssetClass,$A11),"")</f>
        <v>288500</v>
      </c>
      <c r="E11" s="32" cm="1">
        <f t="array" aca="1" ref="E11" ca="1">IF(LEN($A11)&gt;1,SUMIFS(AssetCDis,AssetClass,$A11),"")</f>
        <v>0</v>
      </c>
      <c r="F11" s="32">
        <f t="shared" ca="1" si="1"/>
        <v>288500</v>
      </c>
      <c r="G11" s="32" cm="1">
        <f t="array" aca="1" ref="G11" ca="1">IF(LEN($A11)&gt;1,SUMIFS(AssetDOB,AssetClass,$A11),"")</f>
        <v>0</v>
      </c>
      <c r="H11" s="32" cm="1">
        <f t="array" aca="1" ref="H11" ca="1">IF(LEN($A11)&gt;1,SUMIFS(AssetDDep,AssetClass,$A11),"")</f>
        <v>79949.999999999985</v>
      </c>
      <c r="I11" s="32" cm="1">
        <f t="array" aca="1" ref="I11" ca="1">IF(LEN($A11)&gt;1,SUMIFS(AssetDDis,AssetClass,$A11),"")</f>
        <v>0</v>
      </c>
      <c r="J11" s="32">
        <f t="shared" ca="1" si="3"/>
        <v>79949.999999999985</v>
      </c>
      <c r="K11" s="32">
        <f t="shared" ca="1" si="2"/>
        <v>208550</v>
      </c>
      <c r="L11" s="32" cm="1">
        <f t="array" aca="1" ref="L11" ca="1">IF(LEN($A11)&gt;1,SUMIFS(AssetPLoss,AssetClass,$A11),"")</f>
        <v>0</v>
      </c>
      <c r="M11" s="32" cm="1">
        <f t="array" aca="1" ref="M11" ca="1">IF(LEN($A11)&gt;1,SUMIFS(AssetMDep,AssetClass,$A11),"")</f>
        <v>8883.3333333333285</v>
      </c>
    </row>
    <row r="12" spans="1:13" ht="16" customHeight="1" x14ac:dyDescent="0.25">
      <c r="A12" s="4" t="str" cm="1">
        <f t="array" aca="1" ref="A12" ca="1">IF(ROW($B12)-ROW($B$5)&gt;ClassCount,"",OFFSET('Set-up'!$A$16,ROW($B12)-ROW($B$5),0,1,1))</f>
        <v/>
      </c>
      <c r="B12" s="4" t="str">
        <f t="shared" ca="1" si="0"/>
        <v/>
      </c>
      <c r="C12" s="32" t="str" cm="1">
        <f t="array" aca="1" ref="C12" ca="1">IF(LEN($A12)&gt;1,SUMIFS(AssetCOB,AssetClass,$A12),"")</f>
        <v/>
      </c>
      <c r="D12" s="32" t="str" cm="1">
        <f t="array" aca="1" ref="D12" ca="1">IF(LEN($A12)&gt;1,SUMIFS(AssetCAdd,AssetClass,$A12),"")</f>
        <v/>
      </c>
      <c r="E12" s="32" t="str" cm="1">
        <f t="array" aca="1" ref="E12" ca="1">IF(LEN($A12)&gt;1,SUMIFS(AssetCDis,AssetClass,$A12),"")</f>
        <v/>
      </c>
      <c r="F12" s="32" t="str">
        <f t="shared" ca="1" si="1"/>
        <v/>
      </c>
      <c r="G12" s="32" t="str" cm="1">
        <f t="array" aca="1" ref="G12" ca="1">IF(LEN($A12)&gt;1,SUMIFS(AssetDOB,AssetClass,$A12),"")</f>
        <v/>
      </c>
      <c r="H12" s="32" t="str" cm="1">
        <f t="array" aca="1" ref="H12" ca="1">IF(LEN($A12)&gt;1,SUMIFS(AssetDDep,AssetClass,$A12),"")</f>
        <v/>
      </c>
      <c r="I12" s="32" t="str" cm="1">
        <f t="array" aca="1" ref="I12" ca="1">IF(LEN($A12)&gt;1,SUMIFS(AssetDDis,AssetClass,$A12),"")</f>
        <v/>
      </c>
      <c r="J12" s="32" t="str">
        <f t="shared" ca="1" si="3"/>
        <v/>
      </c>
      <c r="K12" s="32" t="str">
        <f t="shared" ca="1" si="2"/>
        <v/>
      </c>
      <c r="L12" s="32" t="str" cm="1">
        <f t="array" aca="1" ref="L12" ca="1">IF(LEN($A12)&gt;1,SUMIFS(AssetPLoss,AssetClass,$A12),"")</f>
        <v/>
      </c>
      <c r="M12" s="32" t="str" cm="1">
        <f t="array" aca="1" ref="M12" ca="1">IF(LEN($A12)&gt;1,SUMIFS(AssetMDep,AssetClass,$A12),"")</f>
        <v/>
      </c>
    </row>
    <row r="13" spans="1:13" ht="16" customHeight="1" x14ac:dyDescent="0.25">
      <c r="A13" s="4" t="str" cm="1">
        <f t="array" aca="1" ref="A13" ca="1">IF(ROW($B13)-ROW($B$5)&gt;ClassCount,"",OFFSET('Set-up'!$A$16,ROW($B13)-ROW($B$5),0,1,1))</f>
        <v/>
      </c>
      <c r="B13" s="4" t="str">
        <f t="shared" ca="1" si="0"/>
        <v/>
      </c>
      <c r="C13" s="32" t="str" cm="1">
        <f t="array" aca="1" ref="C13" ca="1">IF(LEN($A13)&gt;1,SUMIFS(AssetCOB,AssetClass,$A13),"")</f>
        <v/>
      </c>
      <c r="D13" s="32" t="str" cm="1">
        <f t="array" aca="1" ref="D13" ca="1">IF(LEN($A13)&gt;1,SUMIFS(AssetCAdd,AssetClass,$A13),"")</f>
        <v/>
      </c>
      <c r="E13" s="32" t="str" cm="1">
        <f t="array" aca="1" ref="E13" ca="1">IF(LEN($A13)&gt;1,SUMIFS(AssetCDis,AssetClass,$A13),"")</f>
        <v/>
      </c>
      <c r="F13" s="32" t="str">
        <f t="shared" ca="1" si="1"/>
        <v/>
      </c>
      <c r="G13" s="32" t="str" cm="1">
        <f t="array" aca="1" ref="G13" ca="1">IF(LEN($A13)&gt;1,SUMIFS(AssetDOB,AssetClass,$A13),"")</f>
        <v/>
      </c>
      <c r="H13" s="32" t="str" cm="1">
        <f t="array" aca="1" ref="H13" ca="1">IF(LEN($A13)&gt;1,SUMIFS(AssetDDep,AssetClass,$A13),"")</f>
        <v/>
      </c>
      <c r="I13" s="32" t="str" cm="1">
        <f t="array" aca="1" ref="I13" ca="1">IF(LEN($A13)&gt;1,SUMIFS(AssetDDis,AssetClass,$A13),"")</f>
        <v/>
      </c>
      <c r="J13" s="32" t="str">
        <f t="shared" ca="1" si="3"/>
        <v/>
      </c>
      <c r="K13" s="32" t="str">
        <f t="shared" ca="1" si="2"/>
        <v/>
      </c>
      <c r="L13" s="32" t="str" cm="1">
        <f t="array" aca="1" ref="L13" ca="1">IF(LEN($A13)&gt;1,SUMIFS(AssetPLoss,AssetClass,$A13),"")</f>
        <v/>
      </c>
      <c r="M13" s="32" t="str" cm="1">
        <f t="array" aca="1" ref="M13" ca="1">IF(LEN($A13)&gt;1,SUMIFS(AssetMDep,AssetClass,$A13),"")</f>
        <v/>
      </c>
    </row>
    <row r="14" spans="1:13" ht="16" customHeight="1" x14ac:dyDescent="0.25">
      <c r="A14" s="4" t="str" cm="1">
        <f t="array" aca="1" ref="A14" ca="1">IF(ROW($B14)-ROW($B$5)&gt;ClassCount,"",OFFSET('Set-up'!$A$16,ROW($B14)-ROW($B$5),0,1,1))</f>
        <v/>
      </c>
      <c r="B14" s="4" t="str">
        <f t="shared" ca="1" si="0"/>
        <v/>
      </c>
      <c r="C14" s="32" t="str" cm="1">
        <f t="array" aca="1" ref="C14" ca="1">IF(LEN($A14)&gt;1,SUMIFS(AssetCOB,AssetClass,$A14),"")</f>
        <v/>
      </c>
      <c r="D14" s="32" t="str" cm="1">
        <f t="array" aca="1" ref="D14" ca="1">IF(LEN($A14)&gt;1,SUMIFS(AssetCAdd,AssetClass,$A14),"")</f>
        <v/>
      </c>
      <c r="E14" s="32" t="str" cm="1">
        <f t="array" aca="1" ref="E14" ca="1">IF(LEN($A14)&gt;1,SUMIFS(AssetCDis,AssetClass,$A14),"")</f>
        <v/>
      </c>
      <c r="F14" s="32" t="str">
        <f t="shared" ca="1" si="1"/>
        <v/>
      </c>
      <c r="G14" s="32" t="str" cm="1">
        <f t="array" aca="1" ref="G14" ca="1">IF(LEN($A14)&gt;1,SUMIFS(AssetDOB,AssetClass,$A14),"")</f>
        <v/>
      </c>
      <c r="H14" s="32" t="str" cm="1">
        <f t="array" aca="1" ref="H14" ca="1">IF(LEN($A14)&gt;1,SUMIFS(AssetDDep,AssetClass,$A14),"")</f>
        <v/>
      </c>
      <c r="I14" s="32" t="str" cm="1">
        <f t="array" aca="1" ref="I14" ca="1">IF(LEN($A14)&gt;1,SUMIFS(AssetDDis,AssetClass,$A14),"")</f>
        <v/>
      </c>
      <c r="J14" s="32" t="str">
        <f t="shared" ca="1" si="3"/>
        <v/>
      </c>
      <c r="K14" s="32" t="str">
        <f t="shared" ca="1" si="2"/>
        <v/>
      </c>
      <c r="L14" s="32" t="str" cm="1">
        <f t="array" aca="1" ref="L14" ca="1">IF(LEN($A14)&gt;1,SUMIFS(AssetPLoss,AssetClass,$A14),"")</f>
        <v/>
      </c>
      <c r="M14" s="32" t="str" cm="1">
        <f t="array" aca="1" ref="M14" ca="1">IF(LEN($A14)&gt;1,SUMIFS(AssetMDep,AssetClass,$A14),"")</f>
        <v/>
      </c>
    </row>
    <row r="15" spans="1:13" ht="16" customHeight="1" x14ac:dyDescent="0.25">
      <c r="A15" s="4" t="str" cm="1">
        <f t="array" aca="1" ref="A15" ca="1">IF(ROW($B15)-ROW($B$5)&gt;ClassCount,"",OFFSET('Set-up'!$A$16,ROW($B15)-ROW($B$5),0,1,1))</f>
        <v/>
      </c>
      <c r="B15" s="4" t="str">
        <f t="shared" ca="1" si="0"/>
        <v/>
      </c>
      <c r="C15" s="32" t="str" cm="1">
        <f t="array" aca="1" ref="C15" ca="1">IF(LEN($A15)&gt;1,SUMIFS(AssetCOB,AssetClass,$A15),"")</f>
        <v/>
      </c>
      <c r="D15" s="32" t="str" cm="1">
        <f t="array" aca="1" ref="D15" ca="1">IF(LEN($A15)&gt;1,SUMIFS(AssetCAdd,AssetClass,$A15),"")</f>
        <v/>
      </c>
      <c r="E15" s="32" t="str" cm="1">
        <f t="array" aca="1" ref="E15" ca="1">IF(LEN($A15)&gt;1,SUMIFS(AssetCDis,AssetClass,$A15),"")</f>
        <v/>
      </c>
      <c r="F15" s="32" t="str">
        <f t="shared" ca="1" si="1"/>
        <v/>
      </c>
      <c r="G15" s="32" t="str" cm="1">
        <f t="array" aca="1" ref="G15" ca="1">IF(LEN($A15)&gt;1,SUMIFS(AssetDOB,AssetClass,$A15),"")</f>
        <v/>
      </c>
      <c r="H15" s="32" t="str" cm="1">
        <f t="array" aca="1" ref="H15" ca="1">IF(LEN($A15)&gt;1,SUMIFS(AssetDDep,AssetClass,$A15),"")</f>
        <v/>
      </c>
      <c r="I15" s="32" t="str" cm="1">
        <f t="array" aca="1" ref="I15" ca="1">IF(LEN($A15)&gt;1,SUMIFS(AssetDDis,AssetClass,$A15),"")</f>
        <v/>
      </c>
      <c r="J15" s="32" t="str">
        <f t="shared" ca="1" si="3"/>
        <v/>
      </c>
      <c r="K15" s="32" t="str">
        <f t="shared" ca="1" si="2"/>
        <v/>
      </c>
      <c r="L15" s="32" t="str" cm="1">
        <f t="array" aca="1" ref="L15" ca="1">IF(LEN($A15)&gt;1,SUMIFS(AssetPLoss,AssetClass,$A15),"")</f>
        <v/>
      </c>
      <c r="M15" s="32" t="str" cm="1">
        <f t="array" aca="1" ref="M15" ca="1">IF(LEN($A15)&gt;1,SUMIFS(AssetMDep,AssetClass,$A15),"")</f>
        <v/>
      </c>
    </row>
    <row r="16" spans="1:13" ht="16" customHeight="1" x14ac:dyDescent="0.25">
      <c r="A16" s="4" t="str" cm="1">
        <f t="array" aca="1" ref="A16" ca="1">IF(ROW($B16)-ROW($B$5)&gt;ClassCount,"",OFFSET('Set-up'!$A$16,ROW($B16)-ROW($B$5),0,1,1))</f>
        <v/>
      </c>
      <c r="B16" s="4" t="str">
        <f t="shared" ca="1" si="0"/>
        <v/>
      </c>
      <c r="C16" s="32" t="str" cm="1">
        <f t="array" aca="1" ref="C16" ca="1">IF(LEN($A16)&gt;1,SUMIFS(AssetCOB,AssetClass,$A16),"")</f>
        <v/>
      </c>
      <c r="D16" s="32" t="str" cm="1">
        <f t="array" aca="1" ref="D16" ca="1">IF(LEN($A16)&gt;1,SUMIFS(AssetCAdd,AssetClass,$A16),"")</f>
        <v/>
      </c>
      <c r="E16" s="32" t="str" cm="1">
        <f t="array" aca="1" ref="E16" ca="1">IF(LEN($A16)&gt;1,SUMIFS(AssetCDis,AssetClass,$A16),"")</f>
        <v/>
      </c>
      <c r="F16" s="32" t="str">
        <f t="shared" ca="1" si="1"/>
        <v/>
      </c>
      <c r="G16" s="32" t="str" cm="1">
        <f t="array" aca="1" ref="G16" ca="1">IF(LEN($A16)&gt;1,SUMIFS(AssetDOB,AssetClass,$A16),"")</f>
        <v/>
      </c>
      <c r="H16" s="32" t="str" cm="1">
        <f t="array" aca="1" ref="H16" ca="1">IF(LEN($A16)&gt;1,SUMIFS(AssetDDep,AssetClass,$A16),"")</f>
        <v/>
      </c>
      <c r="I16" s="32" t="str" cm="1">
        <f t="array" aca="1" ref="I16" ca="1">IF(LEN($A16)&gt;1,SUMIFS(AssetDDis,AssetClass,$A16),"")</f>
        <v/>
      </c>
      <c r="J16" s="32" t="str">
        <f t="shared" ca="1" si="3"/>
        <v/>
      </c>
      <c r="K16" s="32" t="str">
        <f t="shared" ca="1" si="2"/>
        <v/>
      </c>
      <c r="L16" s="32" t="str" cm="1">
        <f t="array" aca="1" ref="L16" ca="1">IF(LEN($A16)&gt;1,SUMIFS(AssetPLoss,AssetClass,$A16),"")</f>
        <v/>
      </c>
      <c r="M16" s="32" t="str" cm="1">
        <f t="array" aca="1" ref="M16" ca="1">IF(LEN($A16)&gt;1,SUMIFS(AssetMDep,AssetClass,$A16),"")</f>
        <v/>
      </c>
    </row>
    <row r="17" spans="1:13" ht="16" customHeight="1" x14ac:dyDescent="0.25">
      <c r="A17" s="4" t="str" cm="1">
        <f t="array" aca="1" ref="A17" ca="1">IF(ROW($B17)-ROW($B$5)&gt;ClassCount,"",OFFSET('Set-up'!$A$16,ROW($B17)-ROW($B$5),0,1,1))</f>
        <v/>
      </c>
      <c r="B17" s="4" t="str">
        <f t="shared" ca="1" si="0"/>
        <v/>
      </c>
      <c r="C17" s="32" t="str" cm="1">
        <f t="array" aca="1" ref="C17" ca="1">IF(LEN($A17)&gt;1,SUMIFS(AssetCOB,AssetClass,$A17),"")</f>
        <v/>
      </c>
      <c r="D17" s="32" t="str" cm="1">
        <f t="array" aca="1" ref="D17" ca="1">IF(LEN($A17)&gt;1,SUMIFS(AssetCAdd,AssetClass,$A17),"")</f>
        <v/>
      </c>
      <c r="E17" s="32" t="str" cm="1">
        <f t="array" aca="1" ref="E17" ca="1">IF(LEN($A17)&gt;1,SUMIFS(AssetCDis,AssetClass,$A17),"")</f>
        <v/>
      </c>
      <c r="F17" s="32" t="str">
        <f t="shared" ca="1" si="1"/>
        <v/>
      </c>
      <c r="G17" s="32" t="str" cm="1">
        <f t="array" aca="1" ref="G17" ca="1">IF(LEN($A17)&gt;1,SUMIFS(AssetDOB,AssetClass,$A17),"")</f>
        <v/>
      </c>
      <c r="H17" s="32" t="str" cm="1">
        <f t="array" aca="1" ref="H17" ca="1">IF(LEN($A17)&gt;1,SUMIFS(AssetDDep,AssetClass,$A17),"")</f>
        <v/>
      </c>
      <c r="I17" s="32" t="str" cm="1">
        <f t="array" aca="1" ref="I17" ca="1">IF(LEN($A17)&gt;1,SUMIFS(AssetDDis,AssetClass,$A17),"")</f>
        <v/>
      </c>
      <c r="J17" s="32" t="str">
        <f t="shared" ca="1" si="3"/>
        <v/>
      </c>
      <c r="K17" s="32" t="str">
        <f t="shared" ca="1" si="2"/>
        <v/>
      </c>
      <c r="L17" s="32" t="str" cm="1">
        <f t="array" aca="1" ref="L17" ca="1">IF(LEN($A17)&gt;1,SUMIFS(AssetPLoss,AssetClass,$A17),"")</f>
        <v/>
      </c>
      <c r="M17" s="32" t="str" cm="1">
        <f t="array" aca="1" ref="M17" ca="1">IF(LEN($A17)&gt;1,SUMIFS(AssetMDep,AssetClass,$A17),"")</f>
        <v/>
      </c>
    </row>
    <row r="18" spans="1:13" ht="16" customHeight="1" x14ac:dyDescent="0.25">
      <c r="A18" s="4" t="str" cm="1">
        <f t="array" aca="1" ref="A18" ca="1">IF(ROW($B18)-ROW($B$5)&gt;ClassCount,"",OFFSET('Set-up'!$A$16,ROW($B18)-ROW($B$5),0,1,1))</f>
        <v/>
      </c>
      <c r="B18" s="4" t="str">
        <f t="shared" ca="1" si="0"/>
        <v/>
      </c>
      <c r="C18" s="32" t="str" cm="1">
        <f t="array" aca="1" ref="C18" ca="1">IF(LEN($A18)&gt;1,SUMIFS(AssetCOB,AssetClass,$A18),"")</f>
        <v/>
      </c>
      <c r="D18" s="32" t="str" cm="1">
        <f t="array" aca="1" ref="D18" ca="1">IF(LEN($A18)&gt;1,SUMIFS(AssetCAdd,AssetClass,$A18),"")</f>
        <v/>
      </c>
      <c r="E18" s="32" t="str" cm="1">
        <f t="array" aca="1" ref="E18" ca="1">IF(LEN($A18)&gt;1,SUMIFS(AssetCDis,AssetClass,$A18),"")</f>
        <v/>
      </c>
      <c r="F18" s="32" t="str">
        <f t="shared" ca="1" si="1"/>
        <v/>
      </c>
      <c r="G18" s="32" t="str" cm="1">
        <f t="array" aca="1" ref="G18" ca="1">IF(LEN($A18)&gt;1,SUMIFS(AssetDOB,AssetClass,$A18),"")</f>
        <v/>
      </c>
      <c r="H18" s="32" t="str" cm="1">
        <f t="array" aca="1" ref="H18" ca="1">IF(LEN($A18)&gt;1,SUMIFS(AssetDDep,AssetClass,$A18),"")</f>
        <v/>
      </c>
      <c r="I18" s="32" t="str" cm="1">
        <f t="array" aca="1" ref="I18" ca="1">IF(LEN($A18)&gt;1,SUMIFS(AssetDDis,AssetClass,$A18),"")</f>
        <v/>
      </c>
      <c r="J18" s="32" t="str">
        <f t="shared" ca="1" si="3"/>
        <v/>
      </c>
      <c r="K18" s="32" t="str">
        <f t="shared" ca="1" si="2"/>
        <v/>
      </c>
      <c r="L18" s="32" t="str" cm="1">
        <f t="array" aca="1" ref="L18" ca="1">IF(LEN($A18)&gt;1,SUMIFS(AssetPLoss,AssetClass,$A18),"")</f>
        <v/>
      </c>
      <c r="M18" s="32" t="str" cm="1">
        <f t="array" aca="1" ref="M18" ca="1">IF(LEN($A18)&gt;1,SUMIFS(AssetMDep,AssetClass,$A18),"")</f>
        <v/>
      </c>
    </row>
    <row r="19" spans="1:13" ht="16" customHeight="1" x14ac:dyDescent="0.25">
      <c r="A19" s="4" t="str" cm="1">
        <f t="array" aca="1" ref="A19" ca="1">IF(ROW($B19)-ROW($B$5)&gt;ClassCount,"",OFFSET('Set-up'!$A$16,ROW($B19)-ROW($B$5),0,1,1))</f>
        <v/>
      </c>
      <c r="B19" s="4" t="str">
        <f t="shared" ca="1" si="0"/>
        <v/>
      </c>
      <c r="C19" s="32" t="str" cm="1">
        <f t="array" aca="1" ref="C19" ca="1">IF(LEN($A19)&gt;1,SUMIFS(AssetCOB,AssetClass,$A19),"")</f>
        <v/>
      </c>
      <c r="D19" s="32" t="str" cm="1">
        <f t="array" aca="1" ref="D19" ca="1">IF(LEN($A19)&gt;1,SUMIFS(AssetCAdd,AssetClass,$A19),"")</f>
        <v/>
      </c>
      <c r="E19" s="32" t="str" cm="1">
        <f t="array" aca="1" ref="E19" ca="1">IF(LEN($A19)&gt;1,SUMIFS(AssetCDis,AssetClass,$A19),"")</f>
        <v/>
      </c>
      <c r="F19" s="32" t="str">
        <f t="shared" ca="1" si="1"/>
        <v/>
      </c>
      <c r="G19" s="32" t="str" cm="1">
        <f t="array" aca="1" ref="G19" ca="1">IF(LEN($A19)&gt;1,SUMIFS(AssetDOB,AssetClass,$A19),"")</f>
        <v/>
      </c>
      <c r="H19" s="32" t="str" cm="1">
        <f t="array" aca="1" ref="H19" ca="1">IF(LEN($A19)&gt;1,SUMIFS(AssetDDep,AssetClass,$A19),"")</f>
        <v/>
      </c>
      <c r="I19" s="32" t="str" cm="1">
        <f t="array" aca="1" ref="I19" ca="1">IF(LEN($A19)&gt;1,SUMIFS(AssetDDis,AssetClass,$A19),"")</f>
        <v/>
      </c>
      <c r="J19" s="32" t="str">
        <f t="shared" ca="1" si="3"/>
        <v/>
      </c>
      <c r="K19" s="32" t="str">
        <f t="shared" ca="1" si="2"/>
        <v/>
      </c>
      <c r="L19" s="32" t="str" cm="1">
        <f t="array" aca="1" ref="L19" ca="1">IF(LEN($A19)&gt;1,SUMIFS(AssetPLoss,AssetClass,$A19),"")</f>
        <v/>
      </c>
      <c r="M19" s="32" t="str" cm="1">
        <f t="array" aca="1" ref="M19" ca="1">IF(LEN($A19)&gt;1,SUMIFS(AssetMDep,AssetClass,$A19),"")</f>
        <v/>
      </c>
    </row>
    <row r="20" spans="1:13" ht="16" customHeight="1" x14ac:dyDescent="0.25">
      <c r="A20" s="4" t="str" cm="1">
        <f t="array" aca="1" ref="A20" ca="1">IF(ROW($B20)-ROW($B$5)&gt;ClassCount,"",OFFSET('Set-up'!$A$16,ROW($B20)-ROW($B$5),0,1,1))</f>
        <v/>
      </c>
      <c r="B20" s="4" t="str">
        <f t="shared" ca="1" si="0"/>
        <v/>
      </c>
      <c r="C20" s="32" t="str" cm="1">
        <f t="array" aca="1" ref="C20" ca="1">IF(LEN($A20)&gt;1,SUMIFS(AssetCOB,AssetClass,$A20),"")</f>
        <v/>
      </c>
      <c r="D20" s="32" t="str" cm="1">
        <f t="array" aca="1" ref="D20" ca="1">IF(LEN($A20)&gt;1,SUMIFS(AssetCAdd,AssetClass,$A20),"")</f>
        <v/>
      </c>
      <c r="E20" s="32" t="str" cm="1">
        <f t="array" aca="1" ref="E20" ca="1">IF(LEN($A20)&gt;1,SUMIFS(AssetCDis,AssetClass,$A20),"")</f>
        <v/>
      </c>
      <c r="F20" s="32" t="str">
        <f t="shared" ca="1" si="1"/>
        <v/>
      </c>
      <c r="G20" s="32" t="str" cm="1">
        <f t="array" aca="1" ref="G20" ca="1">IF(LEN($A20)&gt;1,SUMIFS(AssetDOB,AssetClass,$A20),"")</f>
        <v/>
      </c>
      <c r="H20" s="32" t="str" cm="1">
        <f t="array" aca="1" ref="H20" ca="1">IF(LEN($A20)&gt;1,SUMIFS(AssetDDep,AssetClass,$A20),"")</f>
        <v/>
      </c>
      <c r="I20" s="32" t="str" cm="1">
        <f t="array" aca="1" ref="I20" ca="1">IF(LEN($A20)&gt;1,SUMIFS(AssetDDis,AssetClass,$A20),"")</f>
        <v/>
      </c>
      <c r="J20" s="32" t="str">
        <f t="shared" ca="1" si="3"/>
        <v/>
      </c>
      <c r="K20" s="32" t="str">
        <f t="shared" ca="1" si="2"/>
        <v/>
      </c>
      <c r="L20" s="32" t="str" cm="1">
        <f t="array" aca="1" ref="L20" ca="1">IF(LEN($A20)&gt;1,SUMIFS(AssetPLoss,AssetClass,$A20),"")</f>
        <v/>
      </c>
      <c r="M20" s="32" t="str" cm="1">
        <f t="array" aca="1" ref="M20" ca="1">IF(LEN($A20)&gt;1,SUMIFS(AssetMDep,AssetClass,$A20),"")</f>
        <v/>
      </c>
    </row>
    <row r="21" spans="1:13" ht="16" customHeight="1" x14ac:dyDescent="0.25">
      <c r="A21" s="4" t="str" cm="1">
        <f t="array" aca="1" ref="A21" ca="1">IF(ROW($B21)-ROW($B$5)&gt;ClassCount,"",OFFSET('Set-up'!$A$16,ROW($B21)-ROW($B$5),0,1,1))</f>
        <v/>
      </c>
      <c r="B21" s="4" t="str">
        <f t="shared" ca="1" si="0"/>
        <v/>
      </c>
      <c r="C21" s="32" t="str" cm="1">
        <f t="array" aca="1" ref="C21" ca="1">IF(LEN($A21)&gt;1,SUMIFS(AssetCOB,AssetClass,$A21),"")</f>
        <v/>
      </c>
      <c r="D21" s="32" t="str" cm="1">
        <f t="array" aca="1" ref="D21" ca="1">IF(LEN($A21)&gt;1,SUMIFS(AssetCAdd,AssetClass,$A21),"")</f>
        <v/>
      </c>
      <c r="E21" s="32" t="str" cm="1">
        <f t="array" aca="1" ref="E21" ca="1">IF(LEN($A21)&gt;1,SUMIFS(AssetCDis,AssetClass,$A21),"")</f>
        <v/>
      </c>
      <c r="F21" s="32" t="str">
        <f t="shared" ca="1" si="1"/>
        <v/>
      </c>
      <c r="G21" s="32" t="str" cm="1">
        <f t="array" aca="1" ref="G21" ca="1">IF(LEN($A21)&gt;1,SUMIFS(AssetDOB,AssetClass,$A21),"")</f>
        <v/>
      </c>
      <c r="H21" s="32" t="str" cm="1">
        <f t="array" aca="1" ref="H21" ca="1">IF(LEN($A21)&gt;1,SUMIFS(AssetDDep,AssetClass,$A21),"")</f>
        <v/>
      </c>
      <c r="I21" s="32" t="str" cm="1">
        <f t="array" aca="1" ref="I21" ca="1">IF(LEN($A21)&gt;1,SUMIFS(AssetDDis,AssetClass,$A21),"")</f>
        <v/>
      </c>
      <c r="J21" s="32" t="str">
        <f t="shared" ca="1" si="3"/>
        <v/>
      </c>
      <c r="K21" s="32" t="str">
        <f t="shared" ca="1" si="2"/>
        <v/>
      </c>
      <c r="L21" s="32" t="str" cm="1">
        <f t="array" aca="1" ref="L21" ca="1">IF(LEN($A21)&gt;1,SUMIFS(AssetPLoss,AssetClass,$A21),"")</f>
        <v/>
      </c>
      <c r="M21" s="32" t="str" cm="1">
        <f t="array" aca="1" ref="M21" ca="1">IF(LEN($A21)&gt;1,SUMIFS(AssetMDep,AssetClass,$A21),"")</f>
        <v/>
      </c>
    </row>
    <row r="22" spans="1:13" ht="16" customHeight="1" x14ac:dyDescent="0.25">
      <c r="A22" s="4" t="str" cm="1">
        <f t="array" aca="1" ref="A22" ca="1">IF(ROW($B22)-ROW($B$5)&gt;ClassCount,"",OFFSET('Set-up'!$A$16,ROW($B22)-ROW($B$5),0,1,1))</f>
        <v/>
      </c>
      <c r="B22" s="4" t="str">
        <f t="shared" ca="1" si="0"/>
        <v/>
      </c>
      <c r="C22" s="32" t="str" cm="1">
        <f t="array" aca="1" ref="C22" ca="1">IF(LEN($A22)&gt;1,SUMIFS(AssetCOB,AssetClass,$A22),"")</f>
        <v/>
      </c>
      <c r="D22" s="32" t="str" cm="1">
        <f t="array" aca="1" ref="D22" ca="1">IF(LEN($A22)&gt;1,SUMIFS(AssetCAdd,AssetClass,$A22),"")</f>
        <v/>
      </c>
      <c r="E22" s="32" t="str" cm="1">
        <f t="array" aca="1" ref="E22" ca="1">IF(LEN($A22)&gt;1,SUMIFS(AssetCDis,AssetClass,$A22),"")</f>
        <v/>
      </c>
      <c r="F22" s="32" t="str">
        <f t="shared" ca="1" si="1"/>
        <v/>
      </c>
      <c r="G22" s="32" t="str" cm="1">
        <f t="array" aca="1" ref="G22" ca="1">IF(LEN($A22)&gt;1,SUMIFS(AssetDOB,AssetClass,$A22),"")</f>
        <v/>
      </c>
      <c r="H22" s="32" t="str" cm="1">
        <f t="array" aca="1" ref="H22" ca="1">IF(LEN($A22)&gt;1,SUMIFS(AssetDDep,AssetClass,$A22),"")</f>
        <v/>
      </c>
      <c r="I22" s="32" t="str" cm="1">
        <f t="array" aca="1" ref="I22" ca="1">IF(LEN($A22)&gt;1,SUMIFS(AssetDDis,AssetClass,$A22),"")</f>
        <v/>
      </c>
      <c r="J22" s="32" t="str">
        <f t="shared" ca="1" si="3"/>
        <v/>
      </c>
      <c r="K22" s="32" t="str">
        <f t="shared" ca="1" si="2"/>
        <v/>
      </c>
      <c r="L22" s="32" t="str" cm="1">
        <f t="array" aca="1" ref="L22" ca="1">IF(LEN($A22)&gt;1,SUMIFS(AssetPLoss,AssetClass,$A22),"")</f>
        <v/>
      </c>
      <c r="M22" s="32" t="str" cm="1">
        <f t="array" aca="1" ref="M22" ca="1">IF(LEN($A22)&gt;1,SUMIFS(AssetMDep,AssetClass,$A22),"")</f>
        <v/>
      </c>
    </row>
    <row r="23" spans="1:13" ht="16" customHeight="1" x14ac:dyDescent="0.25">
      <c r="A23" s="4" t="str" cm="1">
        <f t="array" aca="1" ref="A23" ca="1">IF(ROW($B23)-ROW($B$5)&gt;ClassCount,"",OFFSET('Set-up'!$A$16,ROW($B23)-ROW($B$5),0,1,1))</f>
        <v/>
      </c>
      <c r="B23" s="4" t="str">
        <f t="shared" ca="1" si="0"/>
        <v/>
      </c>
      <c r="C23" s="32" t="str" cm="1">
        <f t="array" aca="1" ref="C23" ca="1">IF(LEN($A23)&gt;1,SUMIFS(AssetCOB,AssetClass,$A23),"")</f>
        <v/>
      </c>
      <c r="D23" s="32" t="str" cm="1">
        <f t="array" aca="1" ref="D23" ca="1">IF(LEN($A23)&gt;1,SUMIFS(AssetCAdd,AssetClass,$A23),"")</f>
        <v/>
      </c>
      <c r="E23" s="32" t="str" cm="1">
        <f t="array" aca="1" ref="E23" ca="1">IF(LEN($A23)&gt;1,SUMIFS(AssetCDis,AssetClass,$A23),"")</f>
        <v/>
      </c>
      <c r="F23" s="32" t="str">
        <f t="shared" ca="1" si="1"/>
        <v/>
      </c>
      <c r="G23" s="32" t="str" cm="1">
        <f t="array" aca="1" ref="G23" ca="1">IF(LEN($A23)&gt;1,SUMIFS(AssetDOB,AssetClass,$A23),"")</f>
        <v/>
      </c>
      <c r="H23" s="32" t="str" cm="1">
        <f t="array" aca="1" ref="H23" ca="1">IF(LEN($A23)&gt;1,SUMIFS(AssetDDep,AssetClass,$A23),"")</f>
        <v/>
      </c>
      <c r="I23" s="32" t="str" cm="1">
        <f t="array" aca="1" ref="I23" ca="1">IF(LEN($A23)&gt;1,SUMIFS(AssetDDis,AssetClass,$A23),"")</f>
        <v/>
      </c>
      <c r="J23" s="32" t="str">
        <f t="shared" ca="1" si="3"/>
        <v/>
      </c>
      <c r="K23" s="32" t="str">
        <f t="shared" ca="1" si="2"/>
        <v/>
      </c>
      <c r="L23" s="32" t="str" cm="1">
        <f t="array" aca="1" ref="L23" ca="1">IF(LEN($A23)&gt;1,SUMIFS(AssetPLoss,AssetClass,$A23),"")</f>
        <v/>
      </c>
      <c r="M23" s="32" t="str" cm="1">
        <f t="array" aca="1" ref="M23" ca="1">IF(LEN($A23)&gt;1,SUMIFS(AssetMDep,AssetClass,$A23),"")</f>
        <v/>
      </c>
    </row>
    <row r="24" spans="1:13" ht="16" customHeight="1" x14ac:dyDescent="0.25">
      <c r="A24" s="4" t="str" cm="1">
        <f t="array" aca="1" ref="A24" ca="1">IF(ROW($B24)-ROW($B$5)&gt;ClassCount,"",OFFSET('Set-up'!$A$16,ROW($B24)-ROW($B$5),0,1,1))</f>
        <v/>
      </c>
      <c r="B24" s="4" t="str">
        <f t="shared" ca="1" si="0"/>
        <v/>
      </c>
      <c r="C24" s="32" t="str" cm="1">
        <f t="array" aca="1" ref="C24" ca="1">IF(LEN($A24)&gt;1,SUMIFS(AssetCOB,AssetClass,$A24),"")</f>
        <v/>
      </c>
      <c r="D24" s="32" t="str" cm="1">
        <f t="array" aca="1" ref="D24" ca="1">IF(LEN($A24)&gt;1,SUMIFS(AssetCAdd,AssetClass,$A24),"")</f>
        <v/>
      </c>
      <c r="E24" s="32" t="str" cm="1">
        <f t="array" aca="1" ref="E24" ca="1">IF(LEN($A24)&gt;1,SUMIFS(AssetCDis,AssetClass,$A24),"")</f>
        <v/>
      </c>
      <c r="F24" s="32" t="str">
        <f t="shared" ca="1" si="1"/>
        <v/>
      </c>
      <c r="G24" s="32" t="str" cm="1">
        <f t="array" aca="1" ref="G24" ca="1">IF(LEN($A24)&gt;1,SUMIFS(AssetDOB,AssetClass,$A24),"")</f>
        <v/>
      </c>
      <c r="H24" s="32" t="str" cm="1">
        <f t="array" aca="1" ref="H24" ca="1">IF(LEN($A24)&gt;1,SUMIFS(AssetDDep,AssetClass,$A24),"")</f>
        <v/>
      </c>
      <c r="I24" s="32" t="str" cm="1">
        <f t="array" aca="1" ref="I24" ca="1">IF(LEN($A24)&gt;1,SUMIFS(AssetDDis,AssetClass,$A24),"")</f>
        <v/>
      </c>
      <c r="J24" s="32" t="str">
        <f t="shared" ca="1" si="3"/>
        <v/>
      </c>
      <c r="K24" s="32" t="str">
        <f t="shared" ca="1" si="2"/>
        <v/>
      </c>
      <c r="L24" s="32" t="str" cm="1">
        <f t="array" aca="1" ref="L24" ca="1">IF(LEN($A24)&gt;1,SUMIFS(AssetPLoss,AssetClass,$A24),"")</f>
        <v/>
      </c>
      <c r="M24" s="32" t="str" cm="1">
        <f t="array" aca="1" ref="M24" ca="1">IF(LEN($A24)&gt;1,SUMIFS(AssetMDep,AssetClass,$A24),"")</f>
        <v/>
      </c>
    </row>
    <row r="25" spans="1:13" ht="16" customHeight="1" x14ac:dyDescent="0.25">
      <c r="A25" s="4" t="str" cm="1">
        <f t="array" aca="1" ref="A25" ca="1">IF(ROW($B25)-ROW($B$5)&gt;ClassCount,"",OFFSET('Set-up'!$A$16,ROW($B25)-ROW($B$5),0,1,1))</f>
        <v/>
      </c>
      <c r="B25" s="4" t="str">
        <f t="shared" ca="1" si="0"/>
        <v/>
      </c>
      <c r="C25" s="32" t="str" cm="1">
        <f t="array" aca="1" ref="C25" ca="1">IF(LEN($A25)&gt;1,SUMIFS(AssetCOB,AssetClass,$A25),"")</f>
        <v/>
      </c>
      <c r="D25" s="32" t="str" cm="1">
        <f t="array" aca="1" ref="D25" ca="1">IF(LEN($A25)&gt;1,SUMIFS(AssetCAdd,AssetClass,$A25),"")</f>
        <v/>
      </c>
      <c r="E25" s="32" t="str" cm="1">
        <f t="array" aca="1" ref="E25" ca="1">IF(LEN($A25)&gt;1,SUMIFS(AssetCDis,AssetClass,$A25),"")</f>
        <v/>
      </c>
      <c r="F25" s="32" t="str">
        <f t="shared" ca="1" si="1"/>
        <v/>
      </c>
      <c r="G25" s="32" t="str" cm="1">
        <f t="array" aca="1" ref="G25" ca="1">IF(LEN($A25)&gt;1,SUMIFS(AssetDOB,AssetClass,$A25),"")</f>
        <v/>
      </c>
      <c r="H25" s="32" t="str" cm="1">
        <f t="array" aca="1" ref="H25" ca="1">IF(LEN($A25)&gt;1,SUMIFS(AssetDDep,AssetClass,$A25),"")</f>
        <v/>
      </c>
      <c r="I25" s="32" t="str" cm="1">
        <f t="array" aca="1" ref="I25" ca="1">IF(LEN($A25)&gt;1,SUMIFS(AssetDDis,AssetClass,$A25),"")</f>
        <v/>
      </c>
      <c r="J25" s="32" t="str">
        <f t="shared" ca="1" si="3"/>
        <v/>
      </c>
      <c r="K25" s="32" t="str">
        <f t="shared" ca="1" si="2"/>
        <v/>
      </c>
      <c r="L25" s="32" t="str" cm="1">
        <f t="array" aca="1" ref="L25" ca="1">IF(LEN($A25)&gt;1,SUMIFS(AssetPLoss,AssetClass,$A25),"")</f>
        <v/>
      </c>
      <c r="M25" s="32" t="str" cm="1">
        <f t="array" aca="1" ref="M25" ca="1">IF(LEN($A25)&gt;1,SUMIFS(AssetMDep,AssetClass,$A25),"")</f>
        <v/>
      </c>
    </row>
    <row r="26" spans="1:13" ht="16" customHeight="1" x14ac:dyDescent="0.25">
      <c r="A26" s="4" t="str" cm="1">
        <f t="array" aca="1" ref="A26" ca="1">IF(ROW($B26)-ROW($B$5)&gt;ClassCount,"",OFFSET('Set-up'!$A$16,ROW($B26)-ROW($B$5),0,1,1))</f>
        <v/>
      </c>
      <c r="B26" s="4" t="str">
        <f t="shared" ca="1" si="0"/>
        <v/>
      </c>
      <c r="C26" s="32" t="str" cm="1">
        <f t="array" aca="1" ref="C26" ca="1">IF(LEN($A26)&gt;1,SUMIFS(AssetCOB,AssetClass,$A26),"")</f>
        <v/>
      </c>
      <c r="D26" s="32" t="str" cm="1">
        <f t="array" aca="1" ref="D26" ca="1">IF(LEN($A26)&gt;1,SUMIFS(AssetCAdd,AssetClass,$A26),"")</f>
        <v/>
      </c>
      <c r="E26" s="32" t="str" cm="1">
        <f t="array" aca="1" ref="E26" ca="1">IF(LEN($A26)&gt;1,SUMIFS(AssetCDis,AssetClass,$A26),"")</f>
        <v/>
      </c>
      <c r="F26" s="32" t="str">
        <f t="shared" ca="1" si="1"/>
        <v/>
      </c>
      <c r="G26" s="32" t="str" cm="1">
        <f t="array" aca="1" ref="G26" ca="1">IF(LEN($A26)&gt;1,SUMIFS(AssetDOB,AssetClass,$A26),"")</f>
        <v/>
      </c>
      <c r="H26" s="32" t="str" cm="1">
        <f t="array" aca="1" ref="H26" ca="1">IF(LEN($A26)&gt;1,SUMIFS(AssetDDep,AssetClass,$A26),"")</f>
        <v/>
      </c>
      <c r="I26" s="32" t="str" cm="1">
        <f t="array" aca="1" ref="I26" ca="1">IF(LEN($A26)&gt;1,SUMIFS(AssetDDis,AssetClass,$A26),"")</f>
        <v/>
      </c>
      <c r="J26" s="32" t="str">
        <f t="shared" ca="1" si="3"/>
        <v/>
      </c>
      <c r="K26" s="32" t="str">
        <f t="shared" ca="1" si="2"/>
        <v/>
      </c>
      <c r="L26" s="32" t="str" cm="1">
        <f t="array" aca="1" ref="L26" ca="1">IF(LEN($A26)&gt;1,SUMIFS(AssetPLoss,AssetClass,$A26),"")</f>
        <v/>
      </c>
      <c r="M26" s="32" t="str" cm="1">
        <f t="array" aca="1" ref="M26" ca="1">IF(LEN($A26)&gt;1,SUMIFS(AssetMDep,AssetClass,$A26),"")</f>
        <v/>
      </c>
    </row>
    <row r="27" spans="1:13" ht="16" customHeight="1" x14ac:dyDescent="0.25">
      <c r="A27" s="4" t="str" cm="1">
        <f t="array" aca="1" ref="A27" ca="1">IF(ROW($B27)-ROW($B$5)&gt;ClassCount,"",OFFSET('Set-up'!$A$16,ROW($B27)-ROW($B$5),0,1,1))</f>
        <v/>
      </c>
      <c r="B27" s="4" t="str">
        <f t="shared" ca="1" si="0"/>
        <v/>
      </c>
      <c r="C27" s="32" t="str" cm="1">
        <f t="array" aca="1" ref="C27" ca="1">IF(LEN($A27)&gt;1,SUMIFS(AssetCOB,AssetClass,$A27),"")</f>
        <v/>
      </c>
      <c r="D27" s="32" t="str" cm="1">
        <f t="array" aca="1" ref="D27" ca="1">IF(LEN($A27)&gt;1,SUMIFS(AssetCAdd,AssetClass,$A27),"")</f>
        <v/>
      </c>
      <c r="E27" s="32" t="str" cm="1">
        <f t="array" aca="1" ref="E27" ca="1">IF(LEN($A27)&gt;1,SUMIFS(AssetCDis,AssetClass,$A27),"")</f>
        <v/>
      </c>
      <c r="F27" s="32" t="str">
        <f t="shared" ca="1" si="1"/>
        <v/>
      </c>
      <c r="G27" s="32" t="str" cm="1">
        <f t="array" aca="1" ref="G27" ca="1">IF(LEN($A27)&gt;1,SUMIFS(AssetDOB,AssetClass,$A27),"")</f>
        <v/>
      </c>
      <c r="H27" s="32" t="str" cm="1">
        <f t="array" aca="1" ref="H27" ca="1">IF(LEN($A27)&gt;1,SUMIFS(AssetDDep,AssetClass,$A27),"")</f>
        <v/>
      </c>
      <c r="I27" s="32" t="str" cm="1">
        <f t="array" aca="1" ref="I27" ca="1">IF(LEN($A27)&gt;1,SUMIFS(AssetDDis,AssetClass,$A27),"")</f>
        <v/>
      </c>
      <c r="J27" s="32" t="str">
        <f t="shared" ca="1" si="3"/>
        <v/>
      </c>
      <c r="K27" s="32" t="str">
        <f t="shared" ca="1" si="2"/>
        <v/>
      </c>
      <c r="L27" s="32" t="str" cm="1">
        <f t="array" aca="1" ref="L27" ca="1">IF(LEN($A27)&gt;1,SUMIFS(AssetPLoss,AssetClass,$A27),"")</f>
        <v/>
      </c>
      <c r="M27" s="32" t="str" cm="1">
        <f t="array" aca="1" ref="M27" ca="1">IF(LEN($A27)&gt;1,SUMIFS(AssetMDep,AssetClass,$A27),"")</f>
        <v/>
      </c>
    </row>
    <row r="28" spans="1:13" ht="16" customHeight="1" x14ac:dyDescent="0.25">
      <c r="A28" s="4" t="str" cm="1">
        <f t="array" aca="1" ref="A28" ca="1">IF(ROW($B28)-ROW($B$5)&gt;ClassCount,"",OFFSET('Set-up'!$A$16,ROW($B28)-ROW($B$5),0,1,1))</f>
        <v/>
      </c>
      <c r="B28" s="4" t="str">
        <f t="shared" ca="1" si="0"/>
        <v/>
      </c>
      <c r="C28" s="32" t="str" cm="1">
        <f t="array" aca="1" ref="C28" ca="1">IF(LEN($A28)&gt;1,SUMIFS(AssetCOB,AssetClass,$A28),"")</f>
        <v/>
      </c>
      <c r="D28" s="32" t="str" cm="1">
        <f t="array" aca="1" ref="D28" ca="1">IF(LEN($A28)&gt;1,SUMIFS(AssetCAdd,AssetClass,$A28),"")</f>
        <v/>
      </c>
      <c r="E28" s="32" t="str" cm="1">
        <f t="array" aca="1" ref="E28" ca="1">IF(LEN($A28)&gt;1,SUMIFS(AssetCDis,AssetClass,$A28),"")</f>
        <v/>
      </c>
      <c r="F28" s="32" t="str">
        <f t="shared" ca="1" si="1"/>
        <v/>
      </c>
      <c r="G28" s="32" t="str" cm="1">
        <f t="array" aca="1" ref="G28" ca="1">IF(LEN($A28)&gt;1,SUMIFS(AssetDOB,AssetClass,$A28),"")</f>
        <v/>
      </c>
      <c r="H28" s="32" t="str" cm="1">
        <f t="array" aca="1" ref="H28" ca="1">IF(LEN($A28)&gt;1,SUMIFS(AssetDDep,AssetClass,$A28),"")</f>
        <v/>
      </c>
      <c r="I28" s="32" t="str" cm="1">
        <f t="array" aca="1" ref="I28" ca="1">IF(LEN($A28)&gt;1,SUMIFS(AssetDDis,AssetClass,$A28),"")</f>
        <v/>
      </c>
      <c r="J28" s="32" t="str">
        <f t="shared" ca="1" si="3"/>
        <v/>
      </c>
      <c r="K28" s="32" t="str">
        <f t="shared" ca="1" si="2"/>
        <v/>
      </c>
      <c r="L28" s="32" t="str" cm="1">
        <f t="array" aca="1" ref="L28" ca="1">IF(LEN($A28)&gt;1,SUMIFS(AssetPLoss,AssetClass,$A28),"")</f>
        <v/>
      </c>
      <c r="M28" s="32" t="str" cm="1">
        <f t="array" aca="1" ref="M28" ca="1">IF(LEN($A28)&gt;1,SUMIFS(AssetMDep,AssetClass,$A28),"")</f>
        <v/>
      </c>
    </row>
    <row r="29" spans="1:13" ht="16" customHeight="1" x14ac:dyDescent="0.25">
      <c r="A29" s="4" t="str" cm="1">
        <f t="array" aca="1" ref="A29" ca="1">IF(ROW($B29)-ROW($B$5)&gt;ClassCount,"",OFFSET('Set-up'!$A$16,ROW($B29)-ROW($B$5),0,1,1))</f>
        <v/>
      </c>
      <c r="B29" s="4" t="str">
        <f t="shared" ca="1" si="0"/>
        <v/>
      </c>
      <c r="C29" s="32" t="str" cm="1">
        <f t="array" aca="1" ref="C29" ca="1">IF(LEN($A29)&gt;1,SUMIFS(AssetCOB,AssetClass,$A29),"")</f>
        <v/>
      </c>
      <c r="D29" s="32" t="str" cm="1">
        <f t="array" aca="1" ref="D29" ca="1">IF(LEN($A29)&gt;1,SUMIFS(AssetCAdd,AssetClass,$A29),"")</f>
        <v/>
      </c>
      <c r="E29" s="32" t="str" cm="1">
        <f t="array" aca="1" ref="E29" ca="1">IF(LEN($A29)&gt;1,SUMIFS(AssetCDis,AssetClass,$A29),"")</f>
        <v/>
      </c>
      <c r="F29" s="32" t="str">
        <f t="shared" ca="1" si="1"/>
        <v/>
      </c>
      <c r="G29" s="32" t="str" cm="1">
        <f t="array" aca="1" ref="G29" ca="1">IF(LEN($A29)&gt;1,SUMIFS(AssetDOB,AssetClass,$A29),"")</f>
        <v/>
      </c>
      <c r="H29" s="32" t="str" cm="1">
        <f t="array" aca="1" ref="H29" ca="1">IF(LEN($A29)&gt;1,SUMIFS(AssetDDep,AssetClass,$A29),"")</f>
        <v/>
      </c>
      <c r="I29" s="32" t="str" cm="1">
        <f t="array" aca="1" ref="I29" ca="1">IF(LEN($A29)&gt;1,SUMIFS(AssetDDis,AssetClass,$A29),"")</f>
        <v/>
      </c>
      <c r="J29" s="32" t="str">
        <f t="shared" ca="1" si="3"/>
        <v/>
      </c>
      <c r="K29" s="32" t="str">
        <f t="shared" ca="1" si="2"/>
        <v/>
      </c>
      <c r="L29" s="32" t="str" cm="1">
        <f t="array" aca="1" ref="L29" ca="1">IF(LEN($A29)&gt;1,SUMIFS(AssetPLoss,AssetClass,$A29),"")</f>
        <v/>
      </c>
      <c r="M29" s="32" t="str" cm="1">
        <f t="array" aca="1" ref="M29" ca="1">IF(LEN($A29)&gt;1,SUMIFS(AssetMDep,AssetClass,$A29),"")</f>
        <v/>
      </c>
    </row>
    <row r="30" spans="1:13" ht="16" customHeight="1" x14ac:dyDescent="0.25">
      <c r="A30" s="4" t="str" cm="1">
        <f t="array" aca="1" ref="A30" ca="1">IF(ROW($B30)-ROW($B$5)&gt;ClassCount,"",OFFSET('Set-up'!$A$16,ROW($B30)-ROW($B$5),0,1,1))</f>
        <v/>
      </c>
      <c r="B30" s="4" t="str">
        <f t="shared" ca="1" si="0"/>
        <v/>
      </c>
      <c r="C30" s="32" t="str" cm="1">
        <f t="array" aca="1" ref="C30" ca="1">IF(LEN($A30)&gt;1,SUMIFS(AssetCOB,AssetClass,$A30),"")</f>
        <v/>
      </c>
      <c r="D30" s="32" t="str" cm="1">
        <f t="array" aca="1" ref="D30" ca="1">IF(LEN($A30)&gt;1,SUMIFS(AssetCAdd,AssetClass,$A30),"")</f>
        <v/>
      </c>
      <c r="E30" s="32" t="str" cm="1">
        <f t="array" aca="1" ref="E30" ca="1">IF(LEN($A30)&gt;1,SUMIFS(AssetCDis,AssetClass,$A30),"")</f>
        <v/>
      </c>
      <c r="F30" s="32" t="str">
        <f t="shared" ca="1" si="1"/>
        <v/>
      </c>
      <c r="G30" s="32" t="str" cm="1">
        <f t="array" aca="1" ref="G30" ca="1">IF(LEN($A30)&gt;1,SUMIFS(AssetDOB,AssetClass,$A30),"")</f>
        <v/>
      </c>
      <c r="H30" s="32" t="str" cm="1">
        <f t="array" aca="1" ref="H30" ca="1">IF(LEN($A30)&gt;1,SUMIFS(AssetDDep,AssetClass,$A30),"")</f>
        <v/>
      </c>
      <c r="I30" s="32" t="str" cm="1">
        <f t="array" aca="1" ref="I30" ca="1">IF(LEN($A30)&gt;1,SUMIFS(AssetDDis,AssetClass,$A30),"")</f>
        <v/>
      </c>
      <c r="J30" s="32" t="str">
        <f t="shared" ca="1" si="3"/>
        <v/>
      </c>
      <c r="K30" s="32" t="str">
        <f t="shared" ca="1" si="2"/>
        <v/>
      </c>
      <c r="L30" s="32" t="str" cm="1">
        <f t="array" aca="1" ref="L30" ca="1">IF(LEN($A30)&gt;1,SUMIFS(AssetPLoss,AssetClass,$A30),"")</f>
        <v/>
      </c>
      <c r="M30" s="32" t="str" cm="1">
        <f t="array" aca="1" ref="M30" ca="1">IF(LEN($A30)&gt;1,SUMIFS(AssetMDep,AssetClass,$A30),"")</f>
        <v/>
      </c>
    </row>
    <row r="31" spans="1:13" ht="16" customHeight="1" x14ac:dyDescent="0.25">
      <c r="A31" s="4" t="str" cm="1">
        <f t="array" aca="1" ref="A31" ca="1">IF(ROW($B31)-ROW($B$5)&gt;ClassCount,"",OFFSET('Set-up'!$A$16,ROW($B31)-ROW($B$5),0,1,1))</f>
        <v/>
      </c>
      <c r="B31" s="4" t="str">
        <f t="shared" ca="1" si="0"/>
        <v/>
      </c>
      <c r="C31" s="32" t="str" cm="1">
        <f t="array" aca="1" ref="C31" ca="1">IF(LEN($A31)&gt;1,SUMIFS(AssetCOB,AssetClass,$A31),"")</f>
        <v/>
      </c>
      <c r="D31" s="32" t="str" cm="1">
        <f t="array" aca="1" ref="D31" ca="1">IF(LEN($A31)&gt;1,SUMIFS(AssetCAdd,AssetClass,$A31),"")</f>
        <v/>
      </c>
      <c r="E31" s="32" t="str" cm="1">
        <f t="array" aca="1" ref="E31" ca="1">IF(LEN($A31)&gt;1,SUMIFS(AssetCDis,AssetClass,$A31),"")</f>
        <v/>
      </c>
      <c r="F31" s="32" t="str">
        <f t="shared" ca="1" si="1"/>
        <v/>
      </c>
      <c r="G31" s="32" t="str" cm="1">
        <f t="array" aca="1" ref="G31" ca="1">IF(LEN($A31)&gt;1,SUMIFS(AssetDOB,AssetClass,$A31),"")</f>
        <v/>
      </c>
      <c r="H31" s="32" t="str" cm="1">
        <f t="array" aca="1" ref="H31" ca="1">IF(LEN($A31)&gt;1,SUMIFS(AssetDDep,AssetClass,$A31),"")</f>
        <v/>
      </c>
      <c r="I31" s="32" t="str" cm="1">
        <f t="array" aca="1" ref="I31" ca="1">IF(LEN($A31)&gt;1,SUMIFS(AssetDDis,AssetClass,$A31),"")</f>
        <v/>
      </c>
      <c r="J31" s="32" t="str">
        <f t="shared" ca="1" si="3"/>
        <v/>
      </c>
      <c r="K31" s="32" t="str">
        <f t="shared" ca="1" si="2"/>
        <v/>
      </c>
      <c r="L31" s="32" t="str" cm="1">
        <f t="array" aca="1" ref="L31" ca="1">IF(LEN($A31)&gt;1,SUMIFS(AssetPLoss,AssetClass,$A31),"")</f>
        <v/>
      </c>
      <c r="M31" s="32" t="str" cm="1">
        <f t="array" aca="1" ref="M31" ca="1">IF(LEN($A31)&gt;1,SUMIFS(AssetMDep,AssetClass,$A31),"")</f>
        <v/>
      </c>
    </row>
    <row r="32" spans="1:13" ht="16" customHeight="1" x14ac:dyDescent="0.25">
      <c r="A32" s="4" t="str" cm="1">
        <f t="array" aca="1" ref="A32" ca="1">IF(ROW($B32)-ROW($B$5)&gt;ClassCount,"",OFFSET('Set-up'!$A$16,ROW($B32)-ROW($B$5),0,1,1))</f>
        <v/>
      </c>
      <c r="B32" s="4" t="str">
        <f t="shared" ca="1" si="0"/>
        <v/>
      </c>
      <c r="C32" s="32" t="str" cm="1">
        <f t="array" aca="1" ref="C32" ca="1">IF(LEN($A32)&gt;1,SUMIFS(AssetCOB,AssetClass,$A32),"")</f>
        <v/>
      </c>
      <c r="D32" s="32" t="str" cm="1">
        <f t="array" aca="1" ref="D32" ca="1">IF(LEN($A32)&gt;1,SUMIFS(AssetCAdd,AssetClass,$A32),"")</f>
        <v/>
      </c>
      <c r="E32" s="32" t="str" cm="1">
        <f t="array" aca="1" ref="E32" ca="1">IF(LEN($A32)&gt;1,SUMIFS(AssetCDis,AssetClass,$A32),"")</f>
        <v/>
      </c>
      <c r="F32" s="32" t="str">
        <f t="shared" ca="1" si="1"/>
        <v/>
      </c>
      <c r="G32" s="32" t="str" cm="1">
        <f t="array" aca="1" ref="G32" ca="1">IF(LEN($A32)&gt;1,SUMIFS(AssetDOB,AssetClass,$A32),"")</f>
        <v/>
      </c>
      <c r="H32" s="32" t="str" cm="1">
        <f t="array" aca="1" ref="H32" ca="1">IF(LEN($A32)&gt;1,SUMIFS(AssetDDep,AssetClass,$A32),"")</f>
        <v/>
      </c>
      <c r="I32" s="32" t="str" cm="1">
        <f t="array" aca="1" ref="I32" ca="1">IF(LEN($A32)&gt;1,SUMIFS(AssetDDis,AssetClass,$A32),"")</f>
        <v/>
      </c>
      <c r="J32" s="32" t="str">
        <f t="shared" ca="1" si="3"/>
        <v/>
      </c>
      <c r="K32" s="32" t="str">
        <f t="shared" ca="1" si="2"/>
        <v/>
      </c>
      <c r="L32" s="32" t="str" cm="1">
        <f t="array" aca="1" ref="L32" ca="1">IF(LEN($A32)&gt;1,SUMIFS(AssetPLoss,AssetClass,$A32),"")</f>
        <v/>
      </c>
      <c r="M32" s="32" t="str" cm="1">
        <f t="array" aca="1" ref="M32" ca="1">IF(LEN($A32)&gt;1,SUMIFS(AssetMDep,AssetClass,$A32),"")</f>
        <v/>
      </c>
    </row>
    <row r="33" spans="1:13" ht="16" customHeight="1" x14ac:dyDescent="0.25">
      <c r="A33" s="4" t="str" cm="1">
        <f t="array" aca="1" ref="A33" ca="1">IF(ROW($B33)-ROW($B$5)&gt;ClassCount,"",OFFSET('Set-up'!$A$16,ROW($B33)-ROW($B$5),0,1,1))</f>
        <v/>
      </c>
      <c r="B33" s="4" t="str">
        <f t="shared" ca="1" si="0"/>
        <v/>
      </c>
      <c r="C33" s="32" t="str" cm="1">
        <f t="array" aca="1" ref="C33" ca="1">IF(LEN($A33)&gt;1,SUMIFS(AssetCOB,AssetClass,$A33),"")</f>
        <v/>
      </c>
      <c r="D33" s="32" t="str" cm="1">
        <f t="array" aca="1" ref="D33" ca="1">IF(LEN($A33)&gt;1,SUMIFS(AssetCAdd,AssetClass,$A33),"")</f>
        <v/>
      </c>
      <c r="E33" s="32" t="str" cm="1">
        <f t="array" aca="1" ref="E33" ca="1">IF(LEN($A33)&gt;1,SUMIFS(AssetCDis,AssetClass,$A33),"")</f>
        <v/>
      </c>
      <c r="F33" s="32" t="str">
        <f t="shared" ca="1" si="1"/>
        <v/>
      </c>
      <c r="G33" s="32" t="str" cm="1">
        <f t="array" aca="1" ref="G33" ca="1">IF(LEN($A33)&gt;1,SUMIFS(AssetDOB,AssetClass,$A33),"")</f>
        <v/>
      </c>
      <c r="H33" s="32" t="str" cm="1">
        <f t="array" aca="1" ref="H33" ca="1">IF(LEN($A33)&gt;1,SUMIFS(AssetDDep,AssetClass,$A33),"")</f>
        <v/>
      </c>
      <c r="I33" s="32" t="str" cm="1">
        <f t="array" aca="1" ref="I33" ca="1">IF(LEN($A33)&gt;1,SUMIFS(AssetDDis,AssetClass,$A33),"")</f>
        <v/>
      </c>
      <c r="J33" s="32" t="str">
        <f t="shared" ca="1" si="3"/>
        <v/>
      </c>
      <c r="K33" s="32" t="str">
        <f t="shared" ca="1" si="2"/>
        <v/>
      </c>
      <c r="L33" s="32" t="str" cm="1">
        <f t="array" aca="1" ref="L33" ca="1">IF(LEN($A33)&gt;1,SUMIFS(AssetPLoss,AssetClass,$A33),"")</f>
        <v/>
      </c>
      <c r="M33" s="32" t="str" cm="1">
        <f t="array" aca="1" ref="M33" ca="1">IF(LEN($A33)&gt;1,SUMIFS(AssetMDep,AssetClass,$A33),"")</f>
        <v/>
      </c>
    </row>
    <row r="34" spans="1:13" ht="16" customHeight="1" x14ac:dyDescent="0.25">
      <c r="A34" s="4" t="str" cm="1">
        <f t="array" aca="1" ref="A34" ca="1">IF(ROW($B34)-ROW($B$5)&gt;ClassCount,"",OFFSET('Set-up'!$A$16,ROW($B34)-ROW($B$5),0,1,1))</f>
        <v/>
      </c>
      <c r="B34" s="4" t="str">
        <f t="shared" ca="1" si="0"/>
        <v/>
      </c>
      <c r="C34" s="32" t="str" cm="1">
        <f t="array" aca="1" ref="C34" ca="1">IF(LEN($A34)&gt;1,SUMIFS(AssetCOB,AssetClass,$A34),"")</f>
        <v/>
      </c>
      <c r="D34" s="32" t="str" cm="1">
        <f t="array" aca="1" ref="D34" ca="1">IF(LEN($A34)&gt;1,SUMIFS(AssetCAdd,AssetClass,$A34),"")</f>
        <v/>
      </c>
      <c r="E34" s="32" t="str" cm="1">
        <f t="array" aca="1" ref="E34" ca="1">IF(LEN($A34)&gt;1,SUMIFS(AssetCDis,AssetClass,$A34),"")</f>
        <v/>
      </c>
      <c r="F34" s="32" t="str">
        <f t="shared" ca="1" si="1"/>
        <v/>
      </c>
      <c r="G34" s="32" t="str" cm="1">
        <f t="array" aca="1" ref="G34" ca="1">IF(LEN($A34)&gt;1,SUMIFS(AssetDOB,AssetClass,$A34),"")</f>
        <v/>
      </c>
      <c r="H34" s="32" t="str" cm="1">
        <f t="array" aca="1" ref="H34" ca="1">IF(LEN($A34)&gt;1,SUMIFS(AssetDDep,AssetClass,$A34),"")</f>
        <v/>
      </c>
      <c r="I34" s="32" t="str" cm="1">
        <f t="array" aca="1" ref="I34" ca="1">IF(LEN($A34)&gt;1,SUMIFS(AssetDDis,AssetClass,$A34),"")</f>
        <v/>
      </c>
      <c r="J34" s="32" t="str">
        <f t="shared" ca="1" si="3"/>
        <v/>
      </c>
      <c r="K34" s="32" t="str">
        <f t="shared" ca="1" si="2"/>
        <v/>
      </c>
      <c r="L34" s="32" t="str" cm="1">
        <f t="array" aca="1" ref="L34" ca="1">IF(LEN($A34)&gt;1,SUMIFS(AssetPLoss,AssetClass,$A34),"")</f>
        <v/>
      </c>
      <c r="M34" s="32" t="str" cm="1">
        <f t="array" aca="1" ref="M34" ca="1">IF(LEN($A34)&gt;1,SUMIFS(AssetMDep,AssetClass,$A34),"")</f>
        <v/>
      </c>
    </row>
  </sheetData>
  <sheetProtection formatCells="0" formatColumns="0" formatRows="0"/>
  <mergeCells count="4">
    <mergeCell ref="C4:F4"/>
    <mergeCell ref="G4:J4"/>
    <mergeCell ref="K4:K5"/>
    <mergeCell ref="L4:L5"/>
  </mergeCells>
  <pageMargins left="0.55118110236220474" right="0.55118110236220474" top="0.59055118110236227" bottom="0.59055118110236227" header="0.39370078740157483" footer="0.39370078740157483"/>
  <pageSetup paperSize="9" scale="56" fitToHeight="0" orientation="landscape" r:id="rId1"/>
  <headerFooter>
    <oddFooter>&amp;C&amp;9Page &amp;P of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V35"/>
  <sheetViews>
    <sheetView zoomScale="95" zoomScaleNormal="95" workbookViewId="0">
      <pane xSplit="2" ySplit="5" topLeftCell="C6" activePane="bottomRight" state="frozen"/>
      <selection pane="topRight" activeCell="C1" sqref="C1"/>
      <selection pane="bottomLeft" activeCell="A6" sqref="A6"/>
      <selection pane="bottomRight" activeCell="A5" sqref="A5"/>
    </sheetView>
  </sheetViews>
  <sheetFormatPr defaultColWidth="9.08984375" defaultRowHeight="16" customHeight="1" x14ac:dyDescent="0.25"/>
  <cols>
    <col min="1" max="1" width="10.6328125" style="4" customWidth="1"/>
    <col min="2" max="2" width="33.6328125" style="4" customWidth="1"/>
    <col min="3" max="3" width="12.6328125" style="4" customWidth="1"/>
    <col min="4" max="4" width="15.6328125" style="4" customWidth="1"/>
    <col min="5" max="5" width="12.6328125" style="4" customWidth="1"/>
    <col min="6" max="6" width="15.6328125" style="4" customWidth="1"/>
    <col min="7" max="7" width="12.6328125" style="9" customWidth="1"/>
    <col min="8" max="8" width="15.6328125" style="59" customWidth="1"/>
    <col min="9" max="9" width="10.6328125" style="9" customWidth="1"/>
    <col min="10" max="10" width="15.6328125" style="59" customWidth="1"/>
    <col min="11" max="11" width="12.6328125" style="4" customWidth="1"/>
    <col min="12" max="12" width="15.6328125" style="4" customWidth="1"/>
    <col min="13" max="13" width="12.6328125" style="4" customWidth="1"/>
    <col min="14" max="14" width="15.6328125" style="4" customWidth="1"/>
    <col min="15" max="15" width="12.6328125" style="4" customWidth="1"/>
    <col min="16" max="16" width="15.6328125" style="4" customWidth="1"/>
    <col min="17" max="17" width="12.6328125" style="4" customWidth="1"/>
    <col min="18" max="18" width="15.6328125" style="4" customWidth="1"/>
    <col min="19" max="19" width="12.6328125" style="4" customWidth="1"/>
    <col min="20" max="20" width="15.6328125" style="4" customWidth="1"/>
    <col min="21" max="21" width="12.6328125" style="4" customWidth="1"/>
    <col min="22" max="22" width="15.6328125" style="4" customWidth="1"/>
    <col min="23" max="16384" width="9.08984375" style="4"/>
  </cols>
  <sheetData>
    <row r="1" spans="1:22" ht="16" customHeight="1" x14ac:dyDescent="0.3">
      <c r="A1" s="90" t="str">
        <f>'Set-up'!$C$5</f>
        <v>Example (Pty) Ltd</v>
      </c>
      <c r="H1" s="35"/>
      <c r="J1" s="35"/>
    </row>
    <row r="2" spans="1:22" ht="16" customHeight="1" x14ac:dyDescent="0.25">
      <c r="A2" s="19" t="s">
        <v>123</v>
      </c>
      <c r="D2" s="84" t="s">
        <v>126</v>
      </c>
      <c r="E2" s="12" t="s">
        <v>158</v>
      </c>
      <c r="H2" s="4"/>
      <c r="I2" s="4"/>
      <c r="J2" s="35"/>
    </row>
    <row r="3" spans="1:22" s="6" customFormat="1" ht="16" customHeight="1" x14ac:dyDescent="0.25">
      <c r="A3" s="19" t="str">
        <f ca="1">IF($E$2="MTD","From "&amp;TEXT(Assets!$J$2,"d mmmm yyyy")&amp;" to "&amp;TEXT(Assets!$I$2,"d mmmm yyyy"),"From "&amp;TEXT(Assets!$H$2,"d mmmm yyyy")&amp;" to "&amp;TEXT(Assets!$I$2,"d mmmm yyyy"))</f>
        <v>From 1 March 2020 to 28 February 2021</v>
      </c>
      <c r="D3" s="85" cm="1">
        <f t="array" aca="1" ref="D3" ca="1">SUBTOTAL(109,OFFSET(D$5,1,0,JnlCount,1))</f>
        <v>482567.27075903054</v>
      </c>
      <c r="F3" s="85" cm="1">
        <f t="array" aca="1" ref="F3" ca="1">SUBTOTAL(109,OFFSET(F$5,1,0,JnlCount,1))</f>
        <v>-482567.27075903054</v>
      </c>
      <c r="G3" s="19"/>
      <c r="H3" s="85" cm="1">
        <f t="array" aca="1" ref="H3" ca="1">SUBTOTAL(109,OFFSET(H$5,1,0,JnlCount,1))</f>
        <v>375919</v>
      </c>
      <c r="I3" s="19"/>
      <c r="J3" s="85" cm="1">
        <f t="array" aca="1" ref="J3" ca="1">SUBTOTAL(109,OFFSET(J$5,1,0,JnlCount,1))</f>
        <v>-375919</v>
      </c>
      <c r="L3" s="85" cm="1">
        <f t="array" aca="1" ref="L3" ca="1">SUBTOTAL(109,OFFSET(L$5,1,0,JnlCount,1))</f>
        <v>150000</v>
      </c>
      <c r="N3" s="85" cm="1">
        <f t="array" aca="1" ref="N3" ca="1">SUBTOTAL(109,OFFSET(N$5,1,0,JnlCount,1))</f>
        <v>-150000</v>
      </c>
      <c r="P3" s="85" cm="1">
        <f t="array" aca="1" ref="P3" ca="1">SUBTOTAL(109,OFFSET(P$5,1,0,JnlCount,1))</f>
        <v>660450</v>
      </c>
      <c r="R3" s="85" cm="1">
        <f t="array" aca="1" ref="R3" ca="1">SUBTOTAL(109,OFFSET(R$5,1,0,JnlCount,1))</f>
        <v>-660450</v>
      </c>
      <c r="T3" s="85" cm="1">
        <f t="array" aca="1" ref="T3" ca="1">SUBTOTAL(109,OFFSET(T$5,1,0,JnlCount,1))</f>
        <v>-660450</v>
      </c>
      <c r="V3" s="85" cm="1">
        <f t="array" aca="1" ref="V3" ca="1">SUBTOTAL(109,OFFSET(V$5,1,0,JnlCount,1))</f>
        <v>660450</v>
      </c>
    </row>
    <row r="4" spans="1:22" s="86" customFormat="1" ht="18" customHeight="1" x14ac:dyDescent="0.25">
      <c r="A4" s="46" t="s">
        <v>260</v>
      </c>
      <c r="C4" s="118" t="s">
        <v>293</v>
      </c>
      <c r="D4" s="119"/>
      <c r="E4" s="119"/>
      <c r="F4" s="120"/>
      <c r="G4" s="118" t="s">
        <v>100</v>
      </c>
      <c r="H4" s="119"/>
      <c r="I4" s="119"/>
      <c r="J4" s="120"/>
      <c r="K4" s="118" t="s">
        <v>130</v>
      </c>
      <c r="L4" s="119"/>
      <c r="M4" s="119"/>
      <c r="N4" s="120"/>
      <c r="O4" s="118" t="s">
        <v>129</v>
      </c>
      <c r="P4" s="119"/>
      <c r="Q4" s="119"/>
      <c r="R4" s="120"/>
      <c r="S4" s="118" t="s">
        <v>131</v>
      </c>
      <c r="T4" s="119"/>
      <c r="U4" s="119"/>
      <c r="V4" s="120"/>
    </row>
    <row r="5" spans="1:22" s="89" customFormat="1" ht="18" customHeight="1" x14ac:dyDescent="0.25">
      <c r="A5" s="87" t="s">
        <v>21</v>
      </c>
      <c r="B5" s="87" t="s">
        <v>5</v>
      </c>
      <c r="C5" s="87" t="s">
        <v>132</v>
      </c>
      <c r="D5" s="88" t="s">
        <v>84</v>
      </c>
      <c r="E5" s="87" t="s">
        <v>132</v>
      </c>
      <c r="F5" s="88" t="s">
        <v>84</v>
      </c>
      <c r="G5" s="87" t="s">
        <v>132</v>
      </c>
      <c r="H5" s="88" t="s">
        <v>84</v>
      </c>
      <c r="I5" s="87" t="s">
        <v>132</v>
      </c>
      <c r="J5" s="88" t="s">
        <v>84</v>
      </c>
      <c r="K5" s="87" t="s">
        <v>132</v>
      </c>
      <c r="L5" s="88" t="s">
        <v>84</v>
      </c>
      <c r="M5" s="87" t="s">
        <v>132</v>
      </c>
      <c r="N5" s="88" t="s">
        <v>84</v>
      </c>
      <c r="O5" s="87" t="s">
        <v>132</v>
      </c>
      <c r="P5" s="88" t="s">
        <v>84</v>
      </c>
      <c r="Q5" s="87" t="s">
        <v>132</v>
      </c>
      <c r="R5" s="88" t="s">
        <v>84</v>
      </c>
      <c r="S5" s="87" t="s">
        <v>132</v>
      </c>
      <c r="T5" s="88" t="s">
        <v>84</v>
      </c>
      <c r="U5" s="87" t="s">
        <v>132</v>
      </c>
      <c r="V5" s="88" t="s">
        <v>84</v>
      </c>
    </row>
    <row r="6" spans="1:22" ht="16" customHeight="1" x14ac:dyDescent="0.25">
      <c r="A6" s="4" t="str" cm="1">
        <f t="array" aca="1" ref="A6" ca="1">IF(ROW($B6)-ROW($B$5)&gt;CatCount,"",OFFSET('Set-up'!$A$26,ROW($B6)-ROW($B$5),0,1,1))</f>
        <v>LBU01</v>
      </c>
      <c r="B6" s="4" t="str">
        <f t="shared" ref="B6:B35" ca="1" si="0">IF(ISNA(VLOOKUP($A6,CatAll,3,0))=TRUE,"",VLOOKUP($A6,CatAll,3,0))</f>
        <v>Land &amp; Buildings</v>
      </c>
      <c r="C6" s="9" t="str" cm="1">
        <f t="array" aca="1" ref="C6" ca="1">IF(ROW($B6)-ROW($B$5)&gt;CatCount,"",OFFSET('Set-up'!$A$26,ROW($B6)-ROW($B$5),COLUMN('Set-up'!$F$26)-1,1,1))</f>
        <v>IS-401</v>
      </c>
      <c r="D6" s="59" cm="1">
        <f t="array" aca="1" ref="D6" ca="1">IF(LEN($A6)&gt;1,IF($E$2="MTD",SUMIFS(AssetMDep,AssetCat,$A6),SUMIFS(AssetDDep,AssetCat,$A6)),"")</f>
        <v>0</v>
      </c>
      <c r="E6" s="9" t="str" cm="1">
        <f t="array" aca="1" ref="E6" ca="1">IF(ROW($B6)-ROW($B$5)&gt;CatCount,"",OFFSET('Set-up'!$A$26,ROW($B6)-ROW($B$5),COLUMN('Set-up'!$E$26)-1,1,1))</f>
        <v>BS-151</v>
      </c>
      <c r="F6" s="59">
        <f t="shared" ref="F6:F35" ca="1" si="1">IF(LEN($A6)&gt;1,-D6,"")</f>
        <v>0</v>
      </c>
      <c r="G6" s="9" t="str" cm="1">
        <f t="array" aca="1" ref="G6" ca="1">IF(ROW($B6)-ROW($B$5)&gt;CatCount,"",OFFSET('Set-up'!$A$26,ROW($B6)-ROW($B$5),COLUMN('Set-up'!$D$26)-1,1,1))</f>
        <v>BS-101</v>
      </c>
      <c r="H6" s="59" cm="1">
        <f t="array" aca="1" ref="H6" ca="1">IF(LEN($A6)&gt;1,IF($E$2="MTD",SUMIFS(TransAmount,TransCat,$A6,TransIDDate,"&gt;="&amp;Assets!$J$2,TransIDDate,"&lt;"&amp;(Assets!$I$2+1),TransType,"ACQ"),SUMIFS(TransAmount,TransCat,$A6,TransIDDate,"&gt;="&amp;Assets!$H$2,TransIDDate,"&lt;"&amp;(Assets!$I$2+1),TransType,"ACQ")),"")</f>
        <v>0</v>
      </c>
      <c r="I6" s="9" t="str" cm="1">
        <f t="array" aca="1" ref="I6" ca="1">IF(ROW($B6)-ROW($B$5)&gt;CatCount,"","BANK")</f>
        <v>BANK</v>
      </c>
      <c r="J6" s="59">
        <f ca="1">IF(LEN($A6)&gt;1,-H6,"")</f>
        <v>0</v>
      </c>
      <c r="K6" s="9" t="str" cm="1">
        <f t="array" aca="1" ref="K6" ca="1">IF(ROW($B6)-ROW($B$5)&gt;CatCount,"","BANK")</f>
        <v>BANK</v>
      </c>
      <c r="L6" s="59" cm="1">
        <f t="array" aca="1" ref="L6" ca="1">IF(LEN($A6)&gt;1,IF($E$2="MTD",SUMIFS(TransProceeds,TransCat,$A6,TransIDDate,"&gt;="&amp;Assets!$J$2,TransIDDate,"&lt;"&amp;(Assets!$I$2+1),TransType,"DIS"),SUMIFS(TransProceeds,TransCat,$A6,TransIDDate,"&gt;="&amp;Assets!$H$2,TransIDDate,"&lt;"&amp;(Assets!$I$2+1),TransType,"DIS")),"")</f>
        <v>0</v>
      </c>
      <c r="M6" s="9" t="str" cm="1">
        <f t="array" aca="1" ref="M6" ca="1">IF(ROW($B6)-ROW($B$5)&gt;CatCount,"",OFFSET('Set-up'!$A$26,ROW($B6)-ROW($B$5),COLUMN('Set-up'!$G$26)-1,1,1))</f>
        <v>IS-408</v>
      </c>
      <c r="N6" s="59">
        <f t="shared" ref="N6:N35" ca="1" si="2">IF(LEN($A6)&gt;1,-L6,"")</f>
        <v>0</v>
      </c>
      <c r="O6" s="9" t="str" cm="1">
        <f t="array" aca="1" ref="O6" ca="1">IF(ROW($B6)-ROW($B$5)&gt;CatCount,"",OFFSET('Set-up'!$A$26,ROW($B6)-ROW($B$5),COLUMN('Set-up'!$G$26)-1,1,1))</f>
        <v>IS-408</v>
      </c>
      <c r="P6" s="59" cm="1">
        <f t="array" aca="1" ref="P6" ca="1">IF(LEN($A6)&gt;1,IF($E$2="MTD",SUMIFS(TransHCost,TransCat,$A6,TransIDDate,"&gt;="&amp;Assets!$J$2,TransIDDate,"&lt;"&amp;(Assets!$I$2+1),TransType,"DIS"),SUMIFS(TransHCost,TransCat,$A6,TransIDDate,"&gt;="&amp;Assets!$H$2,TransIDDate,"&lt;"&amp;(Assets!$I$2+1),TransType,"DIS")),"")</f>
        <v>0</v>
      </c>
      <c r="Q6" s="9" t="str" cm="1">
        <f t="array" aca="1" ref="Q6" ca="1">IF(ROW($B6)-ROW($B$5)&gt;CatCount,"",OFFSET('Set-up'!$A$26,ROW($B6)-ROW($B$5),COLUMN('Set-up'!$D$26)-1,1,1))</f>
        <v>BS-101</v>
      </c>
      <c r="R6" s="59">
        <f t="shared" ref="R6:R35" ca="1" si="3">IF(LEN($A6)&gt;1,-P6,"")</f>
        <v>0</v>
      </c>
      <c r="S6" s="9" t="str" cm="1">
        <f t="array" aca="1" ref="S6" ca="1">IF(ROW($B6)-ROW($B$5)&gt;CatCount,"",OFFSET('Set-up'!$A$26,ROW($B6)-ROW($B$5),COLUMN('Set-up'!$E$26)-1,1,1))</f>
        <v>BS-151</v>
      </c>
      <c r="T6" s="59" cm="1">
        <f t="array" aca="1" ref="T6" ca="1">IF(LEN($A6)&gt;1,IF($E$2="MTD",SUMIFS(AssetDDis,AssetCat,$A6,AssetDisDate,"&gt;="&amp;Assets!$J$2,AssetDisDate,"&lt;="&amp;Assets!$K$2),SUMIFS(AssetDDis,AssetCat,$A6)),"")</f>
        <v>0</v>
      </c>
      <c r="U6" s="9" t="str" cm="1">
        <f t="array" aca="1" ref="U6" ca="1">IF(ROW($B6)-ROW($B$5)&gt;CatCount,"",OFFSET('Set-up'!$A$26,ROW($B6)-ROW($B$5),COLUMN('Set-up'!$G$26)-1,1,1))</f>
        <v>IS-408</v>
      </c>
      <c r="V6" s="59">
        <f t="shared" ref="V6:V35" ca="1" si="4">IF(LEN($A6)&gt;1,-T6,"")</f>
        <v>0</v>
      </c>
    </row>
    <row r="7" spans="1:22" ht="16" customHeight="1" x14ac:dyDescent="0.25">
      <c r="A7" s="4" t="str" cm="1">
        <f t="array" aca="1" ref="A7" ca="1">IF(ROW($B7)-ROW($B$5)&gt;CatCount,"",OFFSET('Set-up'!$A$26,ROW($B7)-ROW($B$5),0,1,1))</f>
        <v>PPM01</v>
      </c>
      <c r="B7" s="4" t="str">
        <f t="shared" ca="1" si="0"/>
        <v>Main Production Plant</v>
      </c>
      <c r="C7" s="9" t="str" cm="1">
        <f t="array" aca="1" ref="C7" ca="1">IF(ROW($B7)-ROW($B$5)&gt;CatCount,"",OFFSET('Set-up'!$A$26,ROW($B7)-ROW($B$5),COLUMN('Set-up'!$F$26)-1,1,1))</f>
        <v>IS-402</v>
      </c>
      <c r="D7" s="59" cm="1">
        <f t="array" aca="1" ref="D7" ca="1">IF(LEN($A7)&gt;1,IF($E$2="MTD",SUMIFS(AssetMDep,AssetCat,$A7),SUMIFS(AssetDDep,AssetCat,$A7)),"")</f>
        <v>361048.99999999988</v>
      </c>
      <c r="E7" s="9" t="str" cm="1">
        <f t="array" aca="1" ref="E7" ca="1">IF(ROW($B7)-ROW($B$5)&gt;CatCount,"",OFFSET('Set-up'!$A$26,ROW($B7)-ROW($B$5),COLUMN('Set-up'!$E$26)-1,1,1))</f>
        <v>BS-152</v>
      </c>
      <c r="F7" s="59">
        <f t="shared" ca="1" si="1"/>
        <v>-361048.99999999988</v>
      </c>
      <c r="G7" s="9" t="str" cm="1">
        <f t="array" aca="1" ref="G7" ca="1">IF(ROW($B7)-ROW($B$5)&gt;CatCount,"",OFFSET('Set-up'!$A$26,ROW($B7)-ROW($B$5),COLUMN('Set-up'!$D$26)-1,1,1))</f>
        <v>BS-102</v>
      </c>
      <c r="H7" s="59" cm="1">
        <f t="array" aca="1" ref="H7" ca="1">IF(LEN($A7)&gt;1,IF($E$2="MTD",SUMIFS(TransAmount,TransCat,$A7,TransIDDate,"&gt;="&amp;Assets!$J$2,TransIDDate,"&lt;"&amp;(Assets!$I$2+1),TransType,"ACQ"),SUMIFS(TransAmount,TransCat,$A7,TransIDDate,"&gt;="&amp;Assets!$H$2,TransIDDate,"&lt;"&amp;(Assets!$I$2+1),TransType,"ACQ")),"")</f>
        <v>68420</v>
      </c>
      <c r="I7" s="9" t="str" cm="1">
        <f t="array" aca="1" ref="I7" ca="1">IF(ROW($B7)-ROW($B$5)&gt;CatCount,"","BANK")</f>
        <v>BANK</v>
      </c>
      <c r="J7" s="59">
        <f t="shared" ref="J7:J35" ca="1" si="5">IF(LEN($A7)&gt;1,-H7,"")</f>
        <v>-68420</v>
      </c>
      <c r="K7" s="9" t="str" cm="1">
        <f t="array" aca="1" ref="K7" ca="1">IF(ROW($B7)-ROW($B$5)&gt;CatCount,"","BANK")</f>
        <v>BANK</v>
      </c>
      <c r="L7" s="59" cm="1">
        <f t="array" aca="1" ref="L7" ca="1">IF(LEN($A7)&gt;1,IF($E$2="MTD",SUMIFS(TransProceeds,TransCat,$A7,TransIDDate,"&gt;="&amp;Assets!$J$2,TransIDDate,"&lt;"&amp;(Assets!$I$2+1),TransType,"DIS"),SUMIFS(TransProceeds,TransCat,$A7,TransIDDate,"&gt;="&amp;Assets!$H$2,TransIDDate,"&lt;"&amp;(Assets!$I$2+1),TransType,"DIS")),"")</f>
        <v>150000</v>
      </c>
      <c r="M7" s="9" t="str" cm="1">
        <f t="array" aca="1" ref="M7" ca="1">IF(ROW($B7)-ROW($B$5)&gt;CatCount,"",OFFSET('Set-up'!$A$26,ROW($B7)-ROW($B$5),COLUMN('Set-up'!$G$26)-1,1,1))</f>
        <v>IS-408</v>
      </c>
      <c r="N7" s="59">
        <f t="shared" ca="1" si="2"/>
        <v>-150000</v>
      </c>
      <c r="O7" s="9" t="str" cm="1">
        <f t="array" aca="1" ref="O7" ca="1">IF(ROW($B7)-ROW($B$5)&gt;CatCount,"",OFFSET('Set-up'!$A$26,ROW($B7)-ROW($B$5),COLUMN('Set-up'!$G$26)-1,1,1))</f>
        <v>IS-408</v>
      </c>
      <c r="P7" s="59" cm="1">
        <f t="array" aca="1" ref="P7" ca="1">IF(LEN($A7)&gt;1,IF($E$2="MTD",SUMIFS(TransHCost,TransCat,$A7,TransIDDate,"&gt;="&amp;Assets!$J$2,TransIDDate,"&lt;"&amp;(Assets!$I$2+1),TransType,"DIS"),SUMIFS(TransHCost,TransCat,$A7,TransIDDate,"&gt;="&amp;Assets!$H$2,TransIDDate,"&lt;"&amp;(Assets!$I$2+1),TransType,"DIS")),"")</f>
        <v>660450</v>
      </c>
      <c r="Q7" s="9" t="str" cm="1">
        <f t="array" aca="1" ref="Q7" ca="1">IF(ROW($B7)-ROW($B$5)&gt;CatCount,"",OFFSET('Set-up'!$A$26,ROW($B7)-ROW($B$5),COLUMN('Set-up'!$D$26)-1,1,1))</f>
        <v>BS-102</v>
      </c>
      <c r="R7" s="59">
        <f t="shared" ca="1" si="3"/>
        <v>-660450</v>
      </c>
      <c r="S7" s="9" t="str" cm="1">
        <f t="array" aca="1" ref="S7" ca="1">IF(ROW($B7)-ROW($B$5)&gt;CatCount,"",OFFSET('Set-up'!$A$26,ROW($B7)-ROW($B$5),COLUMN('Set-up'!$E$26)-1,1,1))</f>
        <v>BS-152</v>
      </c>
      <c r="T7" s="59" cm="1">
        <f t="array" aca="1" ref="T7" ca="1">IF(LEN($A7)&gt;1,IF($E$2="MTD",SUMIFS(AssetDDis,AssetCat,$A7,AssetDisDate,"&gt;="&amp;Assets!$J$2,AssetDisDate,"&lt;="&amp;Assets!$K$2),SUMIFS(AssetDDis,AssetCat,$A7)),"")</f>
        <v>-660450</v>
      </c>
      <c r="U7" s="9" t="str" cm="1">
        <f t="array" aca="1" ref="U7" ca="1">IF(ROW($B7)-ROW($B$5)&gt;CatCount,"",OFFSET('Set-up'!$A$26,ROW($B7)-ROW($B$5),COLUMN('Set-up'!$G$26)-1,1,1))</f>
        <v>IS-408</v>
      </c>
      <c r="V7" s="59">
        <f t="shared" ca="1" si="4"/>
        <v>660450</v>
      </c>
    </row>
    <row r="8" spans="1:22" ht="16" customHeight="1" x14ac:dyDescent="0.25">
      <c r="A8" s="4" t="str" cm="1">
        <f t="array" aca="1" ref="A8" ca="1">IF(ROW($B8)-ROW($B$5)&gt;CatCount,"",OFFSET('Set-up'!$A$26,ROW($B8)-ROW($B$5),0,1,1))</f>
        <v>PPS02</v>
      </c>
      <c r="B8" s="4" t="str">
        <f t="shared" ca="1" si="0"/>
        <v>Secondary Plant</v>
      </c>
      <c r="C8" s="9" t="str" cm="1">
        <f t="array" aca="1" ref="C8" ca="1">IF(ROW($B8)-ROW($B$5)&gt;CatCount,"",OFFSET('Set-up'!$A$26,ROW($B8)-ROW($B$5),COLUMN('Set-up'!$F$26)-1,1,1))</f>
        <v>IS-403</v>
      </c>
      <c r="D8" s="59" cm="1">
        <f t="array" aca="1" ref="D8" ca="1">IF(LEN($A8)&gt;1,IF($E$2="MTD",SUMIFS(AssetMDep,AssetCat,$A8),SUMIFS(AssetDDep,AssetCat,$A8)),"")</f>
        <v>0</v>
      </c>
      <c r="E8" s="9" t="str" cm="1">
        <f t="array" aca="1" ref="E8" ca="1">IF(ROW($B8)-ROW($B$5)&gt;CatCount,"",OFFSET('Set-up'!$A$26,ROW($B8)-ROW($B$5),COLUMN('Set-up'!$E$26)-1,1,1))</f>
        <v>BS-153</v>
      </c>
      <c r="F8" s="59">
        <f t="shared" ca="1" si="1"/>
        <v>0</v>
      </c>
      <c r="G8" s="9" t="str" cm="1">
        <f t="array" aca="1" ref="G8" ca="1">IF(ROW($B8)-ROW($B$5)&gt;CatCount,"",OFFSET('Set-up'!$A$26,ROW($B8)-ROW($B$5),COLUMN('Set-up'!$D$26)-1,1,1))</f>
        <v>BS-103</v>
      </c>
      <c r="H8" s="59" cm="1">
        <f t="array" aca="1" ref="H8" ca="1">IF(LEN($A8)&gt;1,IF($E$2="MTD",SUMIFS(TransAmount,TransCat,$A8,TransIDDate,"&gt;="&amp;Assets!$J$2,TransIDDate,"&lt;"&amp;(Assets!$I$2+1),TransType,"ACQ"),SUMIFS(TransAmount,TransCat,$A8,TransIDDate,"&gt;="&amp;Assets!$H$2,TransIDDate,"&lt;"&amp;(Assets!$I$2+1),TransType,"ACQ")),"")</f>
        <v>0</v>
      </c>
      <c r="I8" s="9" t="str" cm="1">
        <f t="array" aca="1" ref="I8" ca="1">IF(ROW($B8)-ROW($B$5)&gt;CatCount,"","BANK")</f>
        <v>BANK</v>
      </c>
      <c r="J8" s="59">
        <f t="shared" ca="1" si="5"/>
        <v>0</v>
      </c>
      <c r="K8" s="9" t="str" cm="1">
        <f t="array" aca="1" ref="K8" ca="1">IF(ROW($B8)-ROW($B$5)&gt;CatCount,"","BANK")</f>
        <v>BANK</v>
      </c>
      <c r="L8" s="59" cm="1">
        <f t="array" aca="1" ref="L8" ca="1">IF(LEN($A8)&gt;1,IF($E$2="MTD",SUMIFS(TransProceeds,TransCat,$A8,TransIDDate,"&gt;="&amp;Assets!$J$2,TransIDDate,"&lt;"&amp;(Assets!$I$2+1),TransType,"DIS"),SUMIFS(TransProceeds,TransCat,$A8,TransIDDate,"&gt;="&amp;Assets!$H$2,TransIDDate,"&lt;"&amp;(Assets!$I$2+1),TransType,"DIS")),"")</f>
        <v>0</v>
      </c>
      <c r="M8" s="9" t="str" cm="1">
        <f t="array" aca="1" ref="M8" ca="1">IF(ROW($B8)-ROW($B$5)&gt;CatCount,"",OFFSET('Set-up'!$A$26,ROW($B8)-ROW($B$5),COLUMN('Set-up'!$G$26)-1,1,1))</f>
        <v>IS-408</v>
      </c>
      <c r="N8" s="59">
        <f t="shared" ca="1" si="2"/>
        <v>0</v>
      </c>
      <c r="O8" s="9" t="str" cm="1">
        <f t="array" aca="1" ref="O8" ca="1">IF(ROW($B8)-ROW($B$5)&gt;CatCount,"",OFFSET('Set-up'!$A$26,ROW($B8)-ROW($B$5),COLUMN('Set-up'!$G$26)-1,1,1))</f>
        <v>IS-408</v>
      </c>
      <c r="P8" s="59" cm="1">
        <f t="array" aca="1" ref="P8" ca="1">IF(LEN($A8)&gt;1,IF($E$2="MTD",SUMIFS(TransHCost,TransCat,$A8,TransIDDate,"&gt;="&amp;Assets!$J$2,TransIDDate,"&lt;"&amp;(Assets!$I$2+1),TransType,"DIS"),SUMIFS(TransHCost,TransCat,$A8,TransIDDate,"&gt;="&amp;Assets!$H$2,TransIDDate,"&lt;"&amp;(Assets!$I$2+1),TransType,"DIS")),"")</f>
        <v>0</v>
      </c>
      <c r="Q8" s="9" t="str" cm="1">
        <f t="array" aca="1" ref="Q8" ca="1">IF(ROW($B8)-ROW($B$5)&gt;CatCount,"",OFFSET('Set-up'!$A$26,ROW($B8)-ROW($B$5),COLUMN('Set-up'!$D$26)-1,1,1))</f>
        <v>BS-103</v>
      </c>
      <c r="R8" s="59">
        <f t="shared" ca="1" si="3"/>
        <v>0</v>
      </c>
      <c r="S8" s="9" t="str" cm="1">
        <f t="array" aca="1" ref="S8" ca="1">IF(ROW($B8)-ROW($B$5)&gt;CatCount,"",OFFSET('Set-up'!$A$26,ROW($B8)-ROW($B$5),COLUMN('Set-up'!$E$26)-1,1,1))</f>
        <v>BS-153</v>
      </c>
      <c r="T8" s="59" cm="1">
        <f t="array" aca="1" ref="T8" ca="1">IF(LEN($A8)&gt;1,IF($E$2="MTD",SUMIFS(AssetDDis,AssetCat,$A8,AssetDisDate,"&gt;="&amp;Assets!$J$2,AssetDisDate,"&lt;="&amp;Assets!$K$2),SUMIFS(AssetDDis,AssetCat,$A8)),"")</f>
        <v>0</v>
      </c>
      <c r="U8" s="9" t="str" cm="1">
        <f t="array" aca="1" ref="U8" ca="1">IF(ROW($B8)-ROW($B$5)&gt;CatCount,"",OFFSET('Set-up'!$A$26,ROW($B8)-ROW($B$5),COLUMN('Set-up'!$G$26)-1,1,1))</f>
        <v>IS-408</v>
      </c>
      <c r="V8" s="59">
        <f t="shared" ca="1" si="4"/>
        <v>0</v>
      </c>
    </row>
    <row r="9" spans="1:22" ht="16" customHeight="1" x14ac:dyDescent="0.25">
      <c r="A9" s="4" t="str" cm="1">
        <f t="array" aca="1" ref="A9" ca="1">IF(ROW($B9)-ROW($B$5)&gt;CatCount,"",OFFSET('Set-up'!$A$26,ROW($B9)-ROW($B$5),0,1,1))</f>
        <v>EQP01</v>
      </c>
      <c r="B9" s="4" t="str">
        <f t="shared" ca="1" si="0"/>
        <v>Primary Equipment</v>
      </c>
      <c r="C9" s="9" t="str" cm="1">
        <f t="array" aca="1" ref="C9" ca="1">IF(ROW($B9)-ROW($B$5)&gt;CatCount,"",OFFSET('Set-up'!$A$26,ROW($B9)-ROW($B$5),COLUMN('Set-up'!$F$26)-1,1,1))</f>
        <v>IS-404</v>
      </c>
      <c r="D9" s="59" cm="1">
        <f t="array" aca="1" ref="D9" ca="1">IF(LEN($A9)&gt;1,IF($E$2="MTD",SUMIFS(AssetMDep,AssetCat,$A9),SUMIFS(AssetDDep,AssetCat,$A9)),"")</f>
        <v>38773.283333333326</v>
      </c>
      <c r="E9" s="9" t="str" cm="1">
        <f t="array" aca="1" ref="E9" ca="1">IF(ROW($B9)-ROW($B$5)&gt;CatCount,"",OFFSET('Set-up'!$A$26,ROW($B9)-ROW($B$5),COLUMN('Set-up'!$E$26)-1,1,1))</f>
        <v>BS-154</v>
      </c>
      <c r="F9" s="59">
        <f t="shared" ca="1" si="1"/>
        <v>-38773.283333333326</v>
      </c>
      <c r="G9" s="9" t="str" cm="1">
        <f t="array" aca="1" ref="G9" ca="1">IF(ROW($B9)-ROW($B$5)&gt;CatCount,"",OFFSET('Set-up'!$A$26,ROW($B9)-ROW($B$5),COLUMN('Set-up'!$D$26)-1,1,1))</f>
        <v>BS-104</v>
      </c>
      <c r="H9" s="59" cm="1">
        <f t="array" aca="1" ref="H9" ca="1">IF(LEN($A9)&gt;1,IF($E$2="MTD",SUMIFS(TransAmount,TransCat,$A9,TransIDDate,"&gt;="&amp;Assets!$J$2,TransIDDate,"&lt;"&amp;(Assets!$I$2+1),TransType,"ACQ"),SUMIFS(TransAmount,TransCat,$A9,TransIDDate,"&gt;="&amp;Assets!$H$2,TransIDDate,"&lt;"&amp;(Assets!$I$2+1),TransType,"ACQ")),"")</f>
        <v>18999</v>
      </c>
      <c r="I9" s="9" t="str" cm="1">
        <f t="array" aca="1" ref="I9" ca="1">IF(ROW($B9)-ROW($B$5)&gt;CatCount,"","BANK")</f>
        <v>BANK</v>
      </c>
      <c r="J9" s="59">
        <f t="shared" ca="1" si="5"/>
        <v>-18999</v>
      </c>
      <c r="K9" s="9" t="str" cm="1">
        <f t="array" aca="1" ref="K9" ca="1">IF(ROW($B9)-ROW($B$5)&gt;CatCount,"","BANK")</f>
        <v>BANK</v>
      </c>
      <c r="L9" s="59" cm="1">
        <f t="array" aca="1" ref="L9" ca="1">IF(LEN($A9)&gt;1,IF($E$2="MTD",SUMIFS(TransProceeds,TransCat,$A9,TransIDDate,"&gt;="&amp;Assets!$J$2,TransIDDate,"&lt;"&amp;(Assets!$I$2+1),TransType,"DIS"),SUMIFS(TransProceeds,TransCat,$A9,TransIDDate,"&gt;="&amp;Assets!$H$2,TransIDDate,"&lt;"&amp;(Assets!$I$2+1),TransType,"DIS")),"")</f>
        <v>0</v>
      </c>
      <c r="M9" s="9" t="str" cm="1">
        <f t="array" aca="1" ref="M9" ca="1">IF(ROW($B9)-ROW($B$5)&gt;CatCount,"",OFFSET('Set-up'!$A$26,ROW($B9)-ROW($B$5),COLUMN('Set-up'!$G$26)-1,1,1))</f>
        <v>IS-408</v>
      </c>
      <c r="N9" s="59">
        <f t="shared" ca="1" si="2"/>
        <v>0</v>
      </c>
      <c r="O9" s="9" t="str" cm="1">
        <f t="array" aca="1" ref="O9" ca="1">IF(ROW($B9)-ROW($B$5)&gt;CatCount,"",OFFSET('Set-up'!$A$26,ROW($B9)-ROW($B$5),COLUMN('Set-up'!$G$26)-1,1,1))</f>
        <v>IS-408</v>
      </c>
      <c r="P9" s="59" cm="1">
        <f t="array" aca="1" ref="P9" ca="1">IF(LEN($A9)&gt;1,IF($E$2="MTD",SUMIFS(TransHCost,TransCat,$A9,TransIDDate,"&gt;="&amp;Assets!$J$2,TransIDDate,"&lt;"&amp;(Assets!$I$2+1),TransType,"DIS"),SUMIFS(TransHCost,TransCat,$A9,TransIDDate,"&gt;="&amp;Assets!$H$2,TransIDDate,"&lt;"&amp;(Assets!$I$2+1),TransType,"DIS")),"")</f>
        <v>0</v>
      </c>
      <c r="Q9" s="9" t="str" cm="1">
        <f t="array" aca="1" ref="Q9" ca="1">IF(ROW($B9)-ROW($B$5)&gt;CatCount,"",OFFSET('Set-up'!$A$26,ROW($B9)-ROW($B$5),COLUMN('Set-up'!$D$26)-1,1,1))</f>
        <v>BS-104</v>
      </c>
      <c r="R9" s="59">
        <f t="shared" ca="1" si="3"/>
        <v>0</v>
      </c>
      <c r="S9" s="9" t="str" cm="1">
        <f t="array" aca="1" ref="S9" ca="1">IF(ROW($B9)-ROW($B$5)&gt;CatCount,"",OFFSET('Set-up'!$A$26,ROW($B9)-ROW($B$5),COLUMN('Set-up'!$E$26)-1,1,1))</f>
        <v>BS-154</v>
      </c>
      <c r="T9" s="59" cm="1">
        <f t="array" aca="1" ref="T9" ca="1">IF(LEN($A9)&gt;1,IF($E$2="MTD",SUMIFS(AssetDDis,AssetCat,$A9,AssetDisDate,"&gt;="&amp;Assets!$J$2,AssetDisDate,"&lt;="&amp;Assets!$K$2),SUMIFS(AssetDDis,AssetCat,$A9)),"")</f>
        <v>0</v>
      </c>
      <c r="U9" s="9" t="str" cm="1">
        <f t="array" aca="1" ref="U9" ca="1">IF(ROW($B9)-ROW($B$5)&gt;CatCount,"",OFFSET('Set-up'!$A$26,ROW($B9)-ROW($B$5),COLUMN('Set-up'!$G$26)-1,1,1))</f>
        <v>IS-408</v>
      </c>
      <c r="V9" s="59">
        <f t="shared" ca="1" si="4"/>
        <v>0</v>
      </c>
    </row>
    <row r="10" spans="1:22" ht="16" customHeight="1" x14ac:dyDescent="0.25">
      <c r="A10" s="4" t="str" cm="1">
        <f t="array" aca="1" ref="A10" ca="1">IF(ROW($B10)-ROW($B$5)&gt;CatCount,"",OFFSET('Set-up'!$A$26,ROW($B10)-ROW($B$5),0,1,1))</f>
        <v>EQS01</v>
      </c>
      <c r="B10" s="4" t="str">
        <f t="shared" ca="1" si="0"/>
        <v>Secondary Equipment</v>
      </c>
      <c r="C10" s="9" t="str" cm="1">
        <f t="array" aca="1" ref="C10" ca="1">IF(ROW($B10)-ROW($B$5)&gt;CatCount,"",OFFSET('Set-up'!$A$26,ROW($B10)-ROW($B$5),COLUMN('Set-up'!$F$26)-1,1,1))</f>
        <v>IS-405</v>
      </c>
      <c r="D10" s="59" cm="1">
        <f t="array" aca="1" ref="D10" ca="1">IF(LEN($A10)&gt;1,IF($E$2="MTD",SUMIFS(AssetMDep,AssetCat,$A10),SUMIFS(AssetDDep,AssetCat,$A10)),"")</f>
        <v>0</v>
      </c>
      <c r="E10" s="9" t="str" cm="1">
        <f t="array" aca="1" ref="E10" ca="1">IF(ROW($B10)-ROW($B$5)&gt;CatCount,"",OFFSET('Set-up'!$A$26,ROW($B10)-ROW($B$5),COLUMN('Set-up'!$E$26)-1,1,1))</f>
        <v>BS-155</v>
      </c>
      <c r="F10" s="59">
        <f t="shared" ca="1" si="1"/>
        <v>0</v>
      </c>
      <c r="G10" s="9" t="str" cm="1">
        <f t="array" aca="1" ref="G10" ca="1">IF(ROW($B10)-ROW($B$5)&gt;CatCount,"",OFFSET('Set-up'!$A$26,ROW($B10)-ROW($B$5),COLUMN('Set-up'!$D$26)-1,1,1))</f>
        <v>BS-105</v>
      </c>
      <c r="H10" s="59" cm="1">
        <f t="array" aca="1" ref="H10" ca="1">IF(LEN($A10)&gt;1,IF($E$2="MTD",SUMIFS(TransAmount,TransCat,$A10,TransIDDate,"&gt;="&amp;Assets!$J$2,TransIDDate,"&lt;"&amp;(Assets!$I$2+1),TransType,"ACQ"),SUMIFS(TransAmount,TransCat,$A10,TransIDDate,"&gt;="&amp;Assets!$H$2,TransIDDate,"&lt;"&amp;(Assets!$I$2+1),TransType,"ACQ")),"")</f>
        <v>0</v>
      </c>
      <c r="I10" s="9" t="str" cm="1">
        <f t="array" aca="1" ref="I10" ca="1">IF(ROW($B10)-ROW($B$5)&gt;CatCount,"","BANK")</f>
        <v>BANK</v>
      </c>
      <c r="J10" s="59">
        <f t="shared" ca="1" si="5"/>
        <v>0</v>
      </c>
      <c r="K10" s="9" t="str" cm="1">
        <f t="array" aca="1" ref="K10" ca="1">IF(ROW($B10)-ROW($B$5)&gt;CatCount,"","BANK")</f>
        <v>BANK</v>
      </c>
      <c r="L10" s="59" cm="1">
        <f t="array" aca="1" ref="L10" ca="1">IF(LEN($A10)&gt;1,IF($E$2="MTD",SUMIFS(TransProceeds,TransCat,$A10,TransIDDate,"&gt;="&amp;Assets!$J$2,TransIDDate,"&lt;"&amp;(Assets!$I$2+1),TransType,"DIS"),SUMIFS(TransProceeds,TransCat,$A10,TransIDDate,"&gt;="&amp;Assets!$H$2,TransIDDate,"&lt;"&amp;(Assets!$I$2+1),TransType,"DIS")),"")</f>
        <v>0</v>
      </c>
      <c r="M10" s="9" t="str" cm="1">
        <f t="array" aca="1" ref="M10" ca="1">IF(ROW($B10)-ROW($B$5)&gt;CatCount,"",OFFSET('Set-up'!$A$26,ROW($B10)-ROW($B$5),COLUMN('Set-up'!$G$26)-1,1,1))</f>
        <v>IS-408</v>
      </c>
      <c r="N10" s="59">
        <f t="shared" ca="1" si="2"/>
        <v>0</v>
      </c>
      <c r="O10" s="9" t="str" cm="1">
        <f t="array" aca="1" ref="O10" ca="1">IF(ROW($B10)-ROW($B$5)&gt;CatCount,"",OFFSET('Set-up'!$A$26,ROW($B10)-ROW($B$5),COLUMN('Set-up'!$G$26)-1,1,1))</f>
        <v>IS-408</v>
      </c>
      <c r="P10" s="59" cm="1">
        <f t="array" aca="1" ref="P10" ca="1">IF(LEN($A10)&gt;1,IF($E$2="MTD",SUMIFS(TransHCost,TransCat,$A10,TransIDDate,"&gt;="&amp;Assets!$J$2,TransIDDate,"&lt;"&amp;(Assets!$I$2+1),TransType,"DIS"),SUMIFS(TransHCost,TransCat,$A10,TransIDDate,"&gt;="&amp;Assets!$H$2,TransIDDate,"&lt;"&amp;(Assets!$I$2+1),TransType,"DIS")),"")</f>
        <v>0</v>
      </c>
      <c r="Q10" s="9" t="str" cm="1">
        <f t="array" aca="1" ref="Q10" ca="1">IF(ROW($B10)-ROW($B$5)&gt;CatCount,"",OFFSET('Set-up'!$A$26,ROW($B10)-ROW($B$5),COLUMN('Set-up'!$D$26)-1,1,1))</f>
        <v>BS-105</v>
      </c>
      <c r="R10" s="59">
        <f t="shared" ca="1" si="3"/>
        <v>0</v>
      </c>
      <c r="S10" s="9" t="str" cm="1">
        <f t="array" aca="1" ref="S10" ca="1">IF(ROW($B10)-ROW($B$5)&gt;CatCount,"",OFFSET('Set-up'!$A$26,ROW($B10)-ROW($B$5),COLUMN('Set-up'!$E$26)-1,1,1))</f>
        <v>BS-155</v>
      </c>
      <c r="T10" s="59" cm="1">
        <f t="array" aca="1" ref="T10" ca="1">IF(LEN($A10)&gt;1,IF($E$2="MTD",SUMIFS(AssetDDis,AssetCat,$A10,AssetDisDate,"&gt;="&amp;Assets!$J$2,AssetDisDate,"&lt;="&amp;Assets!$K$2),SUMIFS(AssetDDis,AssetCat,$A10)),"")</f>
        <v>0</v>
      </c>
      <c r="U10" s="9" t="str" cm="1">
        <f t="array" aca="1" ref="U10" ca="1">IF(ROW($B10)-ROW($B$5)&gt;CatCount,"",OFFSET('Set-up'!$A$26,ROW($B10)-ROW($B$5),COLUMN('Set-up'!$G$26)-1,1,1))</f>
        <v>IS-408</v>
      </c>
      <c r="V10" s="59">
        <f t="shared" ca="1" si="4"/>
        <v>0</v>
      </c>
    </row>
    <row r="11" spans="1:22" ht="16" customHeight="1" x14ac:dyDescent="0.25">
      <c r="A11" s="4" t="str" cm="1">
        <f t="array" aca="1" ref="A11" ca="1">IF(ROW($B11)-ROW($B$5)&gt;CatCount,"",OFFSET('Set-up'!$A$26,ROW($B11)-ROW($B$5),0,1,1))</f>
        <v>SMA01</v>
      </c>
      <c r="B11" s="4" t="str">
        <f t="shared" ca="1" si="0"/>
        <v>Small Assets</v>
      </c>
      <c r="C11" s="9" t="str" cm="1">
        <f t="array" aca="1" ref="C11" ca="1">IF(ROW($B11)-ROW($B$5)&gt;CatCount,"",OFFSET('Set-up'!$A$26,ROW($B11)-ROW($B$5),COLUMN('Set-up'!$F$26)-1,1,1))</f>
        <v>IS-406</v>
      </c>
      <c r="D11" s="59" cm="1">
        <f t="array" aca="1" ref="D11" ca="1">IF(LEN($A11)&gt;1,IF($E$2="MTD",SUMIFS(AssetMDep,AssetCat,$A11),SUMIFS(AssetDDep,AssetCat,$A11)),"")</f>
        <v>0</v>
      </c>
      <c r="E11" s="9" t="str" cm="1">
        <f t="array" aca="1" ref="E11" ca="1">IF(ROW($B11)-ROW($B$5)&gt;CatCount,"",OFFSET('Set-up'!$A$26,ROW($B11)-ROW($B$5),COLUMN('Set-up'!$E$26)-1,1,1))</f>
        <v>BS-156</v>
      </c>
      <c r="F11" s="59">
        <f t="shared" ca="1" si="1"/>
        <v>0</v>
      </c>
      <c r="G11" s="9" t="str" cm="1">
        <f t="array" aca="1" ref="G11" ca="1">IF(ROW($B11)-ROW($B$5)&gt;CatCount,"",OFFSET('Set-up'!$A$26,ROW($B11)-ROW($B$5),COLUMN('Set-up'!$D$26)-1,1,1))</f>
        <v>BS-106</v>
      </c>
      <c r="H11" s="59" cm="1">
        <f t="array" aca="1" ref="H11" ca="1">IF(LEN($A11)&gt;1,IF($E$2="MTD",SUMIFS(TransAmount,TransCat,$A11,TransIDDate,"&gt;="&amp;Assets!$J$2,TransIDDate,"&lt;"&amp;(Assets!$I$2+1),TransType,"ACQ"),SUMIFS(TransAmount,TransCat,$A11,TransIDDate,"&gt;="&amp;Assets!$H$2,TransIDDate,"&lt;"&amp;(Assets!$I$2+1),TransType,"ACQ")),"")</f>
        <v>0</v>
      </c>
      <c r="I11" s="9" t="str" cm="1">
        <f t="array" aca="1" ref="I11" ca="1">IF(ROW($B11)-ROW($B$5)&gt;CatCount,"","BANK")</f>
        <v>BANK</v>
      </c>
      <c r="J11" s="59">
        <f t="shared" ca="1" si="5"/>
        <v>0</v>
      </c>
      <c r="K11" s="9" t="str" cm="1">
        <f t="array" aca="1" ref="K11" ca="1">IF(ROW($B11)-ROW($B$5)&gt;CatCount,"","BANK")</f>
        <v>BANK</v>
      </c>
      <c r="L11" s="59" cm="1">
        <f t="array" aca="1" ref="L11" ca="1">IF(LEN($A11)&gt;1,IF($E$2="MTD",SUMIFS(TransProceeds,TransCat,$A11,TransIDDate,"&gt;="&amp;Assets!$J$2,TransIDDate,"&lt;"&amp;(Assets!$I$2+1),TransType,"DIS"),SUMIFS(TransProceeds,TransCat,$A11,TransIDDate,"&gt;="&amp;Assets!$H$2,TransIDDate,"&lt;"&amp;(Assets!$I$2+1),TransType,"DIS")),"")</f>
        <v>0</v>
      </c>
      <c r="M11" s="9" t="str" cm="1">
        <f t="array" aca="1" ref="M11" ca="1">IF(ROW($B11)-ROW($B$5)&gt;CatCount,"",OFFSET('Set-up'!$A$26,ROW($B11)-ROW($B$5),COLUMN('Set-up'!$G$26)-1,1,1))</f>
        <v>IS-408</v>
      </c>
      <c r="N11" s="59">
        <f t="shared" ca="1" si="2"/>
        <v>0</v>
      </c>
      <c r="O11" s="9" t="str" cm="1">
        <f t="array" aca="1" ref="O11" ca="1">IF(ROW($B11)-ROW($B$5)&gt;CatCount,"",OFFSET('Set-up'!$A$26,ROW($B11)-ROW($B$5),COLUMN('Set-up'!$G$26)-1,1,1))</f>
        <v>IS-408</v>
      </c>
      <c r="P11" s="59" cm="1">
        <f t="array" aca="1" ref="P11" ca="1">IF(LEN($A11)&gt;1,IF($E$2="MTD",SUMIFS(TransHCost,TransCat,$A11,TransIDDate,"&gt;="&amp;Assets!$J$2,TransIDDate,"&lt;"&amp;(Assets!$I$2+1),TransType,"DIS"),SUMIFS(TransHCost,TransCat,$A11,TransIDDate,"&gt;="&amp;Assets!$H$2,TransIDDate,"&lt;"&amp;(Assets!$I$2+1),TransType,"DIS")),"")</f>
        <v>0</v>
      </c>
      <c r="Q11" s="9" t="str" cm="1">
        <f t="array" aca="1" ref="Q11" ca="1">IF(ROW($B11)-ROW($B$5)&gt;CatCount,"",OFFSET('Set-up'!$A$26,ROW($B11)-ROW($B$5),COLUMN('Set-up'!$D$26)-1,1,1))</f>
        <v>BS-106</v>
      </c>
      <c r="R11" s="59">
        <f t="shared" ca="1" si="3"/>
        <v>0</v>
      </c>
      <c r="S11" s="9" t="str" cm="1">
        <f t="array" aca="1" ref="S11" ca="1">IF(ROW($B11)-ROW($B$5)&gt;CatCount,"",OFFSET('Set-up'!$A$26,ROW($B11)-ROW($B$5),COLUMN('Set-up'!$E$26)-1,1,1))</f>
        <v>BS-156</v>
      </c>
      <c r="T11" s="59" cm="1">
        <f t="array" aca="1" ref="T11" ca="1">IF(LEN($A11)&gt;1,IF($E$2="MTD",SUMIFS(AssetDDis,AssetCat,$A11,AssetDisDate,"&gt;="&amp;Assets!$J$2,AssetDisDate,"&lt;="&amp;Assets!$K$2),SUMIFS(AssetDDis,AssetCat,$A11)),"")</f>
        <v>0</v>
      </c>
      <c r="U11" s="9" t="str" cm="1">
        <f t="array" aca="1" ref="U11" ca="1">IF(ROW($B11)-ROW($B$5)&gt;CatCount,"",OFFSET('Set-up'!$A$26,ROW($B11)-ROW($B$5),COLUMN('Set-up'!$G$26)-1,1,1))</f>
        <v>IS-408</v>
      </c>
      <c r="V11" s="59">
        <f t="shared" ca="1" si="4"/>
        <v>0</v>
      </c>
    </row>
    <row r="12" spans="1:22" ht="16" customHeight="1" x14ac:dyDescent="0.25">
      <c r="A12" s="4" t="str" cm="1">
        <f t="array" aca="1" ref="A12" ca="1">IF(ROW($B12)-ROW($B$5)&gt;CatCount,"",OFFSET('Set-up'!$A$26,ROW($B12)-ROW($B$5),0,1,1))</f>
        <v>CHW01</v>
      </c>
      <c r="B12" s="4" t="str">
        <f t="shared" ca="1" si="0"/>
        <v>Computer Hardware</v>
      </c>
      <c r="C12" s="9" t="str" cm="1">
        <f t="array" aca="1" ref="C12" ca="1">IF(ROW($B12)-ROW($B$5)&gt;CatCount,"",OFFSET('Set-up'!$A$26,ROW($B12)-ROW($B$5),COLUMN('Set-up'!$F$26)-1,1,1))</f>
        <v>IS-411</v>
      </c>
      <c r="D12" s="59" cm="1">
        <f t="array" aca="1" ref="D12" ca="1">IF(LEN($A12)&gt;1,IF($E$2="MTD",SUMIFS(AssetMDep,AssetCat,$A12),SUMIFS(AssetDDep,AssetCat,$A12)),"")</f>
        <v>0</v>
      </c>
      <c r="E12" s="9" t="str" cm="1">
        <f t="array" aca="1" ref="E12" ca="1">IF(ROW($B12)-ROW($B$5)&gt;CatCount,"",OFFSET('Set-up'!$A$26,ROW($B12)-ROW($B$5),COLUMN('Set-up'!$E$26)-1,1,1))</f>
        <v>BS-161</v>
      </c>
      <c r="F12" s="59">
        <f t="shared" ca="1" si="1"/>
        <v>0</v>
      </c>
      <c r="G12" s="9" t="str" cm="1">
        <f t="array" aca="1" ref="G12" ca="1">IF(ROW($B12)-ROW($B$5)&gt;CatCount,"",OFFSET('Set-up'!$A$26,ROW($B12)-ROW($B$5),COLUMN('Set-up'!$D$26)-1,1,1))</f>
        <v>BS-111</v>
      </c>
      <c r="H12" s="59" cm="1">
        <f t="array" aca="1" ref="H12" ca="1">IF(LEN($A12)&gt;1,IF($E$2="MTD",SUMIFS(TransAmount,TransCat,$A12,TransIDDate,"&gt;="&amp;Assets!$J$2,TransIDDate,"&lt;"&amp;(Assets!$I$2+1),TransType,"ACQ"),SUMIFS(TransAmount,TransCat,$A12,TransIDDate,"&gt;="&amp;Assets!$H$2,TransIDDate,"&lt;"&amp;(Assets!$I$2+1),TransType,"ACQ")),"")</f>
        <v>0</v>
      </c>
      <c r="I12" s="9" t="str" cm="1">
        <f t="array" aca="1" ref="I12" ca="1">IF(ROW($B12)-ROW($B$5)&gt;CatCount,"","BANK")</f>
        <v>BANK</v>
      </c>
      <c r="J12" s="59">
        <f t="shared" ca="1" si="5"/>
        <v>0</v>
      </c>
      <c r="K12" s="9" t="str" cm="1">
        <f t="array" aca="1" ref="K12" ca="1">IF(ROW($B12)-ROW($B$5)&gt;CatCount,"","BANK")</f>
        <v>BANK</v>
      </c>
      <c r="L12" s="59" cm="1">
        <f t="array" aca="1" ref="L12" ca="1">IF(LEN($A12)&gt;1,IF($E$2="MTD",SUMIFS(TransProceeds,TransCat,$A12,TransIDDate,"&gt;="&amp;Assets!$J$2,TransIDDate,"&lt;"&amp;(Assets!$I$2+1),TransType,"DIS"),SUMIFS(TransProceeds,TransCat,$A12,TransIDDate,"&gt;="&amp;Assets!$H$2,TransIDDate,"&lt;"&amp;(Assets!$I$2+1),TransType,"DIS")),"")</f>
        <v>0</v>
      </c>
      <c r="M12" s="9" t="str" cm="1">
        <f t="array" aca="1" ref="M12" ca="1">IF(ROW($B12)-ROW($B$5)&gt;CatCount,"",OFFSET('Set-up'!$A$26,ROW($B12)-ROW($B$5),COLUMN('Set-up'!$G$26)-1,1,1))</f>
        <v>IS-408</v>
      </c>
      <c r="N12" s="59">
        <f t="shared" ca="1" si="2"/>
        <v>0</v>
      </c>
      <c r="O12" s="9" t="str" cm="1">
        <f t="array" aca="1" ref="O12" ca="1">IF(ROW($B12)-ROW($B$5)&gt;CatCount,"",OFFSET('Set-up'!$A$26,ROW($B12)-ROW($B$5),COLUMN('Set-up'!$G$26)-1,1,1))</f>
        <v>IS-408</v>
      </c>
      <c r="P12" s="59" cm="1">
        <f t="array" aca="1" ref="P12" ca="1">IF(LEN($A12)&gt;1,IF($E$2="MTD",SUMIFS(TransHCost,TransCat,$A12,TransIDDate,"&gt;="&amp;Assets!$J$2,TransIDDate,"&lt;"&amp;(Assets!$I$2+1),TransType,"DIS"),SUMIFS(TransHCost,TransCat,$A12,TransIDDate,"&gt;="&amp;Assets!$H$2,TransIDDate,"&lt;"&amp;(Assets!$I$2+1),TransType,"DIS")),"")</f>
        <v>0</v>
      </c>
      <c r="Q12" s="9" t="str" cm="1">
        <f t="array" aca="1" ref="Q12" ca="1">IF(ROW($B12)-ROW($B$5)&gt;CatCount,"",OFFSET('Set-up'!$A$26,ROW($B12)-ROW($B$5),COLUMN('Set-up'!$D$26)-1,1,1))</f>
        <v>BS-111</v>
      </c>
      <c r="R12" s="59">
        <f t="shared" ca="1" si="3"/>
        <v>0</v>
      </c>
      <c r="S12" s="9" t="str" cm="1">
        <f t="array" aca="1" ref="S12" ca="1">IF(ROW($B12)-ROW($B$5)&gt;CatCount,"",OFFSET('Set-up'!$A$26,ROW($B12)-ROW($B$5),COLUMN('Set-up'!$E$26)-1,1,1))</f>
        <v>BS-161</v>
      </c>
      <c r="T12" s="59" cm="1">
        <f t="array" aca="1" ref="T12" ca="1">IF(LEN($A12)&gt;1,IF($E$2="MTD",SUMIFS(AssetDDis,AssetCat,$A12,AssetDisDate,"&gt;="&amp;Assets!$J$2,AssetDisDate,"&lt;="&amp;Assets!$K$2),SUMIFS(AssetDDis,AssetCat,$A12)),"")</f>
        <v>0</v>
      </c>
      <c r="U12" s="9" t="str" cm="1">
        <f t="array" aca="1" ref="U12" ca="1">IF(ROW($B12)-ROW($B$5)&gt;CatCount,"",OFFSET('Set-up'!$A$26,ROW($B12)-ROW($B$5),COLUMN('Set-up'!$G$26)-1,1,1))</f>
        <v>IS-408</v>
      </c>
      <c r="V12" s="59">
        <f t="shared" ca="1" si="4"/>
        <v>0</v>
      </c>
    </row>
    <row r="13" spans="1:22" ht="16" customHeight="1" x14ac:dyDescent="0.25">
      <c r="A13" s="4" t="str" cm="1">
        <f t="array" aca="1" ref="A13" ca="1">IF(ROW($B13)-ROW($B$5)&gt;CatCount,"",OFFSET('Set-up'!$A$26,ROW($B13)-ROW($B$5),0,1,1))</f>
        <v>CSW01</v>
      </c>
      <c r="B13" s="4" t="str">
        <f t="shared" ca="1" si="0"/>
        <v>Computer Software</v>
      </c>
      <c r="C13" s="9" t="str" cm="1">
        <f t="array" aca="1" ref="C13" ca="1">IF(ROW($B13)-ROW($B$5)&gt;CatCount,"",OFFSET('Set-up'!$A$26,ROW($B13)-ROW($B$5),COLUMN('Set-up'!$F$26)-1,1,1))</f>
        <v>IS-412</v>
      </c>
      <c r="D13" s="59" cm="1">
        <f t="array" aca="1" ref="D13" ca="1">IF(LEN($A13)&gt;1,IF($E$2="MTD",SUMIFS(AssetMDep,AssetCat,$A13),SUMIFS(AssetDDep,AssetCat,$A13)),"")</f>
        <v>0</v>
      </c>
      <c r="E13" s="9" t="str" cm="1">
        <f t="array" aca="1" ref="E13" ca="1">IF(ROW($B13)-ROW($B$5)&gt;CatCount,"",OFFSET('Set-up'!$A$26,ROW($B13)-ROW($B$5),COLUMN('Set-up'!$E$26)-1,1,1))</f>
        <v>BS-162</v>
      </c>
      <c r="F13" s="59">
        <f t="shared" ca="1" si="1"/>
        <v>0</v>
      </c>
      <c r="G13" s="9" t="str" cm="1">
        <f t="array" aca="1" ref="G13" ca="1">IF(ROW($B13)-ROW($B$5)&gt;CatCount,"",OFFSET('Set-up'!$A$26,ROW($B13)-ROW($B$5),COLUMN('Set-up'!$D$26)-1,1,1))</f>
        <v>BS-112</v>
      </c>
      <c r="H13" s="59" cm="1">
        <f t="array" aca="1" ref="H13" ca="1">IF(LEN($A13)&gt;1,IF($E$2="MTD",SUMIFS(TransAmount,TransCat,$A13,TransIDDate,"&gt;="&amp;Assets!$J$2,TransIDDate,"&lt;"&amp;(Assets!$I$2+1),TransType,"ACQ"),SUMIFS(TransAmount,TransCat,$A13,TransIDDate,"&gt;="&amp;Assets!$H$2,TransIDDate,"&lt;"&amp;(Assets!$I$2+1),TransType,"ACQ")),"")</f>
        <v>0</v>
      </c>
      <c r="I13" s="9" t="str" cm="1">
        <f t="array" aca="1" ref="I13" ca="1">IF(ROW($B13)-ROW($B$5)&gt;CatCount,"","BANK")</f>
        <v>BANK</v>
      </c>
      <c r="J13" s="59">
        <f t="shared" ca="1" si="5"/>
        <v>0</v>
      </c>
      <c r="K13" s="9" t="str" cm="1">
        <f t="array" aca="1" ref="K13" ca="1">IF(ROW($B13)-ROW($B$5)&gt;CatCount,"","BANK")</f>
        <v>BANK</v>
      </c>
      <c r="L13" s="59" cm="1">
        <f t="array" aca="1" ref="L13" ca="1">IF(LEN($A13)&gt;1,IF($E$2="MTD",SUMIFS(TransProceeds,TransCat,$A13,TransIDDate,"&gt;="&amp;Assets!$J$2,TransIDDate,"&lt;"&amp;(Assets!$I$2+1),TransType,"DIS"),SUMIFS(TransProceeds,TransCat,$A13,TransIDDate,"&gt;="&amp;Assets!$H$2,TransIDDate,"&lt;"&amp;(Assets!$I$2+1),TransType,"DIS")),"")</f>
        <v>0</v>
      </c>
      <c r="M13" s="9" t="str" cm="1">
        <f t="array" aca="1" ref="M13" ca="1">IF(ROW($B13)-ROW($B$5)&gt;CatCount,"",OFFSET('Set-up'!$A$26,ROW($B13)-ROW($B$5),COLUMN('Set-up'!$G$26)-1,1,1))</f>
        <v>IS-408</v>
      </c>
      <c r="N13" s="59">
        <f t="shared" ca="1" si="2"/>
        <v>0</v>
      </c>
      <c r="O13" s="9" t="str" cm="1">
        <f t="array" aca="1" ref="O13" ca="1">IF(ROW($B13)-ROW($B$5)&gt;CatCount,"",OFFSET('Set-up'!$A$26,ROW($B13)-ROW($B$5),COLUMN('Set-up'!$G$26)-1,1,1))</f>
        <v>IS-408</v>
      </c>
      <c r="P13" s="59" cm="1">
        <f t="array" aca="1" ref="P13" ca="1">IF(LEN($A13)&gt;1,IF($E$2="MTD",SUMIFS(TransHCost,TransCat,$A13,TransIDDate,"&gt;="&amp;Assets!$J$2,TransIDDate,"&lt;"&amp;(Assets!$I$2+1),TransType,"DIS"),SUMIFS(TransHCost,TransCat,$A13,TransIDDate,"&gt;="&amp;Assets!$H$2,TransIDDate,"&lt;"&amp;(Assets!$I$2+1),TransType,"DIS")),"")</f>
        <v>0</v>
      </c>
      <c r="Q13" s="9" t="str" cm="1">
        <f t="array" aca="1" ref="Q13" ca="1">IF(ROW($B13)-ROW($B$5)&gt;CatCount,"",OFFSET('Set-up'!$A$26,ROW($B13)-ROW($B$5),COLUMN('Set-up'!$D$26)-1,1,1))</f>
        <v>BS-112</v>
      </c>
      <c r="R13" s="59">
        <f t="shared" ca="1" si="3"/>
        <v>0</v>
      </c>
      <c r="S13" s="9" t="str" cm="1">
        <f t="array" aca="1" ref="S13" ca="1">IF(ROW($B13)-ROW($B$5)&gt;CatCount,"",OFFSET('Set-up'!$A$26,ROW($B13)-ROW($B$5),COLUMN('Set-up'!$E$26)-1,1,1))</f>
        <v>BS-162</v>
      </c>
      <c r="T13" s="59" cm="1">
        <f t="array" aca="1" ref="T13" ca="1">IF(LEN($A13)&gt;1,IF($E$2="MTD",SUMIFS(AssetDDis,AssetCat,$A13,AssetDisDate,"&gt;="&amp;Assets!$J$2,AssetDisDate,"&lt;="&amp;Assets!$K$2),SUMIFS(AssetDDis,AssetCat,$A13)),"")</f>
        <v>0</v>
      </c>
      <c r="U13" s="9" t="str" cm="1">
        <f t="array" aca="1" ref="U13" ca="1">IF(ROW($B13)-ROW($B$5)&gt;CatCount,"",OFFSET('Set-up'!$A$26,ROW($B13)-ROW($B$5),COLUMN('Set-up'!$G$26)-1,1,1))</f>
        <v>IS-408</v>
      </c>
      <c r="V13" s="59">
        <f t="shared" ca="1" si="4"/>
        <v>0</v>
      </c>
    </row>
    <row r="14" spans="1:22" ht="16" customHeight="1" x14ac:dyDescent="0.25">
      <c r="A14" s="4" t="str" cm="1">
        <f t="array" aca="1" ref="A14" ca="1">IF(ROW($B14)-ROW($B$5)&gt;CatCount,"",OFFSET('Set-up'!$A$26,ROW($B14)-ROW($B$5),0,1,1))</f>
        <v>OFE01</v>
      </c>
      <c r="B14" s="4" t="str">
        <f t="shared" ca="1" si="0"/>
        <v>Office Equipment</v>
      </c>
      <c r="C14" s="9" t="str" cm="1">
        <f t="array" aca="1" ref="C14" ca="1">IF(ROW($B14)-ROW($B$5)&gt;CatCount,"",OFFSET('Set-up'!$A$26,ROW($B14)-ROW($B$5),COLUMN('Set-up'!$F$26)-1,1,1))</f>
        <v>IS-421</v>
      </c>
      <c r="D14" s="59" cm="1">
        <f t="array" aca="1" ref="D14" ca="1">IF(LEN($A14)&gt;1,IF($E$2="MTD",SUMIFS(AssetMDep,AssetCat,$A14),SUMIFS(AssetDDep,AssetCat,$A14)),"")</f>
        <v>1287.5</v>
      </c>
      <c r="E14" s="9" t="str" cm="1">
        <f t="array" aca="1" ref="E14" ca="1">IF(ROW($B14)-ROW($B$5)&gt;CatCount,"",OFFSET('Set-up'!$A$26,ROW($B14)-ROW($B$5),COLUMN('Set-up'!$E$26)-1,1,1))</f>
        <v>BS-171</v>
      </c>
      <c r="F14" s="59">
        <f t="shared" ca="1" si="1"/>
        <v>-1287.5</v>
      </c>
      <c r="G14" s="9" t="str" cm="1">
        <f t="array" aca="1" ref="G14" ca="1">IF(ROW($B14)-ROW($B$5)&gt;CatCount,"",OFFSET('Set-up'!$A$26,ROW($B14)-ROW($B$5),COLUMN('Set-up'!$D$26)-1,1,1))</f>
        <v>BS-121</v>
      </c>
      <c r="H14" s="59" cm="1">
        <f t="array" aca="1" ref="H14" ca="1">IF(LEN($A14)&gt;1,IF($E$2="MTD",SUMIFS(TransAmount,TransCat,$A14,TransIDDate,"&gt;="&amp;Assets!$J$2,TransIDDate,"&lt;"&amp;(Assets!$I$2+1),TransType,"ACQ"),SUMIFS(TransAmount,TransCat,$A14,TransIDDate,"&gt;="&amp;Assets!$H$2,TransIDDate,"&lt;"&amp;(Assets!$I$2+1),TransType,"ACQ")),"")</f>
        <v>0</v>
      </c>
      <c r="I14" s="9" t="str" cm="1">
        <f t="array" aca="1" ref="I14" ca="1">IF(ROW($B14)-ROW($B$5)&gt;CatCount,"","BANK")</f>
        <v>BANK</v>
      </c>
      <c r="J14" s="59">
        <f t="shared" ca="1" si="5"/>
        <v>0</v>
      </c>
      <c r="K14" s="9" t="str" cm="1">
        <f t="array" aca="1" ref="K14" ca="1">IF(ROW($B14)-ROW($B$5)&gt;CatCount,"","BANK")</f>
        <v>BANK</v>
      </c>
      <c r="L14" s="59" cm="1">
        <f t="array" aca="1" ref="L14" ca="1">IF(LEN($A14)&gt;1,IF($E$2="MTD",SUMIFS(TransProceeds,TransCat,$A14,TransIDDate,"&gt;="&amp;Assets!$J$2,TransIDDate,"&lt;"&amp;(Assets!$I$2+1),TransType,"DIS"),SUMIFS(TransProceeds,TransCat,$A14,TransIDDate,"&gt;="&amp;Assets!$H$2,TransIDDate,"&lt;"&amp;(Assets!$I$2+1),TransType,"DIS")),"")</f>
        <v>0</v>
      </c>
      <c r="M14" s="9" t="str" cm="1">
        <f t="array" aca="1" ref="M14" ca="1">IF(ROW($B14)-ROW($B$5)&gt;CatCount,"",OFFSET('Set-up'!$A$26,ROW($B14)-ROW($B$5),COLUMN('Set-up'!$G$26)-1,1,1))</f>
        <v>IS-408</v>
      </c>
      <c r="N14" s="59">
        <f t="shared" ca="1" si="2"/>
        <v>0</v>
      </c>
      <c r="O14" s="9" t="str" cm="1">
        <f t="array" aca="1" ref="O14" ca="1">IF(ROW($B14)-ROW($B$5)&gt;CatCount,"",OFFSET('Set-up'!$A$26,ROW($B14)-ROW($B$5),COLUMN('Set-up'!$G$26)-1,1,1))</f>
        <v>IS-408</v>
      </c>
      <c r="P14" s="59" cm="1">
        <f t="array" aca="1" ref="P14" ca="1">IF(LEN($A14)&gt;1,IF($E$2="MTD",SUMIFS(TransHCost,TransCat,$A14,TransIDDate,"&gt;="&amp;Assets!$J$2,TransIDDate,"&lt;"&amp;(Assets!$I$2+1),TransType,"DIS"),SUMIFS(TransHCost,TransCat,$A14,TransIDDate,"&gt;="&amp;Assets!$H$2,TransIDDate,"&lt;"&amp;(Assets!$I$2+1),TransType,"DIS")),"")</f>
        <v>0</v>
      </c>
      <c r="Q14" s="9" t="str" cm="1">
        <f t="array" aca="1" ref="Q14" ca="1">IF(ROW($B14)-ROW($B$5)&gt;CatCount,"",OFFSET('Set-up'!$A$26,ROW($B14)-ROW($B$5),COLUMN('Set-up'!$D$26)-1,1,1))</f>
        <v>BS-121</v>
      </c>
      <c r="R14" s="59">
        <f t="shared" ca="1" si="3"/>
        <v>0</v>
      </c>
      <c r="S14" s="9" t="str" cm="1">
        <f t="array" aca="1" ref="S14" ca="1">IF(ROW($B14)-ROW($B$5)&gt;CatCount,"",OFFSET('Set-up'!$A$26,ROW($B14)-ROW($B$5),COLUMN('Set-up'!$E$26)-1,1,1))</f>
        <v>BS-171</v>
      </c>
      <c r="T14" s="59" cm="1">
        <f t="array" aca="1" ref="T14" ca="1">IF(LEN($A14)&gt;1,IF($E$2="MTD",SUMIFS(AssetDDis,AssetCat,$A14,AssetDisDate,"&gt;="&amp;Assets!$J$2,AssetDisDate,"&lt;="&amp;Assets!$K$2),SUMIFS(AssetDDis,AssetCat,$A14)),"")</f>
        <v>0</v>
      </c>
      <c r="U14" s="9" t="str" cm="1">
        <f t="array" aca="1" ref="U14" ca="1">IF(ROW($B14)-ROW($B$5)&gt;CatCount,"",OFFSET('Set-up'!$A$26,ROW($B14)-ROW($B$5),COLUMN('Set-up'!$G$26)-1,1,1))</f>
        <v>IS-408</v>
      </c>
      <c r="V14" s="59">
        <f t="shared" ca="1" si="4"/>
        <v>0</v>
      </c>
    </row>
    <row r="15" spans="1:22" ht="16" customHeight="1" x14ac:dyDescent="0.25">
      <c r="A15" s="4" t="str" cm="1">
        <f t="array" aca="1" ref="A15" ca="1">IF(ROW($B15)-ROW($B$5)&gt;CatCount,"",OFFSET('Set-up'!$A$26,ROW($B15)-ROW($B$5),0,1,1))</f>
        <v>FFX01</v>
      </c>
      <c r="B15" s="4" t="str">
        <f t="shared" ca="1" si="0"/>
        <v>Furniture &amp; Fixtures</v>
      </c>
      <c r="C15" s="9" t="str" cm="1">
        <f t="array" aca="1" ref="C15" ca="1">IF(ROW($B15)-ROW($B$5)&gt;CatCount,"",OFFSET('Set-up'!$A$26,ROW($B15)-ROW($B$5),COLUMN('Set-up'!$F$26)-1,1,1))</f>
        <v>IS-431</v>
      </c>
      <c r="D15" s="59" cm="1">
        <f t="array" aca="1" ref="D15" ca="1">IF(LEN($A15)&gt;1,IF($E$2="MTD",SUMIFS(AssetMDep,AssetCat,$A15),SUMIFS(AssetDDep,AssetCat,$A15)),"")</f>
        <v>1507.4874256973014</v>
      </c>
      <c r="E15" s="9" t="str" cm="1">
        <f t="array" aca="1" ref="E15" ca="1">IF(ROW($B15)-ROW($B$5)&gt;CatCount,"",OFFSET('Set-up'!$A$26,ROW($B15)-ROW($B$5),COLUMN('Set-up'!$E$26)-1,1,1))</f>
        <v>BS-181</v>
      </c>
      <c r="F15" s="59">
        <f t="shared" ca="1" si="1"/>
        <v>-1507.4874256973014</v>
      </c>
      <c r="G15" s="9" t="str" cm="1">
        <f t="array" aca="1" ref="G15" ca="1">IF(ROW($B15)-ROW($B$5)&gt;CatCount,"",OFFSET('Set-up'!$A$26,ROW($B15)-ROW($B$5),COLUMN('Set-up'!$D$26)-1,1,1))</f>
        <v>BS-131</v>
      </c>
      <c r="H15" s="59" cm="1">
        <f t="array" aca="1" ref="H15" ca="1">IF(LEN($A15)&gt;1,IF($E$2="MTD",SUMIFS(TransAmount,TransCat,$A15,TransIDDate,"&gt;="&amp;Assets!$J$2,TransIDDate,"&lt;"&amp;(Assets!$I$2+1),TransType,"ACQ"),SUMIFS(TransAmount,TransCat,$A15,TransIDDate,"&gt;="&amp;Assets!$H$2,TransIDDate,"&lt;"&amp;(Assets!$I$2+1),TransType,"ACQ")),"")</f>
        <v>0</v>
      </c>
      <c r="I15" s="9" t="str" cm="1">
        <f t="array" aca="1" ref="I15" ca="1">IF(ROW($B15)-ROW($B$5)&gt;CatCount,"","BANK")</f>
        <v>BANK</v>
      </c>
      <c r="J15" s="59">
        <f t="shared" ca="1" si="5"/>
        <v>0</v>
      </c>
      <c r="K15" s="9" t="str" cm="1">
        <f t="array" aca="1" ref="K15" ca="1">IF(ROW($B15)-ROW($B$5)&gt;CatCount,"","BANK")</f>
        <v>BANK</v>
      </c>
      <c r="L15" s="59" cm="1">
        <f t="array" aca="1" ref="L15" ca="1">IF(LEN($A15)&gt;1,IF($E$2="MTD",SUMIFS(TransProceeds,TransCat,$A15,TransIDDate,"&gt;="&amp;Assets!$J$2,TransIDDate,"&lt;"&amp;(Assets!$I$2+1),TransType,"DIS"),SUMIFS(TransProceeds,TransCat,$A15,TransIDDate,"&gt;="&amp;Assets!$H$2,TransIDDate,"&lt;"&amp;(Assets!$I$2+1),TransType,"DIS")),"")</f>
        <v>0</v>
      </c>
      <c r="M15" s="9" t="str" cm="1">
        <f t="array" aca="1" ref="M15" ca="1">IF(ROW($B15)-ROW($B$5)&gt;CatCount,"",OFFSET('Set-up'!$A$26,ROW($B15)-ROW($B$5),COLUMN('Set-up'!$G$26)-1,1,1))</f>
        <v>IS-408</v>
      </c>
      <c r="N15" s="59">
        <f t="shared" ca="1" si="2"/>
        <v>0</v>
      </c>
      <c r="O15" s="9" t="str" cm="1">
        <f t="array" aca="1" ref="O15" ca="1">IF(ROW($B15)-ROW($B$5)&gt;CatCount,"",OFFSET('Set-up'!$A$26,ROW($B15)-ROW($B$5),COLUMN('Set-up'!$G$26)-1,1,1))</f>
        <v>IS-408</v>
      </c>
      <c r="P15" s="59" cm="1">
        <f t="array" aca="1" ref="P15" ca="1">IF(LEN($A15)&gt;1,IF($E$2="MTD",SUMIFS(TransHCost,TransCat,$A15,TransIDDate,"&gt;="&amp;Assets!$J$2,TransIDDate,"&lt;"&amp;(Assets!$I$2+1),TransType,"DIS"),SUMIFS(TransHCost,TransCat,$A15,TransIDDate,"&gt;="&amp;Assets!$H$2,TransIDDate,"&lt;"&amp;(Assets!$I$2+1),TransType,"DIS")),"")</f>
        <v>0</v>
      </c>
      <c r="Q15" s="9" t="str" cm="1">
        <f t="array" aca="1" ref="Q15" ca="1">IF(ROW($B15)-ROW($B$5)&gt;CatCount,"",OFFSET('Set-up'!$A$26,ROW($B15)-ROW($B$5),COLUMN('Set-up'!$D$26)-1,1,1))</f>
        <v>BS-131</v>
      </c>
      <c r="R15" s="59">
        <f t="shared" ca="1" si="3"/>
        <v>0</v>
      </c>
      <c r="S15" s="9" t="str" cm="1">
        <f t="array" aca="1" ref="S15" ca="1">IF(ROW($B15)-ROW($B$5)&gt;CatCount,"",OFFSET('Set-up'!$A$26,ROW($B15)-ROW($B$5),COLUMN('Set-up'!$E$26)-1,1,1))</f>
        <v>BS-181</v>
      </c>
      <c r="T15" s="59" cm="1">
        <f t="array" aca="1" ref="T15" ca="1">IF(LEN($A15)&gt;1,IF($E$2="MTD",SUMIFS(AssetDDis,AssetCat,$A15,AssetDisDate,"&gt;="&amp;Assets!$J$2,AssetDisDate,"&lt;="&amp;Assets!$K$2),SUMIFS(AssetDDis,AssetCat,$A15)),"")</f>
        <v>0</v>
      </c>
      <c r="U15" s="9" t="str" cm="1">
        <f t="array" aca="1" ref="U15" ca="1">IF(ROW($B15)-ROW($B$5)&gt;CatCount,"",OFFSET('Set-up'!$A$26,ROW($B15)-ROW($B$5),COLUMN('Set-up'!$G$26)-1,1,1))</f>
        <v>IS-408</v>
      </c>
      <c r="V15" s="59">
        <f t="shared" ca="1" si="4"/>
        <v>0</v>
      </c>
    </row>
    <row r="16" spans="1:22" ht="16" customHeight="1" x14ac:dyDescent="0.25">
      <c r="A16" s="4" t="str" cm="1">
        <f t="array" aca="1" ref="A16" ca="1">IF(ROW($B16)-ROW($B$5)&gt;CatCount,"",OFFSET('Set-up'!$A$26,ROW($B16)-ROW($B$5),0,1,1))</f>
        <v>MVH01</v>
      </c>
      <c r="B16" s="4" t="str">
        <f t="shared" ca="1" si="0"/>
        <v>Motor Vehicles</v>
      </c>
      <c r="C16" s="9" t="str" cm="1">
        <f t="array" aca="1" ref="C16" ca="1">IF(ROW($B16)-ROW($B$5)&gt;CatCount,"",OFFSET('Set-up'!$A$26,ROW($B16)-ROW($B$5),COLUMN('Set-up'!$F$26)-1,1,1))</f>
        <v>IS-442</v>
      </c>
      <c r="D16" s="59" cm="1">
        <f t="array" aca="1" ref="D16" ca="1">IF(LEN($A16)&gt;1,IF($E$2="MTD",SUMIFS(AssetMDep,AssetCat,$A16),SUMIFS(AssetDDep,AssetCat,$A16)),"")</f>
        <v>79949.999999999985</v>
      </c>
      <c r="E16" s="9" t="str" cm="1">
        <f t="array" aca="1" ref="E16" ca="1">IF(ROW($B16)-ROW($B$5)&gt;CatCount,"",OFFSET('Set-up'!$A$26,ROW($B16)-ROW($B$5),COLUMN('Set-up'!$E$26)-1,1,1))</f>
        <v>BS-192</v>
      </c>
      <c r="F16" s="59">
        <f t="shared" ca="1" si="1"/>
        <v>-79949.999999999985</v>
      </c>
      <c r="G16" s="9" t="str" cm="1">
        <f t="array" aca="1" ref="G16" ca="1">IF(ROW($B16)-ROW($B$5)&gt;CatCount,"",OFFSET('Set-up'!$A$26,ROW($B16)-ROW($B$5),COLUMN('Set-up'!$D$26)-1,1,1))</f>
        <v>BS-142</v>
      </c>
      <c r="H16" s="59" cm="1">
        <f t="array" aca="1" ref="H16" ca="1">IF(LEN($A16)&gt;1,IF($E$2="MTD",SUMIFS(TransAmount,TransCat,$A16,TransIDDate,"&gt;="&amp;Assets!$J$2,TransIDDate,"&lt;"&amp;(Assets!$I$2+1),TransType,"ACQ"),SUMIFS(TransAmount,TransCat,$A16,TransIDDate,"&gt;="&amp;Assets!$H$2,TransIDDate,"&lt;"&amp;(Assets!$I$2+1),TransType,"ACQ")),"")</f>
        <v>288500</v>
      </c>
      <c r="I16" s="9" t="str" cm="1">
        <f t="array" aca="1" ref="I16" ca="1">IF(ROW($B16)-ROW($B$5)&gt;CatCount,"","BANK")</f>
        <v>BANK</v>
      </c>
      <c r="J16" s="59">
        <f t="shared" ca="1" si="5"/>
        <v>-288500</v>
      </c>
      <c r="K16" s="9" t="str" cm="1">
        <f t="array" aca="1" ref="K16" ca="1">IF(ROW($B16)-ROW($B$5)&gt;CatCount,"","BANK")</f>
        <v>BANK</v>
      </c>
      <c r="L16" s="59" cm="1">
        <f t="array" aca="1" ref="L16" ca="1">IF(LEN($A16)&gt;1,IF($E$2="MTD",SUMIFS(TransProceeds,TransCat,$A16,TransIDDate,"&gt;="&amp;Assets!$J$2,TransIDDate,"&lt;"&amp;(Assets!$I$2+1),TransType,"DIS"),SUMIFS(TransProceeds,TransCat,$A16,TransIDDate,"&gt;="&amp;Assets!$H$2,TransIDDate,"&lt;"&amp;(Assets!$I$2+1),TransType,"DIS")),"")</f>
        <v>0</v>
      </c>
      <c r="M16" s="9" t="str" cm="1">
        <f t="array" aca="1" ref="M16" ca="1">IF(ROW($B16)-ROW($B$5)&gt;CatCount,"",OFFSET('Set-up'!$A$26,ROW($B16)-ROW($B$5),COLUMN('Set-up'!$G$26)-1,1,1))</f>
        <v>IS-408</v>
      </c>
      <c r="N16" s="59">
        <f t="shared" ca="1" si="2"/>
        <v>0</v>
      </c>
      <c r="O16" s="9" t="str" cm="1">
        <f t="array" aca="1" ref="O16" ca="1">IF(ROW($B16)-ROW($B$5)&gt;CatCount,"",OFFSET('Set-up'!$A$26,ROW($B16)-ROW($B$5),COLUMN('Set-up'!$G$26)-1,1,1))</f>
        <v>IS-408</v>
      </c>
      <c r="P16" s="59" cm="1">
        <f t="array" aca="1" ref="P16" ca="1">IF(LEN($A16)&gt;1,IF($E$2="MTD",SUMIFS(TransHCost,TransCat,$A16,TransIDDate,"&gt;="&amp;Assets!$J$2,TransIDDate,"&lt;"&amp;(Assets!$I$2+1),TransType,"DIS"),SUMIFS(TransHCost,TransCat,$A16,TransIDDate,"&gt;="&amp;Assets!$H$2,TransIDDate,"&lt;"&amp;(Assets!$I$2+1),TransType,"DIS")),"")</f>
        <v>0</v>
      </c>
      <c r="Q16" s="9" t="str" cm="1">
        <f t="array" aca="1" ref="Q16" ca="1">IF(ROW($B16)-ROW($B$5)&gt;CatCount,"",OFFSET('Set-up'!$A$26,ROW($B16)-ROW($B$5),COLUMN('Set-up'!$D$26)-1,1,1))</f>
        <v>BS-142</v>
      </c>
      <c r="R16" s="59">
        <f t="shared" ca="1" si="3"/>
        <v>0</v>
      </c>
      <c r="S16" s="9" t="str" cm="1">
        <f t="array" aca="1" ref="S16" ca="1">IF(ROW($B16)-ROW($B$5)&gt;CatCount,"",OFFSET('Set-up'!$A$26,ROW($B16)-ROW($B$5),COLUMN('Set-up'!$E$26)-1,1,1))</f>
        <v>BS-192</v>
      </c>
      <c r="T16" s="59" cm="1">
        <f t="array" aca="1" ref="T16" ca="1">IF(LEN($A16)&gt;1,IF($E$2="MTD",SUMIFS(AssetDDis,AssetCat,$A16,AssetDisDate,"&gt;="&amp;Assets!$J$2,AssetDisDate,"&lt;="&amp;Assets!$K$2),SUMIFS(AssetDDis,AssetCat,$A16)),"")</f>
        <v>0</v>
      </c>
      <c r="U16" s="9" t="str" cm="1">
        <f t="array" aca="1" ref="U16" ca="1">IF(ROW($B16)-ROW($B$5)&gt;CatCount,"",OFFSET('Set-up'!$A$26,ROW($B16)-ROW($B$5),COLUMN('Set-up'!$G$26)-1,1,1))</f>
        <v>IS-408</v>
      </c>
      <c r="V16" s="59">
        <f t="shared" ca="1" si="4"/>
        <v>0</v>
      </c>
    </row>
    <row r="17" spans="1:22" ht="16" customHeight="1" x14ac:dyDescent="0.25">
      <c r="A17" s="4" t="str" cm="1">
        <f t="array" aca="1" ref="A17" ca="1">IF(ROW($B17)-ROW($B$5)&gt;CatCount,"",OFFSET('Set-up'!$A$26,ROW($B17)-ROW($B$5),0,1,1))</f>
        <v/>
      </c>
      <c r="B17" s="4" t="str">
        <f t="shared" ca="1" si="0"/>
        <v/>
      </c>
      <c r="C17" s="9" t="str" cm="1">
        <f t="array" aca="1" ref="C17" ca="1">IF(ROW($B17)-ROW($B$5)&gt;CatCount,"",OFFSET('Set-up'!$A$26,ROW($B17)-ROW($B$5),COLUMN('Set-up'!$F$26)-1,1,1))</f>
        <v/>
      </c>
      <c r="D17" s="59" t="str" cm="1">
        <f t="array" aca="1" ref="D17" ca="1">IF(LEN($A17)&gt;1,IF($E$2="MTD",SUMIFS(AssetMDep,AssetCat,$A17),SUMIFS(AssetDDep,AssetCat,$A17)),"")</f>
        <v/>
      </c>
      <c r="E17" s="9" t="str" cm="1">
        <f t="array" aca="1" ref="E17" ca="1">IF(ROW($B17)-ROW($B$5)&gt;CatCount,"",OFFSET('Set-up'!$A$26,ROW($B17)-ROW($B$5),COLUMN('Set-up'!$E$26)-1,1,1))</f>
        <v/>
      </c>
      <c r="F17" s="59" t="str">
        <f t="shared" ca="1" si="1"/>
        <v/>
      </c>
      <c r="G17" s="9" t="str" cm="1">
        <f t="array" aca="1" ref="G17" ca="1">IF(ROW($B17)-ROW($B$5)&gt;CatCount,"",OFFSET('Set-up'!$A$26,ROW($B17)-ROW($B$5),COLUMN('Set-up'!$D$26)-1,1,1))</f>
        <v/>
      </c>
      <c r="H17" s="59" t="str" cm="1">
        <f t="array" aca="1" ref="H17" ca="1">IF(LEN($A17)&gt;1,IF($E$2="MTD",SUMIFS(TransAmount,TransCat,$A17,TransIDDate,"&gt;="&amp;Assets!$J$2,TransIDDate,"&lt;"&amp;(Assets!$I$2+1),TransType,"ACQ"),SUMIFS(TransAmount,TransCat,$A17,TransIDDate,"&gt;="&amp;Assets!$H$2,TransIDDate,"&lt;"&amp;(Assets!$I$2+1),TransType,"ACQ")),"")</f>
        <v/>
      </c>
      <c r="I17" s="9" t="str" cm="1">
        <f t="array" aca="1" ref="I17" ca="1">IF(ROW($B17)-ROW($B$5)&gt;CatCount,"","BANK")</f>
        <v/>
      </c>
      <c r="J17" s="59" t="str">
        <f t="shared" ca="1" si="5"/>
        <v/>
      </c>
      <c r="K17" s="9" t="str" cm="1">
        <f t="array" aca="1" ref="K17" ca="1">IF(ROW($B17)-ROW($B$5)&gt;CatCount,"","BANK")</f>
        <v/>
      </c>
      <c r="L17" s="59" t="str" cm="1">
        <f t="array" aca="1" ref="L17" ca="1">IF(LEN($A17)&gt;1,IF($E$2="MTD",SUMIFS(TransProceeds,TransCat,$A17,TransIDDate,"&gt;="&amp;Assets!$J$2,TransIDDate,"&lt;"&amp;(Assets!$I$2+1),TransType,"DIS"),SUMIFS(TransProceeds,TransCat,$A17,TransIDDate,"&gt;="&amp;Assets!$H$2,TransIDDate,"&lt;"&amp;(Assets!$I$2+1),TransType,"DIS")),"")</f>
        <v/>
      </c>
      <c r="M17" s="9" t="str" cm="1">
        <f t="array" aca="1" ref="M17" ca="1">IF(ROW($B17)-ROW($B$5)&gt;CatCount,"",OFFSET('Set-up'!$A$26,ROW($B17)-ROW($B$5),COLUMN('Set-up'!$G$26)-1,1,1))</f>
        <v/>
      </c>
      <c r="N17" s="59" t="str">
        <f t="shared" ca="1" si="2"/>
        <v/>
      </c>
      <c r="O17" s="9" t="str" cm="1">
        <f t="array" aca="1" ref="O17" ca="1">IF(ROW($B17)-ROW($B$5)&gt;CatCount,"",OFFSET('Set-up'!$A$26,ROW($B17)-ROW($B$5),COLUMN('Set-up'!$G$26)-1,1,1))</f>
        <v/>
      </c>
      <c r="P17" s="59" t="str" cm="1">
        <f t="array" aca="1" ref="P17" ca="1">IF(LEN($A17)&gt;1,IF($E$2="MTD",SUMIFS(TransHCost,TransCat,$A17,TransIDDate,"&gt;="&amp;Assets!$J$2,TransIDDate,"&lt;"&amp;(Assets!$I$2+1),TransType,"DIS"),SUMIFS(TransHCost,TransCat,$A17,TransIDDate,"&gt;="&amp;Assets!$H$2,TransIDDate,"&lt;"&amp;(Assets!$I$2+1),TransType,"DIS")),"")</f>
        <v/>
      </c>
      <c r="Q17" s="9" t="str" cm="1">
        <f t="array" aca="1" ref="Q17" ca="1">IF(ROW($B17)-ROW($B$5)&gt;CatCount,"",OFFSET('Set-up'!$A$26,ROW($B17)-ROW($B$5),COLUMN('Set-up'!$D$26)-1,1,1))</f>
        <v/>
      </c>
      <c r="R17" s="59" t="str">
        <f t="shared" ca="1" si="3"/>
        <v/>
      </c>
      <c r="S17" s="9" t="str" cm="1">
        <f t="array" aca="1" ref="S17" ca="1">IF(ROW($B17)-ROW($B$5)&gt;CatCount,"",OFFSET('Set-up'!$A$26,ROW($B17)-ROW($B$5),COLUMN('Set-up'!$E$26)-1,1,1))</f>
        <v/>
      </c>
      <c r="T17" s="59" t="str" cm="1">
        <f t="array" aca="1" ref="T17" ca="1">IF(LEN($A17)&gt;1,IF($E$2="MTD",SUMIFS(AssetDDis,AssetCat,$A17,AssetDisDate,"&gt;="&amp;Assets!$J$2,AssetDisDate,"&lt;="&amp;Assets!$K$2),SUMIFS(AssetDDis,AssetCat,$A17)),"")</f>
        <v/>
      </c>
      <c r="U17" s="9" t="str" cm="1">
        <f t="array" aca="1" ref="U17" ca="1">IF(ROW($B17)-ROW($B$5)&gt;CatCount,"",OFFSET('Set-up'!$A$26,ROW($B17)-ROW($B$5),COLUMN('Set-up'!$G$26)-1,1,1))</f>
        <v/>
      </c>
      <c r="V17" s="59" t="str">
        <f t="shared" ca="1" si="4"/>
        <v/>
      </c>
    </row>
    <row r="18" spans="1:22" ht="16" customHeight="1" x14ac:dyDescent="0.25">
      <c r="A18" s="4" t="str" cm="1">
        <f t="array" aca="1" ref="A18" ca="1">IF(ROW($B18)-ROW($B$5)&gt;CatCount,"",OFFSET('Set-up'!$A$26,ROW($B18)-ROW($B$5),0,1,1))</f>
        <v/>
      </c>
      <c r="B18" s="4" t="str">
        <f t="shared" ca="1" si="0"/>
        <v/>
      </c>
      <c r="C18" s="9" t="str" cm="1">
        <f t="array" aca="1" ref="C18" ca="1">IF(ROW($B18)-ROW($B$5)&gt;CatCount,"",OFFSET('Set-up'!$A$26,ROW($B18)-ROW($B$5),COLUMN('Set-up'!$F$26)-1,1,1))</f>
        <v/>
      </c>
      <c r="D18" s="59" t="str" cm="1">
        <f t="array" aca="1" ref="D18" ca="1">IF(LEN($A18)&gt;1,IF($E$2="MTD",SUMIFS(AssetMDep,AssetCat,$A18),SUMIFS(AssetDDep,AssetCat,$A18)),"")</f>
        <v/>
      </c>
      <c r="E18" s="9" t="str" cm="1">
        <f t="array" aca="1" ref="E18" ca="1">IF(ROW($B18)-ROW($B$5)&gt;CatCount,"",OFFSET('Set-up'!$A$26,ROW($B18)-ROW($B$5),COLUMN('Set-up'!$E$26)-1,1,1))</f>
        <v/>
      </c>
      <c r="F18" s="59" t="str">
        <f t="shared" ca="1" si="1"/>
        <v/>
      </c>
      <c r="G18" s="9" t="str" cm="1">
        <f t="array" aca="1" ref="G18" ca="1">IF(ROW($B18)-ROW($B$5)&gt;CatCount,"",OFFSET('Set-up'!$A$26,ROW($B18)-ROW($B$5),COLUMN('Set-up'!$D$26)-1,1,1))</f>
        <v/>
      </c>
      <c r="H18" s="59" t="str" cm="1">
        <f t="array" aca="1" ref="H18" ca="1">IF(LEN($A18)&gt;1,IF($E$2="MTD",SUMIFS(TransAmount,TransCat,$A18,TransIDDate,"&gt;="&amp;Assets!$J$2,TransIDDate,"&lt;"&amp;(Assets!$I$2+1),TransType,"ACQ"),SUMIFS(TransAmount,TransCat,$A18,TransIDDate,"&gt;="&amp;Assets!$H$2,TransIDDate,"&lt;"&amp;(Assets!$I$2+1),TransType,"ACQ")),"")</f>
        <v/>
      </c>
      <c r="I18" s="9" t="str" cm="1">
        <f t="array" aca="1" ref="I18" ca="1">IF(ROW($B18)-ROW($B$5)&gt;CatCount,"","BANK")</f>
        <v/>
      </c>
      <c r="J18" s="59" t="str">
        <f t="shared" ca="1" si="5"/>
        <v/>
      </c>
      <c r="K18" s="9" t="str" cm="1">
        <f t="array" aca="1" ref="K18" ca="1">IF(ROW($B18)-ROW($B$5)&gt;CatCount,"","BANK")</f>
        <v/>
      </c>
      <c r="L18" s="59" t="str" cm="1">
        <f t="array" aca="1" ref="L18" ca="1">IF(LEN($A18)&gt;1,IF($E$2="MTD",SUMIFS(TransProceeds,TransCat,$A18,TransIDDate,"&gt;="&amp;Assets!$J$2,TransIDDate,"&lt;"&amp;(Assets!$I$2+1),TransType,"DIS"),SUMIFS(TransProceeds,TransCat,$A18,TransIDDate,"&gt;="&amp;Assets!$H$2,TransIDDate,"&lt;"&amp;(Assets!$I$2+1),TransType,"DIS")),"")</f>
        <v/>
      </c>
      <c r="M18" s="9" t="str" cm="1">
        <f t="array" aca="1" ref="M18" ca="1">IF(ROW($B18)-ROW($B$5)&gt;CatCount,"",OFFSET('Set-up'!$A$26,ROW($B18)-ROW($B$5),COLUMN('Set-up'!$G$26)-1,1,1))</f>
        <v/>
      </c>
      <c r="N18" s="59" t="str">
        <f t="shared" ca="1" si="2"/>
        <v/>
      </c>
      <c r="O18" s="9" t="str" cm="1">
        <f t="array" aca="1" ref="O18" ca="1">IF(ROW($B18)-ROW($B$5)&gt;CatCount,"",OFFSET('Set-up'!$A$26,ROW($B18)-ROW($B$5),COLUMN('Set-up'!$G$26)-1,1,1))</f>
        <v/>
      </c>
      <c r="P18" s="59" t="str" cm="1">
        <f t="array" aca="1" ref="P18" ca="1">IF(LEN($A18)&gt;1,IF($E$2="MTD",SUMIFS(TransHCost,TransCat,$A18,TransIDDate,"&gt;="&amp;Assets!$J$2,TransIDDate,"&lt;"&amp;(Assets!$I$2+1),TransType,"DIS"),SUMIFS(TransHCost,TransCat,$A18,TransIDDate,"&gt;="&amp;Assets!$H$2,TransIDDate,"&lt;"&amp;(Assets!$I$2+1),TransType,"DIS")),"")</f>
        <v/>
      </c>
      <c r="Q18" s="9" t="str" cm="1">
        <f t="array" aca="1" ref="Q18" ca="1">IF(ROW($B18)-ROW($B$5)&gt;CatCount,"",OFFSET('Set-up'!$A$26,ROW($B18)-ROW($B$5),COLUMN('Set-up'!$D$26)-1,1,1))</f>
        <v/>
      </c>
      <c r="R18" s="59" t="str">
        <f t="shared" ca="1" si="3"/>
        <v/>
      </c>
      <c r="S18" s="9" t="str" cm="1">
        <f t="array" aca="1" ref="S18" ca="1">IF(ROW($B18)-ROW($B$5)&gt;CatCount,"",OFFSET('Set-up'!$A$26,ROW($B18)-ROW($B$5),COLUMN('Set-up'!$E$26)-1,1,1))</f>
        <v/>
      </c>
      <c r="T18" s="59" t="str" cm="1">
        <f t="array" aca="1" ref="T18" ca="1">IF(LEN($A18)&gt;1,IF($E$2="MTD",SUMIFS(AssetDDis,AssetCat,$A18,AssetDisDate,"&gt;="&amp;Assets!$J$2,AssetDisDate,"&lt;="&amp;Assets!$K$2),SUMIFS(AssetDDis,AssetCat,$A18)),"")</f>
        <v/>
      </c>
      <c r="U18" s="9" t="str" cm="1">
        <f t="array" aca="1" ref="U18" ca="1">IF(ROW($B18)-ROW($B$5)&gt;CatCount,"",OFFSET('Set-up'!$A$26,ROW($B18)-ROW($B$5),COLUMN('Set-up'!$G$26)-1,1,1))</f>
        <v/>
      </c>
      <c r="V18" s="59" t="str">
        <f t="shared" ca="1" si="4"/>
        <v/>
      </c>
    </row>
    <row r="19" spans="1:22" ht="16" customHeight="1" x14ac:dyDescent="0.25">
      <c r="A19" s="4" t="str" cm="1">
        <f t="array" aca="1" ref="A19" ca="1">IF(ROW($B19)-ROW($B$5)&gt;CatCount,"",OFFSET('Set-up'!$A$26,ROW($B19)-ROW($B$5),0,1,1))</f>
        <v/>
      </c>
      <c r="B19" s="4" t="str">
        <f t="shared" ca="1" si="0"/>
        <v/>
      </c>
      <c r="C19" s="9" t="str" cm="1">
        <f t="array" aca="1" ref="C19" ca="1">IF(ROW($B19)-ROW($B$5)&gt;CatCount,"",OFFSET('Set-up'!$A$26,ROW($B19)-ROW($B$5),COLUMN('Set-up'!$F$26)-1,1,1))</f>
        <v/>
      </c>
      <c r="D19" s="59" t="str" cm="1">
        <f t="array" aca="1" ref="D19" ca="1">IF(LEN($A19)&gt;1,IF($E$2="MTD",SUMIFS(AssetMDep,AssetCat,$A19),SUMIFS(AssetDDep,AssetCat,$A19)),"")</f>
        <v/>
      </c>
      <c r="E19" s="9" t="str" cm="1">
        <f t="array" aca="1" ref="E19" ca="1">IF(ROW($B19)-ROW($B$5)&gt;CatCount,"",OFFSET('Set-up'!$A$26,ROW($B19)-ROW($B$5),COLUMN('Set-up'!$E$26)-1,1,1))</f>
        <v/>
      </c>
      <c r="F19" s="59" t="str">
        <f t="shared" ca="1" si="1"/>
        <v/>
      </c>
      <c r="G19" s="9" t="str" cm="1">
        <f t="array" aca="1" ref="G19" ca="1">IF(ROW($B19)-ROW($B$5)&gt;CatCount,"",OFFSET('Set-up'!$A$26,ROW($B19)-ROW($B$5),COLUMN('Set-up'!$D$26)-1,1,1))</f>
        <v/>
      </c>
      <c r="H19" s="59" t="str" cm="1">
        <f t="array" aca="1" ref="H19" ca="1">IF(LEN($A19)&gt;1,IF($E$2="MTD",SUMIFS(TransAmount,TransCat,$A19,TransIDDate,"&gt;="&amp;Assets!$J$2,TransIDDate,"&lt;"&amp;(Assets!$I$2+1),TransType,"ACQ"),SUMIFS(TransAmount,TransCat,$A19,TransIDDate,"&gt;="&amp;Assets!$H$2,TransIDDate,"&lt;"&amp;(Assets!$I$2+1),TransType,"ACQ")),"")</f>
        <v/>
      </c>
      <c r="I19" s="9" t="str" cm="1">
        <f t="array" aca="1" ref="I19" ca="1">IF(ROW($B19)-ROW($B$5)&gt;CatCount,"","BANK")</f>
        <v/>
      </c>
      <c r="J19" s="59" t="str">
        <f t="shared" ca="1" si="5"/>
        <v/>
      </c>
      <c r="K19" s="9" t="str" cm="1">
        <f t="array" aca="1" ref="K19" ca="1">IF(ROW($B19)-ROW($B$5)&gt;CatCount,"","BANK")</f>
        <v/>
      </c>
      <c r="L19" s="59" t="str" cm="1">
        <f t="array" aca="1" ref="L19" ca="1">IF(LEN($A19)&gt;1,IF($E$2="MTD",SUMIFS(TransProceeds,TransCat,$A19,TransIDDate,"&gt;="&amp;Assets!$J$2,TransIDDate,"&lt;"&amp;(Assets!$I$2+1),TransType,"DIS"),SUMIFS(TransProceeds,TransCat,$A19,TransIDDate,"&gt;="&amp;Assets!$H$2,TransIDDate,"&lt;"&amp;(Assets!$I$2+1),TransType,"DIS")),"")</f>
        <v/>
      </c>
      <c r="M19" s="9" t="str" cm="1">
        <f t="array" aca="1" ref="M19" ca="1">IF(ROW($B19)-ROW($B$5)&gt;CatCount,"",OFFSET('Set-up'!$A$26,ROW($B19)-ROW($B$5),COLUMN('Set-up'!$G$26)-1,1,1))</f>
        <v/>
      </c>
      <c r="N19" s="59" t="str">
        <f t="shared" ca="1" si="2"/>
        <v/>
      </c>
      <c r="O19" s="9" t="str" cm="1">
        <f t="array" aca="1" ref="O19" ca="1">IF(ROW($B19)-ROW($B$5)&gt;CatCount,"",OFFSET('Set-up'!$A$26,ROW($B19)-ROW($B$5),COLUMN('Set-up'!$G$26)-1,1,1))</f>
        <v/>
      </c>
      <c r="P19" s="59" t="str" cm="1">
        <f t="array" aca="1" ref="P19" ca="1">IF(LEN($A19)&gt;1,IF($E$2="MTD",SUMIFS(TransHCost,TransCat,$A19,TransIDDate,"&gt;="&amp;Assets!$J$2,TransIDDate,"&lt;"&amp;(Assets!$I$2+1),TransType,"DIS"),SUMIFS(TransHCost,TransCat,$A19,TransIDDate,"&gt;="&amp;Assets!$H$2,TransIDDate,"&lt;"&amp;(Assets!$I$2+1),TransType,"DIS")),"")</f>
        <v/>
      </c>
      <c r="Q19" s="9" t="str" cm="1">
        <f t="array" aca="1" ref="Q19" ca="1">IF(ROW($B19)-ROW($B$5)&gt;CatCount,"",OFFSET('Set-up'!$A$26,ROW($B19)-ROW($B$5),COLUMN('Set-up'!$D$26)-1,1,1))</f>
        <v/>
      </c>
      <c r="R19" s="59" t="str">
        <f t="shared" ca="1" si="3"/>
        <v/>
      </c>
      <c r="S19" s="9" t="str" cm="1">
        <f t="array" aca="1" ref="S19" ca="1">IF(ROW($B19)-ROW($B$5)&gt;CatCount,"",OFFSET('Set-up'!$A$26,ROW($B19)-ROW($B$5),COLUMN('Set-up'!$E$26)-1,1,1))</f>
        <v/>
      </c>
      <c r="T19" s="59" t="str" cm="1">
        <f t="array" aca="1" ref="T19" ca="1">IF(LEN($A19)&gt;1,IF($E$2="MTD",SUMIFS(AssetDDis,AssetCat,$A19,AssetDisDate,"&gt;="&amp;Assets!$J$2,AssetDisDate,"&lt;="&amp;Assets!$K$2),SUMIFS(AssetDDis,AssetCat,$A19)),"")</f>
        <v/>
      </c>
      <c r="U19" s="9" t="str" cm="1">
        <f t="array" aca="1" ref="U19" ca="1">IF(ROW($B19)-ROW($B$5)&gt;CatCount,"",OFFSET('Set-up'!$A$26,ROW($B19)-ROW($B$5),COLUMN('Set-up'!$G$26)-1,1,1))</f>
        <v/>
      </c>
      <c r="V19" s="59" t="str">
        <f t="shared" ca="1" si="4"/>
        <v/>
      </c>
    </row>
    <row r="20" spans="1:22" ht="16" customHeight="1" x14ac:dyDescent="0.25">
      <c r="A20" s="4" t="str" cm="1">
        <f t="array" aca="1" ref="A20" ca="1">IF(ROW($B20)-ROW($B$5)&gt;CatCount,"",OFFSET('Set-up'!$A$26,ROW($B20)-ROW($B$5),0,1,1))</f>
        <v/>
      </c>
      <c r="B20" s="4" t="str">
        <f t="shared" ca="1" si="0"/>
        <v/>
      </c>
      <c r="C20" s="9" t="str" cm="1">
        <f t="array" aca="1" ref="C20" ca="1">IF(ROW($B20)-ROW($B$5)&gt;CatCount,"",OFFSET('Set-up'!$A$26,ROW($B20)-ROW($B$5),COLUMN('Set-up'!$F$26)-1,1,1))</f>
        <v/>
      </c>
      <c r="D20" s="59" t="str" cm="1">
        <f t="array" aca="1" ref="D20" ca="1">IF(LEN($A20)&gt;1,IF($E$2="MTD",SUMIFS(AssetMDep,AssetCat,$A20),SUMIFS(AssetDDep,AssetCat,$A20)),"")</f>
        <v/>
      </c>
      <c r="E20" s="9" t="str" cm="1">
        <f t="array" aca="1" ref="E20" ca="1">IF(ROW($B20)-ROW($B$5)&gt;CatCount,"",OFFSET('Set-up'!$A$26,ROW($B20)-ROW($B$5),COLUMN('Set-up'!$E$26)-1,1,1))</f>
        <v/>
      </c>
      <c r="F20" s="59" t="str">
        <f t="shared" ca="1" si="1"/>
        <v/>
      </c>
      <c r="G20" s="9" t="str" cm="1">
        <f t="array" aca="1" ref="G20" ca="1">IF(ROW($B20)-ROW($B$5)&gt;CatCount,"",OFFSET('Set-up'!$A$26,ROW($B20)-ROW($B$5),COLUMN('Set-up'!$D$26)-1,1,1))</f>
        <v/>
      </c>
      <c r="H20" s="59" t="str" cm="1">
        <f t="array" aca="1" ref="H20" ca="1">IF(LEN($A20)&gt;1,IF($E$2="MTD",SUMIFS(TransAmount,TransCat,$A20,TransIDDate,"&gt;="&amp;Assets!$J$2,TransIDDate,"&lt;"&amp;(Assets!$I$2+1),TransType,"ACQ"),SUMIFS(TransAmount,TransCat,$A20,TransIDDate,"&gt;="&amp;Assets!$H$2,TransIDDate,"&lt;"&amp;(Assets!$I$2+1),TransType,"ACQ")),"")</f>
        <v/>
      </c>
      <c r="I20" s="9" t="str" cm="1">
        <f t="array" aca="1" ref="I20" ca="1">IF(ROW($B20)-ROW($B$5)&gt;CatCount,"","BANK")</f>
        <v/>
      </c>
      <c r="J20" s="59" t="str">
        <f t="shared" ca="1" si="5"/>
        <v/>
      </c>
      <c r="K20" s="9" t="str" cm="1">
        <f t="array" aca="1" ref="K20" ca="1">IF(ROW($B20)-ROW($B$5)&gt;CatCount,"","BANK")</f>
        <v/>
      </c>
      <c r="L20" s="59" t="str" cm="1">
        <f t="array" aca="1" ref="L20" ca="1">IF(LEN($A20)&gt;1,IF($E$2="MTD",SUMIFS(TransProceeds,TransCat,$A20,TransIDDate,"&gt;="&amp;Assets!$J$2,TransIDDate,"&lt;"&amp;(Assets!$I$2+1),TransType,"DIS"),SUMIFS(TransProceeds,TransCat,$A20,TransIDDate,"&gt;="&amp;Assets!$H$2,TransIDDate,"&lt;"&amp;(Assets!$I$2+1),TransType,"DIS")),"")</f>
        <v/>
      </c>
      <c r="M20" s="9" t="str" cm="1">
        <f t="array" aca="1" ref="M20" ca="1">IF(ROW($B20)-ROW($B$5)&gt;CatCount,"",OFFSET('Set-up'!$A$26,ROW($B20)-ROW($B$5),COLUMN('Set-up'!$G$26)-1,1,1))</f>
        <v/>
      </c>
      <c r="N20" s="59" t="str">
        <f t="shared" ca="1" si="2"/>
        <v/>
      </c>
      <c r="O20" s="9" t="str" cm="1">
        <f t="array" aca="1" ref="O20" ca="1">IF(ROW($B20)-ROW($B$5)&gt;CatCount,"",OFFSET('Set-up'!$A$26,ROW($B20)-ROW($B$5),COLUMN('Set-up'!$G$26)-1,1,1))</f>
        <v/>
      </c>
      <c r="P20" s="59" t="str" cm="1">
        <f t="array" aca="1" ref="P20" ca="1">IF(LEN($A20)&gt;1,IF($E$2="MTD",SUMIFS(TransHCost,TransCat,$A20,TransIDDate,"&gt;="&amp;Assets!$J$2,TransIDDate,"&lt;"&amp;(Assets!$I$2+1),TransType,"DIS"),SUMIFS(TransHCost,TransCat,$A20,TransIDDate,"&gt;="&amp;Assets!$H$2,TransIDDate,"&lt;"&amp;(Assets!$I$2+1),TransType,"DIS")),"")</f>
        <v/>
      </c>
      <c r="Q20" s="9" t="str" cm="1">
        <f t="array" aca="1" ref="Q20" ca="1">IF(ROW($B20)-ROW($B$5)&gt;CatCount,"",OFFSET('Set-up'!$A$26,ROW($B20)-ROW($B$5),COLUMN('Set-up'!$D$26)-1,1,1))</f>
        <v/>
      </c>
      <c r="R20" s="59" t="str">
        <f t="shared" ca="1" si="3"/>
        <v/>
      </c>
      <c r="S20" s="9" t="str" cm="1">
        <f t="array" aca="1" ref="S20" ca="1">IF(ROW($B20)-ROW($B$5)&gt;CatCount,"",OFFSET('Set-up'!$A$26,ROW($B20)-ROW($B$5),COLUMN('Set-up'!$E$26)-1,1,1))</f>
        <v/>
      </c>
      <c r="T20" s="59" t="str" cm="1">
        <f t="array" aca="1" ref="T20" ca="1">IF(LEN($A20)&gt;1,IF($E$2="MTD",SUMIFS(AssetDDis,AssetCat,$A20,AssetDisDate,"&gt;="&amp;Assets!$J$2,AssetDisDate,"&lt;="&amp;Assets!$K$2),SUMIFS(AssetDDis,AssetCat,$A20)),"")</f>
        <v/>
      </c>
      <c r="U20" s="9" t="str" cm="1">
        <f t="array" aca="1" ref="U20" ca="1">IF(ROW($B20)-ROW($B$5)&gt;CatCount,"",OFFSET('Set-up'!$A$26,ROW($B20)-ROW($B$5),COLUMN('Set-up'!$G$26)-1,1,1))</f>
        <v/>
      </c>
      <c r="V20" s="59" t="str">
        <f t="shared" ca="1" si="4"/>
        <v/>
      </c>
    </row>
    <row r="21" spans="1:22" ht="16" customHeight="1" x14ac:dyDescent="0.25">
      <c r="A21" s="4" t="str" cm="1">
        <f t="array" aca="1" ref="A21" ca="1">IF(ROW($B21)-ROW($B$5)&gt;CatCount,"",OFFSET('Set-up'!$A$26,ROW($B21)-ROW($B$5),0,1,1))</f>
        <v/>
      </c>
      <c r="B21" s="4" t="str">
        <f t="shared" ca="1" si="0"/>
        <v/>
      </c>
      <c r="C21" s="9" t="str" cm="1">
        <f t="array" aca="1" ref="C21" ca="1">IF(ROW($B21)-ROW($B$5)&gt;CatCount,"",OFFSET('Set-up'!$A$26,ROW($B21)-ROW($B$5),COLUMN('Set-up'!$F$26)-1,1,1))</f>
        <v/>
      </c>
      <c r="D21" s="59" t="str" cm="1">
        <f t="array" aca="1" ref="D21" ca="1">IF(LEN($A21)&gt;1,IF($E$2="MTD",SUMIFS(AssetMDep,AssetCat,$A21),SUMIFS(AssetDDep,AssetCat,$A21)),"")</f>
        <v/>
      </c>
      <c r="E21" s="9" t="str" cm="1">
        <f t="array" aca="1" ref="E21" ca="1">IF(ROW($B21)-ROW($B$5)&gt;CatCount,"",OFFSET('Set-up'!$A$26,ROW($B21)-ROW($B$5),COLUMN('Set-up'!$E$26)-1,1,1))</f>
        <v/>
      </c>
      <c r="F21" s="59" t="str">
        <f t="shared" ca="1" si="1"/>
        <v/>
      </c>
      <c r="G21" s="9" t="str" cm="1">
        <f t="array" aca="1" ref="G21" ca="1">IF(ROW($B21)-ROW($B$5)&gt;CatCount,"",OFFSET('Set-up'!$A$26,ROW($B21)-ROW($B$5),COLUMN('Set-up'!$D$26)-1,1,1))</f>
        <v/>
      </c>
      <c r="H21" s="59" t="str" cm="1">
        <f t="array" aca="1" ref="H21" ca="1">IF(LEN($A21)&gt;1,IF($E$2="MTD",SUMIFS(TransAmount,TransCat,$A21,TransIDDate,"&gt;="&amp;Assets!$J$2,TransIDDate,"&lt;"&amp;(Assets!$I$2+1),TransType,"ACQ"),SUMIFS(TransAmount,TransCat,$A21,TransIDDate,"&gt;="&amp;Assets!$H$2,TransIDDate,"&lt;"&amp;(Assets!$I$2+1),TransType,"ACQ")),"")</f>
        <v/>
      </c>
      <c r="I21" s="9" t="str" cm="1">
        <f t="array" aca="1" ref="I21" ca="1">IF(ROW($B21)-ROW($B$5)&gt;CatCount,"","BANK")</f>
        <v/>
      </c>
      <c r="J21" s="59" t="str">
        <f t="shared" ca="1" si="5"/>
        <v/>
      </c>
      <c r="K21" s="9" t="str" cm="1">
        <f t="array" aca="1" ref="K21" ca="1">IF(ROW($B21)-ROW($B$5)&gt;CatCount,"","BANK")</f>
        <v/>
      </c>
      <c r="L21" s="59" t="str" cm="1">
        <f t="array" aca="1" ref="L21" ca="1">IF(LEN($A21)&gt;1,IF($E$2="MTD",SUMIFS(TransProceeds,TransCat,$A21,TransIDDate,"&gt;="&amp;Assets!$J$2,TransIDDate,"&lt;"&amp;(Assets!$I$2+1),TransType,"DIS"),SUMIFS(TransProceeds,TransCat,$A21,TransIDDate,"&gt;="&amp;Assets!$H$2,TransIDDate,"&lt;"&amp;(Assets!$I$2+1),TransType,"DIS")),"")</f>
        <v/>
      </c>
      <c r="M21" s="9" t="str" cm="1">
        <f t="array" aca="1" ref="M21" ca="1">IF(ROW($B21)-ROW($B$5)&gt;CatCount,"",OFFSET('Set-up'!$A$26,ROW($B21)-ROW($B$5),COLUMN('Set-up'!$G$26)-1,1,1))</f>
        <v/>
      </c>
      <c r="N21" s="59" t="str">
        <f t="shared" ca="1" si="2"/>
        <v/>
      </c>
      <c r="O21" s="9" t="str" cm="1">
        <f t="array" aca="1" ref="O21" ca="1">IF(ROW($B21)-ROW($B$5)&gt;CatCount,"",OFFSET('Set-up'!$A$26,ROW($B21)-ROW($B$5),COLUMN('Set-up'!$G$26)-1,1,1))</f>
        <v/>
      </c>
      <c r="P21" s="59" t="str" cm="1">
        <f t="array" aca="1" ref="P21" ca="1">IF(LEN($A21)&gt;1,IF($E$2="MTD",SUMIFS(TransHCost,TransCat,$A21,TransIDDate,"&gt;="&amp;Assets!$J$2,TransIDDate,"&lt;"&amp;(Assets!$I$2+1),TransType,"DIS"),SUMIFS(TransHCost,TransCat,$A21,TransIDDate,"&gt;="&amp;Assets!$H$2,TransIDDate,"&lt;"&amp;(Assets!$I$2+1),TransType,"DIS")),"")</f>
        <v/>
      </c>
      <c r="Q21" s="9" t="str" cm="1">
        <f t="array" aca="1" ref="Q21" ca="1">IF(ROW($B21)-ROW($B$5)&gt;CatCount,"",OFFSET('Set-up'!$A$26,ROW($B21)-ROW($B$5),COLUMN('Set-up'!$D$26)-1,1,1))</f>
        <v/>
      </c>
      <c r="R21" s="59" t="str">
        <f t="shared" ca="1" si="3"/>
        <v/>
      </c>
      <c r="S21" s="9" t="str" cm="1">
        <f t="array" aca="1" ref="S21" ca="1">IF(ROW($B21)-ROW($B$5)&gt;CatCount,"",OFFSET('Set-up'!$A$26,ROW($B21)-ROW($B$5),COLUMN('Set-up'!$E$26)-1,1,1))</f>
        <v/>
      </c>
      <c r="T21" s="59" t="str" cm="1">
        <f t="array" aca="1" ref="T21" ca="1">IF(LEN($A21)&gt;1,IF($E$2="MTD",SUMIFS(AssetDDis,AssetCat,$A21,AssetDisDate,"&gt;="&amp;Assets!$J$2,AssetDisDate,"&lt;="&amp;Assets!$K$2),SUMIFS(AssetDDis,AssetCat,$A21)),"")</f>
        <v/>
      </c>
      <c r="U21" s="9" t="str" cm="1">
        <f t="array" aca="1" ref="U21" ca="1">IF(ROW($B21)-ROW($B$5)&gt;CatCount,"",OFFSET('Set-up'!$A$26,ROW($B21)-ROW($B$5),COLUMN('Set-up'!$G$26)-1,1,1))</f>
        <v/>
      </c>
      <c r="V21" s="59" t="str">
        <f t="shared" ca="1" si="4"/>
        <v/>
      </c>
    </row>
    <row r="22" spans="1:22" ht="16" customHeight="1" x14ac:dyDescent="0.25">
      <c r="A22" s="4" t="str" cm="1">
        <f t="array" aca="1" ref="A22" ca="1">IF(ROW($B22)-ROW($B$5)&gt;CatCount,"",OFFSET('Set-up'!$A$26,ROW($B22)-ROW($B$5),0,1,1))</f>
        <v/>
      </c>
      <c r="B22" s="4" t="str">
        <f t="shared" ca="1" si="0"/>
        <v/>
      </c>
      <c r="C22" s="9" t="str" cm="1">
        <f t="array" aca="1" ref="C22" ca="1">IF(ROW($B22)-ROW($B$5)&gt;CatCount,"",OFFSET('Set-up'!$A$26,ROW($B22)-ROW($B$5),COLUMN('Set-up'!$F$26)-1,1,1))</f>
        <v/>
      </c>
      <c r="D22" s="59" t="str" cm="1">
        <f t="array" aca="1" ref="D22" ca="1">IF(LEN($A22)&gt;1,IF($E$2="MTD",SUMIFS(AssetMDep,AssetCat,$A22),SUMIFS(AssetDDep,AssetCat,$A22)),"")</f>
        <v/>
      </c>
      <c r="E22" s="9" t="str" cm="1">
        <f t="array" aca="1" ref="E22" ca="1">IF(ROW($B22)-ROW($B$5)&gt;CatCount,"",OFFSET('Set-up'!$A$26,ROW($B22)-ROW($B$5),COLUMN('Set-up'!$E$26)-1,1,1))</f>
        <v/>
      </c>
      <c r="F22" s="59" t="str">
        <f t="shared" ca="1" si="1"/>
        <v/>
      </c>
      <c r="G22" s="9" t="str" cm="1">
        <f t="array" aca="1" ref="G22" ca="1">IF(ROW($B22)-ROW($B$5)&gt;CatCount,"",OFFSET('Set-up'!$A$26,ROW($B22)-ROW($B$5),COLUMN('Set-up'!$D$26)-1,1,1))</f>
        <v/>
      </c>
      <c r="H22" s="59" t="str" cm="1">
        <f t="array" aca="1" ref="H22" ca="1">IF(LEN($A22)&gt;1,IF($E$2="MTD",SUMIFS(TransAmount,TransCat,$A22,TransIDDate,"&gt;="&amp;Assets!$J$2,TransIDDate,"&lt;"&amp;(Assets!$I$2+1),TransType,"ACQ"),SUMIFS(TransAmount,TransCat,$A22,TransIDDate,"&gt;="&amp;Assets!$H$2,TransIDDate,"&lt;"&amp;(Assets!$I$2+1),TransType,"ACQ")),"")</f>
        <v/>
      </c>
      <c r="I22" s="9" t="str" cm="1">
        <f t="array" aca="1" ref="I22" ca="1">IF(ROW($B22)-ROW($B$5)&gt;CatCount,"","BANK")</f>
        <v/>
      </c>
      <c r="J22" s="59" t="str">
        <f t="shared" ca="1" si="5"/>
        <v/>
      </c>
      <c r="K22" s="9" t="str" cm="1">
        <f t="array" aca="1" ref="K22" ca="1">IF(ROW($B22)-ROW($B$5)&gt;CatCount,"","BANK")</f>
        <v/>
      </c>
      <c r="L22" s="59" t="str" cm="1">
        <f t="array" aca="1" ref="L22" ca="1">IF(LEN($A22)&gt;1,IF($E$2="MTD",SUMIFS(TransProceeds,TransCat,$A22,TransIDDate,"&gt;="&amp;Assets!$J$2,TransIDDate,"&lt;"&amp;(Assets!$I$2+1),TransType,"DIS"),SUMIFS(TransProceeds,TransCat,$A22,TransIDDate,"&gt;="&amp;Assets!$H$2,TransIDDate,"&lt;"&amp;(Assets!$I$2+1),TransType,"DIS")),"")</f>
        <v/>
      </c>
      <c r="M22" s="9" t="str" cm="1">
        <f t="array" aca="1" ref="M22" ca="1">IF(ROW($B22)-ROW($B$5)&gt;CatCount,"",OFFSET('Set-up'!$A$26,ROW($B22)-ROW($B$5),COLUMN('Set-up'!$G$26)-1,1,1))</f>
        <v/>
      </c>
      <c r="N22" s="59" t="str">
        <f t="shared" ca="1" si="2"/>
        <v/>
      </c>
      <c r="O22" s="9" t="str" cm="1">
        <f t="array" aca="1" ref="O22" ca="1">IF(ROW($B22)-ROW($B$5)&gt;CatCount,"",OFFSET('Set-up'!$A$26,ROW($B22)-ROW($B$5),COLUMN('Set-up'!$G$26)-1,1,1))</f>
        <v/>
      </c>
      <c r="P22" s="59" t="str" cm="1">
        <f t="array" aca="1" ref="P22" ca="1">IF(LEN($A22)&gt;1,IF($E$2="MTD",SUMIFS(TransHCost,TransCat,$A22,TransIDDate,"&gt;="&amp;Assets!$J$2,TransIDDate,"&lt;"&amp;(Assets!$I$2+1),TransType,"DIS"),SUMIFS(TransHCost,TransCat,$A22,TransIDDate,"&gt;="&amp;Assets!$H$2,TransIDDate,"&lt;"&amp;(Assets!$I$2+1),TransType,"DIS")),"")</f>
        <v/>
      </c>
      <c r="Q22" s="9" t="str" cm="1">
        <f t="array" aca="1" ref="Q22" ca="1">IF(ROW($B22)-ROW($B$5)&gt;CatCount,"",OFFSET('Set-up'!$A$26,ROW($B22)-ROW($B$5),COLUMN('Set-up'!$D$26)-1,1,1))</f>
        <v/>
      </c>
      <c r="R22" s="59" t="str">
        <f t="shared" ca="1" si="3"/>
        <v/>
      </c>
      <c r="S22" s="9" t="str" cm="1">
        <f t="array" aca="1" ref="S22" ca="1">IF(ROW($B22)-ROW($B$5)&gt;CatCount,"",OFFSET('Set-up'!$A$26,ROW($B22)-ROW($B$5),COLUMN('Set-up'!$E$26)-1,1,1))</f>
        <v/>
      </c>
      <c r="T22" s="59" t="str" cm="1">
        <f t="array" aca="1" ref="T22" ca="1">IF(LEN($A22)&gt;1,IF($E$2="MTD",SUMIFS(AssetDDis,AssetCat,$A22,AssetDisDate,"&gt;="&amp;Assets!$J$2,AssetDisDate,"&lt;="&amp;Assets!$K$2),SUMIFS(AssetDDis,AssetCat,$A22)),"")</f>
        <v/>
      </c>
      <c r="U22" s="9" t="str" cm="1">
        <f t="array" aca="1" ref="U22" ca="1">IF(ROW($B22)-ROW($B$5)&gt;CatCount,"",OFFSET('Set-up'!$A$26,ROW($B22)-ROW($B$5),COLUMN('Set-up'!$G$26)-1,1,1))</f>
        <v/>
      </c>
      <c r="V22" s="59" t="str">
        <f t="shared" ca="1" si="4"/>
        <v/>
      </c>
    </row>
    <row r="23" spans="1:22" ht="16" customHeight="1" x14ac:dyDescent="0.25">
      <c r="A23" s="4" t="str" cm="1">
        <f t="array" aca="1" ref="A23" ca="1">IF(ROW($B23)-ROW($B$5)&gt;CatCount,"",OFFSET('Set-up'!$A$26,ROW($B23)-ROW($B$5),0,1,1))</f>
        <v/>
      </c>
      <c r="B23" s="4" t="str">
        <f t="shared" ca="1" si="0"/>
        <v/>
      </c>
      <c r="C23" s="9" t="str" cm="1">
        <f t="array" aca="1" ref="C23" ca="1">IF(ROW($B23)-ROW($B$5)&gt;CatCount,"",OFFSET('Set-up'!$A$26,ROW($B23)-ROW($B$5),COLUMN('Set-up'!$F$26)-1,1,1))</f>
        <v/>
      </c>
      <c r="D23" s="59" t="str" cm="1">
        <f t="array" aca="1" ref="D23" ca="1">IF(LEN($A23)&gt;1,IF($E$2="MTD",SUMIFS(AssetMDep,AssetCat,$A23),SUMIFS(AssetDDep,AssetCat,$A23)),"")</f>
        <v/>
      </c>
      <c r="E23" s="9" t="str" cm="1">
        <f t="array" aca="1" ref="E23" ca="1">IF(ROW($B23)-ROW($B$5)&gt;CatCount,"",OFFSET('Set-up'!$A$26,ROW($B23)-ROW($B$5),COLUMN('Set-up'!$E$26)-1,1,1))</f>
        <v/>
      </c>
      <c r="F23" s="59" t="str">
        <f t="shared" ca="1" si="1"/>
        <v/>
      </c>
      <c r="G23" s="9" t="str" cm="1">
        <f t="array" aca="1" ref="G23" ca="1">IF(ROW($B23)-ROW($B$5)&gt;CatCount,"",OFFSET('Set-up'!$A$26,ROW($B23)-ROW($B$5),COLUMN('Set-up'!$D$26)-1,1,1))</f>
        <v/>
      </c>
      <c r="H23" s="59" t="str" cm="1">
        <f t="array" aca="1" ref="H23" ca="1">IF(LEN($A23)&gt;1,IF($E$2="MTD",SUMIFS(TransAmount,TransCat,$A23,TransIDDate,"&gt;="&amp;Assets!$J$2,TransIDDate,"&lt;"&amp;(Assets!$I$2+1),TransType,"ACQ"),SUMIFS(TransAmount,TransCat,$A23,TransIDDate,"&gt;="&amp;Assets!$H$2,TransIDDate,"&lt;"&amp;(Assets!$I$2+1),TransType,"ACQ")),"")</f>
        <v/>
      </c>
      <c r="I23" s="9" t="str" cm="1">
        <f t="array" aca="1" ref="I23" ca="1">IF(ROW($B23)-ROW($B$5)&gt;CatCount,"","BANK")</f>
        <v/>
      </c>
      <c r="J23" s="59" t="str">
        <f t="shared" ca="1" si="5"/>
        <v/>
      </c>
      <c r="K23" s="9" t="str" cm="1">
        <f t="array" aca="1" ref="K23" ca="1">IF(ROW($B23)-ROW($B$5)&gt;CatCount,"","BANK")</f>
        <v/>
      </c>
      <c r="L23" s="59" t="str" cm="1">
        <f t="array" aca="1" ref="L23" ca="1">IF(LEN($A23)&gt;1,IF($E$2="MTD",SUMIFS(TransProceeds,TransCat,$A23,TransIDDate,"&gt;="&amp;Assets!$J$2,TransIDDate,"&lt;"&amp;(Assets!$I$2+1),TransType,"DIS"),SUMIFS(TransProceeds,TransCat,$A23,TransIDDate,"&gt;="&amp;Assets!$H$2,TransIDDate,"&lt;"&amp;(Assets!$I$2+1),TransType,"DIS")),"")</f>
        <v/>
      </c>
      <c r="M23" s="9" t="str" cm="1">
        <f t="array" aca="1" ref="M23" ca="1">IF(ROW($B23)-ROW($B$5)&gt;CatCount,"",OFFSET('Set-up'!$A$26,ROW($B23)-ROW($B$5),COLUMN('Set-up'!$G$26)-1,1,1))</f>
        <v/>
      </c>
      <c r="N23" s="59" t="str">
        <f t="shared" ca="1" si="2"/>
        <v/>
      </c>
      <c r="O23" s="9" t="str" cm="1">
        <f t="array" aca="1" ref="O23" ca="1">IF(ROW($B23)-ROW($B$5)&gt;CatCount,"",OFFSET('Set-up'!$A$26,ROW($B23)-ROW($B$5),COLUMN('Set-up'!$G$26)-1,1,1))</f>
        <v/>
      </c>
      <c r="P23" s="59" t="str" cm="1">
        <f t="array" aca="1" ref="P23" ca="1">IF(LEN($A23)&gt;1,IF($E$2="MTD",SUMIFS(TransHCost,TransCat,$A23,TransIDDate,"&gt;="&amp;Assets!$J$2,TransIDDate,"&lt;"&amp;(Assets!$I$2+1),TransType,"DIS"),SUMIFS(TransHCost,TransCat,$A23,TransIDDate,"&gt;="&amp;Assets!$H$2,TransIDDate,"&lt;"&amp;(Assets!$I$2+1),TransType,"DIS")),"")</f>
        <v/>
      </c>
      <c r="Q23" s="9" t="str" cm="1">
        <f t="array" aca="1" ref="Q23" ca="1">IF(ROW($B23)-ROW($B$5)&gt;CatCount,"",OFFSET('Set-up'!$A$26,ROW($B23)-ROW($B$5),COLUMN('Set-up'!$D$26)-1,1,1))</f>
        <v/>
      </c>
      <c r="R23" s="59" t="str">
        <f t="shared" ca="1" si="3"/>
        <v/>
      </c>
      <c r="S23" s="9" t="str" cm="1">
        <f t="array" aca="1" ref="S23" ca="1">IF(ROW($B23)-ROW($B$5)&gt;CatCount,"",OFFSET('Set-up'!$A$26,ROW($B23)-ROW($B$5),COLUMN('Set-up'!$E$26)-1,1,1))</f>
        <v/>
      </c>
      <c r="T23" s="59" t="str" cm="1">
        <f t="array" aca="1" ref="T23" ca="1">IF(LEN($A23)&gt;1,IF($E$2="MTD",SUMIFS(AssetDDis,AssetCat,$A23,AssetDisDate,"&gt;="&amp;Assets!$J$2,AssetDisDate,"&lt;="&amp;Assets!$K$2),SUMIFS(AssetDDis,AssetCat,$A23)),"")</f>
        <v/>
      </c>
      <c r="U23" s="9" t="str" cm="1">
        <f t="array" aca="1" ref="U23" ca="1">IF(ROW($B23)-ROW($B$5)&gt;CatCount,"",OFFSET('Set-up'!$A$26,ROW($B23)-ROW($B$5),COLUMN('Set-up'!$G$26)-1,1,1))</f>
        <v/>
      </c>
      <c r="V23" s="59" t="str">
        <f t="shared" ca="1" si="4"/>
        <v/>
      </c>
    </row>
    <row r="24" spans="1:22" ht="16" customHeight="1" x14ac:dyDescent="0.25">
      <c r="A24" s="4" t="str" cm="1">
        <f t="array" aca="1" ref="A24" ca="1">IF(ROW($B24)-ROW($B$5)&gt;CatCount,"",OFFSET('Set-up'!$A$26,ROW($B24)-ROW($B$5),0,1,1))</f>
        <v/>
      </c>
      <c r="B24" s="4" t="str">
        <f t="shared" ca="1" si="0"/>
        <v/>
      </c>
      <c r="C24" s="9" t="str" cm="1">
        <f t="array" aca="1" ref="C24" ca="1">IF(ROW($B24)-ROW($B$5)&gt;CatCount,"",OFFSET('Set-up'!$A$26,ROW($B24)-ROW($B$5),COLUMN('Set-up'!$F$26)-1,1,1))</f>
        <v/>
      </c>
      <c r="D24" s="59" t="str" cm="1">
        <f t="array" aca="1" ref="D24" ca="1">IF(LEN($A24)&gt;1,IF($E$2="MTD",SUMIFS(AssetMDep,AssetCat,$A24),SUMIFS(AssetDDep,AssetCat,$A24)),"")</f>
        <v/>
      </c>
      <c r="E24" s="9" t="str" cm="1">
        <f t="array" aca="1" ref="E24" ca="1">IF(ROW($B24)-ROW($B$5)&gt;CatCount,"",OFFSET('Set-up'!$A$26,ROW($B24)-ROW($B$5),COLUMN('Set-up'!$E$26)-1,1,1))</f>
        <v/>
      </c>
      <c r="F24" s="59" t="str">
        <f t="shared" ca="1" si="1"/>
        <v/>
      </c>
      <c r="G24" s="9" t="str" cm="1">
        <f t="array" aca="1" ref="G24" ca="1">IF(ROW($B24)-ROW($B$5)&gt;CatCount,"",OFFSET('Set-up'!$A$26,ROW($B24)-ROW($B$5),COLUMN('Set-up'!$D$26)-1,1,1))</f>
        <v/>
      </c>
      <c r="H24" s="59" t="str" cm="1">
        <f t="array" aca="1" ref="H24" ca="1">IF(LEN($A24)&gt;1,IF($E$2="MTD",SUMIFS(TransAmount,TransCat,$A24,TransIDDate,"&gt;="&amp;Assets!$J$2,TransIDDate,"&lt;"&amp;(Assets!$I$2+1),TransType,"ACQ"),SUMIFS(TransAmount,TransCat,$A24,TransIDDate,"&gt;="&amp;Assets!$H$2,TransIDDate,"&lt;"&amp;(Assets!$I$2+1),TransType,"ACQ")),"")</f>
        <v/>
      </c>
      <c r="I24" s="9" t="str" cm="1">
        <f t="array" aca="1" ref="I24" ca="1">IF(ROW($B24)-ROW($B$5)&gt;CatCount,"","BANK")</f>
        <v/>
      </c>
      <c r="J24" s="59" t="str">
        <f t="shared" ca="1" si="5"/>
        <v/>
      </c>
      <c r="K24" s="9" t="str" cm="1">
        <f t="array" aca="1" ref="K24" ca="1">IF(ROW($B24)-ROW($B$5)&gt;CatCount,"","BANK")</f>
        <v/>
      </c>
      <c r="L24" s="59" t="str" cm="1">
        <f t="array" aca="1" ref="L24" ca="1">IF(LEN($A24)&gt;1,IF($E$2="MTD",SUMIFS(TransProceeds,TransCat,$A24,TransIDDate,"&gt;="&amp;Assets!$J$2,TransIDDate,"&lt;"&amp;(Assets!$I$2+1),TransType,"DIS"),SUMIFS(TransProceeds,TransCat,$A24,TransIDDate,"&gt;="&amp;Assets!$H$2,TransIDDate,"&lt;"&amp;(Assets!$I$2+1),TransType,"DIS")),"")</f>
        <v/>
      </c>
      <c r="M24" s="9" t="str" cm="1">
        <f t="array" aca="1" ref="M24" ca="1">IF(ROW($B24)-ROW($B$5)&gt;CatCount,"",OFFSET('Set-up'!$A$26,ROW($B24)-ROW($B$5),COLUMN('Set-up'!$G$26)-1,1,1))</f>
        <v/>
      </c>
      <c r="N24" s="59" t="str">
        <f t="shared" ca="1" si="2"/>
        <v/>
      </c>
      <c r="O24" s="9" t="str" cm="1">
        <f t="array" aca="1" ref="O24" ca="1">IF(ROW($B24)-ROW($B$5)&gt;CatCount,"",OFFSET('Set-up'!$A$26,ROW($B24)-ROW($B$5),COLUMN('Set-up'!$G$26)-1,1,1))</f>
        <v/>
      </c>
      <c r="P24" s="59" t="str" cm="1">
        <f t="array" aca="1" ref="P24" ca="1">IF(LEN($A24)&gt;1,IF($E$2="MTD",SUMIFS(TransHCost,TransCat,$A24,TransIDDate,"&gt;="&amp;Assets!$J$2,TransIDDate,"&lt;"&amp;(Assets!$I$2+1),TransType,"DIS"),SUMIFS(TransHCost,TransCat,$A24,TransIDDate,"&gt;="&amp;Assets!$H$2,TransIDDate,"&lt;"&amp;(Assets!$I$2+1),TransType,"DIS")),"")</f>
        <v/>
      </c>
      <c r="Q24" s="9" t="str" cm="1">
        <f t="array" aca="1" ref="Q24" ca="1">IF(ROW($B24)-ROW($B$5)&gt;CatCount,"",OFFSET('Set-up'!$A$26,ROW($B24)-ROW($B$5),COLUMN('Set-up'!$D$26)-1,1,1))</f>
        <v/>
      </c>
      <c r="R24" s="59" t="str">
        <f t="shared" ca="1" si="3"/>
        <v/>
      </c>
      <c r="S24" s="9" t="str" cm="1">
        <f t="array" aca="1" ref="S24" ca="1">IF(ROW($B24)-ROW($B$5)&gt;CatCount,"",OFFSET('Set-up'!$A$26,ROW($B24)-ROW($B$5),COLUMN('Set-up'!$E$26)-1,1,1))</f>
        <v/>
      </c>
      <c r="T24" s="59" t="str" cm="1">
        <f t="array" aca="1" ref="T24" ca="1">IF(LEN($A24)&gt;1,IF($E$2="MTD",SUMIFS(AssetDDis,AssetCat,$A24,AssetDisDate,"&gt;="&amp;Assets!$J$2,AssetDisDate,"&lt;="&amp;Assets!$K$2),SUMIFS(AssetDDis,AssetCat,$A24)),"")</f>
        <v/>
      </c>
      <c r="U24" s="9" t="str" cm="1">
        <f t="array" aca="1" ref="U24" ca="1">IF(ROW($B24)-ROW($B$5)&gt;CatCount,"",OFFSET('Set-up'!$A$26,ROW($B24)-ROW($B$5),COLUMN('Set-up'!$G$26)-1,1,1))</f>
        <v/>
      </c>
      <c r="V24" s="59" t="str">
        <f t="shared" ca="1" si="4"/>
        <v/>
      </c>
    </row>
    <row r="25" spans="1:22" ht="16" customHeight="1" x14ac:dyDescent="0.25">
      <c r="A25" s="4" t="str" cm="1">
        <f t="array" aca="1" ref="A25" ca="1">IF(ROW($B25)-ROW($B$5)&gt;CatCount,"",OFFSET('Set-up'!$A$26,ROW($B25)-ROW($B$5),0,1,1))</f>
        <v/>
      </c>
      <c r="B25" s="4" t="str">
        <f t="shared" ca="1" si="0"/>
        <v/>
      </c>
      <c r="C25" s="9" t="str" cm="1">
        <f t="array" aca="1" ref="C25" ca="1">IF(ROW($B25)-ROW($B$5)&gt;CatCount,"",OFFSET('Set-up'!$A$26,ROW($B25)-ROW($B$5),COLUMN('Set-up'!$F$26)-1,1,1))</f>
        <v/>
      </c>
      <c r="D25" s="59" t="str" cm="1">
        <f t="array" aca="1" ref="D25" ca="1">IF(LEN($A25)&gt;1,IF($E$2="MTD",SUMIFS(AssetMDep,AssetCat,$A25),SUMIFS(AssetDDep,AssetCat,$A25)),"")</f>
        <v/>
      </c>
      <c r="E25" s="9" t="str" cm="1">
        <f t="array" aca="1" ref="E25" ca="1">IF(ROW($B25)-ROW($B$5)&gt;CatCount,"",OFFSET('Set-up'!$A$26,ROW($B25)-ROW($B$5),COLUMN('Set-up'!$E$26)-1,1,1))</f>
        <v/>
      </c>
      <c r="F25" s="59" t="str">
        <f t="shared" ca="1" si="1"/>
        <v/>
      </c>
      <c r="G25" s="9" t="str" cm="1">
        <f t="array" aca="1" ref="G25" ca="1">IF(ROW($B25)-ROW($B$5)&gt;CatCount,"",OFFSET('Set-up'!$A$26,ROW($B25)-ROW($B$5),COLUMN('Set-up'!$D$26)-1,1,1))</f>
        <v/>
      </c>
      <c r="H25" s="59" t="str" cm="1">
        <f t="array" aca="1" ref="H25" ca="1">IF(LEN($A25)&gt;1,IF($E$2="MTD",SUMIFS(TransAmount,TransCat,$A25,TransIDDate,"&gt;="&amp;Assets!$J$2,TransIDDate,"&lt;"&amp;(Assets!$I$2+1),TransType,"ACQ"),SUMIFS(TransAmount,TransCat,$A25,TransIDDate,"&gt;="&amp;Assets!$H$2,TransIDDate,"&lt;"&amp;(Assets!$I$2+1),TransType,"ACQ")),"")</f>
        <v/>
      </c>
      <c r="I25" s="9" t="str" cm="1">
        <f t="array" aca="1" ref="I25" ca="1">IF(ROW($B25)-ROW($B$5)&gt;CatCount,"","BANK")</f>
        <v/>
      </c>
      <c r="J25" s="59" t="str">
        <f t="shared" ca="1" si="5"/>
        <v/>
      </c>
      <c r="K25" s="9" t="str" cm="1">
        <f t="array" aca="1" ref="K25" ca="1">IF(ROW($B25)-ROW($B$5)&gt;CatCount,"","BANK")</f>
        <v/>
      </c>
      <c r="L25" s="59" t="str" cm="1">
        <f t="array" aca="1" ref="L25" ca="1">IF(LEN($A25)&gt;1,IF($E$2="MTD",SUMIFS(TransProceeds,TransCat,$A25,TransIDDate,"&gt;="&amp;Assets!$J$2,TransIDDate,"&lt;"&amp;(Assets!$I$2+1),TransType,"DIS"),SUMIFS(TransProceeds,TransCat,$A25,TransIDDate,"&gt;="&amp;Assets!$H$2,TransIDDate,"&lt;"&amp;(Assets!$I$2+1),TransType,"DIS")),"")</f>
        <v/>
      </c>
      <c r="M25" s="9" t="str" cm="1">
        <f t="array" aca="1" ref="M25" ca="1">IF(ROW($B25)-ROW($B$5)&gt;CatCount,"",OFFSET('Set-up'!$A$26,ROW($B25)-ROW($B$5),COLUMN('Set-up'!$G$26)-1,1,1))</f>
        <v/>
      </c>
      <c r="N25" s="59" t="str">
        <f t="shared" ca="1" si="2"/>
        <v/>
      </c>
      <c r="O25" s="9" t="str" cm="1">
        <f t="array" aca="1" ref="O25" ca="1">IF(ROW($B25)-ROW($B$5)&gt;CatCount,"",OFFSET('Set-up'!$A$26,ROW($B25)-ROW($B$5),COLUMN('Set-up'!$G$26)-1,1,1))</f>
        <v/>
      </c>
      <c r="P25" s="59" t="str" cm="1">
        <f t="array" aca="1" ref="P25" ca="1">IF(LEN($A25)&gt;1,IF($E$2="MTD",SUMIFS(TransHCost,TransCat,$A25,TransIDDate,"&gt;="&amp;Assets!$J$2,TransIDDate,"&lt;"&amp;(Assets!$I$2+1),TransType,"DIS"),SUMIFS(TransHCost,TransCat,$A25,TransIDDate,"&gt;="&amp;Assets!$H$2,TransIDDate,"&lt;"&amp;(Assets!$I$2+1),TransType,"DIS")),"")</f>
        <v/>
      </c>
      <c r="Q25" s="9" t="str" cm="1">
        <f t="array" aca="1" ref="Q25" ca="1">IF(ROW($B25)-ROW($B$5)&gt;CatCount,"",OFFSET('Set-up'!$A$26,ROW($B25)-ROW($B$5),COLUMN('Set-up'!$D$26)-1,1,1))</f>
        <v/>
      </c>
      <c r="R25" s="59" t="str">
        <f t="shared" ca="1" si="3"/>
        <v/>
      </c>
      <c r="S25" s="9" t="str" cm="1">
        <f t="array" aca="1" ref="S25" ca="1">IF(ROW($B25)-ROW($B$5)&gt;CatCount,"",OFFSET('Set-up'!$A$26,ROW($B25)-ROW($B$5),COLUMN('Set-up'!$E$26)-1,1,1))</f>
        <v/>
      </c>
      <c r="T25" s="59" t="str" cm="1">
        <f t="array" aca="1" ref="T25" ca="1">IF(LEN($A25)&gt;1,IF($E$2="MTD",SUMIFS(AssetDDis,AssetCat,$A25,AssetDisDate,"&gt;="&amp;Assets!$J$2,AssetDisDate,"&lt;="&amp;Assets!$K$2),SUMIFS(AssetDDis,AssetCat,$A25)),"")</f>
        <v/>
      </c>
      <c r="U25" s="9" t="str" cm="1">
        <f t="array" aca="1" ref="U25" ca="1">IF(ROW($B25)-ROW($B$5)&gt;CatCount,"",OFFSET('Set-up'!$A$26,ROW($B25)-ROW($B$5),COLUMN('Set-up'!$G$26)-1,1,1))</f>
        <v/>
      </c>
      <c r="V25" s="59" t="str">
        <f t="shared" ca="1" si="4"/>
        <v/>
      </c>
    </row>
    <row r="26" spans="1:22" ht="16" customHeight="1" x14ac:dyDescent="0.25">
      <c r="A26" s="4" t="str" cm="1">
        <f t="array" aca="1" ref="A26" ca="1">IF(ROW($B26)-ROW($B$5)&gt;CatCount,"",OFFSET('Set-up'!$A$26,ROW($B26)-ROW($B$5),0,1,1))</f>
        <v/>
      </c>
      <c r="B26" s="4" t="str">
        <f t="shared" ca="1" si="0"/>
        <v/>
      </c>
      <c r="C26" s="9" t="str" cm="1">
        <f t="array" aca="1" ref="C26" ca="1">IF(ROW($B26)-ROW($B$5)&gt;CatCount,"",OFFSET('Set-up'!$A$26,ROW($B26)-ROW($B$5),COLUMN('Set-up'!$F$26)-1,1,1))</f>
        <v/>
      </c>
      <c r="D26" s="59" t="str" cm="1">
        <f t="array" aca="1" ref="D26" ca="1">IF(LEN($A26)&gt;1,IF($E$2="MTD",SUMIFS(AssetMDep,AssetCat,$A26),SUMIFS(AssetDDep,AssetCat,$A26)),"")</f>
        <v/>
      </c>
      <c r="E26" s="9" t="str" cm="1">
        <f t="array" aca="1" ref="E26" ca="1">IF(ROW($B26)-ROW($B$5)&gt;CatCount,"",OFFSET('Set-up'!$A$26,ROW($B26)-ROW($B$5),COLUMN('Set-up'!$E$26)-1,1,1))</f>
        <v/>
      </c>
      <c r="F26" s="59" t="str">
        <f t="shared" ca="1" si="1"/>
        <v/>
      </c>
      <c r="G26" s="9" t="str" cm="1">
        <f t="array" aca="1" ref="G26" ca="1">IF(ROW($B26)-ROW($B$5)&gt;CatCount,"",OFFSET('Set-up'!$A$26,ROW($B26)-ROW($B$5),COLUMN('Set-up'!$D$26)-1,1,1))</f>
        <v/>
      </c>
      <c r="H26" s="59" t="str" cm="1">
        <f t="array" aca="1" ref="H26" ca="1">IF(LEN($A26)&gt;1,IF($E$2="MTD",SUMIFS(TransAmount,TransCat,$A26,TransIDDate,"&gt;="&amp;Assets!$J$2,TransIDDate,"&lt;"&amp;(Assets!$I$2+1),TransType,"ACQ"),SUMIFS(TransAmount,TransCat,$A26,TransIDDate,"&gt;="&amp;Assets!$H$2,TransIDDate,"&lt;"&amp;(Assets!$I$2+1),TransType,"ACQ")),"")</f>
        <v/>
      </c>
      <c r="I26" s="9" t="str" cm="1">
        <f t="array" aca="1" ref="I26" ca="1">IF(ROW($B26)-ROW($B$5)&gt;CatCount,"","BANK")</f>
        <v/>
      </c>
      <c r="J26" s="59" t="str">
        <f t="shared" ca="1" si="5"/>
        <v/>
      </c>
      <c r="K26" s="9" t="str" cm="1">
        <f t="array" aca="1" ref="K26" ca="1">IF(ROW($B26)-ROW($B$5)&gt;CatCount,"","BANK")</f>
        <v/>
      </c>
      <c r="L26" s="59" t="str" cm="1">
        <f t="array" aca="1" ref="L26" ca="1">IF(LEN($A26)&gt;1,IF($E$2="MTD",SUMIFS(TransProceeds,TransCat,$A26,TransIDDate,"&gt;="&amp;Assets!$J$2,TransIDDate,"&lt;"&amp;(Assets!$I$2+1),TransType,"DIS"),SUMIFS(TransProceeds,TransCat,$A26,TransIDDate,"&gt;="&amp;Assets!$H$2,TransIDDate,"&lt;"&amp;(Assets!$I$2+1),TransType,"DIS")),"")</f>
        <v/>
      </c>
      <c r="M26" s="9" t="str" cm="1">
        <f t="array" aca="1" ref="M26" ca="1">IF(ROW($B26)-ROW($B$5)&gt;CatCount,"",OFFSET('Set-up'!$A$26,ROW($B26)-ROW($B$5),COLUMN('Set-up'!$G$26)-1,1,1))</f>
        <v/>
      </c>
      <c r="N26" s="59" t="str">
        <f t="shared" ca="1" si="2"/>
        <v/>
      </c>
      <c r="O26" s="9" t="str" cm="1">
        <f t="array" aca="1" ref="O26" ca="1">IF(ROW($B26)-ROW($B$5)&gt;CatCount,"",OFFSET('Set-up'!$A$26,ROW($B26)-ROW($B$5),COLUMN('Set-up'!$G$26)-1,1,1))</f>
        <v/>
      </c>
      <c r="P26" s="59" t="str" cm="1">
        <f t="array" aca="1" ref="P26" ca="1">IF(LEN($A26)&gt;1,IF($E$2="MTD",SUMIFS(TransHCost,TransCat,$A26,TransIDDate,"&gt;="&amp;Assets!$J$2,TransIDDate,"&lt;"&amp;(Assets!$I$2+1),TransType,"DIS"),SUMIFS(TransHCost,TransCat,$A26,TransIDDate,"&gt;="&amp;Assets!$H$2,TransIDDate,"&lt;"&amp;(Assets!$I$2+1),TransType,"DIS")),"")</f>
        <v/>
      </c>
      <c r="Q26" s="9" t="str" cm="1">
        <f t="array" aca="1" ref="Q26" ca="1">IF(ROW($B26)-ROW($B$5)&gt;CatCount,"",OFFSET('Set-up'!$A$26,ROW($B26)-ROW($B$5),COLUMN('Set-up'!$D$26)-1,1,1))</f>
        <v/>
      </c>
      <c r="R26" s="59" t="str">
        <f t="shared" ca="1" si="3"/>
        <v/>
      </c>
      <c r="S26" s="9" t="str" cm="1">
        <f t="array" aca="1" ref="S26" ca="1">IF(ROW($B26)-ROW($B$5)&gt;CatCount,"",OFFSET('Set-up'!$A$26,ROW($B26)-ROW($B$5),COLUMN('Set-up'!$E$26)-1,1,1))</f>
        <v/>
      </c>
      <c r="T26" s="59" t="str" cm="1">
        <f t="array" aca="1" ref="T26" ca="1">IF(LEN($A26)&gt;1,IF($E$2="MTD",SUMIFS(AssetDDis,AssetCat,$A26,AssetDisDate,"&gt;="&amp;Assets!$J$2,AssetDisDate,"&lt;="&amp;Assets!$K$2),SUMIFS(AssetDDis,AssetCat,$A26)),"")</f>
        <v/>
      </c>
      <c r="U26" s="9" t="str" cm="1">
        <f t="array" aca="1" ref="U26" ca="1">IF(ROW($B26)-ROW($B$5)&gt;CatCount,"",OFFSET('Set-up'!$A$26,ROW($B26)-ROW($B$5),COLUMN('Set-up'!$G$26)-1,1,1))</f>
        <v/>
      </c>
      <c r="V26" s="59" t="str">
        <f t="shared" ca="1" si="4"/>
        <v/>
      </c>
    </row>
    <row r="27" spans="1:22" ht="16" customHeight="1" x14ac:dyDescent="0.25">
      <c r="A27" s="4" t="str" cm="1">
        <f t="array" aca="1" ref="A27" ca="1">IF(ROW($B27)-ROW($B$5)&gt;CatCount,"",OFFSET('Set-up'!$A$26,ROW($B27)-ROW($B$5),0,1,1))</f>
        <v/>
      </c>
      <c r="B27" s="4" t="str">
        <f t="shared" ca="1" si="0"/>
        <v/>
      </c>
      <c r="C27" s="9" t="str" cm="1">
        <f t="array" aca="1" ref="C27" ca="1">IF(ROW($B27)-ROW($B$5)&gt;CatCount,"",OFFSET('Set-up'!$A$26,ROW($B27)-ROW($B$5),COLUMN('Set-up'!$F$26)-1,1,1))</f>
        <v/>
      </c>
      <c r="D27" s="59" t="str" cm="1">
        <f t="array" aca="1" ref="D27" ca="1">IF(LEN($A27)&gt;1,IF($E$2="MTD",SUMIFS(AssetMDep,AssetCat,$A27),SUMIFS(AssetDDep,AssetCat,$A27)),"")</f>
        <v/>
      </c>
      <c r="E27" s="9" t="str" cm="1">
        <f t="array" aca="1" ref="E27" ca="1">IF(ROW($B27)-ROW($B$5)&gt;CatCount,"",OFFSET('Set-up'!$A$26,ROW($B27)-ROW($B$5),COLUMN('Set-up'!$E$26)-1,1,1))</f>
        <v/>
      </c>
      <c r="F27" s="59" t="str">
        <f t="shared" ca="1" si="1"/>
        <v/>
      </c>
      <c r="G27" s="9" t="str" cm="1">
        <f t="array" aca="1" ref="G27" ca="1">IF(ROW($B27)-ROW($B$5)&gt;CatCount,"",OFFSET('Set-up'!$A$26,ROW($B27)-ROW($B$5),COLUMN('Set-up'!$D$26)-1,1,1))</f>
        <v/>
      </c>
      <c r="H27" s="59" t="str" cm="1">
        <f t="array" aca="1" ref="H27" ca="1">IF(LEN($A27)&gt;1,IF($E$2="MTD",SUMIFS(TransAmount,TransCat,$A27,TransIDDate,"&gt;="&amp;Assets!$J$2,TransIDDate,"&lt;"&amp;(Assets!$I$2+1),TransType,"ACQ"),SUMIFS(TransAmount,TransCat,$A27,TransIDDate,"&gt;="&amp;Assets!$H$2,TransIDDate,"&lt;"&amp;(Assets!$I$2+1),TransType,"ACQ")),"")</f>
        <v/>
      </c>
      <c r="I27" s="9" t="str" cm="1">
        <f t="array" aca="1" ref="I27" ca="1">IF(ROW($B27)-ROW($B$5)&gt;CatCount,"","BANK")</f>
        <v/>
      </c>
      <c r="J27" s="59" t="str">
        <f t="shared" ca="1" si="5"/>
        <v/>
      </c>
      <c r="K27" s="9" t="str" cm="1">
        <f t="array" aca="1" ref="K27" ca="1">IF(ROW($B27)-ROW($B$5)&gt;CatCount,"","BANK")</f>
        <v/>
      </c>
      <c r="L27" s="59" t="str" cm="1">
        <f t="array" aca="1" ref="L27" ca="1">IF(LEN($A27)&gt;1,IF($E$2="MTD",SUMIFS(TransProceeds,TransCat,$A27,TransIDDate,"&gt;="&amp;Assets!$J$2,TransIDDate,"&lt;"&amp;(Assets!$I$2+1),TransType,"DIS"),SUMIFS(TransProceeds,TransCat,$A27,TransIDDate,"&gt;="&amp;Assets!$H$2,TransIDDate,"&lt;"&amp;(Assets!$I$2+1),TransType,"DIS")),"")</f>
        <v/>
      </c>
      <c r="M27" s="9" t="str" cm="1">
        <f t="array" aca="1" ref="M27" ca="1">IF(ROW($B27)-ROW($B$5)&gt;CatCount,"",OFFSET('Set-up'!$A$26,ROW($B27)-ROW($B$5),COLUMN('Set-up'!$G$26)-1,1,1))</f>
        <v/>
      </c>
      <c r="N27" s="59" t="str">
        <f t="shared" ca="1" si="2"/>
        <v/>
      </c>
      <c r="O27" s="9" t="str" cm="1">
        <f t="array" aca="1" ref="O27" ca="1">IF(ROW($B27)-ROW($B$5)&gt;CatCount,"",OFFSET('Set-up'!$A$26,ROW($B27)-ROW($B$5),COLUMN('Set-up'!$G$26)-1,1,1))</f>
        <v/>
      </c>
      <c r="P27" s="59" t="str" cm="1">
        <f t="array" aca="1" ref="P27" ca="1">IF(LEN($A27)&gt;1,IF($E$2="MTD",SUMIFS(TransHCost,TransCat,$A27,TransIDDate,"&gt;="&amp;Assets!$J$2,TransIDDate,"&lt;"&amp;(Assets!$I$2+1),TransType,"DIS"),SUMIFS(TransHCost,TransCat,$A27,TransIDDate,"&gt;="&amp;Assets!$H$2,TransIDDate,"&lt;"&amp;(Assets!$I$2+1),TransType,"DIS")),"")</f>
        <v/>
      </c>
      <c r="Q27" s="9" t="str" cm="1">
        <f t="array" aca="1" ref="Q27" ca="1">IF(ROW($B27)-ROW($B$5)&gt;CatCount,"",OFFSET('Set-up'!$A$26,ROW($B27)-ROW($B$5),COLUMN('Set-up'!$D$26)-1,1,1))</f>
        <v/>
      </c>
      <c r="R27" s="59" t="str">
        <f t="shared" ca="1" si="3"/>
        <v/>
      </c>
      <c r="S27" s="9" t="str" cm="1">
        <f t="array" aca="1" ref="S27" ca="1">IF(ROW($B27)-ROW($B$5)&gt;CatCount,"",OFFSET('Set-up'!$A$26,ROW($B27)-ROW($B$5),COLUMN('Set-up'!$E$26)-1,1,1))</f>
        <v/>
      </c>
      <c r="T27" s="59" t="str" cm="1">
        <f t="array" aca="1" ref="T27" ca="1">IF(LEN($A27)&gt;1,IF($E$2="MTD",SUMIFS(AssetDDis,AssetCat,$A27,AssetDisDate,"&gt;="&amp;Assets!$J$2,AssetDisDate,"&lt;="&amp;Assets!$K$2),SUMIFS(AssetDDis,AssetCat,$A27)),"")</f>
        <v/>
      </c>
      <c r="U27" s="9" t="str" cm="1">
        <f t="array" aca="1" ref="U27" ca="1">IF(ROW($B27)-ROW($B$5)&gt;CatCount,"",OFFSET('Set-up'!$A$26,ROW($B27)-ROW($B$5),COLUMN('Set-up'!$G$26)-1,1,1))</f>
        <v/>
      </c>
      <c r="V27" s="59" t="str">
        <f t="shared" ca="1" si="4"/>
        <v/>
      </c>
    </row>
    <row r="28" spans="1:22" ht="16" customHeight="1" x14ac:dyDescent="0.25">
      <c r="A28" s="4" t="str" cm="1">
        <f t="array" aca="1" ref="A28" ca="1">IF(ROW($B28)-ROW($B$5)&gt;CatCount,"",OFFSET('Set-up'!$A$26,ROW($B28)-ROW($B$5),0,1,1))</f>
        <v/>
      </c>
      <c r="B28" s="4" t="str">
        <f t="shared" ca="1" si="0"/>
        <v/>
      </c>
      <c r="C28" s="9" t="str" cm="1">
        <f t="array" aca="1" ref="C28" ca="1">IF(ROW($B28)-ROW($B$5)&gt;CatCount,"",OFFSET('Set-up'!$A$26,ROW($B28)-ROW($B$5),COLUMN('Set-up'!$F$26)-1,1,1))</f>
        <v/>
      </c>
      <c r="D28" s="59" t="str" cm="1">
        <f t="array" aca="1" ref="D28" ca="1">IF(LEN($A28)&gt;1,IF($E$2="MTD",SUMIFS(AssetMDep,AssetCat,$A28),SUMIFS(AssetDDep,AssetCat,$A28)),"")</f>
        <v/>
      </c>
      <c r="E28" s="9" t="str" cm="1">
        <f t="array" aca="1" ref="E28" ca="1">IF(ROW($B28)-ROW($B$5)&gt;CatCount,"",OFFSET('Set-up'!$A$26,ROW($B28)-ROW($B$5),COLUMN('Set-up'!$E$26)-1,1,1))</f>
        <v/>
      </c>
      <c r="F28" s="59" t="str">
        <f t="shared" ca="1" si="1"/>
        <v/>
      </c>
      <c r="G28" s="9" t="str" cm="1">
        <f t="array" aca="1" ref="G28" ca="1">IF(ROW($B28)-ROW($B$5)&gt;CatCount,"",OFFSET('Set-up'!$A$26,ROW($B28)-ROW($B$5),COLUMN('Set-up'!$D$26)-1,1,1))</f>
        <v/>
      </c>
      <c r="H28" s="59" t="str" cm="1">
        <f t="array" aca="1" ref="H28" ca="1">IF(LEN($A28)&gt;1,IF($E$2="MTD",SUMIFS(TransAmount,TransCat,$A28,TransIDDate,"&gt;="&amp;Assets!$J$2,TransIDDate,"&lt;"&amp;(Assets!$I$2+1),TransType,"ACQ"),SUMIFS(TransAmount,TransCat,$A28,TransIDDate,"&gt;="&amp;Assets!$H$2,TransIDDate,"&lt;"&amp;(Assets!$I$2+1),TransType,"ACQ")),"")</f>
        <v/>
      </c>
      <c r="I28" s="9" t="str" cm="1">
        <f t="array" aca="1" ref="I28" ca="1">IF(ROW($B28)-ROW($B$5)&gt;CatCount,"","BANK")</f>
        <v/>
      </c>
      <c r="J28" s="59" t="str">
        <f t="shared" ca="1" si="5"/>
        <v/>
      </c>
      <c r="K28" s="9" t="str" cm="1">
        <f t="array" aca="1" ref="K28" ca="1">IF(ROW($B28)-ROW($B$5)&gt;CatCount,"","BANK")</f>
        <v/>
      </c>
      <c r="L28" s="59" t="str" cm="1">
        <f t="array" aca="1" ref="L28" ca="1">IF(LEN($A28)&gt;1,IF($E$2="MTD",SUMIFS(TransProceeds,TransCat,$A28,TransIDDate,"&gt;="&amp;Assets!$J$2,TransIDDate,"&lt;"&amp;(Assets!$I$2+1),TransType,"DIS"),SUMIFS(TransProceeds,TransCat,$A28,TransIDDate,"&gt;="&amp;Assets!$H$2,TransIDDate,"&lt;"&amp;(Assets!$I$2+1),TransType,"DIS")),"")</f>
        <v/>
      </c>
      <c r="M28" s="9" t="str" cm="1">
        <f t="array" aca="1" ref="M28" ca="1">IF(ROW($B28)-ROW($B$5)&gt;CatCount,"",OFFSET('Set-up'!$A$26,ROW($B28)-ROW($B$5),COLUMN('Set-up'!$G$26)-1,1,1))</f>
        <v/>
      </c>
      <c r="N28" s="59" t="str">
        <f t="shared" ca="1" si="2"/>
        <v/>
      </c>
      <c r="O28" s="9" t="str" cm="1">
        <f t="array" aca="1" ref="O28" ca="1">IF(ROW($B28)-ROW($B$5)&gt;CatCount,"",OFFSET('Set-up'!$A$26,ROW($B28)-ROW($B$5),COLUMN('Set-up'!$G$26)-1,1,1))</f>
        <v/>
      </c>
      <c r="P28" s="59" t="str" cm="1">
        <f t="array" aca="1" ref="P28" ca="1">IF(LEN($A28)&gt;1,IF($E$2="MTD",SUMIFS(TransHCost,TransCat,$A28,TransIDDate,"&gt;="&amp;Assets!$J$2,TransIDDate,"&lt;"&amp;(Assets!$I$2+1),TransType,"DIS"),SUMIFS(TransHCost,TransCat,$A28,TransIDDate,"&gt;="&amp;Assets!$H$2,TransIDDate,"&lt;"&amp;(Assets!$I$2+1),TransType,"DIS")),"")</f>
        <v/>
      </c>
      <c r="Q28" s="9" t="str" cm="1">
        <f t="array" aca="1" ref="Q28" ca="1">IF(ROW($B28)-ROW($B$5)&gt;CatCount,"",OFFSET('Set-up'!$A$26,ROW($B28)-ROW($B$5),COLUMN('Set-up'!$D$26)-1,1,1))</f>
        <v/>
      </c>
      <c r="R28" s="59" t="str">
        <f t="shared" ca="1" si="3"/>
        <v/>
      </c>
      <c r="S28" s="9" t="str" cm="1">
        <f t="array" aca="1" ref="S28" ca="1">IF(ROW($B28)-ROW($B$5)&gt;CatCount,"",OFFSET('Set-up'!$A$26,ROW($B28)-ROW($B$5),COLUMN('Set-up'!$E$26)-1,1,1))</f>
        <v/>
      </c>
      <c r="T28" s="59" t="str" cm="1">
        <f t="array" aca="1" ref="T28" ca="1">IF(LEN($A28)&gt;1,IF($E$2="MTD",SUMIFS(AssetDDis,AssetCat,$A28,AssetDisDate,"&gt;="&amp;Assets!$J$2,AssetDisDate,"&lt;="&amp;Assets!$K$2),SUMIFS(AssetDDis,AssetCat,$A28)),"")</f>
        <v/>
      </c>
      <c r="U28" s="9" t="str" cm="1">
        <f t="array" aca="1" ref="U28" ca="1">IF(ROW($B28)-ROW($B$5)&gt;CatCount,"",OFFSET('Set-up'!$A$26,ROW($B28)-ROW($B$5),COLUMN('Set-up'!$G$26)-1,1,1))</f>
        <v/>
      </c>
      <c r="V28" s="59" t="str">
        <f t="shared" ca="1" si="4"/>
        <v/>
      </c>
    </row>
    <row r="29" spans="1:22" ht="16" customHeight="1" x14ac:dyDescent="0.25">
      <c r="A29" s="4" t="str" cm="1">
        <f t="array" aca="1" ref="A29" ca="1">IF(ROW($B29)-ROW($B$5)&gt;CatCount,"",OFFSET('Set-up'!$A$26,ROW($B29)-ROW($B$5),0,1,1))</f>
        <v/>
      </c>
      <c r="B29" s="4" t="str">
        <f t="shared" ca="1" si="0"/>
        <v/>
      </c>
      <c r="C29" s="9" t="str" cm="1">
        <f t="array" aca="1" ref="C29" ca="1">IF(ROW($B29)-ROW($B$5)&gt;CatCount,"",OFFSET('Set-up'!$A$26,ROW($B29)-ROW($B$5),COLUMN('Set-up'!$F$26)-1,1,1))</f>
        <v/>
      </c>
      <c r="D29" s="59" t="str" cm="1">
        <f t="array" aca="1" ref="D29" ca="1">IF(LEN($A29)&gt;1,IF($E$2="MTD",SUMIFS(AssetMDep,AssetCat,$A29),SUMIFS(AssetDDep,AssetCat,$A29)),"")</f>
        <v/>
      </c>
      <c r="E29" s="9" t="str" cm="1">
        <f t="array" aca="1" ref="E29" ca="1">IF(ROW($B29)-ROW($B$5)&gt;CatCount,"",OFFSET('Set-up'!$A$26,ROW($B29)-ROW($B$5),COLUMN('Set-up'!$E$26)-1,1,1))</f>
        <v/>
      </c>
      <c r="F29" s="59" t="str">
        <f t="shared" ca="1" si="1"/>
        <v/>
      </c>
      <c r="G29" s="9" t="str" cm="1">
        <f t="array" aca="1" ref="G29" ca="1">IF(ROW($B29)-ROW($B$5)&gt;CatCount,"",OFFSET('Set-up'!$A$26,ROW($B29)-ROW($B$5),COLUMN('Set-up'!$D$26)-1,1,1))</f>
        <v/>
      </c>
      <c r="H29" s="59" t="str" cm="1">
        <f t="array" aca="1" ref="H29" ca="1">IF(LEN($A29)&gt;1,IF($E$2="MTD",SUMIFS(TransAmount,TransCat,$A29,TransIDDate,"&gt;="&amp;Assets!$J$2,TransIDDate,"&lt;"&amp;(Assets!$I$2+1),TransType,"ACQ"),SUMIFS(TransAmount,TransCat,$A29,TransIDDate,"&gt;="&amp;Assets!$H$2,TransIDDate,"&lt;"&amp;(Assets!$I$2+1),TransType,"ACQ")),"")</f>
        <v/>
      </c>
      <c r="I29" s="9" t="str" cm="1">
        <f t="array" aca="1" ref="I29" ca="1">IF(ROW($B29)-ROW($B$5)&gt;CatCount,"","BANK")</f>
        <v/>
      </c>
      <c r="J29" s="59" t="str">
        <f t="shared" ca="1" si="5"/>
        <v/>
      </c>
      <c r="K29" s="9" t="str" cm="1">
        <f t="array" aca="1" ref="K29" ca="1">IF(ROW($B29)-ROW($B$5)&gt;CatCount,"","BANK")</f>
        <v/>
      </c>
      <c r="L29" s="59" t="str" cm="1">
        <f t="array" aca="1" ref="L29" ca="1">IF(LEN($A29)&gt;1,IF($E$2="MTD",SUMIFS(TransProceeds,TransCat,$A29,TransIDDate,"&gt;="&amp;Assets!$J$2,TransIDDate,"&lt;"&amp;(Assets!$I$2+1),TransType,"DIS"),SUMIFS(TransProceeds,TransCat,$A29,TransIDDate,"&gt;="&amp;Assets!$H$2,TransIDDate,"&lt;"&amp;(Assets!$I$2+1),TransType,"DIS")),"")</f>
        <v/>
      </c>
      <c r="M29" s="9" t="str" cm="1">
        <f t="array" aca="1" ref="M29" ca="1">IF(ROW($B29)-ROW($B$5)&gt;CatCount,"",OFFSET('Set-up'!$A$26,ROW($B29)-ROW($B$5),COLUMN('Set-up'!$G$26)-1,1,1))</f>
        <v/>
      </c>
      <c r="N29" s="59" t="str">
        <f t="shared" ca="1" si="2"/>
        <v/>
      </c>
      <c r="O29" s="9" t="str" cm="1">
        <f t="array" aca="1" ref="O29" ca="1">IF(ROW($B29)-ROW($B$5)&gt;CatCount,"",OFFSET('Set-up'!$A$26,ROW($B29)-ROW($B$5),COLUMN('Set-up'!$G$26)-1,1,1))</f>
        <v/>
      </c>
      <c r="P29" s="59" t="str" cm="1">
        <f t="array" aca="1" ref="P29" ca="1">IF(LEN($A29)&gt;1,IF($E$2="MTD",SUMIFS(TransHCost,TransCat,$A29,TransIDDate,"&gt;="&amp;Assets!$J$2,TransIDDate,"&lt;"&amp;(Assets!$I$2+1),TransType,"DIS"),SUMIFS(TransHCost,TransCat,$A29,TransIDDate,"&gt;="&amp;Assets!$H$2,TransIDDate,"&lt;"&amp;(Assets!$I$2+1),TransType,"DIS")),"")</f>
        <v/>
      </c>
      <c r="Q29" s="9" t="str" cm="1">
        <f t="array" aca="1" ref="Q29" ca="1">IF(ROW($B29)-ROW($B$5)&gt;CatCount,"",OFFSET('Set-up'!$A$26,ROW($B29)-ROW($B$5),COLUMN('Set-up'!$D$26)-1,1,1))</f>
        <v/>
      </c>
      <c r="R29" s="59" t="str">
        <f t="shared" ca="1" si="3"/>
        <v/>
      </c>
      <c r="S29" s="9" t="str" cm="1">
        <f t="array" aca="1" ref="S29" ca="1">IF(ROW($B29)-ROW($B$5)&gt;CatCount,"",OFFSET('Set-up'!$A$26,ROW($B29)-ROW($B$5),COLUMN('Set-up'!$E$26)-1,1,1))</f>
        <v/>
      </c>
      <c r="T29" s="59" t="str" cm="1">
        <f t="array" aca="1" ref="T29" ca="1">IF(LEN($A29)&gt;1,IF($E$2="MTD",SUMIFS(AssetDDis,AssetCat,$A29,AssetDisDate,"&gt;="&amp;Assets!$J$2,AssetDisDate,"&lt;="&amp;Assets!$K$2),SUMIFS(AssetDDis,AssetCat,$A29)),"")</f>
        <v/>
      </c>
      <c r="U29" s="9" t="str" cm="1">
        <f t="array" aca="1" ref="U29" ca="1">IF(ROW($B29)-ROW($B$5)&gt;CatCount,"",OFFSET('Set-up'!$A$26,ROW($B29)-ROW($B$5),COLUMN('Set-up'!$G$26)-1,1,1))</f>
        <v/>
      </c>
      <c r="V29" s="59" t="str">
        <f t="shared" ca="1" si="4"/>
        <v/>
      </c>
    </row>
    <row r="30" spans="1:22" ht="16" customHeight="1" x14ac:dyDescent="0.25">
      <c r="A30" s="4" t="str" cm="1">
        <f t="array" aca="1" ref="A30" ca="1">IF(ROW($B30)-ROW($B$5)&gt;CatCount,"",OFFSET('Set-up'!$A$26,ROW($B30)-ROW($B$5),0,1,1))</f>
        <v/>
      </c>
      <c r="B30" s="4" t="str">
        <f t="shared" ca="1" si="0"/>
        <v/>
      </c>
      <c r="C30" s="9" t="str" cm="1">
        <f t="array" aca="1" ref="C30" ca="1">IF(ROW($B30)-ROW($B$5)&gt;CatCount,"",OFFSET('Set-up'!$A$26,ROW($B30)-ROW($B$5),COLUMN('Set-up'!$F$26)-1,1,1))</f>
        <v/>
      </c>
      <c r="D30" s="59" t="str" cm="1">
        <f t="array" aca="1" ref="D30" ca="1">IF(LEN($A30)&gt;1,IF($E$2="MTD",SUMIFS(AssetMDep,AssetCat,$A30),SUMIFS(AssetDDep,AssetCat,$A30)),"")</f>
        <v/>
      </c>
      <c r="E30" s="9" t="str" cm="1">
        <f t="array" aca="1" ref="E30" ca="1">IF(ROW($B30)-ROW($B$5)&gt;CatCount,"",OFFSET('Set-up'!$A$26,ROW($B30)-ROW($B$5),COLUMN('Set-up'!$E$26)-1,1,1))</f>
        <v/>
      </c>
      <c r="F30" s="59" t="str">
        <f t="shared" ca="1" si="1"/>
        <v/>
      </c>
      <c r="G30" s="9" t="str" cm="1">
        <f t="array" aca="1" ref="G30" ca="1">IF(ROW($B30)-ROW($B$5)&gt;CatCount,"",OFFSET('Set-up'!$A$26,ROW($B30)-ROW($B$5),COLUMN('Set-up'!$D$26)-1,1,1))</f>
        <v/>
      </c>
      <c r="H30" s="59" t="str" cm="1">
        <f t="array" aca="1" ref="H30" ca="1">IF(LEN($A30)&gt;1,IF($E$2="MTD",SUMIFS(TransAmount,TransCat,$A30,TransIDDate,"&gt;="&amp;Assets!$J$2,TransIDDate,"&lt;"&amp;(Assets!$I$2+1),TransType,"ACQ"),SUMIFS(TransAmount,TransCat,$A30,TransIDDate,"&gt;="&amp;Assets!$H$2,TransIDDate,"&lt;"&amp;(Assets!$I$2+1),TransType,"ACQ")),"")</f>
        <v/>
      </c>
      <c r="I30" s="9" t="str" cm="1">
        <f t="array" aca="1" ref="I30" ca="1">IF(ROW($B30)-ROW($B$5)&gt;CatCount,"","BANK")</f>
        <v/>
      </c>
      <c r="J30" s="59" t="str">
        <f t="shared" ca="1" si="5"/>
        <v/>
      </c>
      <c r="K30" s="9" t="str" cm="1">
        <f t="array" aca="1" ref="K30" ca="1">IF(ROW($B30)-ROW($B$5)&gt;CatCount,"","BANK")</f>
        <v/>
      </c>
      <c r="L30" s="59" t="str" cm="1">
        <f t="array" aca="1" ref="L30" ca="1">IF(LEN($A30)&gt;1,IF($E$2="MTD",SUMIFS(TransProceeds,TransCat,$A30,TransIDDate,"&gt;="&amp;Assets!$J$2,TransIDDate,"&lt;"&amp;(Assets!$I$2+1),TransType,"DIS"),SUMIFS(TransProceeds,TransCat,$A30,TransIDDate,"&gt;="&amp;Assets!$H$2,TransIDDate,"&lt;"&amp;(Assets!$I$2+1),TransType,"DIS")),"")</f>
        <v/>
      </c>
      <c r="M30" s="9" t="str" cm="1">
        <f t="array" aca="1" ref="M30" ca="1">IF(ROW($B30)-ROW($B$5)&gt;CatCount,"",OFFSET('Set-up'!$A$26,ROW($B30)-ROW($B$5),COLUMN('Set-up'!$G$26)-1,1,1))</f>
        <v/>
      </c>
      <c r="N30" s="59" t="str">
        <f t="shared" ca="1" si="2"/>
        <v/>
      </c>
      <c r="O30" s="9" t="str" cm="1">
        <f t="array" aca="1" ref="O30" ca="1">IF(ROW($B30)-ROW($B$5)&gt;CatCount,"",OFFSET('Set-up'!$A$26,ROW($B30)-ROW($B$5),COLUMN('Set-up'!$G$26)-1,1,1))</f>
        <v/>
      </c>
      <c r="P30" s="59" t="str" cm="1">
        <f t="array" aca="1" ref="P30" ca="1">IF(LEN($A30)&gt;1,IF($E$2="MTD",SUMIFS(TransHCost,TransCat,$A30,TransIDDate,"&gt;="&amp;Assets!$J$2,TransIDDate,"&lt;"&amp;(Assets!$I$2+1),TransType,"DIS"),SUMIFS(TransHCost,TransCat,$A30,TransIDDate,"&gt;="&amp;Assets!$H$2,TransIDDate,"&lt;"&amp;(Assets!$I$2+1),TransType,"DIS")),"")</f>
        <v/>
      </c>
      <c r="Q30" s="9" t="str" cm="1">
        <f t="array" aca="1" ref="Q30" ca="1">IF(ROW($B30)-ROW($B$5)&gt;CatCount,"",OFFSET('Set-up'!$A$26,ROW($B30)-ROW($B$5),COLUMN('Set-up'!$D$26)-1,1,1))</f>
        <v/>
      </c>
      <c r="R30" s="59" t="str">
        <f t="shared" ca="1" si="3"/>
        <v/>
      </c>
      <c r="S30" s="9" t="str" cm="1">
        <f t="array" aca="1" ref="S30" ca="1">IF(ROW($B30)-ROW($B$5)&gt;CatCount,"",OFFSET('Set-up'!$A$26,ROW($B30)-ROW($B$5),COLUMN('Set-up'!$E$26)-1,1,1))</f>
        <v/>
      </c>
      <c r="T30" s="59" t="str" cm="1">
        <f t="array" aca="1" ref="T30" ca="1">IF(LEN($A30)&gt;1,IF($E$2="MTD",SUMIFS(AssetDDis,AssetCat,$A30,AssetDisDate,"&gt;="&amp;Assets!$J$2,AssetDisDate,"&lt;="&amp;Assets!$K$2),SUMIFS(AssetDDis,AssetCat,$A30)),"")</f>
        <v/>
      </c>
      <c r="U30" s="9" t="str" cm="1">
        <f t="array" aca="1" ref="U30" ca="1">IF(ROW($B30)-ROW($B$5)&gt;CatCount,"",OFFSET('Set-up'!$A$26,ROW($B30)-ROW($B$5),COLUMN('Set-up'!$G$26)-1,1,1))</f>
        <v/>
      </c>
      <c r="V30" s="59" t="str">
        <f t="shared" ca="1" si="4"/>
        <v/>
      </c>
    </row>
    <row r="31" spans="1:22" ht="16" customHeight="1" x14ac:dyDescent="0.25">
      <c r="A31" s="4" t="str" cm="1">
        <f t="array" aca="1" ref="A31" ca="1">IF(ROW($B31)-ROW($B$5)&gt;CatCount,"",OFFSET('Set-up'!$A$26,ROW($B31)-ROW($B$5),0,1,1))</f>
        <v/>
      </c>
      <c r="B31" s="4" t="str">
        <f t="shared" ca="1" si="0"/>
        <v/>
      </c>
      <c r="C31" s="9" t="str" cm="1">
        <f t="array" aca="1" ref="C31" ca="1">IF(ROW($B31)-ROW($B$5)&gt;CatCount,"",OFFSET('Set-up'!$A$26,ROW($B31)-ROW($B$5),COLUMN('Set-up'!$F$26)-1,1,1))</f>
        <v/>
      </c>
      <c r="D31" s="59" t="str" cm="1">
        <f t="array" aca="1" ref="D31" ca="1">IF(LEN($A31)&gt;1,IF($E$2="MTD",SUMIFS(AssetMDep,AssetCat,$A31),SUMIFS(AssetDDep,AssetCat,$A31)),"")</f>
        <v/>
      </c>
      <c r="E31" s="9" t="str" cm="1">
        <f t="array" aca="1" ref="E31" ca="1">IF(ROW($B31)-ROW($B$5)&gt;CatCount,"",OFFSET('Set-up'!$A$26,ROW($B31)-ROW($B$5),COLUMN('Set-up'!$E$26)-1,1,1))</f>
        <v/>
      </c>
      <c r="F31" s="59" t="str">
        <f t="shared" ca="1" si="1"/>
        <v/>
      </c>
      <c r="G31" s="9" t="str" cm="1">
        <f t="array" aca="1" ref="G31" ca="1">IF(ROW($B31)-ROW($B$5)&gt;CatCount,"",OFFSET('Set-up'!$A$26,ROW($B31)-ROW($B$5),COLUMN('Set-up'!$D$26)-1,1,1))</f>
        <v/>
      </c>
      <c r="H31" s="59" t="str" cm="1">
        <f t="array" aca="1" ref="H31" ca="1">IF(LEN($A31)&gt;1,IF($E$2="MTD",SUMIFS(TransAmount,TransCat,$A31,TransIDDate,"&gt;="&amp;Assets!$J$2,TransIDDate,"&lt;"&amp;(Assets!$I$2+1),TransType,"ACQ"),SUMIFS(TransAmount,TransCat,$A31,TransIDDate,"&gt;="&amp;Assets!$H$2,TransIDDate,"&lt;"&amp;(Assets!$I$2+1),TransType,"ACQ")),"")</f>
        <v/>
      </c>
      <c r="I31" s="9" t="str" cm="1">
        <f t="array" aca="1" ref="I31" ca="1">IF(ROW($B31)-ROW($B$5)&gt;CatCount,"","BANK")</f>
        <v/>
      </c>
      <c r="J31" s="59" t="str">
        <f t="shared" ca="1" si="5"/>
        <v/>
      </c>
      <c r="K31" s="9" t="str" cm="1">
        <f t="array" aca="1" ref="K31" ca="1">IF(ROW($B31)-ROW($B$5)&gt;CatCount,"","BANK")</f>
        <v/>
      </c>
      <c r="L31" s="59" t="str" cm="1">
        <f t="array" aca="1" ref="L31" ca="1">IF(LEN($A31)&gt;1,IF($E$2="MTD",SUMIFS(TransProceeds,TransCat,$A31,TransIDDate,"&gt;="&amp;Assets!$J$2,TransIDDate,"&lt;"&amp;(Assets!$I$2+1),TransType,"DIS"),SUMIFS(TransProceeds,TransCat,$A31,TransIDDate,"&gt;="&amp;Assets!$H$2,TransIDDate,"&lt;"&amp;(Assets!$I$2+1),TransType,"DIS")),"")</f>
        <v/>
      </c>
      <c r="M31" s="9" t="str" cm="1">
        <f t="array" aca="1" ref="M31" ca="1">IF(ROW($B31)-ROW($B$5)&gt;CatCount,"",OFFSET('Set-up'!$A$26,ROW($B31)-ROW($B$5),COLUMN('Set-up'!$G$26)-1,1,1))</f>
        <v/>
      </c>
      <c r="N31" s="59" t="str">
        <f t="shared" ca="1" si="2"/>
        <v/>
      </c>
      <c r="O31" s="9" t="str" cm="1">
        <f t="array" aca="1" ref="O31" ca="1">IF(ROW($B31)-ROW($B$5)&gt;CatCount,"",OFFSET('Set-up'!$A$26,ROW($B31)-ROW($B$5),COLUMN('Set-up'!$G$26)-1,1,1))</f>
        <v/>
      </c>
      <c r="P31" s="59" t="str" cm="1">
        <f t="array" aca="1" ref="P31" ca="1">IF(LEN($A31)&gt;1,IF($E$2="MTD",SUMIFS(TransHCost,TransCat,$A31,TransIDDate,"&gt;="&amp;Assets!$J$2,TransIDDate,"&lt;"&amp;(Assets!$I$2+1),TransType,"DIS"),SUMIFS(TransHCost,TransCat,$A31,TransIDDate,"&gt;="&amp;Assets!$H$2,TransIDDate,"&lt;"&amp;(Assets!$I$2+1),TransType,"DIS")),"")</f>
        <v/>
      </c>
      <c r="Q31" s="9" t="str" cm="1">
        <f t="array" aca="1" ref="Q31" ca="1">IF(ROW($B31)-ROW($B$5)&gt;CatCount,"",OFFSET('Set-up'!$A$26,ROW($B31)-ROW($B$5),COLUMN('Set-up'!$D$26)-1,1,1))</f>
        <v/>
      </c>
      <c r="R31" s="59" t="str">
        <f t="shared" ca="1" si="3"/>
        <v/>
      </c>
      <c r="S31" s="9" t="str" cm="1">
        <f t="array" aca="1" ref="S31" ca="1">IF(ROW($B31)-ROW($B$5)&gt;CatCount,"",OFFSET('Set-up'!$A$26,ROW($B31)-ROW($B$5),COLUMN('Set-up'!$E$26)-1,1,1))</f>
        <v/>
      </c>
      <c r="T31" s="59" t="str" cm="1">
        <f t="array" aca="1" ref="T31" ca="1">IF(LEN($A31)&gt;1,IF($E$2="MTD",SUMIFS(AssetDDis,AssetCat,$A31,AssetDisDate,"&gt;="&amp;Assets!$J$2,AssetDisDate,"&lt;="&amp;Assets!$K$2),SUMIFS(AssetDDis,AssetCat,$A31)),"")</f>
        <v/>
      </c>
      <c r="U31" s="9" t="str" cm="1">
        <f t="array" aca="1" ref="U31" ca="1">IF(ROW($B31)-ROW($B$5)&gt;CatCount,"",OFFSET('Set-up'!$A$26,ROW($B31)-ROW($B$5),COLUMN('Set-up'!$G$26)-1,1,1))</f>
        <v/>
      </c>
      <c r="V31" s="59" t="str">
        <f t="shared" ca="1" si="4"/>
        <v/>
      </c>
    </row>
    <row r="32" spans="1:22" ht="16" customHeight="1" x14ac:dyDescent="0.25">
      <c r="A32" s="4" t="str" cm="1">
        <f t="array" aca="1" ref="A32" ca="1">IF(ROW($B32)-ROW($B$5)&gt;CatCount,"",OFFSET('Set-up'!$A$26,ROW($B32)-ROW($B$5),0,1,1))</f>
        <v/>
      </c>
      <c r="B32" s="4" t="str">
        <f t="shared" ca="1" si="0"/>
        <v/>
      </c>
      <c r="C32" s="9" t="str" cm="1">
        <f t="array" aca="1" ref="C32" ca="1">IF(ROW($B32)-ROW($B$5)&gt;CatCount,"",OFFSET('Set-up'!$A$26,ROW($B32)-ROW($B$5),COLUMN('Set-up'!$F$26)-1,1,1))</f>
        <v/>
      </c>
      <c r="D32" s="59" t="str" cm="1">
        <f t="array" aca="1" ref="D32" ca="1">IF(LEN($A32)&gt;1,IF($E$2="MTD",SUMIFS(AssetMDep,AssetCat,$A32),SUMIFS(AssetDDep,AssetCat,$A32)),"")</f>
        <v/>
      </c>
      <c r="E32" s="9" t="str" cm="1">
        <f t="array" aca="1" ref="E32" ca="1">IF(ROW($B32)-ROW($B$5)&gt;CatCount,"",OFFSET('Set-up'!$A$26,ROW($B32)-ROW($B$5),COLUMN('Set-up'!$E$26)-1,1,1))</f>
        <v/>
      </c>
      <c r="F32" s="59" t="str">
        <f t="shared" ca="1" si="1"/>
        <v/>
      </c>
      <c r="G32" s="9" t="str" cm="1">
        <f t="array" aca="1" ref="G32" ca="1">IF(ROW($B32)-ROW($B$5)&gt;CatCount,"",OFFSET('Set-up'!$A$26,ROW($B32)-ROW($B$5),COLUMN('Set-up'!$D$26)-1,1,1))</f>
        <v/>
      </c>
      <c r="H32" s="59" t="str" cm="1">
        <f t="array" aca="1" ref="H32" ca="1">IF(LEN($A32)&gt;1,IF($E$2="MTD",SUMIFS(TransAmount,TransCat,$A32,TransIDDate,"&gt;="&amp;Assets!$J$2,TransIDDate,"&lt;"&amp;(Assets!$I$2+1),TransType,"ACQ"),SUMIFS(TransAmount,TransCat,$A32,TransIDDate,"&gt;="&amp;Assets!$H$2,TransIDDate,"&lt;"&amp;(Assets!$I$2+1),TransType,"ACQ")),"")</f>
        <v/>
      </c>
      <c r="I32" s="9" t="str" cm="1">
        <f t="array" aca="1" ref="I32" ca="1">IF(ROW($B32)-ROW($B$5)&gt;CatCount,"","BANK")</f>
        <v/>
      </c>
      <c r="J32" s="59" t="str">
        <f t="shared" ca="1" si="5"/>
        <v/>
      </c>
      <c r="K32" s="9" t="str" cm="1">
        <f t="array" aca="1" ref="K32" ca="1">IF(ROW($B32)-ROW($B$5)&gt;CatCount,"","BANK")</f>
        <v/>
      </c>
      <c r="L32" s="59" t="str" cm="1">
        <f t="array" aca="1" ref="L32" ca="1">IF(LEN($A32)&gt;1,IF($E$2="MTD",SUMIFS(TransProceeds,TransCat,$A32,TransIDDate,"&gt;="&amp;Assets!$J$2,TransIDDate,"&lt;"&amp;(Assets!$I$2+1),TransType,"DIS"),SUMIFS(TransProceeds,TransCat,$A32,TransIDDate,"&gt;="&amp;Assets!$H$2,TransIDDate,"&lt;"&amp;(Assets!$I$2+1),TransType,"DIS")),"")</f>
        <v/>
      </c>
      <c r="M32" s="9" t="str" cm="1">
        <f t="array" aca="1" ref="M32" ca="1">IF(ROW($B32)-ROW($B$5)&gt;CatCount,"",OFFSET('Set-up'!$A$26,ROW($B32)-ROW($B$5),COLUMN('Set-up'!$G$26)-1,1,1))</f>
        <v/>
      </c>
      <c r="N32" s="59" t="str">
        <f t="shared" ca="1" si="2"/>
        <v/>
      </c>
      <c r="O32" s="9" t="str" cm="1">
        <f t="array" aca="1" ref="O32" ca="1">IF(ROW($B32)-ROW($B$5)&gt;CatCount,"",OFFSET('Set-up'!$A$26,ROW($B32)-ROW($B$5),COLUMN('Set-up'!$G$26)-1,1,1))</f>
        <v/>
      </c>
      <c r="P32" s="59" t="str" cm="1">
        <f t="array" aca="1" ref="P32" ca="1">IF(LEN($A32)&gt;1,IF($E$2="MTD",SUMIFS(TransHCost,TransCat,$A32,TransIDDate,"&gt;="&amp;Assets!$J$2,TransIDDate,"&lt;"&amp;(Assets!$I$2+1),TransType,"DIS"),SUMIFS(TransHCost,TransCat,$A32,TransIDDate,"&gt;="&amp;Assets!$H$2,TransIDDate,"&lt;"&amp;(Assets!$I$2+1),TransType,"DIS")),"")</f>
        <v/>
      </c>
      <c r="Q32" s="9" t="str" cm="1">
        <f t="array" aca="1" ref="Q32" ca="1">IF(ROW($B32)-ROW($B$5)&gt;CatCount,"",OFFSET('Set-up'!$A$26,ROW($B32)-ROW($B$5),COLUMN('Set-up'!$D$26)-1,1,1))</f>
        <v/>
      </c>
      <c r="R32" s="59" t="str">
        <f t="shared" ca="1" si="3"/>
        <v/>
      </c>
      <c r="S32" s="9" t="str" cm="1">
        <f t="array" aca="1" ref="S32" ca="1">IF(ROW($B32)-ROW($B$5)&gt;CatCount,"",OFFSET('Set-up'!$A$26,ROW($B32)-ROW($B$5),COLUMN('Set-up'!$E$26)-1,1,1))</f>
        <v/>
      </c>
      <c r="T32" s="59" t="str" cm="1">
        <f t="array" aca="1" ref="T32" ca="1">IF(LEN($A32)&gt;1,IF($E$2="MTD",SUMIFS(AssetDDis,AssetCat,$A32,AssetDisDate,"&gt;="&amp;Assets!$J$2,AssetDisDate,"&lt;="&amp;Assets!$K$2),SUMIFS(AssetDDis,AssetCat,$A32)),"")</f>
        <v/>
      </c>
      <c r="U32" s="9" t="str" cm="1">
        <f t="array" aca="1" ref="U32" ca="1">IF(ROW($B32)-ROW($B$5)&gt;CatCount,"",OFFSET('Set-up'!$A$26,ROW($B32)-ROW($B$5),COLUMN('Set-up'!$G$26)-1,1,1))</f>
        <v/>
      </c>
      <c r="V32" s="59" t="str">
        <f t="shared" ca="1" si="4"/>
        <v/>
      </c>
    </row>
    <row r="33" spans="1:22" ht="16" customHeight="1" x14ac:dyDescent="0.25">
      <c r="A33" s="4" t="str" cm="1">
        <f t="array" aca="1" ref="A33" ca="1">IF(ROW($B33)-ROW($B$5)&gt;CatCount,"",OFFSET('Set-up'!$A$26,ROW($B33)-ROW($B$5),0,1,1))</f>
        <v/>
      </c>
      <c r="B33" s="4" t="str">
        <f t="shared" ca="1" si="0"/>
        <v/>
      </c>
      <c r="C33" s="9" t="str" cm="1">
        <f t="array" aca="1" ref="C33" ca="1">IF(ROW($B33)-ROW($B$5)&gt;CatCount,"",OFFSET('Set-up'!$A$26,ROW($B33)-ROW($B$5),COLUMN('Set-up'!$F$26)-1,1,1))</f>
        <v/>
      </c>
      <c r="D33" s="59" t="str" cm="1">
        <f t="array" aca="1" ref="D33" ca="1">IF(LEN($A33)&gt;1,IF($E$2="MTD",SUMIFS(AssetMDep,AssetCat,$A33),SUMIFS(AssetDDep,AssetCat,$A33)),"")</f>
        <v/>
      </c>
      <c r="E33" s="9" t="str" cm="1">
        <f t="array" aca="1" ref="E33" ca="1">IF(ROW($B33)-ROW($B$5)&gt;CatCount,"",OFFSET('Set-up'!$A$26,ROW($B33)-ROW($B$5),COLUMN('Set-up'!$E$26)-1,1,1))</f>
        <v/>
      </c>
      <c r="F33" s="59" t="str">
        <f t="shared" ca="1" si="1"/>
        <v/>
      </c>
      <c r="G33" s="9" t="str" cm="1">
        <f t="array" aca="1" ref="G33" ca="1">IF(ROW($B33)-ROW($B$5)&gt;CatCount,"",OFFSET('Set-up'!$A$26,ROW($B33)-ROW($B$5),COLUMN('Set-up'!$D$26)-1,1,1))</f>
        <v/>
      </c>
      <c r="H33" s="59" t="str" cm="1">
        <f t="array" aca="1" ref="H33" ca="1">IF(LEN($A33)&gt;1,IF($E$2="MTD",SUMIFS(TransAmount,TransCat,$A33,TransIDDate,"&gt;="&amp;Assets!$J$2,TransIDDate,"&lt;"&amp;(Assets!$I$2+1),TransType,"ACQ"),SUMIFS(TransAmount,TransCat,$A33,TransIDDate,"&gt;="&amp;Assets!$H$2,TransIDDate,"&lt;"&amp;(Assets!$I$2+1),TransType,"ACQ")),"")</f>
        <v/>
      </c>
      <c r="I33" s="9" t="str" cm="1">
        <f t="array" aca="1" ref="I33" ca="1">IF(ROW($B33)-ROW($B$5)&gt;CatCount,"","BANK")</f>
        <v/>
      </c>
      <c r="J33" s="59" t="str">
        <f t="shared" ca="1" si="5"/>
        <v/>
      </c>
      <c r="K33" s="9" t="str" cm="1">
        <f t="array" aca="1" ref="K33" ca="1">IF(ROW($B33)-ROW($B$5)&gt;CatCount,"","BANK")</f>
        <v/>
      </c>
      <c r="L33" s="59" t="str" cm="1">
        <f t="array" aca="1" ref="L33" ca="1">IF(LEN($A33)&gt;1,IF($E$2="MTD",SUMIFS(TransProceeds,TransCat,$A33,TransIDDate,"&gt;="&amp;Assets!$J$2,TransIDDate,"&lt;"&amp;(Assets!$I$2+1),TransType,"DIS"),SUMIFS(TransProceeds,TransCat,$A33,TransIDDate,"&gt;="&amp;Assets!$H$2,TransIDDate,"&lt;"&amp;(Assets!$I$2+1),TransType,"DIS")),"")</f>
        <v/>
      </c>
      <c r="M33" s="9" t="str" cm="1">
        <f t="array" aca="1" ref="M33" ca="1">IF(ROW($B33)-ROW($B$5)&gt;CatCount,"",OFFSET('Set-up'!$A$26,ROW($B33)-ROW($B$5),COLUMN('Set-up'!$G$26)-1,1,1))</f>
        <v/>
      </c>
      <c r="N33" s="59" t="str">
        <f t="shared" ca="1" si="2"/>
        <v/>
      </c>
      <c r="O33" s="9" t="str" cm="1">
        <f t="array" aca="1" ref="O33" ca="1">IF(ROW($B33)-ROW($B$5)&gt;CatCount,"",OFFSET('Set-up'!$A$26,ROW($B33)-ROW($B$5),COLUMN('Set-up'!$G$26)-1,1,1))</f>
        <v/>
      </c>
      <c r="P33" s="59" t="str" cm="1">
        <f t="array" aca="1" ref="P33" ca="1">IF(LEN($A33)&gt;1,IF($E$2="MTD",SUMIFS(TransHCost,TransCat,$A33,TransIDDate,"&gt;="&amp;Assets!$J$2,TransIDDate,"&lt;"&amp;(Assets!$I$2+1),TransType,"DIS"),SUMIFS(TransHCost,TransCat,$A33,TransIDDate,"&gt;="&amp;Assets!$H$2,TransIDDate,"&lt;"&amp;(Assets!$I$2+1),TransType,"DIS")),"")</f>
        <v/>
      </c>
      <c r="Q33" s="9" t="str" cm="1">
        <f t="array" aca="1" ref="Q33" ca="1">IF(ROW($B33)-ROW($B$5)&gt;CatCount,"",OFFSET('Set-up'!$A$26,ROW($B33)-ROW($B$5),COLUMN('Set-up'!$D$26)-1,1,1))</f>
        <v/>
      </c>
      <c r="R33" s="59" t="str">
        <f t="shared" ca="1" si="3"/>
        <v/>
      </c>
      <c r="S33" s="9" t="str" cm="1">
        <f t="array" aca="1" ref="S33" ca="1">IF(ROW($B33)-ROW($B$5)&gt;CatCount,"",OFFSET('Set-up'!$A$26,ROW($B33)-ROW($B$5),COLUMN('Set-up'!$E$26)-1,1,1))</f>
        <v/>
      </c>
      <c r="T33" s="59" t="str" cm="1">
        <f t="array" aca="1" ref="T33" ca="1">IF(LEN($A33)&gt;1,IF($E$2="MTD",SUMIFS(AssetDDis,AssetCat,$A33,AssetDisDate,"&gt;="&amp;Assets!$J$2,AssetDisDate,"&lt;="&amp;Assets!$K$2),SUMIFS(AssetDDis,AssetCat,$A33)),"")</f>
        <v/>
      </c>
      <c r="U33" s="9" t="str" cm="1">
        <f t="array" aca="1" ref="U33" ca="1">IF(ROW($B33)-ROW($B$5)&gt;CatCount,"",OFFSET('Set-up'!$A$26,ROW($B33)-ROW($B$5),COLUMN('Set-up'!$G$26)-1,1,1))</f>
        <v/>
      </c>
      <c r="V33" s="59" t="str">
        <f t="shared" ca="1" si="4"/>
        <v/>
      </c>
    </row>
    <row r="34" spans="1:22" ht="16" customHeight="1" x14ac:dyDescent="0.25">
      <c r="A34" s="4" t="str" cm="1">
        <f t="array" aca="1" ref="A34" ca="1">IF(ROW($B34)-ROW($B$5)&gt;CatCount,"",OFFSET('Set-up'!$A$26,ROW($B34)-ROW($B$5),0,1,1))</f>
        <v/>
      </c>
      <c r="B34" s="4" t="str">
        <f t="shared" ca="1" si="0"/>
        <v/>
      </c>
      <c r="C34" s="9" t="str" cm="1">
        <f t="array" aca="1" ref="C34" ca="1">IF(ROW($B34)-ROW($B$5)&gt;CatCount,"",OFFSET('Set-up'!$A$26,ROW($B34)-ROW($B$5),COLUMN('Set-up'!$F$26)-1,1,1))</f>
        <v/>
      </c>
      <c r="D34" s="59" t="str" cm="1">
        <f t="array" aca="1" ref="D34" ca="1">IF(LEN($A34)&gt;1,IF($E$2="MTD",SUMIFS(AssetMDep,AssetCat,$A34),SUMIFS(AssetDDep,AssetCat,$A34)),"")</f>
        <v/>
      </c>
      <c r="E34" s="9" t="str" cm="1">
        <f t="array" aca="1" ref="E34" ca="1">IF(ROW($B34)-ROW($B$5)&gt;CatCount,"",OFFSET('Set-up'!$A$26,ROW($B34)-ROW($B$5),COLUMN('Set-up'!$E$26)-1,1,1))</f>
        <v/>
      </c>
      <c r="F34" s="59" t="str">
        <f t="shared" ca="1" si="1"/>
        <v/>
      </c>
      <c r="G34" s="9" t="str" cm="1">
        <f t="array" aca="1" ref="G34" ca="1">IF(ROW($B34)-ROW($B$5)&gt;CatCount,"",OFFSET('Set-up'!$A$26,ROW($B34)-ROW($B$5),COLUMN('Set-up'!$D$26)-1,1,1))</f>
        <v/>
      </c>
      <c r="H34" s="59" t="str" cm="1">
        <f t="array" aca="1" ref="H34" ca="1">IF(LEN($A34)&gt;1,IF($E$2="MTD",SUMIFS(TransAmount,TransCat,$A34,TransIDDate,"&gt;="&amp;Assets!$J$2,TransIDDate,"&lt;"&amp;(Assets!$I$2+1),TransType,"ACQ"),SUMIFS(TransAmount,TransCat,$A34,TransIDDate,"&gt;="&amp;Assets!$H$2,TransIDDate,"&lt;"&amp;(Assets!$I$2+1),TransType,"ACQ")),"")</f>
        <v/>
      </c>
      <c r="I34" s="9" t="str" cm="1">
        <f t="array" aca="1" ref="I34" ca="1">IF(ROW($B34)-ROW($B$5)&gt;CatCount,"","BANK")</f>
        <v/>
      </c>
      <c r="J34" s="59" t="str">
        <f t="shared" ca="1" si="5"/>
        <v/>
      </c>
      <c r="K34" s="9" t="str" cm="1">
        <f t="array" aca="1" ref="K34" ca="1">IF(ROW($B34)-ROW($B$5)&gt;CatCount,"","BANK")</f>
        <v/>
      </c>
      <c r="L34" s="59" t="str" cm="1">
        <f t="array" aca="1" ref="L34" ca="1">IF(LEN($A34)&gt;1,IF($E$2="MTD",SUMIFS(TransProceeds,TransCat,$A34,TransIDDate,"&gt;="&amp;Assets!$J$2,TransIDDate,"&lt;"&amp;(Assets!$I$2+1),TransType,"DIS"),SUMIFS(TransProceeds,TransCat,$A34,TransIDDate,"&gt;="&amp;Assets!$H$2,TransIDDate,"&lt;"&amp;(Assets!$I$2+1),TransType,"DIS")),"")</f>
        <v/>
      </c>
      <c r="M34" s="9" t="str" cm="1">
        <f t="array" aca="1" ref="M34" ca="1">IF(ROW($B34)-ROW($B$5)&gt;CatCount,"",OFFSET('Set-up'!$A$26,ROW($B34)-ROW($B$5),COLUMN('Set-up'!$G$26)-1,1,1))</f>
        <v/>
      </c>
      <c r="N34" s="59" t="str">
        <f t="shared" ca="1" si="2"/>
        <v/>
      </c>
      <c r="O34" s="9" t="str" cm="1">
        <f t="array" aca="1" ref="O34" ca="1">IF(ROW($B34)-ROW($B$5)&gt;CatCount,"",OFFSET('Set-up'!$A$26,ROW($B34)-ROW($B$5),COLUMN('Set-up'!$G$26)-1,1,1))</f>
        <v/>
      </c>
      <c r="P34" s="59" t="str" cm="1">
        <f t="array" aca="1" ref="P34" ca="1">IF(LEN($A34)&gt;1,IF($E$2="MTD",SUMIFS(TransHCost,TransCat,$A34,TransIDDate,"&gt;="&amp;Assets!$J$2,TransIDDate,"&lt;"&amp;(Assets!$I$2+1),TransType,"DIS"),SUMIFS(TransHCost,TransCat,$A34,TransIDDate,"&gt;="&amp;Assets!$H$2,TransIDDate,"&lt;"&amp;(Assets!$I$2+1),TransType,"DIS")),"")</f>
        <v/>
      </c>
      <c r="Q34" s="9" t="str" cm="1">
        <f t="array" aca="1" ref="Q34" ca="1">IF(ROW($B34)-ROW($B$5)&gt;CatCount,"",OFFSET('Set-up'!$A$26,ROW($B34)-ROW($B$5),COLUMN('Set-up'!$D$26)-1,1,1))</f>
        <v/>
      </c>
      <c r="R34" s="59" t="str">
        <f t="shared" ca="1" si="3"/>
        <v/>
      </c>
      <c r="S34" s="9" t="str" cm="1">
        <f t="array" aca="1" ref="S34" ca="1">IF(ROW($B34)-ROW($B$5)&gt;CatCount,"",OFFSET('Set-up'!$A$26,ROW($B34)-ROW($B$5),COLUMN('Set-up'!$E$26)-1,1,1))</f>
        <v/>
      </c>
      <c r="T34" s="59" t="str" cm="1">
        <f t="array" aca="1" ref="T34" ca="1">IF(LEN($A34)&gt;1,IF($E$2="MTD",SUMIFS(AssetDDis,AssetCat,$A34,AssetDisDate,"&gt;="&amp;Assets!$J$2,AssetDisDate,"&lt;="&amp;Assets!$K$2),SUMIFS(AssetDDis,AssetCat,$A34)),"")</f>
        <v/>
      </c>
      <c r="U34" s="9" t="str" cm="1">
        <f t="array" aca="1" ref="U34" ca="1">IF(ROW($B34)-ROW($B$5)&gt;CatCount,"",OFFSET('Set-up'!$A$26,ROW($B34)-ROW($B$5),COLUMN('Set-up'!$G$26)-1,1,1))</f>
        <v/>
      </c>
      <c r="V34" s="59" t="str">
        <f t="shared" ca="1" si="4"/>
        <v/>
      </c>
    </row>
    <row r="35" spans="1:22" ht="16" customHeight="1" x14ac:dyDescent="0.25">
      <c r="A35" s="4" t="str" cm="1">
        <f t="array" aca="1" ref="A35" ca="1">IF(ROW($B35)-ROW($B$5)&gt;CatCount,"",OFFSET('Set-up'!$A$26,ROW($B35)-ROW($B$5),0,1,1))</f>
        <v/>
      </c>
      <c r="B35" s="4" t="str">
        <f t="shared" ca="1" si="0"/>
        <v/>
      </c>
      <c r="C35" s="9" t="str" cm="1">
        <f t="array" aca="1" ref="C35" ca="1">IF(ROW($B35)-ROW($B$5)&gt;CatCount,"",OFFSET('Set-up'!$A$26,ROW($B35)-ROW($B$5),COLUMN('Set-up'!$F$26)-1,1,1))</f>
        <v/>
      </c>
      <c r="D35" s="59" t="str" cm="1">
        <f t="array" aca="1" ref="D35" ca="1">IF(LEN($A35)&gt;1,IF($E$2="MTD",SUMIFS(AssetMDep,AssetCat,$A35),SUMIFS(AssetDDep,AssetCat,$A35)),"")</f>
        <v/>
      </c>
      <c r="E35" s="9" t="str" cm="1">
        <f t="array" aca="1" ref="E35" ca="1">IF(ROW($B35)-ROW($B$5)&gt;CatCount,"",OFFSET('Set-up'!$A$26,ROW($B35)-ROW($B$5),COLUMN('Set-up'!$E$26)-1,1,1))</f>
        <v/>
      </c>
      <c r="F35" s="59" t="str">
        <f t="shared" ca="1" si="1"/>
        <v/>
      </c>
      <c r="G35" s="9" t="str" cm="1">
        <f t="array" aca="1" ref="G35" ca="1">IF(ROW($B35)-ROW($B$5)&gt;CatCount,"",OFFSET('Set-up'!$A$26,ROW($B35)-ROW($B$5),COLUMN('Set-up'!$D$26)-1,1,1))</f>
        <v/>
      </c>
      <c r="H35" s="59" t="str" cm="1">
        <f t="array" aca="1" ref="H35" ca="1">IF(LEN($A35)&gt;1,IF($E$2="MTD",SUMIFS(TransAmount,TransCat,$A35,TransIDDate,"&gt;="&amp;Assets!$J$2,TransIDDate,"&lt;"&amp;(Assets!$I$2+1),TransType,"ACQ"),SUMIFS(TransAmount,TransCat,$A35,TransIDDate,"&gt;="&amp;Assets!$H$2,TransIDDate,"&lt;"&amp;(Assets!$I$2+1),TransType,"ACQ")),"")</f>
        <v/>
      </c>
      <c r="I35" s="9" t="str" cm="1">
        <f t="array" aca="1" ref="I35" ca="1">IF(ROW($B35)-ROW($B$5)&gt;CatCount,"","BANK")</f>
        <v/>
      </c>
      <c r="J35" s="59" t="str">
        <f t="shared" ca="1" si="5"/>
        <v/>
      </c>
      <c r="K35" s="9" t="str" cm="1">
        <f t="array" aca="1" ref="K35" ca="1">IF(ROW($B35)-ROW($B$5)&gt;CatCount,"","BANK")</f>
        <v/>
      </c>
      <c r="L35" s="59" t="str" cm="1">
        <f t="array" aca="1" ref="L35" ca="1">IF(LEN($A35)&gt;1,IF($E$2="MTD",SUMIFS(TransProceeds,TransCat,$A35,TransIDDate,"&gt;="&amp;Assets!$J$2,TransIDDate,"&lt;"&amp;(Assets!$I$2+1),TransType,"DIS"),SUMIFS(TransProceeds,TransCat,$A35,TransIDDate,"&gt;="&amp;Assets!$H$2,TransIDDate,"&lt;"&amp;(Assets!$I$2+1),TransType,"DIS")),"")</f>
        <v/>
      </c>
      <c r="M35" s="9" t="str" cm="1">
        <f t="array" aca="1" ref="M35" ca="1">IF(ROW($B35)-ROW($B$5)&gt;CatCount,"",OFFSET('Set-up'!$A$26,ROW($B35)-ROW($B$5),COLUMN('Set-up'!$G$26)-1,1,1))</f>
        <v/>
      </c>
      <c r="N35" s="59" t="str">
        <f t="shared" ca="1" si="2"/>
        <v/>
      </c>
      <c r="O35" s="9" t="str" cm="1">
        <f t="array" aca="1" ref="O35" ca="1">IF(ROW($B35)-ROW($B$5)&gt;CatCount,"",OFFSET('Set-up'!$A$26,ROW($B35)-ROW($B$5),COLUMN('Set-up'!$G$26)-1,1,1))</f>
        <v/>
      </c>
      <c r="P35" s="59" t="str" cm="1">
        <f t="array" aca="1" ref="P35" ca="1">IF(LEN($A35)&gt;1,IF($E$2="MTD",SUMIFS(TransHCost,TransCat,$A35,TransIDDate,"&gt;="&amp;Assets!$J$2,TransIDDate,"&lt;"&amp;(Assets!$I$2+1),TransType,"DIS"),SUMIFS(TransHCost,TransCat,$A35,TransIDDate,"&gt;="&amp;Assets!$H$2,TransIDDate,"&lt;"&amp;(Assets!$I$2+1),TransType,"DIS")),"")</f>
        <v/>
      </c>
      <c r="Q35" s="9" t="str" cm="1">
        <f t="array" aca="1" ref="Q35" ca="1">IF(ROW($B35)-ROW($B$5)&gt;CatCount,"",OFFSET('Set-up'!$A$26,ROW($B35)-ROW($B$5),COLUMN('Set-up'!$D$26)-1,1,1))</f>
        <v/>
      </c>
      <c r="R35" s="59" t="str">
        <f t="shared" ca="1" si="3"/>
        <v/>
      </c>
      <c r="S35" s="9" t="str" cm="1">
        <f t="array" aca="1" ref="S35" ca="1">IF(ROW($B35)-ROW($B$5)&gt;CatCount,"",OFFSET('Set-up'!$A$26,ROW($B35)-ROW($B$5),COLUMN('Set-up'!$E$26)-1,1,1))</f>
        <v/>
      </c>
      <c r="T35" s="59" t="str" cm="1">
        <f t="array" aca="1" ref="T35" ca="1">IF(LEN($A35)&gt;1,IF($E$2="MTD",SUMIFS(AssetDDis,AssetCat,$A35,AssetDisDate,"&gt;="&amp;Assets!$J$2,AssetDisDate,"&lt;="&amp;Assets!$K$2),SUMIFS(AssetDDis,AssetCat,$A35)),"")</f>
        <v/>
      </c>
      <c r="U35" s="9" t="str" cm="1">
        <f t="array" aca="1" ref="U35" ca="1">IF(ROW($B35)-ROW($B$5)&gt;CatCount,"",OFFSET('Set-up'!$A$26,ROW($B35)-ROW($B$5),COLUMN('Set-up'!$G$26)-1,1,1))</f>
        <v/>
      </c>
      <c r="V35" s="59" t="str">
        <f t="shared" ca="1" si="4"/>
        <v/>
      </c>
    </row>
  </sheetData>
  <mergeCells count="5">
    <mergeCell ref="S4:V4"/>
    <mergeCell ref="C4:F4"/>
    <mergeCell ref="G4:J4"/>
    <mergeCell ref="K4:N4"/>
    <mergeCell ref="O4:R4"/>
  </mergeCells>
  <dataValidations count="1">
    <dataValidation type="list" allowBlank="1" showInputMessage="1" showErrorMessage="1" errorTitle="Invalid Data" error="Select a valid item from the list box." sqref="E2" xr:uid="{00000000-0002-0000-0900-000000000000}">
      <formula1>"MTD,YTD"</formula1>
    </dataValidation>
  </dataValidations>
  <pageMargins left="0.55118110236220474" right="0.55118110236220474" top="0.59055118110236227" bottom="0.59055118110236227" header="0.39370078740157483" footer="0.39370078740157483"/>
  <pageSetup paperSize="9" scale="37" fitToHeight="0" orientation="landscape" r:id="rId1"/>
  <headerFooter>
    <oddFooter>&amp;C&amp;9Page &amp;P of &amp;N</oddFooter>
  </headerFooter>
  <colBreaks count="1" manualBreakCount="1">
    <brk id="10" max="1048575" man="1"/>
  </colBreaks>
  <ignoredErrors>
    <ignoredError sqref="N6:N35 J6:J35" formula="1"/>
  </ignoredErrors>
  <drawing r:id="rId2"/>
</worksheet>
</file>

<file path=customUI/customUI.xml><?xml version="1.0" encoding="utf-8"?>
<customUI xmlns="http://schemas.microsoft.com/office/2006/01/customui">
  <commands>
    <command idMso="FileSave" enabled="false"/>
    <command idMso="FileSaveAs" enabled="false"/>
    <command idMso="FileSaveAsMenu" enabled="false"/>
    <command idMso="FileSaveAsOtherFormats" enabled="false"/>
    <command idMso="FilePrintMenu" enabled="false"/>
    <command idMso="FilePrint" enabled="false"/>
    <command idMso="FilePrintQuick" enabled="false"/>
    <command idMso="FilePrintPreview" enabled="false"/>
    <command idMso="PageSetupPageDialog" enabled="false"/>
    <command idMso="FileSendMenu" enabled="false"/>
    <command idMso="ReviewSendForReview" enabled="false"/>
    <command idMso="SendCopySendNow" enabled="false"/>
    <command idMso="SendCopyToMailRecipient" enabled="false"/>
  </commands>
</customUI>
</file>

<file path=customUI/customUI14.xml><?xml version="1.0" encoding="utf-8"?>
<customUI xmlns="http://schemas.microsoft.com/office/2009/07/customui">
  <commands>
    <command idMso="FileSave" enabled="false"/>
    <command idMso="FileSaveAs" enabled="false"/>
    <command idMso="FileSaveAsMenu" enabled="false"/>
    <command idMso="FileSaveAsOtherFormats" enabled="false"/>
    <command idMso="FilePrintMenu" enabled="false"/>
    <command idMso="FilePrintQuick" enabled="false"/>
    <command idMso="FilePrintPreview" enabled="false"/>
    <command idMso="PrintPreviewAndPrint" enabled="false"/>
    <command idMso="GroupPrintPreviewPrint" enabled="false"/>
    <command idMso="FileSendMenu" enabled="false"/>
    <command idMso="ReviewSendForReview" enabled="false"/>
    <command idMso="SendCopySendNow" enabled="false"/>
    <command idMso="SendCopyToMailRecipient" enabled="false"/>
  </commands>
  <backstage>
    <tab idMso="TabShare" visible="false"/>
    <tab idMso="TabPrint" visible="false"/>
    <tab idMso="TabPublish" visible="false"/>
    <tab idMso="Publish2Tab" visible="false"/>
    <tab idMso="TabSave" visible="false"/>
  </backstage>
</customUI>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36</vt:i4>
      </vt:variant>
    </vt:vector>
  </HeadingPairs>
  <TitlesOfParts>
    <vt:vector size="37" baseType="lpstr">
      <vt:lpstr>Info</vt:lpstr>
      <vt:lpstr>AssetAll</vt:lpstr>
      <vt:lpstr>AssetCAdd</vt:lpstr>
      <vt:lpstr>AssetCat</vt:lpstr>
      <vt:lpstr>AssetCDis</vt:lpstr>
      <vt:lpstr>AssetClass</vt:lpstr>
      <vt:lpstr>AssetCOB</vt:lpstr>
      <vt:lpstr>AssetCode</vt:lpstr>
      <vt:lpstr>AssetDDep</vt:lpstr>
      <vt:lpstr>AssetDDis</vt:lpstr>
      <vt:lpstr>AssetDisDate</vt:lpstr>
      <vt:lpstr>AssetDOB</vt:lpstr>
      <vt:lpstr>AssetErrorCode</vt:lpstr>
      <vt:lpstr>AssetMDep</vt:lpstr>
      <vt:lpstr>AssetNo</vt:lpstr>
      <vt:lpstr>AssetPLoss</vt:lpstr>
      <vt:lpstr>MonthNames</vt:lpstr>
      <vt:lpstr>Assets!Print_Area</vt:lpstr>
      <vt:lpstr>Instructions!Print_Area</vt:lpstr>
      <vt:lpstr>Assets!Print_Titles</vt:lpstr>
      <vt:lpstr>Category!Print_Titles</vt:lpstr>
      <vt:lpstr>Class!Print_Titles</vt:lpstr>
      <vt:lpstr>Instructions!Print_Titles</vt:lpstr>
      <vt:lpstr>Journals!Print_Titles</vt:lpstr>
      <vt:lpstr>Transact!Print_Titles</vt:lpstr>
      <vt:lpstr>TransAll</vt:lpstr>
      <vt:lpstr>TransAmount</vt:lpstr>
      <vt:lpstr>TransAsset</vt:lpstr>
      <vt:lpstr>TransCat</vt:lpstr>
      <vt:lpstr>TransDate</vt:lpstr>
      <vt:lpstr>TransError</vt:lpstr>
      <vt:lpstr>TransHCost</vt:lpstr>
      <vt:lpstr>TransIDDate</vt:lpstr>
      <vt:lpstr>TransLife</vt:lpstr>
      <vt:lpstr>TransProceeds</vt:lpstr>
      <vt:lpstr>TransRes</vt:lpstr>
      <vt:lpstr>TransType</vt:lpstr>
    </vt:vector>
  </TitlesOfParts>
  <Company>Excel Skills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Fixed Asset Register Template - Excel Skills</dc:title>
  <dc:subject>Fixed Assets</dc:subject>
  <dc:creator>Excel Skills International</dc:creator>
  <cp:keywords>assets register template</cp:keywords>
  <cp:lastModifiedBy>app</cp:lastModifiedBy>
  <cp:lastPrinted>2020-09-28T11:55:51Z</cp:lastPrinted>
  <dcterms:created xsi:type="dcterms:W3CDTF">2009-06-23T14:20:26Z</dcterms:created>
  <dcterms:modified xsi:type="dcterms:W3CDTF">2024-01-30T15:56:31Z</dcterms:modified>
  <cp:category>Excel 2007+</cp:category>
  <cp:contentStatus>Version 1.0</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7f0e8c63-eb50-484b-9e99-ea088c7e6052</vt:lpwstr>
  </property>
</Properties>
</file>