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65f9df24078941be" Type="http://schemas.microsoft.com/office/2007/relationships/ui/extensibility" Target="customUI/customUI14.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606ced0e914799"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C:\Users\cloudconvert\server\files\tasks\1ac9ef25-de98-4871-a72f-6b82e6ef11bc\"/>
    </mc:Choice>
  </mc:AlternateContent>
  <xr:revisionPtr revIDLastSave="0" documentId="8_{09DE672D-74FA-4D97-BB1E-7AC023D96B6A}" xr6:coauthVersionLast="47" xr6:coauthVersionMax="47" xr10:uidLastSave="{00000000-0000-0000-0000-000000000000}"/>
  <bookViews>
    <workbookView xWindow="2340" yWindow="2340" windowWidth="11520" windowHeight="7875" tabRatio="795" xr2:uid="{00000000-000D-0000-FFFF-FFFF00000000}"/>
  </bookViews>
  <sheets>
    <sheet name="Info" sheetId="9" r:id="rId1"/>
    <sheet name="Trial" sheetId="10" state="veryHidden" r:id="rId2"/>
    <sheet name="Instructions" sheetId="4" state="veryHidden" r:id="rId3"/>
    <sheet name="Assumptions" sheetId="2" state="veryHidden" r:id="rId4"/>
    <sheet name="IncState" sheetId="1" state="veryHidden" r:id="rId5"/>
    <sheet name="CashFlow" sheetId="11" state="veryHidden" r:id="rId6"/>
    <sheet name="BalanceSheet" sheetId="6" state="veryHidden" r:id="rId7"/>
    <sheet name="Loans1" sheetId="7" state="veryHidden" r:id="rId8"/>
    <sheet name="Loans2" sheetId="12" state="veryHidden" r:id="rId9"/>
    <sheet name="Loans3" sheetId="13" state="veryHidden" r:id="rId10"/>
    <sheet name="Leases" sheetId="14" state="veryHidden" r:id="rId11"/>
  </sheets>
  <definedNames>
    <definedName name="Assume">Assumptions!#REF!</definedName>
    <definedName name="CashFlow">IncState!$B$18:$B$41</definedName>
    <definedName name="EAnchor">Assumptions!#REF!</definedName>
    <definedName name="_xlnm.Print_Area" localSheetId="6">BalanceSheet!$B$1:$H$50</definedName>
    <definedName name="_xlnm.Print_Area" localSheetId="5">CashFlow!$B$1:$G$47</definedName>
    <definedName name="_xlnm.Print_Area" localSheetId="4">IncState!$B$1:$G$67</definedName>
    <definedName name="_xlnm.Print_Area" localSheetId="2">Instructions!$A$1:$A$362</definedName>
    <definedName name="_xlnm.Print_Titles" localSheetId="3">Assumptions!$1:$3</definedName>
    <definedName name="_xlnm.Print_Titles" localSheetId="2">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7" i="2" l="1"/>
  <c r="D66" i="2"/>
  <c r="D72" i="2"/>
  <c r="D65" i="2" l="1"/>
  <c r="D56" i="2"/>
  <c r="D71" i="2"/>
  <c r="A1" i="14" l="1"/>
  <c r="A1" i="13"/>
  <c r="A1" i="12"/>
  <c r="A1" i="7"/>
  <c r="B1" i="6"/>
  <c r="B1" i="11"/>
  <c r="B1" i="1"/>
  <c r="B1" i="2"/>
  <c r="C38" i="6" l="1"/>
  <c r="C79" i="6" s="1"/>
  <c r="H74" i="6"/>
  <c r="G74" i="6"/>
  <c r="F74" i="6"/>
  <c r="E74" i="6"/>
  <c r="D74" i="6"/>
  <c r="C74" i="6"/>
  <c r="D106" i="2"/>
  <c r="D107" i="2" s="1"/>
  <c r="D17" i="1"/>
  <c r="E17" i="1" s="1"/>
  <c r="F17" i="1" s="1"/>
  <c r="G17" i="1" s="1"/>
  <c r="H69" i="6" l="1"/>
  <c r="G69" i="6"/>
  <c r="F69" i="6"/>
  <c r="E69" i="6"/>
  <c r="D69" i="6"/>
  <c r="C69" i="6"/>
  <c r="G4" i="11"/>
  <c r="F4" i="11"/>
  <c r="E4" i="11"/>
  <c r="D4" i="11"/>
  <c r="C4" i="11"/>
  <c r="G4" i="1"/>
  <c r="F4" i="1"/>
  <c r="E4" i="1"/>
  <c r="D4" i="1"/>
  <c r="C4" i="1"/>
  <c r="H4" i="6"/>
  <c r="G4" i="6"/>
  <c r="F4" i="6"/>
  <c r="E4" i="6"/>
  <c r="D4" i="6"/>
  <c r="C4" i="6"/>
  <c r="H57" i="6"/>
  <c r="G57" i="6"/>
  <c r="F57" i="6"/>
  <c r="E57" i="6"/>
  <c r="D57" i="6"/>
  <c r="C57" i="6"/>
  <c r="H55" i="6"/>
  <c r="G55" i="6"/>
  <c r="F55" i="6"/>
  <c r="E55" i="6"/>
  <c r="D55" i="6"/>
  <c r="C55" i="6"/>
  <c r="H53" i="6"/>
  <c r="G53" i="6"/>
  <c r="F53" i="6"/>
  <c r="E53" i="6"/>
  <c r="D53" i="6"/>
  <c r="C53" i="6"/>
  <c r="C66" i="6" l="1"/>
  <c r="C71" i="6"/>
  <c r="C61" i="6"/>
  <c r="E70" i="6"/>
  <c r="E75" i="6"/>
  <c r="E76" i="6"/>
  <c r="F70" i="6"/>
  <c r="F75" i="6"/>
  <c r="F76" i="6"/>
  <c r="C60" i="6"/>
  <c r="C76" i="6"/>
  <c r="C75" i="6"/>
  <c r="G65" i="6"/>
  <c r="G76" i="6"/>
  <c r="G75" i="6"/>
  <c r="D65" i="6"/>
  <c r="D76" i="6"/>
  <c r="D75" i="6"/>
  <c r="H65" i="6"/>
  <c r="H76" i="6"/>
  <c r="H75" i="6"/>
  <c r="D43" i="6"/>
  <c r="H43" i="6"/>
  <c r="G43" i="6"/>
  <c r="F60" i="6"/>
  <c r="E43" i="6"/>
  <c r="F43" i="6"/>
  <c r="E65" i="6"/>
  <c r="C70" i="6"/>
  <c r="E60" i="6"/>
  <c r="F65" i="6"/>
  <c r="G70" i="6"/>
  <c r="G60" i="6"/>
  <c r="C65" i="6"/>
  <c r="D70" i="6"/>
  <c r="H70" i="6"/>
  <c r="D60" i="6"/>
  <c r="H60" i="6"/>
  <c r="G12" i="11"/>
  <c r="F12" i="11"/>
  <c r="E12" i="11"/>
  <c r="D12" i="11"/>
  <c r="C12" i="11"/>
  <c r="G33" i="11"/>
  <c r="F33" i="11"/>
  <c r="E33" i="11"/>
  <c r="D33" i="11"/>
  <c r="C33" i="11"/>
  <c r="G22" i="11"/>
  <c r="F22" i="11"/>
  <c r="E22" i="11"/>
  <c r="D22" i="11"/>
  <c r="C22" i="11"/>
  <c r="G21" i="11"/>
  <c r="F21" i="11"/>
  <c r="E21" i="11"/>
  <c r="D21" i="11"/>
  <c r="C21" i="11"/>
  <c r="G17" i="11"/>
  <c r="F17" i="11"/>
  <c r="E17" i="11"/>
  <c r="D17" i="11"/>
  <c r="C17" i="11"/>
  <c r="G16" i="11"/>
  <c r="F16" i="11"/>
  <c r="E16" i="11"/>
  <c r="D16" i="11"/>
  <c r="C16" i="11"/>
  <c r="G30" i="11"/>
  <c r="F30" i="11"/>
  <c r="E30" i="11"/>
  <c r="D30" i="11"/>
  <c r="C30" i="11"/>
  <c r="G29" i="11"/>
  <c r="F29" i="11"/>
  <c r="E29" i="11"/>
  <c r="D29" i="11"/>
  <c r="C29" i="11"/>
  <c r="G28" i="11"/>
  <c r="F28" i="11"/>
  <c r="E28" i="11"/>
  <c r="D28" i="11"/>
  <c r="C28" i="11"/>
  <c r="C39" i="6"/>
  <c r="C37" i="6"/>
  <c r="C67" i="6" s="1"/>
  <c r="C36" i="6"/>
  <c r="D36" i="6" s="1"/>
  <c r="C35" i="6"/>
  <c r="C34" i="6"/>
  <c r="C63" i="6" s="1"/>
  <c r="C33" i="6"/>
  <c r="C32" i="6"/>
  <c r="C29" i="6"/>
  <c r="C28" i="6"/>
  <c r="C27" i="6"/>
  <c r="C26" i="6"/>
  <c r="C23" i="6"/>
  <c r="C22" i="6"/>
  <c r="C21" i="6"/>
  <c r="C16" i="6"/>
  <c r="C15" i="6"/>
  <c r="C14" i="6"/>
  <c r="C13" i="6"/>
  <c r="C12" i="6"/>
  <c r="C9" i="6"/>
  <c r="C8" i="6"/>
  <c r="C7" i="6"/>
  <c r="H61" i="6" l="1"/>
  <c r="F61" i="6"/>
  <c r="D61" i="6"/>
  <c r="G61" i="6"/>
  <c r="E61" i="6"/>
  <c r="H71" i="6"/>
  <c r="D71" i="6"/>
  <c r="F71" i="6"/>
  <c r="G71" i="6"/>
  <c r="E71" i="6"/>
  <c r="D21" i="6"/>
  <c r="E21" i="6" s="1"/>
  <c r="C45" i="11"/>
  <c r="H66" i="6"/>
  <c r="D66" i="6"/>
  <c r="G66" i="6"/>
  <c r="E66" i="6"/>
  <c r="F66" i="6"/>
  <c r="D22" i="6"/>
  <c r="E22" i="6" s="1"/>
  <c r="F22" i="6" s="1"/>
  <c r="G22" i="6" s="1"/>
  <c r="H22" i="6" s="1"/>
  <c r="D39" i="6"/>
  <c r="E39" i="6" s="1"/>
  <c r="F39" i="6" s="1"/>
  <c r="G39" i="6" s="1"/>
  <c r="H39" i="6" s="1"/>
  <c r="D31" i="11"/>
  <c r="E36" i="6"/>
  <c r="F36" i="6" s="1"/>
  <c r="G36" i="6" s="1"/>
  <c r="H36" i="6" s="1"/>
  <c r="E31" i="11"/>
  <c r="F31" i="11"/>
  <c r="C31" i="11"/>
  <c r="G31" i="11"/>
  <c r="D15" i="6"/>
  <c r="E15" i="6" s="1"/>
  <c r="F15" i="6" s="1"/>
  <c r="G15" i="6" s="1"/>
  <c r="H15" i="6" s="1"/>
  <c r="D14" i="6"/>
  <c r="E14" i="6" s="1"/>
  <c r="F14" i="6" s="1"/>
  <c r="G14" i="6" s="1"/>
  <c r="H14" i="6" s="1"/>
  <c r="C72" i="6"/>
  <c r="C62" i="6"/>
  <c r="D9" i="6"/>
  <c r="E9" i="6" s="1"/>
  <c r="F9" i="6" s="1"/>
  <c r="G9" i="6" s="1"/>
  <c r="H9" i="6" s="1"/>
  <c r="C40" i="6"/>
  <c r="F21" i="6" l="1"/>
  <c r="G21" i="6" l="1"/>
  <c r="H21" i="6" l="1"/>
  <c r="C9" i="14" l="1"/>
  <c r="C9" i="13"/>
  <c r="C9" i="12"/>
  <c r="C9" i="7"/>
  <c r="D94" i="2"/>
  <c r="D93" i="2"/>
  <c r="D92" i="2"/>
  <c r="D91" i="2"/>
  <c r="D80" i="2"/>
  <c r="C24" i="14"/>
  <c r="C23" i="14"/>
  <c r="C22" i="14"/>
  <c r="C21" i="14"/>
  <c r="C20" i="14"/>
  <c r="C19" i="14"/>
  <c r="C18" i="14"/>
  <c r="C17" i="14"/>
  <c r="C16" i="14"/>
  <c r="C15" i="14"/>
  <c r="C24" i="13"/>
  <c r="C23" i="13"/>
  <c r="C22" i="13"/>
  <c r="C21" i="13"/>
  <c r="C20" i="13"/>
  <c r="C19" i="13"/>
  <c r="C18" i="13"/>
  <c r="C17" i="13"/>
  <c r="C16" i="13"/>
  <c r="C15" i="13"/>
  <c r="C24" i="12"/>
  <c r="C23" i="12"/>
  <c r="C22" i="12"/>
  <c r="C21" i="12"/>
  <c r="C20" i="12"/>
  <c r="C19" i="12"/>
  <c r="C18" i="12"/>
  <c r="C17" i="12"/>
  <c r="C16" i="12"/>
  <c r="C15" i="12"/>
  <c r="C24" i="7"/>
  <c r="C23" i="7"/>
  <c r="C22" i="7"/>
  <c r="C21" i="7"/>
  <c r="C20" i="7"/>
  <c r="C19" i="7"/>
  <c r="C18" i="7"/>
  <c r="C17" i="7"/>
  <c r="C16" i="7"/>
  <c r="C15" i="7"/>
  <c r="G38" i="11"/>
  <c r="C14" i="14" s="1"/>
  <c r="F38" i="11"/>
  <c r="C13" i="14" s="1"/>
  <c r="E38" i="11"/>
  <c r="C12" i="14" s="1"/>
  <c r="D38" i="11"/>
  <c r="C11" i="14" s="1"/>
  <c r="C38" i="11"/>
  <c r="C10" i="14" s="1"/>
  <c r="G37" i="11"/>
  <c r="C14" i="13" s="1"/>
  <c r="F37" i="11"/>
  <c r="C13" i="13" s="1"/>
  <c r="E37" i="11"/>
  <c r="C12" i="13" s="1"/>
  <c r="D37" i="11"/>
  <c r="C11" i="13" s="1"/>
  <c r="C37" i="11"/>
  <c r="C10" i="13" s="1"/>
  <c r="G36" i="11"/>
  <c r="C14" i="12" s="1"/>
  <c r="F36" i="11"/>
  <c r="C13" i="12" s="1"/>
  <c r="E36" i="11"/>
  <c r="C12" i="12" s="1"/>
  <c r="D36" i="11"/>
  <c r="C11" i="12" s="1"/>
  <c r="C36" i="11"/>
  <c r="C10" i="12" s="1"/>
  <c r="G35" i="11"/>
  <c r="C14" i="7" s="1"/>
  <c r="F35" i="11"/>
  <c r="C13" i="7" s="1"/>
  <c r="E35" i="11"/>
  <c r="C12" i="7" s="1"/>
  <c r="D35" i="11"/>
  <c r="C11" i="7" s="1"/>
  <c r="C35" i="11"/>
  <c r="C10" i="7" s="1"/>
  <c r="B6" i="14"/>
  <c r="B5" i="14"/>
  <c r="B4" i="14"/>
  <c r="B6" i="13"/>
  <c r="B5" i="13"/>
  <c r="B4" i="13"/>
  <c r="B6" i="12"/>
  <c r="B5" i="12"/>
  <c r="B4" i="12"/>
  <c r="B6" i="7"/>
  <c r="G48" i="1" l="1"/>
  <c r="F48" i="1"/>
  <c r="E48" i="1"/>
  <c r="D48" i="1"/>
  <c r="G47" i="1"/>
  <c r="F47" i="1"/>
  <c r="E47" i="1"/>
  <c r="D47" i="1"/>
  <c r="D49" i="1" s="1"/>
  <c r="C49" i="1"/>
  <c r="D44" i="1"/>
  <c r="E44" i="1" s="1"/>
  <c r="F44" i="1" s="1"/>
  <c r="G44" i="1" s="1"/>
  <c r="D43" i="1"/>
  <c r="E43" i="1" s="1"/>
  <c r="C45" i="1"/>
  <c r="D40" i="1"/>
  <c r="E40" i="1" s="1"/>
  <c r="F40" i="1" s="1"/>
  <c r="G40" i="1" s="1"/>
  <c r="D39" i="1"/>
  <c r="E39" i="1" s="1"/>
  <c r="F39" i="1" s="1"/>
  <c r="G39" i="1" s="1"/>
  <c r="D38" i="1"/>
  <c r="E38" i="1" s="1"/>
  <c r="F38" i="1" s="1"/>
  <c r="G38" i="1" s="1"/>
  <c r="D37" i="1"/>
  <c r="E37" i="1" s="1"/>
  <c r="F37" i="1" s="1"/>
  <c r="G37" i="1" s="1"/>
  <c r="D36" i="1"/>
  <c r="E36" i="1" s="1"/>
  <c r="F36" i="1" s="1"/>
  <c r="G36" i="1" s="1"/>
  <c r="D35" i="1"/>
  <c r="E35" i="1" s="1"/>
  <c r="F35" i="1" s="1"/>
  <c r="G35" i="1" s="1"/>
  <c r="D34" i="1"/>
  <c r="E34" i="1" s="1"/>
  <c r="F34" i="1" s="1"/>
  <c r="G34" i="1" s="1"/>
  <c r="D33" i="1"/>
  <c r="E33" i="1" s="1"/>
  <c r="F33" i="1" s="1"/>
  <c r="G33" i="1" s="1"/>
  <c r="D32" i="1"/>
  <c r="E32" i="1" s="1"/>
  <c r="F32" i="1" s="1"/>
  <c r="G32" i="1" s="1"/>
  <c r="D31" i="1"/>
  <c r="E31" i="1" s="1"/>
  <c r="F31" i="1" s="1"/>
  <c r="G31" i="1" s="1"/>
  <c r="D30" i="1"/>
  <c r="E30" i="1" s="1"/>
  <c r="F30" i="1" s="1"/>
  <c r="G30" i="1" s="1"/>
  <c r="D29" i="1"/>
  <c r="E29" i="1" s="1"/>
  <c r="F29" i="1" s="1"/>
  <c r="G29" i="1" s="1"/>
  <c r="D28" i="1"/>
  <c r="E28" i="1" s="1"/>
  <c r="F28" i="1" s="1"/>
  <c r="G28" i="1" s="1"/>
  <c r="D27" i="1"/>
  <c r="E27" i="1" s="1"/>
  <c r="F27" i="1" s="1"/>
  <c r="G27" i="1" s="1"/>
  <c r="D26" i="1"/>
  <c r="E26" i="1" s="1"/>
  <c r="F26" i="1" s="1"/>
  <c r="G26" i="1" s="1"/>
  <c r="D25" i="1"/>
  <c r="E25" i="1" s="1"/>
  <c r="F25" i="1" s="1"/>
  <c r="G25" i="1" s="1"/>
  <c r="D24" i="1"/>
  <c r="E24" i="1" s="1"/>
  <c r="F24" i="1" s="1"/>
  <c r="G24" i="1" s="1"/>
  <c r="D23" i="1"/>
  <c r="E23" i="1" s="1"/>
  <c r="F23" i="1" s="1"/>
  <c r="G23" i="1" s="1"/>
  <c r="D22" i="1"/>
  <c r="E22" i="1" s="1"/>
  <c r="F22" i="1" s="1"/>
  <c r="G22" i="1" s="1"/>
  <c r="D21" i="1"/>
  <c r="E21" i="1" s="1"/>
  <c r="F21" i="1" s="1"/>
  <c r="G21" i="1" s="1"/>
  <c r="D20" i="1"/>
  <c r="D19" i="1"/>
  <c r="E19" i="1" s="1"/>
  <c r="F19" i="1" s="1"/>
  <c r="G19" i="1" s="1"/>
  <c r="C41" i="1"/>
  <c r="C7" i="1"/>
  <c r="C12" i="1"/>
  <c r="C9" i="1" s="1"/>
  <c r="C11" i="1"/>
  <c r="D6" i="1"/>
  <c r="E6" i="1" s="1"/>
  <c r="F6" i="1" s="1"/>
  <c r="G6" i="1" s="1"/>
  <c r="G12" i="1" s="1"/>
  <c r="G9" i="1" s="1"/>
  <c r="D5" i="1"/>
  <c r="E5" i="1" s="1"/>
  <c r="E11" i="1" s="1"/>
  <c r="E49" i="1" l="1"/>
  <c r="F49" i="1"/>
  <c r="G49" i="1"/>
  <c r="C13" i="1"/>
  <c r="C16" i="1" s="1"/>
  <c r="D24" i="14"/>
  <c r="F9" i="14"/>
  <c r="G9" i="14" s="1"/>
  <c r="D24" i="13"/>
  <c r="F9" i="13"/>
  <c r="G9" i="13" s="1"/>
  <c r="F9" i="12"/>
  <c r="G9" i="12" s="1"/>
  <c r="D24" i="12"/>
  <c r="D45" i="1"/>
  <c r="F43" i="1"/>
  <c r="E45" i="1"/>
  <c r="D41" i="1"/>
  <c r="E20" i="1"/>
  <c r="F20" i="1" s="1"/>
  <c r="G20" i="1" s="1"/>
  <c r="D7" i="1"/>
  <c r="E7" i="1"/>
  <c r="D11" i="1"/>
  <c r="E8" i="1"/>
  <c r="E12" i="1"/>
  <c r="E9" i="1" s="1"/>
  <c r="F12" i="1"/>
  <c r="F9" i="1" s="1"/>
  <c r="D12" i="1"/>
  <c r="D9" i="1" s="1"/>
  <c r="C8" i="1"/>
  <c r="C10" i="1" s="1"/>
  <c r="D54" i="6" s="1"/>
  <c r="F5" i="1"/>
  <c r="C50" i="1" l="1"/>
  <c r="D12" i="6"/>
  <c r="D47" i="6" s="1"/>
  <c r="B10" i="14"/>
  <c r="B10" i="13"/>
  <c r="B10" i="12"/>
  <c r="G43" i="1"/>
  <c r="G45" i="1" s="1"/>
  <c r="F45" i="1"/>
  <c r="F11" i="1"/>
  <c r="F13" i="1" s="1"/>
  <c r="F7" i="1"/>
  <c r="E10" i="1"/>
  <c r="F54" i="6" s="1"/>
  <c r="D8" i="1"/>
  <c r="D10" i="1" s="1"/>
  <c r="E54" i="6" s="1"/>
  <c r="D13" i="1"/>
  <c r="D16" i="1" s="1"/>
  <c r="E13" i="1"/>
  <c r="E16" i="1" s="1"/>
  <c r="G5" i="1"/>
  <c r="G7" i="1" s="1"/>
  <c r="D50" i="1" l="1"/>
  <c r="H62" i="6"/>
  <c r="E62" i="6"/>
  <c r="F56" i="6"/>
  <c r="F13" i="6" s="1"/>
  <c r="D56" i="6"/>
  <c r="D13" i="6" s="1"/>
  <c r="D48" i="6" s="1"/>
  <c r="G56" i="6"/>
  <c r="G13" i="6" s="1"/>
  <c r="E56" i="6"/>
  <c r="E13" i="6" s="1"/>
  <c r="D62" i="6"/>
  <c r="G62" i="6"/>
  <c r="F62" i="6"/>
  <c r="H56" i="6"/>
  <c r="F12" i="6"/>
  <c r="F47" i="6" s="1"/>
  <c r="E12" i="6"/>
  <c r="E47" i="6" s="1"/>
  <c r="F8" i="1"/>
  <c r="F10" i="1" s="1"/>
  <c r="G54" i="6" s="1"/>
  <c r="F16" i="1"/>
  <c r="G11" i="1"/>
  <c r="G13" i="1" s="1"/>
  <c r="F15" i="11" l="1"/>
  <c r="E15" i="11"/>
  <c r="E48" i="6"/>
  <c r="F48" i="6"/>
  <c r="G48" i="6"/>
  <c r="H13" i="6"/>
  <c r="G15" i="11" s="1"/>
  <c r="D14" i="11"/>
  <c r="D15" i="11"/>
  <c r="E14" i="11"/>
  <c r="G12" i="6"/>
  <c r="G47" i="6" s="1"/>
  <c r="G8" i="1"/>
  <c r="G10" i="1" s="1"/>
  <c r="G16" i="1"/>
  <c r="H48" i="6" l="1"/>
  <c r="H54" i="6"/>
  <c r="H12" i="6" s="1"/>
  <c r="G14" i="11" s="1"/>
  <c r="F14" i="11"/>
  <c r="F9" i="7"/>
  <c r="B5" i="7"/>
  <c r="B4" i="7"/>
  <c r="C30" i="6"/>
  <c r="H47" i="6" l="1"/>
  <c r="C24" i="6"/>
  <c r="C41" i="6" s="1"/>
  <c r="C17" i="6"/>
  <c r="C10" i="6"/>
  <c r="D21" i="13"/>
  <c r="D21" i="14"/>
  <c r="D20" i="14"/>
  <c r="D20" i="13"/>
  <c r="D22" i="13"/>
  <c r="D22" i="14"/>
  <c r="D22" i="12"/>
  <c r="D19" i="14"/>
  <c r="D19" i="13"/>
  <c r="D22" i="7"/>
  <c r="D24" i="7"/>
  <c r="D17" i="7"/>
  <c r="E41" i="1"/>
  <c r="E50" i="1" s="1"/>
  <c r="G9" i="7"/>
  <c r="E10" i="7" s="1"/>
  <c r="C52" i="1" s="1"/>
  <c r="C15" i="11"/>
  <c r="D18" i="7"/>
  <c r="D10" i="7"/>
  <c r="D21" i="7"/>
  <c r="D15" i="7"/>
  <c r="D19" i="7"/>
  <c r="D23" i="7"/>
  <c r="D11" i="7"/>
  <c r="D16" i="7"/>
  <c r="D20" i="7"/>
  <c r="D13" i="7"/>
  <c r="D14" i="7"/>
  <c r="D12" i="7"/>
  <c r="C18" i="6" l="1"/>
  <c r="C42" i="6" s="1"/>
  <c r="D19" i="12"/>
  <c r="D20" i="12"/>
  <c r="D21" i="12"/>
  <c r="D18" i="13"/>
  <c r="D23" i="13"/>
  <c r="D18" i="12"/>
  <c r="D23" i="12"/>
  <c r="D18" i="14"/>
  <c r="D23" i="14"/>
  <c r="D17" i="12"/>
  <c r="D16" i="12"/>
  <c r="D15" i="13"/>
  <c r="D10" i="12"/>
  <c r="D11" i="12"/>
  <c r="D12" i="12"/>
  <c r="D13" i="12"/>
  <c r="D14" i="12"/>
  <c r="E10" i="12"/>
  <c r="D17" i="14"/>
  <c r="D15" i="12"/>
  <c r="D16" i="14"/>
  <c r="D10" i="14"/>
  <c r="D12" i="14"/>
  <c r="D13" i="14"/>
  <c r="D11" i="14"/>
  <c r="D14" i="14"/>
  <c r="E10" i="14"/>
  <c r="D17" i="13"/>
  <c r="D15" i="14"/>
  <c r="D16" i="13"/>
  <c r="D14" i="13"/>
  <c r="D12" i="13"/>
  <c r="D11" i="13"/>
  <c r="D10" i="13"/>
  <c r="D13" i="13"/>
  <c r="E10" i="13"/>
  <c r="B10" i="7"/>
  <c r="F41" i="1"/>
  <c r="F50" i="1" s="1"/>
  <c r="F10" i="7"/>
  <c r="C39" i="11" s="1"/>
  <c r="D26" i="6" l="1"/>
  <c r="F10" i="14"/>
  <c r="C42" i="11" s="1"/>
  <c r="C55" i="1"/>
  <c r="F10" i="12"/>
  <c r="C40" i="11" s="1"/>
  <c r="C53" i="1"/>
  <c r="F10" i="13"/>
  <c r="C41" i="11" s="1"/>
  <c r="C54" i="1"/>
  <c r="G41" i="1"/>
  <c r="G50" i="1" s="1"/>
  <c r="C14" i="11"/>
  <c r="G10" i="7"/>
  <c r="G10" i="14" l="1"/>
  <c r="E11" i="14" s="1"/>
  <c r="G10" i="13"/>
  <c r="B11" i="13" s="1"/>
  <c r="D28" i="6"/>
  <c r="G10" i="12"/>
  <c r="E11" i="12" s="1"/>
  <c r="D27" i="6"/>
  <c r="C56" i="1"/>
  <c r="C65" i="1" s="1"/>
  <c r="E11" i="7"/>
  <c r="B11" i="7"/>
  <c r="D29" i="6" l="1"/>
  <c r="E11" i="13"/>
  <c r="D54" i="1" s="1"/>
  <c r="B11" i="14"/>
  <c r="B11" i="12"/>
  <c r="C57" i="1"/>
  <c r="C58" i="1" s="1"/>
  <c r="D67" i="6" s="1"/>
  <c r="D37" i="6" s="1"/>
  <c r="C7" i="11"/>
  <c r="C24" i="11" s="1"/>
  <c r="D55" i="1"/>
  <c r="F11" i="14"/>
  <c r="D42" i="11" s="1"/>
  <c r="D53" i="1"/>
  <c r="F11" i="12"/>
  <c r="D40" i="11" s="1"/>
  <c r="D52" i="1"/>
  <c r="F11" i="7"/>
  <c r="D39" i="11" s="1"/>
  <c r="F11" i="13" l="1"/>
  <c r="D41" i="11" s="1"/>
  <c r="E28" i="6" s="1"/>
  <c r="D30" i="6"/>
  <c r="G11" i="14"/>
  <c r="E12" i="14" s="1"/>
  <c r="E29" i="6"/>
  <c r="G11" i="12"/>
  <c r="E12" i="12" s="1"/>
  <c r="E27" i="6"/>
  <c r="E26" i="6"/>
  <c r="C59" i="1"/>
  <c r="C8" i="11"/>
  <c r="C25" i="11" s="1"/>
  <c r="D56" i="1"/>
  <c r="D65" i="1" s="1"/>
  <c r="G11" i="7"/>
  <c r="D77" i="6" l="1"/>
  <c r="G11" i="13"/>
  <c r="E12" i="13" s="1"/>
  <c r="E54" i="1" s="1"/>
  <c r="B12" i="14"/>
  <c r="B12" i="12"/>
  <c r="D57" i="1"/>
  <c r="D58" i="1" s="1"/>
  <c r="E67" i="6" s="1"/>
  <c r="E37" i="6" s="1"/>
  <c r="D7" i="11"/>
  <c r="D24" i="11" s="1"/>
  <c r="C62" i="1"/>
  <c r="C6" i="11"/>
  <c r="E53" i="1"/>
  <c r="F12" i="12"/>
  <c r="E40" i="11" s="1"/>
  <c r="E55" i="1"/>
  <c r="F12" i="14"/>
  <c r="E42" i="11" s="1"/>
  <c r="E30" i="6"/>
  <c r="E12" i="7"/>
  <c r="B12" i="7"/>
  <c r="D78" i="6" l="1"/>
  <c r="D80" i="6" s="1"/>
  <c r="D38" i="6" s="1"/>
  <c r="F12" i="13"/>
  <c r="E41" i="11" s="1"/>
  <c r="F28" i="6" s="1"/>
  <c r="B12" i="13"/>
  <c r="G12" i="14"/>
  <c r="B13" i="14" s="1"/>
  <c r="F29" i="6"/>
  <c r="G12" i="12"/>
  <c r="E13" i="12" s="1"/>
  <c r="F27" i="6"/>
  <c r="D59" i="1"/>
  <c r="E77" i="6" s="1"/>
  <c r="D8" i="11"/>
  <c r="D25" i="11" s="1"/>
  <c r="E52" i="1"/>
  <c r="F12" i="7"/>
  <c r="E39" i="11" s="1"/>
  <c r="D79" i="6" l="1"/>
  <c r="C60" i="1" s="1"/>
  <c r="C61" i="1" s="1"/>
  <c r="D23" i="6" s="1"/>
  <c r="D24" i="6" s="1"/>
  <c r="G12" i="13"/>
  <c r="E13" i="13" s="1"/>
  <c r="F54" i="1" s="1"/>
  <c r="E78" i="6"/>
  <c r="E80" i="6" s="1"/>
  <c r="E38" i="6" s="1"/>
  <c r="D6" i="11"/>
  <c r="E13" i="14"/>
  <c r="F55" i="1" s="1"/>
  <c r="D62" i="1"/>
  <c r="B13" i="12"/>
  <c r="F53" i="1"/>
  <c r="F13" i="12"/>
  <c r="F40" i="11" s="1"/>
  <c r="E56" i="1"/>
  <c r="E65" i="1" s="1"/>
  <c r="G12" i="7"/>
  <c r="C66" i="1" l="1"/>
  <c r="D50" i="6"/>
  <c r="C34" i="11"/>
  <c r="C43" i="11" s="1"/>
  <c r="E79" i="6"/>
  <c r="D60" i="1" s="1"/>
  <c r="D61" i="1" s="1"/>
  <c r="E23" i="6" s="1"/>
  <c r="E24" i="6" s="1"/>
  <c r="F13" i="13"/>
  <c r="F41" i="11" s="1"/>
  <c r="G28" i="6" s="1"/>
  <c r="B13" i="13"/>
  <c r="F13" i="14"/>
  <c r="F26" i="6"/>
  <c r="F30" i="6" s="1"/>
  <c r="G13" i="12"/>
  <c r="B14" i="12" s="1"/>
  <c r="G27" i="6"/>
  <c r="E57" i="1"/>
  <c r="E58" i="1" s="1"/>
  <c r="F67" i="6" s="1"/>
  <c r="F37" i="6" s="1"/>
  <c r="E7" i="11"/>
  <c r="E24" i="11" s="1"/>
  <c r="E13" i="7"/>
  <c r="B13" i="7"/>
  <c r="D34" i="11" l="1"/>
  <c r="D43" i="11" s="1"/>
  <c r="G13" i="13"/>
  <c r="E14" i="13" s="1"/>
  <c r="G54" i="1" s="1"/>
  <c r="D66" i="1"/>
  <c r="E50" i="6"/>
  <c r="G13" i="14"/>
  <c r="B14" i="14" s="1"/>
  <c r="F42" i="11"/>
  <c r="G29" i="6" s="1"/>
  <c r="E14" i="12"/>
  <c r="F14" i="12" s="1"/>
  <c r="G40" i="11" s="1"/>
  <c r="E59" i="1"/>
  <c r="F77" i="6" s="1"/>
  <c r="E8" i="11"/>
  <c r="E25" i="11" s="1"/>
  <c r="F52" i="1"/>
  <c r="F13" i="7"/>
  <c r="F39" i="11" s="1"/>
  <c r="F14" i="13" l="1"/>
  <c r="G41" i="11" s="1"/>
  <c r="H28" i="6" s="1"/>
  <c r="B14" i="13"/>
  <c r="F78" i="6"/>
  <c r="F80" i="6" s="1"/>
  <c r="F38" i="6" s="1"/>
  <c r="G53" i="1"/>
  <c r="E14" i="14"/>
  <c r="E62" i="1"/>
  <c r="G14" i="12"/>
  <c r="B15" i="12" s="1"/>
  <c r="H27" i="6"/>
  <c r="E6" i="11"/>
  <c r="F56" i="1"/>
  <c r="F65" i="1" s="1"/>
  <c r="G13" i="7"/>
  <c r="G14" i="13" l="1"/>
  <c r="B15" i="13" s="1"/>
  <c r="F79" i="6"/>
  <c r="E60" i="1" s="1"/>
  <c r="E61" i="1" s="1"/>
  <c r="F23" i="6" s="1"/>
  <c r="F24" i="6" s="1"/>
  <c r="E66" i="1" s="1"/>
  <c r="F14" i="14"/>
  <c r="G55" i="1"/>
  <c r="G26" i="6"/>
  <c r="E15" i="12"/>
  <c r="F15" i="12" s="1"/>
  <c r="G15" i="12" s="1"/>
  <c r="B16" i="12" s="1"/>
  <c r="F57" i="1"/>
  <c r="F58" i="1" s="1"/>
  <c r="G67" i="6" s="1"/>
  <c r="G37" i="6" s="1"/>
  <c r="F7" i="11"/>
  <c r="F24" i="11" s="1"/>
  <c r="E14" i="7"/>
  <c r="B14" i="7"/>
  <c r="E15" i="13" l="1"/>
  <c r="F15" i="13" s="1"/>
  <c r="G15" i="13" s="1"/>
  <c r="B16" i="13" s="1"/>
  <c r="F50" i="6"/>
  <c r="E34" i="11"/>
  <c r="E43" i="11" s="1"/>
  <c r="G42" i="11"/>
  <c r="H29" i="6" s="1"/>
  <c r="G14" i="14"/>
  <c r="F8" i="11"/>
  <c r="F25" i="11" s="1"/>
  <c r="G30" i="6"/>
  <c r="F59" i="1"/>
  <c r="G77" i="6" s="1"/>
  <c r="E16" i="12"/>
  <c r="F16" i="12" s="1"/>
  <c r="G16" i="12" s="1"/>
  <c r="B17" i="12" s="1"/>
  <c r="G52" i="1"/>
  <c r="G56" i="1" s="1"/>
  <c r="G65" i="1" s="1"/>
  <c r="F14" i="7"/>
  <c r="G39" i="11" s="1"/>
  <c r="E16" i="13" l="1"/>
  <c r="F16" i="13" s="1"/>
  <c r="G16" i="13" s="1"/>
  <c r="E17" i="13" s="1"/>
  <c r="F17" i="13" s="1"/>
  <c r="G78" i="6"/>
  <c r="G80" i="6" s="1"/>
  <c r="G38" i="6" s="1"/>
  <c r="B15" i="14"/>
  <c r="E15" i="14"/>
  <c r="F15" i="14" s="1"/>
  <c r="G57" i="1"/>
  <c r="G58" i="1" s="1"/>
  <c r="H67" i="6" s="1"/>
  <c r="H37" i="6" s="1"/>
  <c r="G7" i="11"/>
  <c r="G24" i="11" s="1"/>
  <c r="F6" i="11"/>
  <c r="F62" i="1"/>
  <c r="E17" i="12"/>
  <c r="F17" i="12" s="1"/>
  <c r="G17" i="12" s="1"/>
  <c r="E18" i="12" s="1"/>
  <c r="F18" i="12" s="1"/>
  <c r="G14" i="7"/>
  <c r="B17" i="13" l="1"/>
  <c r="G17" i="13" s="1"/>
  <c r="B18" i="13" s="1"/>
  <c r="G79" i="6"/>
  <c r="F60" i="1" s="1"/>
  <c r="F61" i="1" s="1"/>
  <c r="G23" i="6" s="1"/>
  <c r="G24" i="6" s="1"/>
  <c r="G15" i="14"/>
  <c r="B16" i="14" s="1"/>
  <c r="H26" i="6"/>
  <c r="H30" i="6" s="1"/>
  <c r="G59" i="1"/>
  <c r="H77" i="6" s="1"/>
  <c r="H78" i="6" s="1"/>
  <c r="H80" i="6" s="1"/>
  <c r="H38" i="6" s="1"/>
  <c r="G8" i="11"/>
  <c r="G25" i="11" s="1"/>
  <c r="B18" i="12"/>
  <c r="G18" i="12" s="1"/>
  <c r="E19" i="12" s="1"/>
  <c r="F19" i="12" s="1"/>
  <c r="E15" i="7"/>
  <c r="F15" i="7" s="1"/>
  <c r="B15" i="7"/>
  <c r="E18" i="13" l="1"/>
  <c r="F18" i="13" s="1"/>
  <c r="G18" i="13" s="1"/>
  <c r="E19" i="13" s="1"/>
  <c r="F19" i="13" s="1"/>
  <c r="F34" i="11"/>
  <c r="F43" i="11" s="1"/>
  <c r="H79" i="6"/>
  <c r="G60" i="1" s="1"/>
  <c r="G34" i="11" s="1"/>
  <c r="G43" i="11" s="1"/>
  <c r="H63" i="6"/>
  <c r="H34" i="6" s="1"/>
  <c r="G63" i="6"/>
  <c r="G34" i="6" s="1"/>
  <c r="H58" i="6"/>
  <c r="H33" i="6" s="1"/>
  <c r="G58" i="6"/>
  <c r="G72" i="6"/>
  <c r="G35" i="6" s="1"/>
  <c r="H72" i="6"/>
  <c r="H35" i="6" s="1"/>
  <c r="F66" i="1"/>
  <c r="G50" i="6"/>
  <c r="E16" i="14"/>
  <c r="F16" i="14" s="1"/>
  <c r="G16" i="14" s="1"/>
  <c r="B17" i="14" s="1"/>
  <c r="D72" i="6"/>
  <c r="D35" i="6" s="1"/>
  <c r="F72" i="6"/>
  <c r="F35" i="6" s="1"/>
  <c r="E72" i="6"/>
  <c r="E35" i="6" s="1"/>
  <c r="D63" i="6"/>
  <c r="D34" i="6" s="1"/>
  <c r="F63" i="6"/>
  <c r="F34" i="6" s="1"/>
  <c r="E63" i="6"/>
  <c r="E34" i="6" s="1"/>
  <c r="D58" i="6"/>
  <c r="F58" i="6"/>
  <c r="E58" i="6"/>
  <c r="B19" i="12"/>
  <c r="G19" i="12" s="1"/>
  <c r="E20" i="12" s="1"/>
  <c r="F20" i="12" s="1"/>
  <c r="G15" i="7"/>
  <c r="E16" i="7" s="1"/>
  <c r="F16" i="7" s="1"/>
  <c r="G62" i="1"/>
  <c r="G6" i="11"/>
  <c r="B19" i="13" l="1"/>
  <c r="G19" i="13" s="1"/>
  <c r="E20" i="13" s="1"/>
  <c r="F20" i="13" s="1"/>
  <c r="G61" i="1"/>
  <c r="H23" i="6" s="1"/>
  <c r="H24" i="6" s="1"/>
  <c r="G19" i="11"/>
  <c r="G20" i="11"/>
  <c r="G33" i="6"/>
  <c r="G18" i="11" s="1"/>
  <c r="H49" i="6"/>
  <c r="E33" i="6"/>
  <c r="E49" i="6" s="1"/>
  <c r="F33" i="6"/>
  <c r="F49" i="6" s="1"/>
  <c r="D33" i="6"/>
  <c r="D49" i="6" s="1"/>
  <c r="E17" i="14"/>
  <c r="F17" i="14" s="1"/>
  <c r="G17" i="14" s="1"/>
  <c r="E20" i="11"/>
  <c r="F20" i="11"/>
  <c r="D20" i="11"/>
  <c r="C20" i="11"/>
  <c r="F19" i="11"/>
  <c r="E19" i="11"/>
  <c r="D19" i="11"/>
  <c r="C19" i="11"/>
  <c r="B20" i="12"/>
  <c r="G20" i="12" s="1"/>
  <c r="B16" i="7"/>
  <c r="G16" i="7" s="1"/>
  <c r="E17" i="7" s="1"/>
  <c r="F17" i="7" s="1"/>
  <c r="E10" i="11" l="1"/>
  <c r="D10" i="11"/>
  <c r="F11" i="11"/>
  <c r="G11" i="11"/>
  <c r="D11" i="11"/>
  <c r="C11" i="11"/>
  <c r="D8" i="6" s="1"/>
  <c r="C10" i="11"/>
  <c r="D7" i="6" s="1"/>
  <c r="G10" i="11"/>
  <c r="E11" i="11"/>
  <c r="F10" i="11"/>
  <c r="B20" i="13"/>
  <c r="G20" i="13" s="1"/>
  <c r="B21" i="13" s="1"/>
  <c r="F18" i="11"/>
  <c r="G49" i="6"/>
  <c r="E18" i="11"/>
  <c r="C18" i="11"/>
  <c r="D18" i="11"/>
  <c r="G66" i="1"/>
  <c r="H50" i="6"/>
  <c r="E18" i="14"/>
  <c r="F18" i="14" s="1"/>
  <c r="B18" i="14"/>
  <c r="E21" i="12"/>
  <c r="F21" i="12" s="1"/>
  <c r="B21" i="12"/>
  <c r="B17" i="7"/>
  <c r="G17" i="7" s="1"/>
  <c r="G23" i="11" l="1"/>
  <c r="G26" i="11" s="1"/>
  <c r="G44" i="11" s="1"/>
  <c r="E7" i="6"/>
  <c r="F7" i="6" s="1"/>
  <c r="E8" i="6"/>
  <c r="F8" i="6" s="1"/>
  <c r="G8" i="6" s="1"/>
  <c r="H8" i="6" s="1"/>
  <c r="D23" i="11"/>
  <c r="D26" i="11" s="1"/>
  <c r="D44" i="11" s="1"/>
  <c r="D10" i="6"/>
  <c r="C23" i="11"/>
  <c r="C26" i="11" s="1"/>
  <c r="C44" i="11" s="1"/>
  <c r="C46" i="11" s="1"/>
  <c r="D32" i="6" s="1"/>
  <c r="D40" i="6" s="1"/>
  <c r="D41" i="6" s="1"/>
  <c r="F23" i="11"/>
  <c r="F26" i="11" s="1"/>
  <c r="F44" i="11" s="1"/>
  <c r="E23" i="11"/>
  <c r="E26" i="11" s="1"/>
  <c r="E44" i="11" s="1"/>
  <c r="E21" i="13"/>
  <c r="F21" i="13" s="1"/>
  <c r="G21" i="13" s="1"/>
  <c r="E22" i="13" s="1"/>
  <c r="F22" i="13" s="1"/>
  <c r="G18" i="14"/>
  <c r="B19" i="14" s="1"/>
  <c r="G21" i="12"/>
  <c r="B22" i="12" s="1"/>
  <c r="B18" i="7"/>
  <c r="E18" i="7"/>
  <c r="F18" i="7" s="1"/>
  <c r="E10" i="6" l="1"/>
  <c r="D16" i="6"/>
  <c r="E19" i="14"/>
  <c r="F19" i="14" s="1"/>
  <c r="G19" i="14" s="1"/>
  <c r="E20" i="14" s="1"/>
  <c r="F20" i="14" s="1"/>
  <c r="G7" i="6"/>
  <c r="F10" i="6"/>
  <c r="B22" i="13"/>
  <c r="G22" i="13" s="1"/>
  <c r="B23" i="13" s="1"/>
  <c r="E22" i="12"/>
  <c r="F22" i="12" s="1"/>
  <c r="G22" i="12" s="1"/>
  <c r="G18" i="7"/>
  <c r="B19" i="7" s="1"/>
  <c r="D45" i="11" l="1"/>
  <c r="D46" i="11" s="1"/>
  <c r="D17" i="6"/>
  <c r="D46" i="6" s="1"/>
  <c r="B20" i="14"/>
  <c r="G20" i="14" s="1"/>
  <c r="B21" i="14" s="1"/>
  <c r="H7" i="6"/>
  <c r="H10" i="6" s="1"/>
  <c r="G10" i="6"/>
  <c r="E23" i="13"/>
  <c r="F23" i="13" s="1"/>
  <c r="G23" i="13" s="1"/>
  <c r="B24" i="13" s="1"/>
  <c r="B23" i="12"/>
  <c r="E23" i="12"/>
  <c r="F23" i="12" s="1"/>
  <c r="E19" i="7"/>
  <c r="F19" i="7" s="1"/>
  <c r="G19" i="7" s="1"/>
  <c r="B20" i="7" s="1"/>
  <c r="E32" i="6" l="1"/>
  <c r="E40" i="6" s="1"/>
  <c r="E41" i="6" s="1"/>
  <c r="E16" i="6"/>
  <c r="D45" i="6"/>
  <c r="D18" i="6"/>
  <c r="D42" i="6" s="1"/>
  <c r="E21" i="14"/>
  <c r="F21" i="14" s="1"/>
  <c r="G21" i="14" s="1"/>
  <c r="B22" i="14" s="1"/>
  <c r="E24" i="13"/>
  <c r="F24" i="13" s="1"/>
  <c r="G24" i="13" s="1"/>
  <c r="G23" i="12"/>
  <c r="E24" i="12" s="1"/>
  <c r="F24" i="12" s="1"/>
  <c r="E20" i="7"/>
  <c r="F20" i="7" s="1"/>
  <c r="G20" i="7" s="1"/>
  <c r="B21" i="7" s="1"/>
  <c r="E17" i="6" l="1"/>
  <c r="E45" i="11"/>
  <c r="E46" i="11" s="1"/>
  <c r="F32" i="6" s="1"/>
  <c r="F40" i="6" s="1"/>
  <c r="F41" i="6" s="1"/>
  <c r="C67" i="1"/>
  <c r="E22" i="14"/>
  <c r="F22" i="14" s="1"/>
  <c r="G22" i="14" s="1"/>
  <c r="B23" i="14" s="1"/>
  <c r="F16" i="6"/>
  <c r="B24" i="12"/>
  <c r="G24" i="12" s="1"/>
  <c r="E21" i="7"/>
  <c r="F21" i="7" s="1"/>
  <c r="G21" i="7" s="1"/>
  <c r="B22" i="7" s="1"/>
  <c r="F45" i="11" l="1"/>
  <c r="F46" i="11" s="1"/>
  <c r="E18" i="6"/>
  <c r="E46" i="6"/>
  <c r="E45" i="6"/>
  <c r="E23" i="14"/>
  <c r="F23" i="14" s="1"/>
  <c r="G23" i="14" s="1"/>
  <c r="B24" i="14" s="1"/>
  <c r="F17" i="6"/>
  <c r="E22" i="7"/>
  <c r="F22" i="7" s="1"/>
  <c r="G22" i="7" s="1"/>
  <c r="G32" i="6" l="1"/>
  <c r="G40" i="6" s="1"/>
  <c r="G16" i="6"/>
  <c r="G45" i="11" s="1"/>
  <c r="D67" i="1"/>
  <c r="E42" i="6"/>
  <c r="G41" i="6"/>
  <c r="F18" i="6"/>
  <c r="E67" i="1" s="1"/>
  <c r="F45" i="6"/>
  <c r="F46" i="6"/>
  <c r="E24" i="14"/>
  <c r="F24" i="14" s="1"/>
  <c r="G24" i="14" s="1"/>
  <c r="G46" i="11"/>
  <c r="G17" i="6"/>
  <c r="G18" i="6" s="1"/>
  <c r="F67" i="1" s="1"/>
  <c r="E23" i="7"/>
  <c r="F23" i="7" s="1"/>
  <c r="B23" i="7"/>
  <c r="F42" i="6" l="1"/>
  <c r="G45" i="6"/>
  <c r="G46" i="6"/>
  <c r="G42" i="6"/>
  <c r="H32" i="6"/>
  <c r="H40" i="6" s="1"/>
  <c r="H16" i="6"/>
  <c r="G23" i="7"/>
  <c r="B24" i="7" s="1"/>
  <c r="H41" i="6" l="1"/>
  <c r="H17" i="6"/>
  <c r="H18" i="6" s="1"/>
  <c r="G67" i="1" s="1"/>
  <c r="E24" i="7"/>
  <c r="F24" i="7" s="1"/>
  <c r="G24" i="7" s="1"/>
  <c r="H45" i="6" l="1"/>
  <c r="H46" i="6"/>
  <c r="H42" i="6"/>
</calcChain>
</file>

<file path=xl/sharedStrings.xml><?xml version="1.0" encoding="utf-8"?>
<sst xmlns="http://schemas.openxmlformats.org/spreadsheetml/2006/main" count="667" uniqueCount="427">
  <si>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</si>
  <si>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Turnover</t>
  </si>
  <si>
    <t>Year 1</t>
  </si>
  <si>
    <t>Year 2</t>
  </si>
  <si>
    <t>Year 3</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</si>
  <si>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</si>
  <si>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</si>
  <si>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</si>
  <si>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</si>
  <si>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</si>
  <si>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</si>
  <si>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</si>
  <si>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</si>
  <si>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</si>
  <si>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</si>
  <si>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</si>
  <si>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</si>
  <si>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</si>
  <si>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</si>
  <si>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</si>
  <si>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</si>
  <si>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</si>
  <si>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</si>
  <si>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</si>
  <si>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</si>
  <si>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</si>
  <si>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</si>
  <si>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</si>
  <si>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</si>
  <si>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</si>
  <si>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</si>
  <si>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</si>
  <si>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</si>
  <si>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</si>
  <si>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</si>
  <si>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</si>
  <si>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</si>
  <si>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Balance Sheet</t>
  </si>
  <si>
    <t>Current Assets</t>
  </si>
  <si>
    <t>Retained Earnings</t>
  </si>
  <si>
    <t>Current Liabilities</t>
  </si>
  <si>
    <t>Taxation</t>
  </si>
  <si>
    <t>Repayment Term</t>
  </si>
  <si>
    <t>Interest Only</t>
  </si>
  <si>
    <t>Interest</t>
  </si>
  <si>
    <t>Year</t>
  </si>
  <si>
    <t>Opening Balance</t>
  </si>
  <si>
    <t>Closing Balance</t>
  </si>
  <si>
    <t>Excel Skills | Annual Cash Flow Projection Template</t>
  </si>
  <si>
    <t>Instructions</t>
  </si>
  <si>
    <t>Year 4</t>
  </si>
  <si>
    <t>Year 5</t>
  </si>
  <si>
    <t>Property, Plant &amp; Equipment</t>
  </si>
  <si>
    <t>Interest Cover</t>
  </si>
  <si>
    <t>Current Ratio</t>
  </si>
  <si>
    <t>Quick Ratio</t>
  </si>
  <si>
    <t>Debt / Equity</t>
  </si>
  <si>
    <t>Return on Equity (ROE)</t>
  </si>
  <si>
    <t>Return on Net Assets (RONA)</t>
  </si>
  <si>
    <t>© www.excel-skills.com</t>
  </si>
  <si>
    <t>Capital Repayment</t>
  </si>
  <si>
    <t>The following sheets are included in this template:</t>
  </si>
  <si>
    <t>Loan Terms</t>
  </si>
  <si>
    <t>No</t>
  </si>
  <si>
    <t>Loan Repayment</t>
  </si>
  <si>
    <t>Shareholders' Contributions</t>
  </si>
  <si>
    <t>Business Name</t>
  </si>
  <si>
    <t>Cash Flow Projections - Assumptions</t>
  </si>
  <si>
    <t>Cash Flow Projections - Income Statement</t>
  </si>
  <si>
    <t>Cash Flow Projections - Cash Flow Statement</t>
  </si>
  <si>
    <t>Cash Flow Projections - Balance Sheet</t>
  </si>
  <si>
    <t>Depreciation</t>
  </si>
  <si>
    <t>Profit / (Loss) for the year</t>
  </si>
  <si>
    <t>Profit / (Loss) before Interest &amp; Tax</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</si>
  <si>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</si>
  <si>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</si>
  <si>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</si>
  <si>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</si>
  <si>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</si>
  <si>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</si>
  <si>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</si>
  <si>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</si>
  <si>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</si>
  <si>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</si>
  <si>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</si>
  <si>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</si>
  <si>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</si>
  <si>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</si>
  <si>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end of year</t>
  </si>
  <si>
    <t>Cash &amp; cash equivalents at beginning of year</t>
  </si>
  <si>
    <t>Income Statement</t>
  </si>
  <si>
    <t>Cash Flow Statement</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</si>
  <si>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</si>
  <si>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</si>
  <si>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Start Date</t>
  </si>
  <si>
    <t>Financial Assumptions - Income Statement</t>
  </si>
  <si>
    <t>Annual Turnover Growth %</t>
  </si>
  <si>
    <t>Operating Expenses</t>
  </si>
  <si>
    <t>Annual Expense Inflation %</t>
  </si>
  <si>
    <t>Staff Costs</t>
  </si>
  <si>
    <t>Depreciation &amp; Amortization</t>
  </si>
  <si>
    <t>Annual Depreciation Charges</t>
  </si>
  <si>
    <t>Annual Amortization Charges</t>
  </si>
  <si>
    <t>Interest &amp; Taxation</t>
  </si>
  <si>
    <t>Automatically calculated on the IncState worksheet.</t>
  </si>
  <si>
    <t>Annual projections for the first year need to be entered on the IncState worksheet. The assumptions below are then used to calculate the</t>
  </si>
  <si>
    <t>V1C1</t>
  </si>
  <si>
    <t>Product Sales</t>
  </si>
  <si>
    <t>Income From Services</t>
  </si>
  <si>
    <t>Total Turnover</t>
  </si>
  <si>
    <t>Products</t>
  </si>
  <si>
    <t>V1C0</t>
  </si>
  <si>
    <t>Services</t>
  </si>
  <si>
    <t>Total Cost of Sales</t>
  </si>
  <si>
    <t>Total Gross Profit</t>
  </si>
  <si>
    <t>The annual gross profit percentages for all products or services need to be entered on the IncState sheet. This is the only line item which</t>
  </si>
  <si>
    <t>requires user input in the year 2 to 5 columns - the year 2 to 5 amounts for the rest of the income statement are calculated automatically.</t>
  </si>
  <si>
    <t>Annual operating expense projections for the first year need to be entered on the IncState worksheet and the year 2 to 5 amounts are determined</t>
  </si>
  <si>
    <t>based on the below expense inflation rates.</t>
  </si>
  <si>
    <t>Annual staff costs for the first year need to be entered on the IncState worksheet and the year 2 to 5 amounts are also determined</t>
  </si>
  <si>
    <t>based on the above expense inflation rates.</t>
  </si>
  <si>
    <t>Total Operating Expenses</t>
  </si>
  <si>
    <t>Salaries</t>
  </si>
  <si>
    <t>Wages</t>
  </si>
  <si>
    <t>PAY</t>
  </si>
  <si>
    <t>Total Staff Costs</t>
  </si>
  <si>
    <t>DEP</t>
  </si>
  <si>
    <t>AMT</t>
  </si>
  <si>
    <t>Amortization</t>
  </si>
  <si>
    <t>Total Depreciation &amp; Amortization</t>
  </si>
  <si>
    <t>Annual depreciation &amp; amortization projections for the first year need to be entered on the IncState worksheet. The assumptions below are then</t>
  </si>
  <si>
    <t>used to calculate the year 2 to 5 balances.</t>
  </si>
  <si>
    <t>year 2 to 5 balances.</t>
  </si>
  <si>
    <t>Interest Paid</t>
  </si>
  <si>
    <t>INT</t>
  </si>
  <si>
    <t>Interest - Loans 1</t>
  </si>
  <si>
    <t>Interest - Loans 2</t>
  </si>
  <si>
    <t>Interest - Loans 3</t>
  </si>
  <si>
    <t>Interest - Leases</t>
  </si>
  <si>
    <t>Total Interest Paid</t>
  </si>
  <si>
    <t>Profit / (Loss) before tax</t>
  </si>
  <si>
    <t>TAX</t>
  </si>
  <si>
    <t>Profit / (Loss) %</t>
  </si>
  <si>
    <t>Financial Assumptions - Balance Sheet</t>
  </si>
  <si>
    <t>Reserves</t>
  </si>
  <si>
    <t>Loans &amp; Advances</t>
  </si>
  <si>
    <t>Other Receivables</t>
  </si>
  <si>
    <t>Other Accruals</t>
  </si>
  <si>
    <t>Other Provisions</t>
  </si>
  <si>
    <t>Purchases of intangible assets</t>
  </si>
  <si>
    <t>Purchases of investments</t>
  </si>
  <si>
    <t>The following balance sheet balances are calculated based on the assumptions that are entered on this sheet:</t>
  </si>
  <si>
    <t>The following balance sheet balances are projected by entering the appropriate annual movements in the section below. Red codes in column A</t>
  </si>
  <si>
    <t>indicate that you need to enter a negative value to increase the appropriate balance sheet balance.</t>
  </si>
  <si>
    <t>RES</t>
  </si>
  <si>
    <t>ADV</t>
  </si>
  <si>
    <t>ODB</t>
  </si>
  <si>
    <t>ACC</t>
  </si>
  <si>
    <t>OPV</t>
  </si>
  <si>
    <t>PPE</t>
  </si>
  <si>
    <t>INA</t>
  </si>
  <si>
    <t>INV</t>
  </si>
  <si>
    <t>CAP</t>
  </si>
  <si>
    <t>LT1</t>
  </si>
  <si>
    <t>Loans 1 (only the proceeds from loans)</t>
  </si>
  <si>
    <t>LT2</t>
  </si>
  <si>
    <t>Loans 2 (only the proceeds from loans)</t>
  </si>
  <si>
    <t>LT3</t>
  </si>
  <si>
    <t>Loans 3 (only the proceeds from loans)</t>
  </si>
  <si>
    <t>FIN</t>
  </si>
  <si>
    <t>Finance Leases (only the proceeds)</t>
  </si>
  <si>
    <t>Payroll Accrual:</t>
  </si>
  <si>
    <t>Accrual %</t>
  </si>
  <si>
    <t>Payment Frequency (Months)</t>
  </si>
  <si>
    <t>First Payment Month</t>
  </si>
  <si>
    <t>Current Or Subsequent</t>
  </si>
  <si>
    <t>Subsequent</t>
  </si>
  <si>
    <t>Sales Tax</t>
  </si>
  <si>
    <t>Rates</t>
  </si>
  <si>
    <t>Standard</t>
  </si>
  <si>
    <t>Secondary</t>
  </si>
  <si>
    <t>Zero Rated</t>
  </si>
  <si>
    <t>Exempt</t>
  </si>
  <si>
    <t>Income Tax</t>
  </si>
  <si>
    <t>Assessed Loss Carried Over</t>
  </si>
  <si>
    <t>Current</t>
  </si>
  <si>
    <t>Projected loan repayments and interest are calculated based on the below terms (each on a separate sheet).</t>
  </si>
  <si>
    <t>Loans 1</t>
  </si>
  <si>
    <t>Loans 2</t>
  </si>
  <si>
    <t>Loans 3</t>
  </si>
  <si>
    <t>Leases</t>
  </si>
  <si>
    <t>Repayment Term (in years)</t>
  </si>
  <si>
    <t>The below section can be used to include balance sheet opening balances for existing businesses.</t>
  </si>
  <si>
    <t>Balance Sheet Opening Balances</t>
  </si>
  <si>
    <t>Cash Flow Projections - Repayment Schedule - Loans 1</t>
  </si>
  <si>
    <t>Cash Flow Projections - Repayment Schedule - Loans 2</t>
  </si>
  <si>
    <t>Cash Flow Projections - Repayment Schedule - Loans 3</t>
  </si>
  <si>
    <t>Cash Flow Projections - Repayment Schedule - Finance Leases</t>
  </si>
  <si>
    <t>Proceeds from loans 1</t>
  </si>
  <si>
    <t>Proceeds from loans 2</t>
  </si>
  <si>
    <t>Proceeds from loans 3</t>
  </si>
  <si>
    <t>Proceeds from finance leases</t>
  </si>
  <si>
    <t>Repayment of loans 1</t>
  </si>
  <si>
    <t>Repayment of loans 2</t>
  </si>
  <si>
    <t>Repayment of loans 3</t>
  </si>
  <si>
    <t>Repayment of finance leases</t>
  </si>
  <si>
    <t>Intangible Assets</t>
  </si>
  <si>
    <t>Investments</t>
  </si>
  <si>
    <t>Trade Receivables</t>
  </si>
  <si>
    <t>Cash &amp; Cash Equivalents</t>
  </si>
  <si>
    <t>Long Term Loans 1</t>
  </si>
  <si>
    <t>Long Term Loans 2</t>
  </si>
  <si>
    <t>Long Term Loans 3</t>
  </si>
  <si>
    <t>Finance Leases</t>
  </si>
  <si>
    <t>Bank Overdraft</t>
  </si>
  <si>
    <t>Trade Payables</t>
  </si>
  <si>
    <t>Payroll Accruals</t>
  </si>
  <si>
    <t>Accruals</t>
  </si>
  <si>
    <t>Provision For Taxation</t>
  </si>
  <si>
    <t>STC</t>
  </si>
  <si>
    <t>DEB</t>
  </si>
  <si>
    <t>CSH</t>
  </si>
  <si>
    <t>EAR</t>
  </si>
  <si>
    <t>OVD</t>
  </si>
  <si>
    <t>CRE</t>
  </si>
  <si>
    <t>VAT</t>
  </si>
  <si>
    <t>ASSETS</t>
  </si>
  <si>
    <t>Non-Current Assets</t>
  </si>
  <si>
    <t>Total Assets</t>
  </si>
  <si>
    <t>EQUITY &amp; LIABILITIES</t>
  </si>
  <si>
    <t>Equity</t>
  </si>
  <si>
    <t>Non-Current Liabilities</t>
  </si>
  <si>
    <t>Total Equity &amp; Liabilities</t>
  </si>
  <si>
    <t>Workings (Not Printed):</t>
  </si>
  <si>
    <t>Sales Tax:</t>
  </si>
  <si>
    <t>Payment Month?</t>
  </si>
  <si>
    <t>Month Index</t>
  </si>
  <si>
    <t>Income Tax:</t>
  </si>
  <si>
    <t>Annual COS</t>
  </si>
  <si>
    <t>Annual Turnover (Inclusive)</t>
  </si>
  <si>
    <t>Annual Payables (Inclusive)</t>
  </si>
  <si>
    <t>Annual Output Total</t>
  </si>
  <si>
    <t>Annual Input Total</t>
  </si>
  <si>
    <t>Annual Total</t>
  </si>
  <si>
    <t>Days in year</t>
  </si>
  <si>
    <t>Other Income</t>
  </si>
  <si>
    <t>DIV</t>
  </si>
  <si>
    <t>Dividends</t>
  </si>
  <si>
    <t>Retained earnings for the year</t>
  </si>
  <si>
    <t>Dividend %</t>
  </si>
  <si>
    <t>Next</t>
  </si>
  <si>
    <t>Dividends paid</t>
  </si>
  <si>
    <t>Dividends Payable</t>
  </si>
  <si>
    <t>Dividends:</t>
  </si>
  <si>
    <t>Expense Month?</t>
  </si>
  <si>
    <t>Monthly Dividend Value</t>
  </si>
  <si>
    <t>Dividend Expense</t>
  </si>
  <si>
    <t>Dividend Accrual</t>
  </si>
  <si>
    <t>Example (Pty) Limited</t>
  </si>
  <si>
    <t>Additional Loans</t>
  </si>
  <si>
    <t>Interest Charges</t>
  </si>
  <si>
    <t>This template enables users to prepare annual cash flow projections for any user defined five year period. The template includes an annual income statement, cash flow statement and balance sheet. The cash flow projections are based on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annual reporting periods are based on any user defined start date.</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</si>
  <si>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</si>
  <si>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Setup</t>
  </si>
  <si>
    <t>Business Name &amp; Reporting Periods</t>
  </si>
  <si>
    <t>User Input</t>
  </si>
  <si>
    <t>Turnover &amp; Gross Profits</t>
  </si>
  <si>
    <t>The year 2 to 5 turnover amounts are calculated based on the totals for the first year and adjusted by the annual turnover growth rates that are specified on the Assumptions sheet. Gross profit percentages for each turnover line need to be entered on the IncState sheet. Gross profit values and cost of sales totals are calculated automatically.</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</si>
  <si>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</si>
  <si>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</si>
  <si>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</si>
  <si>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The year 2 to 5 totals for other income are calculated by applying the annual turnover growth percentages on the Assumptions sheet to the previous year's total.</t>
  </si>
  <si>
    <t>The year 2 to 5 totals for operating expenses are calculated by applying the annual expense inflation percentages on the Assumptions sheet to the previous year's total.</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</si>
  <si>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</si>
  <si>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The year 2 to 5 totals for staff costs are calculated by applying the annual expense inflation percentages on the Assumptions sheet to the previous year's total.</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</si>
  <si>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</si>
  <si>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</si>
  <si>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</si>
  <si>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</si>
  <si>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</si>
  <si>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</si>
  <si>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</si>
  <si>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</si>
  <si>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</si>
  <si>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</si>
  <si>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</si>
  <si>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</si>
  <si>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</si>
  <si>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All the calculations on the balance sheet are automated and no user input is therefore required.</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</si>
  <si>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</si>
  <si>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</si>
  <si>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</si>
  <si>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</si>
  <si>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</si>
  <si>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Current Assets - Inventory</t>
  </si>
  <si>
    <t>Note: If your business does not carry inventory, you can simply enter a nil value in the inventory days assumption on the Assumptions sheet. The inventory line on the balance sheet will then also contain nil values.</t>
  </si>
  <si>
    <t>Current Assets - Trade Receivables</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</si>
  <si>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</si>
  <si>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</si>
  <si>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</si>
  <si>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</si>
  <si>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Current Assets - Loans &amp; Advances, Other Receivables</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</si>
  <si>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</si>
  <si>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</si>
  <si>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</si>
  <si>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</si>
  <si>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</si>
  <si>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</si>
  <si>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</si>
  <si>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</si>
  <si>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</si>
  <si>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Current Liabilities - Bank Overdraft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</si>
  <si>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</si>
  <si>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</si>
  <si>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</si>
  <si>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</si>
  <si>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</si>
  <si>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</si>
  <si>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</si>
  <si>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</si>
  <si>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</si>
  <si>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</si>
  <si>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</si>
  <si>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</si>
  <si>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</si>
  <si>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</si>
  <si>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</si>
  <si>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</si>
  <si>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</si>
  <si>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</si>
  <si>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</si>
  <si>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</si>
  <si>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</si>
  <si>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</si>
  <si>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</si>
  <si>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</si>
  <si>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</si>
  <si>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</si>
  <si>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</si>
  <si>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</si>
  <si>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</si>
  <si>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</si>
  <si>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</si>
  <si>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</si>
  <si>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</si>
  <si>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</si>
  <si>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</si>
  <si>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</si>
  <si>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</si>
  <si>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</si>
  <si>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</si>
  <si>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</si>
  <si>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</si>
  <si>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</si>
  <si>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</si>
  <si>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</si>
  <si>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</si>
  <si>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</si>
  <si>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Balance Sheet Errors</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</si>
  <si>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</si>
  <si>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</si>
  <si>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</si>
  <si>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Loan Amortization Tables (Loans1 to Loans3 &amp; Leases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</si>
  <si>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</si>
  <si>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The business name and the start date for the cash flow projections need to be entered at the top of the Assumptions sheet. The business name is included as a heading on all the sheets and the reporting periods which are included in the template are determined based on the start date that is specified. This date is used as the first annual period and the 4 subsequent annual periods are added to form the 5 year projection period.</t>
  </si>
  <si>
    <t>All annual income statement projections need to be entered exclusive of any sales tax that may be applicable.</t>
  </si>
  <si>
    <t>Annual turnover values need to be entered on the IncState sheet in column C for the first year. The projected annual gross profit percentages also need to be entered in column C on this sheet and are used in order to calculate the gross profit values. The annual cost of sales projections are calculated by simply deducting the gross profit values from the annual turnover values.</t>
  </si>
  <si>
    <t>The income statement only requires user input in column C where there is yellow highlighting in column A. The year 2 to 5 calculations are automated (except for gross profit percentages) and based on the user input on the Assumptions sheet. Rows without yellow highlighting are automatically calculated. The cash flow statement and balance sheet requires no user input and all calculations are automated.</t>
  </si>
  <si>
    <t>If you want to include variable annual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</si>
  <si>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Where sales tax is applicable, the appropriate sales tax value relating to annual turnover will be added to the trade receivables balance. Sales tax codes are defined on the Assumptions sheet and the codes in column A next to the turnover amounts on the income statement are used to determine the appropriate rate of sales tax to be used.</t>
  </si>
  <si>
    <t>If you want to include variable annual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</si>
  <si>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The bank overdraft as well as cash &amp; cash equivalents are based on the closing cash balances which are calculated on the cash flow statement. If the appropriate annual closing balance is negative, the balance is included as a bank overdraft and if it is positive, it is included as cash under current assets on the balance sheet.</t>
  </si>
  <si>
    <t>Where sales tax is applicable, the appropriate sales tax value relating to annual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</si>
  <si>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If you want to include variable annual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</si>
  <si>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annual sales tax payment periods, the frequency should be 1 and the first payment month should also be 1.</t>
  </si>
  <si>
    <t>If you want to include payroll accruals based on variable annual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</si>
  <si>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All the annual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year 2 to 5 columns from one of the existing line items.</t>
  </si>
  <si>
    <t>The annual staff cost projections for the first year need to be entered in column C of the staff costs section of the income statement. The template contains 2 default staff cost line items but you can add as many additional items as required or delete the line items that you do not need.</t>
  </si>
  <si>
    <t>Annual projections for depreciation and amortization charges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</si>
  <si>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The annual depreciation &amp; amortization charges for the first year need to be included on the IncState sheet and the totals for year 2 to 5 need to be included on the Assumptions sheet.</t>
  </si>
  <si>
    <t>Opening loan balances are based on the balance sheet opening balances section on the Assumptions sheet and additional loan amounts can be entered in the first balance sheet section on the Assumptions sheet.</t>
  </si>
  <si>
    <t>The template provides for four sets of loan repayment terms - the same amortization table can basically be used for all loans with the same repayment terms by adding additional loan amounts as proceeds to the Assumptions sheet in order to add new loans to the appropriate amortization table.</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</si>
  <si>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Assumptions sheet and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</si>
  <si>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property, plant &amp; equipment balances on the balance sheet are calculated by adding the purchases of property, plant &amp; equipment (entered on the Assumptions sheet in the first balance sheet assumptions section) and then deducting the appropriate depreciation charges that are included on the income statement.</t>
  </si>
  <si>
    <t>Intangible assets balances are calculated in much the same way by adding the purchases of intangible assets (also entered on the Assumptions sheet in the first balance sheet assumptions section) and deducting the appropriate amortization charges as per the income statement. The calculation of the investments balances on the balance sheet is a bit simpler in that only the purchases of new investments (entered on the Assumptions sheet in the first balance sheet assumptions section) are added to the previous period's balance and there is no depreciation or amortization on investments.</t>
  </si>
  <si>
    <t>Note: Purchases of property, plant &amp; equipment, intangible assets and investments all need to be entered as negative values on the Assumptions sheet in the first balance sheet assumptions section.</t>
  </si>
  <si>
    <t>The inventory balances on the balance sheet are calculated based on the inventory days assumption which is specified on the Assumptions sheet. The annual cost of sales is divided by the number of days in the financial year and multiplied by the inventory days assumption in order to calculate the inventory balance at the end of the year.</t>
  </si>
  <si>
    <t>The trade receivables balances on the balance sheet are calculated based on the debtors days assumption which is specified on the Assumptions sheet. The debtors days number can be determined based on the average trading terms which has been negotiated with customers. The annual turnover as per the income statement is divided by the number of days in the financial year and multiplied by the debtors days assumption in order to calculate the trade receivables balance at the end of the year.</t>
  </si>
  <si>
    <t>The loans and advances &amp; other receivables balances cannot be calculated by basing them on specific income statement items and they are therefore calculated by adding the movements in these balances (entered on the Assumptions sheet in the first balance sheet assumptions section) to the balances of the previous month. If you therefore want to increase or decrease these balances, you need to add the amount of the increase or decrease to the line with a matching description on the Assumptions sheet.</t>
  </si>
  <si>
    <t>Note: Movements in loans &amp; advances and other receivables need to be entered as negative values on the Assumptions sheet in order to increase the balance sheet balances.</t>
  </si>
  <si>
    <t>The shareholders contributions &amp; reserves balances cannot be calculated by basing them on income statement items and they are therefore calculated by adding the movements in these balances (entered on the Assumptions sheet in the first balance sheet assumptions section) to the balances of the previous month. If you therefore want to increase or decrease these balances, you need to add the amount of the increase or decrease to the line with a matching description on the Assumptions sheet.</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</si>
  <si>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 Additional loan amounts can be entered in the proceeds from loans lines in the first balance sheet assumptions section on the Assumptions sheet.</t>
  </si>
  <si>
    <t>The annual cost of sales, operating expenses and staff costs on the income statement are added together in order to determine an annual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</si>
  <si>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Like the calculation of inventory and trade receivables balances, the trade payables balances on the balance sheet are calculated by dividing the appropriate annual cost of sales &amp; expense total by the number of days in the financial year and multiplying the resulting value by the creditors days value.</t>
  </si>
  <si>
    <t>V4C0</t>
  </si>
  <si>
    <t>You also need to specify the appropriate percentage of staff costs which needs to be included in your payroll accruals. This percentage should be based on the percentage of staff costs which are paid in a subsequent month and is based on the current year's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</si>
  <si>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period and the payroll accrual balance at the end of the payment month will be nil.</t>
  </si>
  <si>
    <t>The other accrual &amp; other provisions balances cannot be calculated by basing them on specific income statement items and they are therefore calculated by adding the movements in these balances (entered on the Assumptions sheet in the first balance sheet assumptions section) to the balances of the previous period. If you therefore want to increase or decrease these balances, you need to add the amount of the increase or decrease to the line with a matching description on the Assumptions sheet.</t>
  </si>
  <si>
    <t>The profit before tax amount is multiplied by the income tax percentage on the Assumptions sheet in order to calculate the annual income tax value. If there is a loss before tax on the income statement, no income tax will be calculated but if there were profits before the period with the loss, the income tax that was calculated in previous periods will be reversed in the period with the loss.</t>
  </si>
  <si>
    <t>The annual provision for income tax balances are calculated by calculating the income tax amount for the appropriate year, dividing it by 12 and multiplying the value by the number of months which needs to be included in the provision. This is determined based on the year-end period and the income tax assumptions on the Assumptions sheet.</t>
  </si>
  <si>
    <t>The annual dividend payable balances are calculated based on the profit for the year, the dividend percentage and the payment status of Cash, Next or Subsequent.</t>
  </si>
  <si>
    <t>The loan repayments, interest charged and capital repayments are calculated based on the outstanding balances at the beginning of each period. The outstanding loan or lease balances at the end of the appropriate annual period are then included in the appropriate lines on the balance sheet.</t>
  </si>
  <si>
    <t>If the balance sheet for any annual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</si>
  <si>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The cash flow statement requires no user input. All the calculations on the cash flow statement are based on the balance sheet calculations and the user input on the Assumptions sheet.</t>
  </si>
  <si>
    <t>If you need more guidance on any item on the cash flow statement, refer to the appropriate section for the particular item under the Balance Sheet section of these instructions.</t>
  </si>
  <si>
    <t>The template makes provision for including loans with up to four different sets of repayment terms in the cash flow projections. The amortization tables that are used to calculate the interest charges, loan repayments and outstanding balances have been included on the Loans1, Loans2, Loans3 and Leases sheets. No user input is required on any of these sheets.</t>
  </si>
  <si>
    <t>You also need to specify the payment frequency in months and the first payment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</si>
  <si>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sales tax balances at year-end are calculated by calculating the total sales tax for the appropriate year, dividing it by twelve and then multiplying the value by the number of months that are included in the sales tax balance at the end of the year.</t>
  </si>
  <si>
    <t>Example: If you need to settle income tax liabilities every six months and the income tax payments are due in February and August of each year, a frequency of 6 needs to be specified and the first calendar month should be set to 2 for February. If you settle income tax liabilities at the end of each quarter with payments due in March, June, September and December, the frequency should be set to 3 and the first payment month should also be set to 3.</t>
  </si>
  <si>
    <r>
      <t xml:space="preserve">Assumptions - </t>
    </r>
    <r>
      <rPr>
        <sz val="10"/>
        <rFont val="Arial"/>
        <family val="2"/>
      </rPr>
      <t>this sheet includes the default assumptions on which the annual cash flow projections are based.</t>
    </r>
  </si>
  <si>
    <r>
      <t xml:space="preserve">CashFlow - </t>
    </r>
    <r>
      <rPr>
        <sz val="10"/>
        <rFont val="Arial"/>
        <family val="2"/>
      </rPr>
      <t>the annual cash flow statement is automatically calculated and requires no user input.</t>
    </r>
  </si>
  <si>
    <r>
      <t>BalanceSheet</t>
    </r>
    <r>
      <rPr>
        <sz val="10"/>
        <rFont val="Arial"/>
        <family val="2"/>
      </rPr>
      <t xml:space="preserve"> - all balance sheet calculations are based on the template assumptions and the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</si>
  <si>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interest charges and capital repayment amounts that are included on the income statement and cash flow statement. Each sheet provides for a different set of loan repayment terms to be specified.</t>
    </r>
  </si>
  <si>
    <r>
      <t xml:space="preserve">IncState - </t>
    </r>
    <r>
      <rPr>
        <sz val="10"/>
        <rFont val="Arial"/>
        <family val="2"/>
      </rPr>
      <t>this sheet includes a detailed annual income statement for 5 annual periods. All the rows with yellow highlighting in column A require user input in column C and the codes in column A are used in the sales tax, receivables &amp; payables calculations. The rows that do not contain yellow highlighting in column A contain formulas and are therefore calculated automatically.</t>
    </r>
  </si>
  <si>
    <t>Annual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</si>
  <si>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</si>
  <si>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</si>
  <si>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in order to include the dividend on the income statement in the last month of the financial year and the payment in the first month of the next financial year. A dividend payable amount will automatically be included on the balance sheet.</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</si>
  <si>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</si>
  <si>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payment calculation. If you have the same period settings and select the Subsequent option, the payroll accruals will always include the current month's payroll accrual because the payment amount will be based on the previous month's payroll accrual.</t>
  </si>
  <si>
    <t>The annual payroll accrual balances are calculated by multiplying the year's staff costs by the payroll accrual percentage, dividing the result by 12 and multiplying it by the number of months which should be included in the payroll accrual at year-end.</t>
  </si>
  <si>
    <t>Note: The number of months which needs to be included in the provision for income tax at year-end is determined on a rolling basis which means that the difference between the year-end month and the previous payment date is always calculated. When you have a 12 month payment period and the payment month is subsequent to the year-end, this method of calculation may not have the desired effect because the full 12 months may not be included in the provision for income tax. You need to specify the first month after year-end as the first payment month which will result in the full 12 months being included in the provision.</t>
  </si>
  <si>
    <t>Example: If income tax payments are made every 12 months and the payment month is 6 months after the year-end period, the calculations will only include income tax charges for 6 months in the provision because only 6 months have elapsed since the previous payment date. Say you have a year-end of February and income tax payments are made in August (6 months after year-end). For the purpose of this template, you will need to include a first payment month of 3 (March) and select the subsequent option to ensure that income tax for the full 12 months are included in the provision. If you don't include the first month after year-end (March) as the first payment month, the income tax provision will only include 6 months being the period since the last payment date (August) and the provision for income tax will only include the period from September to February.</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</si>
  <si>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</si>
  <si>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</si>
  <si>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</si>
  <si>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Note: Our website also includes a Monthly Cash Flow template and a Forecast vs Actual Cash Flow template which enable users to compile a 36 month cash flow forecast and to compare the forecasted balances to actual account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</si>
</sst>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_(* #,##0.0_);_(* \(#,##0.0\);_(* &quot;-&quot;??_);_(@_)"/>
    <numFmt numFmtId="167" formatCode="mmm/yyyy"/>
    <numFmt numFmtId="168" formatCode="_ * #,##0_ ;_ * \-#,##0_ ;_ * &quot;-&quot;??_ ;_ @_ "/>
  </numFmts>
  <fonts count="33" x14ac:knownFonts="1">
    <font>
      <sz val="10"/>
      <name val="Century Gothic"/>
      <family val="2"/>
      <scheme val="minor"/>
    </font>
    <font>
      <sz val="10"/>
      <name val="Arial"/>
      <family val="2"/>
    </font>
    <font>
      <u/>
      <sz val="10"/>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i/>
      <sz val="10"/>
      <color indexed="9"/>
      <name val="Century Gothic"/>
      <family val="2"/>
      <scheme val="minor"/>
    </font>
    <font>
      <sz val="10"/>
      <color rgb="FFFF0000"/>
      <name val="Century Gothic"/>
      <family val="2"/>
      <scheme val="minor"/>
    </font>
    <font>
      <sz val="10"/>
      <color theme="0"/>
      <name val="Century Gothic"/>
      <family val="2"/>
      <scheme val="minor"/>
    </font>
    <font>
      <b/>
      <i/>
      <sz val="10"/>
      <color indexed="8"/>
      <name val="Century Gothic"/>
      <family val="2"/>
      <scheme val="minor"/>
    </font>
    <font>
      <sz val="10"/>
      <color indexed="12"/>
      <name val="Century Gothic"/>
      <family val="2"/>
      <scheme val="minor"/>
    </font>
    <font>
      <b/>
      <sz val="10"/>
      <color theme="0"/>
      <name val="Century Gothic"/>
      <family val="2"/>
      <scheme val="minor"/>
    </font>
    <font>
      <sz val="10"/>
      <color indexed="8"/>
      <name val="Century Gothic"/>
      <family val="2"/>
      <scheme val="minor"/>
    </font>
    <font>
      <i/>
      <sz val="10"/>
      <color indexed="8"/>
      <name val="Century Gothic"/>
      <family val="2"/>
      <scheme val="minor"/>
    </font>
    <font>
      <b/>
      <sz val="12"/>
      <color indexed="8"/>
      <name val="Century Gothic"/>
      <family val="2"/>
      <scheme val="minor"/>
    </font>
    <font>
      <sz val="9"/>
      <color rgb="FF00B050"/>
      <name val="Century Gothic"/>
      <family val="2"/>
      <scheme val="minor"/>
    </font>
    <font>
      <sz val="9"/>
      <color rgb="FFFF0000"/>
      <name val="Century Gothic"/>
      <family val="2"/>
      <scheme val="minor"/>
    </font>
    <font>
      <b/>
      <sz val="9"/>
      <color rgb="FF00B050"/>
      <name val="Century Gothic"/>
      <family val="2"/>
      <scheme val="minor"/>
    </font>
    <font>
      <i/>
      <sz val="9"/>
      <color rgb="FF00B050"/>
      <name val="Century Gothic"/>
      <family val="2"/>
      <scheme val="minor"/>
    </font>
    <font>
      <b/>
      <i/>
      <sz val="9"/>
      <color rgb="FF00B050"/>
      <name val="Century Gothic"/>
      <family val="2"/>
      <scheme val="minor"/>
    </font>
    <font>
      <i/>
      <sz val="9"/>
      <name val="Century Gothic"/>
      <family val="2"/>
      <scheme val="minor"/>
    </font>
    <font>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00206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57">
    <xf numFmtId="0" fontId="0" fillId="0" borderId="0" xfId="0"/>
    <xf numFmtId="0" fontId="4" fillId="0" borderId="0" xfId="0" applyFont="1"/>
    <xf numFmtId="0" fontId="6" fillId="0" borderId="0" xfId="0" applyFont="1" applyAlignment="1" applyProtection="1">
      <alignment wrapText="1"/>
      <protection hidden="1"/>
    </xf>
    <xf numFmtId="0" fontId="5" fillId="0" borderId="0" xfId="0" applyNumberFormat="1" applyFont="1" applyProtection="1">
      <protection hidden="1"/>
    </xf>
    <xf numFmtId="0" fontId="5" fillId="0" borderId="0" xfId="1" applyNumberFormat="1" applyFont="1" applyProtection="1">
      <protection hidden="1"/>
    </xf>
    <xf numFmtId="0" fontId="6" fillId="0" borderId="0" xfId="1" applyNumberFormat="1" applyFont="1" applyProtection="1">
      <protection hidden="1"/>
    </xf>
    <xf numFmtId="0" fontId="6" fillId="0" borderId="0" xfId="0" applyNumberFormat="1" applyFont="1" applyProtection="1">
      <protection hidden="1"/>
    </xf>
    <xf numFmtId="0" fontId="7" fillId="0" borderId="0" xfId="0" applyNumberFormat="1" applyFont="1" applyProtection="1">
      <protection hidden="1"/>
    </xf>
    <xf numFmtId="0" fontId="11" fillId="0" borderId="0" xfId="0" applyNumberFormat="1" applyFont="1" applyProtection="1">
      <protection hidden="1"/>
    </xf>
    <xf numFmtId="0" fontId="5" fillId="0" borderId="0" xfId="0" applyFont="1" applyProtection="1">
      <protection hidden="1"/>
    </xf>
    <xf numFmtId="14" fontId="6" fillId="2" borderId="11" xfId="1" applyNumberFormat="1" applyFont="1" applyFill="1" applyBorder="1" applyAlignment="1" applyProtection="1">
      <alignment horizontal="center"/>
      <protection hidden="1"/>
    </xf>
    <xf numFmtId="0" fontId="6" fillId="0" borderId="0" xfId="1" applyNumberFormat="1" applyFont="1" applyFill="1" applyBorder="1" applyAlignment="1" applyProtection="1">
      <alignment horizontal="left"/>
      <protection hidden="1"/>
    </xf>
    <xf numFmtId="0" fontId="6" fillId="0" borderId="0" xfId="0" applyFont="1" applyProtection="1">
      <protection hidden="1"/>
    </xf>
    <xf numFmtId="43" fontId="5" fillId="0" borderId="0" xfId="1" applyFont="1" applyAlignment="1" applyProtection="1">
      <alignment horizontal="center"/>
      <protection hidden="1"/>
    </xf>
    <xf numFmtId="43" fontId="5" fillId="0" borderId="0" xfId="1" applyFont="1" applyProtection="1">
      <protection hidden="1"/>
    </xf>
    <xf numFmtId="165" fontId="7" fillId="0" borderId="0" xfId="1" applyNumberFormat="1" applyFont="1" applyAlignment="1" applyProtection="1">
      <alignment horizontal="center"/>
      <protection hidden="1"/>
    </xf>
    <xf numFmtId="43" fontId="7" fillId="0" borderId="0" xfId="1" applyFont="1" applyAlignment="1" applyProtection="1">
      <alignment horizontal="center"/>
      <protection hidden="1"/>
    </xf>
    <xf numFmtId="165" fontId="6" fillId="0" borderId="0" xfId="1" applyNumberFormat="1" applyFont="1" applyProtection="1">
      <protection hidden="1"/>
    </xf>
    <xf numFmtId="164" fontId="6" fillId="4" borderId="1" xfId="3" applyNumberFormat="1" applyFont="1" applyFill="1" applyBorder="1" applyAlignment="1" applyProtection="1">
      <alignment horizontal="center"/>
      <protection hidden="1"/>
    </xf>
    <xf numFmtId="165" fontId="5" fillId="0" borderId="0" xfId="1" applyNumberFormat="1" applyFont="1" applyProtection="1">
      <protection hidden="1"/>
    </xf>
    <xf numFmtId="165" fontId="6" fillId="0" borderId="0" xfId="1" applyNumberFormat="1" applyFont="1" applyFill="1" applyBorder="1" applyProtection="1">
      <protection hidden="1"/>
    </xf>
    <xf numFmtId="43" fontId="6" fillId="0" borderId="0" xfId="1" applyFont="1" applyProtection="1">
      <protection hidden="1"/>
    </xf>
    <xf numFmtId="165" fontId="6" fillId="4" borderId="1" xfId="1" applyNumberFormat="1" applyFont="1" applyFill="1" applyBorder="1" applyAlignment="1" applyProtection="1">
      <alignment horizontal="center"/>
      <protection hidden="1"/>
    </xf>
    <xf numFmtId="165" fontId="6" fillId="0" borderId="0" xfId="1" applyNumberFormat="1" applyFont="1" applyFill="1" applyBorder="1" applyAlignment="1" applyProtection="1">
      <alignment horizontal="center"/>
      <protection hidden="1"/>
    </xf>
    <xf numFmtId="165" fontId="7" fillId="0" borderId="0" xfId="1" applyNumberFormat="1" applyFont="1" applyFill="1" applyBorder="1" applyAlignment="1" applyProtection="1">
      <alignment horizontal="center"/>
      <protection hidden="1"/>
    </xf>
    <xf numFmtId="0" fontId="12" fillId="0" borderId="0" xfId="0" applyFont="1" applyProtection="1">
      <protection hidden="1"/>
    </xf>
    <xf numFmtId="0" fontId="7" fillId="0" borderId="0" xfId="0" applyFont="1" applyProtection="1">
      <protection hidden="1"/>
    </xf>
    <xf numFmtId="3" fontId="6" fillId="2" borderId="1" xfId="1" applyNumberFormat="1" applyFont="1" applyFill="1" applyBorder="1" applyAlignment="1" applyProtection="1">
      <alignment horizontal="center"/>
      <protection hidden="1"/>
    </xf>
    <xf numFmtId="164" fontId="6" fillId="2" borderId="1" xfId="3" applyNumberFormat="1" applyFont="1" applyFill="1" applyBorder="1" applyAlignment="1" applyProtection="1">
      <alignment horizontal="center"/>
      <protection hidden="1"/>
    </xf>
    <xf numFmtId="0" fontId="13" fillId="0" borderId="0" xfId="1" applyNumberFormat="1" applyFont="1" applyAlignment="1" applyProtection="1">
      <alignment horizontal="center"/>
      <protection hidden="1"/>
    </xf>
    <xf numFmtId="0" fontId="6" fillId="4" borderId="1" xfId="0" applyNumberFormat="1" applyFont="1" applyFill="1" applyBorder="1" applyProtection="1">
      <protection hidden="1"/>
    </xf>
    <xf numFmtId="0" fontId="6" fillId="0" borderId="0" xfId="0" applyNumberFormat="1" applyFont="1" applyFill="1" applyBorder="1" applyProtection="1">
      <protection hidden="1"/>
    </xf>
    <xf numFmtId="10" fontId="6" fillId="2" borderId="1" xfId="3" applyNumberFormat="1" applyFont="1" applyFill="1" applyBorder="1" applyProtection="1">
      <protection hidden="1"/>
    </xf>
    <xf numFmtId="166" fontId="6" fillId="2" borderId="1" xfId="1" applyNumberFormat="1" applyFont="1" applyFill="1" applyBorder="1" applyProtection="1">
      <protection hidden="1"/>
    </xf>
    <xf numFmtId="165" fontId="6" fillId="2" borderId="1" xfId="1" applyNumberFormat="1" applyFont="1" applyFill="1" applyBorder="1" applyAlignment="1" applyProtection="1">
      <alignment horizontal="right"/>
      <protection hidden="1"/>
    </xf>
    <xf numFmtId="0" fontId="7" fillId="0" borderId="0" xfId="0" applyNumberFormat="1" applyFont="1" applyFill="1" applyBorder="1" applyProtection="1">
      <protection hidden="1"/>
    </xf>
    <xf numFmtId="165" fontId="6" fillId="2" borderId="1" xfId="1" applyNumberFormat="1" applyFont="1" applyFill="1" applyBorder="1" applyProtection="1">
      <protection hidden="1"/>
    </xf>
    <xf numFmtId="165" fontId="7" fillId="0" borderId="0" xfId="1" applyNumberFormat="1" applyFont="1" applyFill="1" applyBorder="1" applyProtection="1">
      <protection hidden="1"/>
    </xf>
    <xf numFmtId="0" fontId="6" fillId="0" borderId="0" xfId="0" applyFont="1" applyFill="1" applyBorder="1" applyProtection="1">
      <protection hidden="1"/>
    </xf>
    <xf numFmtId="165" fontId="8" fillId="0" borderId="0" xfId="2" applyNumberFormat="1" applyFont="1" applyAlignment="1" applyProtection="1">
      <alignment horizontal="right"/>
      <protection hidden="1"/>
    </xf>
    <xf numFmtId="167" fontId="6" fillId="3" borderId="1" xfId="0" applyNumberFormat="1" applyFont="1" applyFill="1" applyBorder="1" applyAlignment="1" applyProtection="1">
      <alignment vertical="center" wrapText="1"/>
      <protection hidden="1"/>
    </xf>
    <xf numFmtId="167" fontId="5" fillId="4" borderId="1" xfId="1" applyNumberFormat="1" applyFont="1" applyFill="1" applyBorder="1" applyAlignment="1" applyProtection="1">
      <alignment horizontal="center" vertical="center" wrapText="1"/>
      <protection hidden="1"/>
    </xf>
    <xf numFmtId="167" fontId="5" fillId="3" borderId="1" xfId="1" applyNumberFormat="1" applyFont="1" applyFill="1" applyBorder="1" applyAlignment="1" applyProtection="1">
      <alignment horizontal="center" vertical="center" wrapText="1"/>
      <protection hidden="1"/>
    </xf>
    <xf numFmtId="167" fontId="6" fillId="0" borderId="0" xfId="0" applyNumberFormat="1" applyFont="1" applyAlignment="1" applyProtection="1">
      <alignment vertical="center" wrapText="1"/>
      <protection hidden="1"/>
    </xf>
    <xf numFmtId="0" fontId="6" fillId="0" borderId="0" xfId="1" applyNumberFormat="1" applyFont="1" applyBorder="1" applyProtection="1">
      <protection hidden="1"/>
    </xf>
    <xf numFmtId="165" fontId="6" fillId="0" borderId="2" xfId="1" applyNumberFormat="1" applyFont="1" applyFill="1" applyBorder="1" applyProtection="1">
      <protection hidden="1"/>
    </xf>
    <xf numFmtId="165" fontId="6" fillId="0" borderId="2" xfId="1" applyNumberFormat="1" applyFont="1" applyBorder="1" applyProtection="1">
      <protection hidden="1"/>
    </xf>
    <xf numFmtId="165" fontId="6" fillId="0" borderId="3" xfId="1" applyNumberFormat="1" applyFont="1" applyFill="1" applyBorder="1" applyProtection="1">
      <protection hidden="1"/>
    </xf>
    <xf numFmtId="165" fontId="6" fillId="0" borderId="3" xfId="1" applyNumberFormat="1" applyFont="1" applyBorder="1" applyProtection="1">
      <protection hidden="1"/>
    </xf>
    <xf numFmtId="0" fontId="5" fillId="0" borderId="0" xfId="1" applyNumberFormat="1" applyFont="1" applyBorder="1" applyProtection="1">
      <protection hidden="1"/>
    </xf>
    <xf numFmtId="165" fontId="5" fillId="0" borderId="13" xfId="1" applyNumberFormat="1" applyFont="1" applyFill="1" applyBorder="1" applyProtection="1">
      <protection hidden="1"/>
    </xf>
    <xf numFmtId="165" fontId="5" fillId="0" borderId="13" xfId="1" applyNumberFormat="1" applyFont="1" applyBorder="1" applyProtection="1">
      <protection hidden="1"/>
    </xf>
    <xf numFmtId="164" fontId="7" fillId="0" borderId="0" xfId="3" applyNumberFormat="1" applyFont="1" applyProtection="1">
      <protection hidden="1"/>
    </xf>
    <xf numFmtId="164" fontId="6" fillId="0" borderId="3" xfId="3" applyNumberFormat="1" applyFont="1" applyBorder="1" applyProtection="1">
      <protection hidden="1"/>
    </xf>
    <xf numFmtId="164" fontId="6" fillId="0" borderId="0" xfId="3" applyNumberFormat="1" applyFont="1" applyProtection="1">
      <protection hidden="1"/>
    </xf>
    <xf numFmtId="0" fontId="14" fillId="0" borderId="0" xfId="0" applyNumberFormat="1" applyFont="1" applyBorder="1" applyProtection="1">
      <protection hidden="1"/>
    </xf>
    <xf numFmtId="164" fontId="14" fillId="0" borderId="13" xfId="3" applyNumberFormat="1" applyFont="1" applyFill="1" applyBorder="1" applyProtection="1">
      <protection hidden="1"/>
    </xf>
    <xf numFmtId="0" fontId="14" fillId="0" borderId="0" xfId="0" applyFont="1" applyBorder="1" applyProtection="1">
      <protection hidden="1"/>
    </xf>
    <xf numFmtId="165" fontId="5" fillId="0" borderId="4" xfId="1" applyNumberFormat="1" applyFont="1" applyBorder="1" applyProtection="1">
      <protection hidden="1"/>
    </xf>
    <xf numFmtId="165" fontId="5" fillId="0" borderId="3" xfId="1" applyNumberFormat="1" applyFont="1" applyBorder="1" applyProtection="1">
      <protection hidden="1"/>
    </xf>
    <xf numFmtId="164" fontId="7" fillId="0" borderId="3" xfId="3" applyNumberFormat="1" applyFont="1" applyBorder="1" applyProtection="1">
      <protection hidden="1"/>
    </xf>
    <xf numFmtId="0" fontId="6" fillId="0" borderId="7" xfId="0" applyNumberFormat="1" applyFont="1" applyBorder="1" applyProtection="1">
      <protection hidden="1"/>
    </xf>
    <xf numFmtId="165" fontId="6" fillId="0" borderId="5" xfId="1" applyNumberFormat="1" applyFont="1" applyBorder="1" applyProtection="1">
      <protection hidden="1"/>
    </xf>
    <xf numFmtId="43" fontId="7" fillId="0" borderId="0" xfId="1" applyFont="1" applyProtection="1">
      <protection hidden="1"/>
    </xf>
    <xf numFmtId="0" fontId="15" fillId="0" borderId="0" xfId="0" applyNumberFormat="1" applyFont="1" applyProtection="1">
      <protection hidden="1"/>
    </xf>
    <xf numFmtId="0" fontId="15" fillId="0" borderId="0" xfId="0" applyFont="1" applyProtection="1">
      <protection hidden="1"/>
    </xf>
    <xf numFmtId="167" fontId="6" fillId="0" borderId="0" xfId="0" applyNumberFormat="1" applyFont="1" applyProtection="1">
      <protection hidden="1"/>
    </xf>
    <xf numFmtId="0" fontId="6" fillId="0" borderId="2" xfId="0" applyFont="1" applyBorder="1" applyProtection="1">
      <protection hidden="1"/>
    </xf>
    <xf numFmtId="0" fontId="6" fillId="0" borderId="3" xfId="0" applyFont="1" applyBorder="1" applyProtection="1">
      <protection hidden="1"/>
    </xf>
    <xf numFmtId="165" fontId="7" fillId="0" borderId="2" xfId="1" applyNumberFormat="1" applyFont="1" applyBorder="1" applyProtection="1">
      <protection hidden="1"/>
    </xf>
    <xf numFmtId="165" fontId="7" fillId="0" borderId="13" xfId="1" applyNumberFormat="1" applyFont="1" applyBorder="1" applyProtection="1">
      <protection hidden="1"/>
    </xf>
    <xf numFmtId="165" fontId="5" fillId="0" borderId="6" xfId="1" applyNumberFormat="1" applyFont="1" applyBorder="1" applyProtection="1">
      <protection hidden="1"/>
    </xf>
    <xf numFmtId="0" fontId="8" fillId="0" borderId="0" xfId="2" applyFont="1" applyAlignment="1" applyProtection="1">
      <alignment horizontal="right"/>
      <protection hidden="1"/>
    </xf>
    <xf numFmtId="167" fontId="16" fillId="5" borderId="1" xfId="1" applyNumberFormat="1" applyFont="1" applyFill="1" applyBorder="1" applyAlignment="1" applyProtection="1">
      <alignment horizontal="center" vertical="center" wrapText="1"/>
      <protection hidden="1"/>
    </xf>
    <xf numFmtId="165" fontId="5" fillId="0" borderId="2" xfId="1" applyNumberFormat="1" applyFont="1" applyBorder="1" applyProtection="1">
      <protection hidden="1"/>
    </xf>
    <xf numFmtId="165" fontId="5" fillId="0" borderId="2" xfId="1" applyNumberFormat="1" applyFont="1" applyFill="1" applyBorder="1" applyProtection="1">
      <protection hidden="1"/>
    </xf>
    <xf numFmtId="165" fontId="5" fillId="0" borderId="3" xfId="1" applyNumberFormat="1" applyFont="1" applyFill="1" applyBorder="1" applyProtection="1">
      <protection hidden="1"/>
    </xf>
    <xf numFmtId="165" fontId="6" fillId="0" borderId="13" xfId="1" applyNumberFormat="1" applyFont="1" applyBorder="1" applyProtection="1">
      <protection hidden="1"/>
    </xf>
    <xf numFmtId="0" fontId="5" fillId="0" borderId="0" xfId="0" applyNumberFormat="1" applyFont="1" applyFill="1" applyBorder="1" applyProtection="1">
      <protection hidden="1"/>
    </xf>
    <xf numFmtId="165" fontId="5" fillId="0" borderId="14" xfId="1" applyNumberFormat="1" applyFont="1" applyBorder="1" applyProtection="1">
      <protection hidden="1"/>
    </xf>
    <xf numFmtId="165" fontId="17" fillId="0" borderId="3" xfId="1" applyNumberFormat="1" applyFont="1" applyBorder="1" applyProtection="1">
      <protection hidden="1"/>
    </xf>
    <xf numFmtId="0" fontId="17" fillId="0" borderId="0" xfId="0" applyFont="1" applyProtection="1">
      <protection hidden="1"/>
    </xf>
    <xf numFmtId="165" fontId="17" fillId="0" borderId="13" xfId="1" applyNumberFormat="1" applyFont="1" applyBorder="1" applyProtection="1">
      <protection hidden="1"/>
    </xf>
    <xf numFmtId="168" fontId="6" fillId="0" borderId="3" xfId="1" applyNumberFormat="1" applyFont="1" applyBorder="1" applyProtection="1">
      <protection hidden="1"/>
    </xf>
    <xf numFmtId="0" fontId="12" fillId="0" borderId="0" xfId="0" applyNumberFormat="1" applyFont="1" applyProtection="1">
      <protection hidden="1"/>
    </xf>
    <xf numFmtId="165" fontId="12" fillId="0" borderId="0" xfId="1" applyNumberFormat="1" applyFont="1" applyProtection="1">
      <protection hidden="1"/>
    </xf>
    <xf numFmtId="165" fontId="7" fillId="0" borderId="0" xfId="1" applyNumberFormat="1" applyFont="1" applyProtection="1">
      <protection hidden="1"/>
    </xf>
    <xf numFmtId="165" fontId="7" fillId="0" borderId="0" xfId="1" applyNumberFormat="1" applyFont="1" applyAlignment="1" applyProtection="1">
      <protection hidden="1"/>
    </xf>
    <xf numFmtId="0" fontId="18" fillId="0" borderId="0" xfId="0" applyNumberFormat="1" applyFont="1" applyProtection="1">
      <protection hidden="1"/>
    </xf>
    <xf numFmtId="166" fontId="18" fillId="0" borderId="0" xfId="1" applyNumberFormat="1" applyFont="1" applyProtection="1">
      <protection hidden="1"/>
    </xf>
    <xf numFmtId="0" fontId="18" fillId="0" borderId="0" xfId="0" applyFont="1" applyProtection="1">
      <protection hidden="1"/>
    </xf>
    <xf numFmtId="0" fontId="7" fillId="0" borderId="0" xfId="1" applyNumberFormat="1" applyFont="1" applyProtection="1">
      <protection hidden="1"/>
    </xf>
    <xf numFmtId="0" fontId="7" fillId="0" borderId="0" xfId="1" applyNumberFormat="1" applyFont="1" applyAlignment="1" applyProtection="1">
      <alignment horizontal="center"/>
      <protection hidden="1"/>
    </xf>
    <xf numFmtId="164" fontId="7" fillId="0" borderId="0" xfId="3" applyNumberFormat="1" applyFont="1" applyAlignment="1" applyProtection="1">
      <alignment horizontal="center"/>
      <protection hidden="1"/>
    </xf>
    <xf numFmtId="165" fontId="7" fillId="0" borderId="0" xfId="1" applyNumberFormat="1" applyFont="1" applyAlignment="1" applyProtection="1">
      <alignment horizontal="left" indent="2"/>
      <protection hidden="1"/>
    </xf>
    <xf numFmtId="0" fontId="8" fillId="0" borderId="0" xfId="2" applyNumberFormat="1" applyFont="1" applyAlignment="1" applyProtection="1">
      <alignment horizontal="right"/>
      <protection hidden="1"/>
    </xf>
    <xf numFmtId="165" fontId="6" fillId="0" borderId="0" xfId="0" applyNumberFormat="1" applyFont="1" applyProtection="1">
      <protection hidden="1"/>
    </xf>
    <xf numFmtId="0" fontId="17" fillId="0" borderId="0" xfId="0" applyNumberFormat="1" applyFont="1" applyProtection="1">
      <protection hidden="1"/>
    </xf>
    <xf numFmtId="10" fontId="6" fillId="3" borderId="1" xfId="3" applyNumberFormat="1" applyFont="1" applyFill="1" applyBorder="1" applyProtection="1">
      <protection hidden="1"/>
    </xf>
    <xf numFmtId="165" fontId="6" fillId="0" borderId="0" xfId="3" applyNumberFormat="1" applyFont="1" applyFill="1" applyBorder="1" applyProtection="1">
      <protection hidden="1"/>
    </xf>
    <xf numFmtId="0" fontId="17" fillId="0" borderId="0" xfId="0" applyNumberFormat="1" applyFont="1" applyFill="1" applyBorder="1" applyProtection="1">
      <protection hidden="1"/>
    </xf>
    <xf numFmtId="166" fontId="6" fillId="3" borderId="1" xfId="1" applyNumberFormat="1" applyFont="1" applyFill="1" applyBorder="1" applyProtection="1">
      <protection hidden="1"/>
    </xf>
    <xf numFmtId="165" fontId="6" fillId="3" borderId="1" xfId="1" applyNumberFormat="1" applyFont="1" applyFill="1" applyBorder="1" applyAlignment="1" applyProtection="1">
      <alignment horizontal="right"/>
      <protection hidden="1"/>
    </xf>
    <xf numFmtId="165" fontId="6" fillId="0" borderId="0" xfId="1" applyNumberFormat="1" applyFont="1" applyFill="1" applyBorder="1" applyAlignment="1" applyProtection="1">
      <alignment horizontal="right"/>
      <protection hidden="1"/>
    </xf>
    <xf numFmtId="0" fontId="9" fillId="3" borderId="1" xfId="0" applyNumberFormat="1" applyFont="1" applyFill="1" applyBorder="1" applyAlignment="1" applyProtection="1">
      <alignment vertical="center" wrapText="1"/>
      <protection hidden="1"/>
    </xf>
    <xf numFmtId="165" fontId="5" fillId="3" borderId="1" xfId="1" applyNumberFormat="1" applyFont="1" applyFill="1" applyBorder="1" applyAlignment="1" applyProtection="1">
      <alignment horizontal="center" vertical="center" wrapText="1"/>
      <protection hidden="1"/>
    </xf>
    <xf numFmtId="165" fontId="6" fillId="0" borderId="0" xfId="0" applyNumberFormat="1" applyFont="1" applyAlignment="1" applyProtection="1">
      <alignment vertical="center" wrapText="1"/>
      <protection hidden="1"/>
    </xf>
    <xf numFmtId="0" fontId="6" fillId="0" borderId="0" xfId="0" applyFont="1" applyAlignment="1" applyProtection="1">
      <alignment vertical="center" wrapText="1"/>
      <protection hidden="1"/>
    </xf>
    <xf numFmtId="0" fontId="17" fillId="0" borderId="0" xfId="0" applyNumberFormat="1" applyFont="1" applyFill="1" applyBorder="1" applyAlignment="1" applyProtection="1">
      <alignment horizontal="left" wrapText="1"/>
      <protection hidden="1"/>
    </xf>
    <xf numFmtId="165" fontId="6" fillId="0" borderId="0" xfId="1" applyNumberFormat="1" applyFont="1" applyFill="1" applyBorder="1" applyAlignment="1" applyProtection="1">
      <alignment horizontal="center" wrapText="1"/>
      <protection hidden="1"/>
    </xf>
    <xf numFmtId="165" fontId="17" fillId="0" borderId="0" xfId="1" applyNumberFormat="1" applyFont="1" applyAlignment="1" applyProtection="1">
      <alignment horizontal="right"/>
      <protection hidden="1"/>
    </xf>
    <xf numFmtId="165" fontId="6" fillId="0" borderId="0" xfId="0" applyNumberFormat="1" applyFont="1" applyAlignment="1" applyProtection="1">
      <alignment wrapText="1"/>
      <protection hidden="1"/>
    </xf>
    <xf numFmtId="0" fontId="17" fillId="0" borderId="0" xfId="0" applyNumberFormat="1" applyFont="1" applyAlignment="1" applyProtection="1">
      <alignment horizontal="left"/>
      <protection hidden="1"/>
    </xf>
    <xf numFmtId="165" fontId="17" fillId="0" borderId="0" xfId="1" applyNumberFormat="1" applyFont="1" applyProtection="1">
      <protection hidden="1"/>
    </xf>
    <xf numFmtId="165" fontId="17" fillId="0" borderId="0" xfId="0" applyNumberFormat="1" applyFont="1" applyProtection="1">
      <protection hidden="1"/>
    </xf>
    <xf numFmtId="165" fontId="15" fillId="0" borderId="0" xfId="0" applyNumberFormat="1" applyFont="1" applyProtection="1">
      <protection hidden="1"/>
    </xf>
    <xf numFmtId="0" fontId="19" fillId="0" borderId="0" xfId="0" applyNumberFormat="1" applyFont="1" applyProtection="1">
      <protection hidden="1"/>
    </xf>
    <xf numFmtId="0" fontId="10" fillId="0" borderId="0" xfId="0" applyNumberFormat="1" applyFont="1" applyProtection="1">
      <protection hidden="1"/>
    </xf>
    <xf numFmtId="0" fontId="20" fillId="0" borderId="0" xfId="0" applyNumberFormat="1" applyFont="1" applyAlignment="1" applyProtection="1">
      <alignment horizontal="left"/>
      <protection hidden="1"/>
    </xf>
    <xf numFmtId="0" fontId="20" fillId="0" borderId="0" xfId="0" applyFont="1" applyProtection="1">
      <protection hidden="1"/>
    </xf>
    <xf numFmtId="0" fontId="21" fillId="0" borderId="0" xfId="0" applyFont="1" applyProtection="1">
      <protection hidden="1"/>
    </xf>
    <xf numFmtId="0" fontId="20" fillId="0" borderId="0" xfId="0" applyNumberFormat="1" applyFont="1" applyProtection="1">
      <protection hidden="1"/>
    </xf>
    <xf numFmtId="0" fontId="22" fillId="0" borderId="0" xfId="0" applyNumberFormat="1" applyFont="1" applyProtection="1">
      <protection hidden="1"/>
    </xf>
    <xf numFmtId="167" fontId="20" fillId="0" borderId="0" xfId="0" applyNumberFormat="1" applyFont="1" applyAlignment="1" applyProtection="1">
      <alignment horizontal="left" vertical="center" wrapText="1"/>
      <protection hidden="1"/>
    </xf>
    <xf numFmtId="0" fontId="20" fillId="2" borderId="12" xfId="1" applyNumberFormat="1" applyFont="1" applyFill="1" applyBorder="1" applyAlignment="1" applyProtection="1">
      <alignment horizontal="left"/>
      <protection hidden="1"/>
    </xf>
    <xf numFmtId="165" fontId="20" fillId="0" borderId="0" xfId="1" applyNumberFormat="1" applyFont="1" applyAlignment="1" applyProtection="1">
      <alignment horizontal="left"/>
      <protection hidden="1"/>
    </xf>
    <xf numFmtId="0" fontId="20" fillId="0" borderId="0" xfId="1" applyNumberFormat="1" applyFont="1" applyAlignment="1" applyProtection="1">
      <alignment horizontal="left"/>
      <protection hidden="1"/>
    </xf>
    <xf numFmtId="164" fontId="23" fillId="2" borderId="12" xfId="3" applyNumberFormat="1" applyFont="1" applyFill="1" applyBorder="1" applyAlignment="1" applyProtection="1">
      <alignment horizontal="left"/>
      <protection hidden="1"/>
    </xf>
    <xf numFmtId="0" fontId="24" fillId="0" borderId="0" xfId="0" applyNumberFormat="1" applyFont="1" applyBorder="1" applyAlignment="1" applyProtection="1">
      <alignment horizontal="left"/>
      <protection hidden="1"/>
    </xf>
    <xf numFmtId="0" fontId="22" fillId="0" borderId="0" xfId="0" applyNumberFormat="1" applyFont="1" applyAlignment="1" applyProtection="1">
      <alignment horizontal="left"/>
      <protection hidden="1"/>
    </xf>
    <xf numFmtId="0" fontId="20" fillId="2" borderId="12" xfId="1" applyNumberFormat="1" applyFont="1" applyFill="1" applyBorder="1" applyProtection="1">
      <protection hidden="1"/>
    </xf>
    <xf numFmtId="0" fontId="22" fillId="0" borderId="0" xfId="1" applyNumberFormat="1" applyFont="1" applyProtection="1">
      <protection hidden="1"/>
    </xf>
    <xf numFmtId="0" fontId="22" fillId="0" borderId="0" xfId="1" applyNumberFormat="1" applyFont="1" applyAlignment="1" applyProtection="1">
      <alignment horizontal="left"/>
      <protection hidden="1"/>
    </xf>
    <xf numFmtId="0" fontId="23" fillId="0" borderId="0" xfId="3" applyNumberFormat="1" applyFont="1" applyAlignment="1" applyProtection="1">
      <alignment horizontal="left"/>
      <protection hidden="1"/>
    </xf>
    <xf numFmtId="0" fontId="23" fillId="0" borderId="0" xfId="0" applyNumberFormat="1" applyFont="1" applyAlignment="1" applyProtection="1">
      <alignment horizontal="left"/>
      <protection hidden="1"/>
    </xf>
    <xf numFmtId="167" fontId="20" fillId="0" borderId="0" xfId="0" applyNumberFormat="1" applyFont="1" applyAlignment="1" applyProtection="1">
      <alignment horizontal="left"/>
      <protection hidden="1"/>
    </xf>
    <xf numFmtId="0" fontId="21" fillId="0" borderId="0" xfId="0" applyNumberFormat="1" applyFont="1" applyAlignment="1" applyProtection="1">
      <alignment horizontal="left"/>
      <protection hidden="1"/>
    </xf>
    <xf numFmtId="0" fontId="25" fillId="0" borderId="0" xfId="0" applyNumberFormat="1" applyFont="1" applyAlignment="1" applyProtection="1">
      <alignment horizontal="left"/>
      <protection hidden="1"/>
    </xf>
    <xf numFmtId="0" fontId="26" fillId="0" borderId="0" xfId="0" applyNumberFormat="1" applyFont="1" applyAlignment="1" applyProtection="1">
      <alignment horizontal="left"/>
      <protection hidden="1"/>
    </xf>
    <xf numFmtId="0" fontId="23" fillId="0" borderId="0" xfId="1" applyNumberFormat="1" applyFont="1" applyAlignment="1" applyProtection="1">
      <alignment horizontal="left"/>
      <protection hidden="1"/>
    </xf>
    <xf numFmtId="0" fontId="25" fillId="0" borderId="0" xfId="1" applyNumberFormat="1" applyFont="1" applyAlignment="1" applyProtection="1">
      <alignment horizontal="left"/>
      <protection hidden="1"/>
    </xf>
    <xf numFmtId="43" fontId="20" fillId="0" borderId="0" xfId="1" applyFont="1" applyAlignment="1" applyProtection="1">
      <alignment horizontal="left"/>
      <protection hidden="1"/>
    </xf>
    <xf numFmtId="0" fontId="1" fillId="0" borderId="0" xfId="0" applyFont="1" applyAlignment="1" applyProtection="1">
      <alignment horizontal="justify"/>
      <protection hidden="1"/>
    </xf>
    <xf numFmtId="0" fontId="28" fillId="0" borderId="0" xfId="0" applyNumberFormat="1" applyFont="1" applyAlignment="1" applyProtection="1">
      <alignment horizontal="left" wrapText="1"/>
      <protection hidden="1"/>
    </xf>
    <xf numFmtId="0" fontId="30" fillId="0" borderId="0" xfId="2" applyNumberFormat="1"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28" fillId="0" borderId="0" xfId="0" applyNumberFormat="1" applyFont="1" applyAlignment="1" applyProtection="1">
      <alignment horizontal="justify" wrapText="1"/>
      <protection hidden="1"/>
    </xf>
    <xf numFmtId="0" fontId="27" fillId="0" borderId="0" xfId="0" applyFont="1" applyAlignment="1" applyProtection="1">
      <alignment horizontal="justify" wrapText="1"/>
      <protection hidden="1"/>
    </xf>
    <xf numFmtId="0" fontId="28"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1" fillId="0" borderId="0" xfId="0" applyFont="1" applyAlignment="1" applyProtection="1">
      <alignment horizontal="justify" wrapText="1"/>
      <protection hidden="1"/>
    </xf>
    <xf numFmtId="0" fontId="32" fillId="0" borderId="0" xfId="0" applyNumberFormat="1" applyFont="1" applyAlignment="1" applyProtection="1">
      <alignment horizontal="left" wrapText="1"/>
      <protection hidden="1"/>
    </xf>
    <xf numFmtId="0" fontId="29" fillId="0" borderId="0" xfId="2" applyFont="1" applyAlignment="1" applyProtection="1">
      <alignment horizontal="left" vertical="center" wrapText="1"/>
    </xf>
    <xf numFmtId="0" fontId="6" fillId="4" borderId="8" xfId="1" applyNumberFormat="1" applyFont="1" applyFill="1" applyBorder="1" applyAlignment="1" applyProtection="1">
      <alignment horizontal="left"/>
      <protection hidden="1"/>
    </xf>
    <xf numFmtId="0" fontId="6" fillId="4" borderId="9" xfId="1" applyNumberFormat="1" applyFont="1" applyFill="1" applyBorder="1" applyAlignment="1" applyProtection="1">
      <alignment horizontal="left"/>
      <protection hidden="1"/>
    </xf>
    <xf numFmtId="0" fontId="6" fillId="4" borderId="10" xfId="1" applyNumberFormat="1"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2">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3"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cash-flow-forecast-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14AA64E0-A6EB-46DB-8C1E-340B78BD1169}"/>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33598632-E3A1-4043-8DB1-5CEFB2E6BF25}"/>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4574AF6B-57E5-4985-9122-13C76026C177}"/>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A11ADE6A-55DE-4D61-AD68-B76818E6DF0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2" name="Rectangle 1">
          <a:extLst>
            <a:ext uri="{FF2B5EF4-FFF2-40B4-BE49-F238E27FC236}">
              <a16:creationId xmlns:a16="http://schemas.microsoft.com/office/drawing/2014/main" id="{B276157D-B9CD-4D89-9DB8-F475B7EECD89}"/>
            </a:ext>
          </a:extLst>
        </xdr:cNvPr>
        <xdr:cNvSpPr>
          <a:spLocks noChangeArrowheads="1"/>
        </xdr:cNvSpPr>
      </xdr:nvSpPr>
      <xdr:spPr bwMode="auto">
        <a:xfrm>
          <a:off x="6720138" y="1666875"/>
          <a:ext cx="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2" name="Rectangle 1">
          <a:extLst>
            <a:ext uri="{FF2B5EF4-FFF2-40B4-BE49-F238E27FC236}">
              <a16:creationId xmlns:a16="http://schemas.microsoft.com/office/drawing/2014/main" id="{674F9937-051A-4A11-887B-461C8CD9C6CB}"/>
            </a:ext>
          </a:extLst>
        </xdr:cNvPr>
        <xdr:cNvSpPr>
          <a:spLocks noChangeArrowheads="1"/>
        </xdr:cNvSpPr>
      </xdr:nvSpPr>
      <xdr:spPr bwMode="auto">
        <a:xfrm>
          <a:off x="6720138" y="1666875"/>
          <a:ext cx="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D8C27161-3EBE-4FA8-A75C-5536CCC52B6D}"/>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47B13026-C198-49A9-BB17-E28B27C00296}"/>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PROJECTION - ANNUAL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prepare annual cash flow projections for any user defined five year period. The template includes an annual income statement, cash flow statement and balance sheet. The cash flow projections are based on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annual reporting periods are based on any user defined start date.</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8C9FDC3C-D90F-4A86-814B-D4C658CE169C}"/>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7CF1118E-D772-467C-8FFE-0CA83B462332}"/>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01A29469-256B-46BE-BD51-9D616B968D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228600</xdr:colOff>
      <xdr:row>4</xdr:row>
      <xdr:rowOff>248580</xdr:rowOff>
    </xdr:from>
    <xdr:ext cx="2750820" cy="1114490"/>
    <xdr:sp macro="" textlink="">
      <xdr:nvSpPr>
        <xdr:cNvPr id="10" name="Rectangle 17">
          <a:extLst>
            <a:ext uri="{FF2B5EF4-FFF2-40B4-BE49-F238E27FC236}">
              <a16:creationId xmlns:a16="http://schemas.microsoft.com/office/drawing/2014/main" id="{F404C2C2-3A2D-4C8D-A1C2-D06984053922}"/>
            </a:ext>
          </a:extLst>
        </xdr:cNvPr>
        <xdr:cNvSpPr>
          <a:spLocks noChangeArrowheads="1"/>
        </xdr:cNvSpPr>
      </xdr:nvSpPr>
      <xdr:spPr bwMode="auto">
        <a:xfrm>
          <a:off x="7757160" y="995340"/>
          <a:ext cx="27508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5</xdr:col>
      <xdr:colOff>112294</xdr:colOff>
      <xdr:row>2</xdr:row>
      <xdr:rowOff>112511</xdr:rowOff>
    </xdr:from>
    <xdr:ext cx="5526506" cy="1885342"/>
    <xdr:sp macro="" textlink="">
      <xdr:nvSpPr>
        <xdr:cNvPr id="3" name="Rectangle 17">
          <a:extLst>
            <a:ext uri="{FF2B5EF4-FFF2-40B4-BE49-F238E27FC236}">
              <a16:creationId xmlns:a16="http://schemas.microsoft.com/office/drawing/2014/main" id="{581CDD03-7B1A-4B57-BDE9-EBAB6B4C2251}"/>
            </a:ext>
          </a:extLst>
        </xdr:cNvPr>
        <xdr:cNvSpPr>
          <a:spLocks noChangeArrowheads="1"/>
        </xdr:cNvSpPr>
      </xdr:nvSpPr>
      <xdr:spPr bwMode="auto">
        <a:xfrm>
          <a:off x="6521115" y="513564"/>
          <a:ext cx="5526506"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cash flow projection calculations. The reporting periods included on the income statement, cash flow statement and balance sheet are determined based on the start date specified at the top of this sheet. Other assumptions on this sheet include annual turnover growth, annual expense inflation, inventory, trade receivables, trade payables, payroll accruals, sales tax, income tax, loan terms, balance sheet opening balances and dividends.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40104</xdr:colOff>
      <xdr:row>10</xdr:row>
      <xdr:rowOff>48416</xdr:rowOff>
    </xdr:from>
    <xdr:ext cx="6464970" cy="1885342"/>
    <xdr:sp macro="" textlink="">
      <xdr:nvSpPr>
        <xdr:cNvPr id="3" name="Rectangle 17">
          <a:extLst>
            <a:ext uri="{FF2B5EF4-FFF2-40B4-BE49-F238E27FC236}">
              <a16:creationId xmlns:a16="http://schemas.microsoft.com/office/drawing/2014/main" id="{68B17310-E819-4F2F-9499-479290DFF49F}"/>
            </a:ext>
          </a:extLst>
        </xdr:cNvPr>
        <xdr:cNvSpPr>
          <a:spLocks noChangeArrowheads="1"/>
        </xdr:cNvSpPr>
      </xdr:nvSpPr>
      <xdr:spPr bwMode="auto">
        <a:xfrm>
          <a:off x="4219072" y="2085763"/>
          <a:ext cx="646497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an annual income statement for 5 annual periods. All the rows with yellow highlighting in column A require user input in column C. Only the gross profit % rows require user input in all the annual columns. The values in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112294</xdr:colOff>
      <xdr:row>11</xdr:row>
      <xdr:rowOff>56221</xdr:rowOff>
    </xdr:from>
    <xdr:ext cx="5366085" cy="1308261"/>
    <xdr:sp macro="" textlink="">
      <xdr:nvSpPr>
        <xdr:cNvPr id="3" name="Rectangle 17">
          <a:extLst>
            <a:ext uri="{FF2B5EF4-FFF2-40B4-BE49-F238E27FC236}">
              <a16:creationId xmlns:a16="http://schemas.microsoft.com/office/drawing/2014/main" id="{C785D6D9-2B30-4BC2-877B-2CED15F67635}"/>
            </a:ext>
          </a:extLst>
        </xdr:cNvPr>
        <xdr:cNvSpPr>
          <a:spLocks noChangeArrowheads="1"/>
        </xdr:cNvSpPr>
      </xdr:nvSpPr>
      <xdr:spPr bwMode="auto">
        <a:xfrm>
          <a:off x="4644189" y="2294095"/>
          <a:ext cx="5366085"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cash flow statement for 5 annual periods. No user input is required on this sheet. All the cash flow statement calculations are automated and based on the user input on the “Assumptions” sheet and the calculations on the balance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3</xdr:col>
      <xdr:colOff>56148</xdr:colOff>
      <xdr:row>12</xdr:row>
      <xdr:rowOff>40251</xdr:rowOff>
    </xdr:from>
    <xdr:ext cx="6015789" cy="1500622"/>
    <xdr:sp macro="" textlink="">
      <xdr:nvSpPr>
        <xdr:cNvPr id="3" name="Rectangle 17">
          <a:extLst>
            <a:ext uri="{FF2B5EF4-FFF2-40B4-BE49-F238E27FC236}">
              <a16:creationId xmlns:a16="http://schemas.microsoft.com/office/drawing/2014/main" id="{67DE6010-B40D-455F-8087-21385F9EB45F}"/>
            </a:ext>
          </a:extLst>
        </xdr:cNvPr>
        <xdr:cNvSpPr>
          <a:spLocks noChangeArrowheads="1"/>
        </xdr:cNvSpPr>
      </xdr:nvSpPr>
      <xdr:spPr bwMode="auto">
        <a:xfrm>
          <a:off x="4130843" y="2478651"/>
          <a:ext cx="6015789"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balance sheet for 5 annual periods. All the calculations on this sheet are automated and no user input is required. The entire balance sheet is calculated based on the values on the annual income statement and cash flow statement. Opening balances at the start of the cash flow projection period can be included on the “Assumptions”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7169" name="Rectangle 1">
          <a:extLst>
            <a:ext uri="{FF2B5EF4-FFF2-40B4-BE49-F238E27FC236}">
              <a16:creationId xmlns:a16="http://schemas.microsoft.com/office/drawing/2014/main" id="{00000000-0008-0000-0800-0000011C0000}"/>
            </a:ext>
          </a:extLst>
        </xdr:cNvPr>
        <xdr:cNvSpPr>
          <a:spLocks noChangeArrowheads="1"/>
        </xdr:cNvSpPr>
      </xdr:nvSpPr>
      <xdr:spPr bwMode="auto">
        <a:xfrm>
          <a:off x="6934200" y="1552575"/>
          <a:ext cx="283845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oneCellAnchor>
    <xdr:from>
      <xdr:col>2</xdr:col>
      <xdr:colOff>80210</xdr:colOff>
      <xdr:row>13</xdr:row>
      <xdr:rowOff>32373</xdr:rowOff>
    </xdr:from>
    <xdr:ext cx="6416843" cy="1885342"/>
    <xdr:sp macro="" textlink="">
      <xdr:nvSpPr>
        <xdr:cNvPr id="4" name="Rectangle 17">
          <a:extLst>
            <a:ext uri="{FF2B5EF4-FFF2-40B4-BE49-F238E27FC236}">
              <a16:creationId xmlns:a16="http://schemas.microsoft.com/office/drawing/2014/main" id="{D9A55026-FD2F-4B7B-8A74-E6051AFB91B5}"/>
            </a:ext>
          </a:extLst>
        </xdr:cNvPr>
        <xdr:cNvSpPr>
          <a:spLocks noChangeArrowheads="1"/>
        </xdr:cNvSpPr>
      </xdr:nvSpPr>
      <xdr:spPr bwMode="auto">
        <a:xfrm>
          <a:off x="2093494" y="2647236"/>
          <a:ext cx="6416843"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No user input is required on these sheets and additional loan amounts can be added on the “Assumptions” sheet. The interest charges and capital repayment amounts of each amortization table are automatically included on the income statement and cash flow statement. The template therefore accommodates automated loan calculations based on four different sets of loan repayment terms.</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twoCellAnchor>
    <xdr:from>
      <xdr:col>8</xdr:col>
      <xdr:colOff>5013</xdr:colOff>
      <xdr:row>8</xdr:row>
      <xdr:rowOff>0</xdr:rowOff>
    </xdr:from>
    <xdr:to>
      <xdr:col>8</xdr:col>
      <xdr:colOff>5013</xdr:colOff>
      <xdr:row>8</xdr:row>
      <xdr:rowOff>0</xdr:rowOff>
    </xdr:to>
    <xdr:sp macro="" textlink="">
      <xdr:nvSpPr>
        <xdr:cNvPr id="2" name="Rectangle 1">
          <a:extLst>
            <a:ext uri="{FF2B5EF4-FFF2-40B4-BE49-F238E27FC236}">
              <a16:creationId xmlns:a16="http://schemas.microsoft.com/office/drawing/2014/main" id="{3B1ABBFA-D3EF-4B4A-9447-284DBDE69C73}"/>
            </a:ext>
          </a:extLst>
        </xdr:cNvPr>
        <xdr:cNvSpPr>
          <a:spLocks noChangeArrowheads="1"/>
        </xdr:cNvSpPr>
      </xdr:nvSpPr>
      <xdr:spPr bwMode="auto">
        <a:xfrm>
          <a:off x="6720138" y="1666875"/>
          <a:ext cx="0" cy="0"/>
        </a:xfrm>
        <a:prstGeom prst="rect">
          <a:avLst/>
        </a:prstGeom>
        <a:solidFill>
          <a:srgbClr val="008000"/>
        </a:solidFill>
        <a:ln w="9525">
          <a:solidFill>
            <a:srgbClr val="00FF00"/>
          </a:solidFill>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FFFFFF"/>
              </a:solidFill>
              <a:latin typeface="Arial"/>
              <a:cs typeface="Arial"/>
            </a:rPr>
            <a:t>This sheet is displays a 5 year annual cash flow projection based on the assumptions entered on the previous sheet.</a:t>
          </a:r>
        </a:p>
      </xdr:txBody>
    </xdr:sp>
    <xdr:clientData fPrintsWithSheet="0"/>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pageSetup paperSize="9" orientation="portrait" horizontalDpi="1200" verticalDpi="12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24"/>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97" customWidth="1"/>
    <col min="2" max="7" width="13.7109375" style="17" customWidth="1"/>
    <col min="8" max="8" width="2.7109375" style="96" customWidth="1"/>
    <col min="9" max="11" width="15.7109375" style="96" customWidth="1"/>
    <col min="12" max="16" width="15.7109375" style="12" customWidth="1"/>
    <col min="17" max="16384" width="9.140625" style="12"/>
  </cols>
  <sheetData>
    <row r="1" spans="1:11" ht="16.149999999999999" customHeight="1" x14ac:dyDescent="0.25">
      <c r="A1" s="116" t="str">
        <f>IF(ISBLANK(Assumptions!$C$4),"Example Limited",Assumptions!$C$4)</f>
        <v>Example (Pty) Limited</v>
      </c>
      <c r="B1" s="19"/>
      <c r="C1" s="19"/>
      <c r="D1" s="19"/>
      <c r="G1" s="95"/>
    </row>
    <row r="2" spans="1:11" ht="16.149999999999999" customHeight="1" x14ac:dyDescent="0.25">
      <c r="A2" s="7" t="s">
        <v>196</v>
      </c>
      <c r="B2" s="19"/>
      <c r="C2" s="19"/>
      <c r="D2" s="19"/>
      <c r="G2" s="95"/>
    </row>
    <row r="4" spans="1:11" ht="16.149999999999999" customHeight="1" x14ac:dyDescent="0.25">
      <c r="A4" s="97" t="s">
        <v>36</v>
      </c>
      <c r="B4" s="98">
        <f>Assumptions!$E$75</f>
        <v>0.125</v>
      </c>
      <c r="C4" s="99"/>
      <c r="D4" s="99"/>
    </row>
    <row r="5" spans="1:11" ht="16.149999999999999" customHeight="1" x14ac:dyDescent="0.25">
      <c r="A5" s="100" t="s">
        <v>42</v>
      </c>
      <c r="B5" s="101">
        <f>Assumptions!$E$76</f>
        <v>5</v>
      </c>
      <c r="C5" s="20"/>
      <c r="D5" s="20"/>
    </row>
    <row r="6" spans="1:11" ht="16.149999999999999" customHeight="1" x14ac:dyDescent="0.25">
      <c r="A6" s="100" t="s">
        <v>43</v>
      </c>
      <c r="B6" s="102" t="str">
        <f>Assumptions!$E$77</f>
        <v>No</v>
      </c>
      <c r="C6" s="103"/>
      <c r="D6" s="103"/>
    </row>
    <row r="7" spans="1:11" ht="16.149999999999999" customHeight="1" x14ac:dyDescent="0.25">
      <c r="A7" s="8" t="s">
        <v>59</v>
      </c>
    </row>
    <row r="8" spans="1:11" s="107" customFormat="1" ht="25.5" x14ac:dyDescent="0.25">
      <c r="A8" s="104" t="s">
        <v>45</v>
      </c>
      <c r="B8" s="105" t="s">
        <v>46</v>
      </c>
      <c r="C8" s="105" t="s">
        <v>259</v>
      </c>
      <c r="D8" s="105" t="s">
        <v>64</v>
      </c>
      <c r="E8" s="105" t="s">
        <v>260</v>
      </c>
      <c r="F8" s="105" t="s">
        <v>60</v>
      </c>
      <c r="G8" s="105" t="s">
        <v>47</v>
      </c>
      <c r="H8" s="106"/>
      <c r="I8" s="106"/>
      <c r="J8" s="106"/>
      <c r="K8" s="106"/>
    </row>
    <row r="9" spans="1:11" s="2" customFormat="1" ht="16.149999999999999" customHeight="1" x14ac:dyDescent="0.25">
      <c r="A9" s="108">
        <v>0</v>
      </c>
      <c r="B9" s="109">
        <v>0</v>
      </c>
      <c r="C9" s="109">
        <f ca="1">-SUMIF(Assumptions!$A$79:$C$102,"LT3",Assumptions!$C$79:$C$102)</f>
        <v>0</v>
      </c>
      <c r="D9" s="109">
        <v>0</v>
      </c>
      <c r="E9" s="103">
        <v>0</v>
      </c>
      <c r="F9" s="110">
        <f>IF($B$6="Yes",0,D9-E9)</f>
        <v>0</v>
      </c>
      <c r="G9" s="103">
        <f ca="1">IF(ROUND(SUM(B9:C9,-F9),0)=0,0,IF($B$6="Yes",SUM($C$9:C9),SUM(B9:C9,-F9)))</f>
        <v>0</v>
      </c>
      <c r="H9" s="111"/>
      <c r="I9" s="111"/>
      <c r="J9" s="111"/>
      <c r="K9" s="111"/>
    </row>
    <row r="10" spans="1:11" s="81" customFormat="1" ht="16.149999999999999" customHeight="1" x14ac:dyDescent="0.25">
      <c r="A10" s="112">
        <v>1</v>
      </c>
      <c r="B10" s="113">
        <f ca="1">G9</f>
        <v>0</v>
      </c>
      <c r="C10" s="113">
        <f ca="1">OFFSET(CashFlow!$B$37,0,ROW($A10)-ROW($A$9),1,1)</f>
        <v>240000</v>
      </c>
      <c r="D10" s="110">
        <f ca="1">IF($B$6="Yes",0,IF(ROW(C10)-ROW($C$9)&gt;$B$5,-PMT($B$4,$B$5,SUM(OFFSET(C10,0,0,-$B$5,1)),0,0),-PMT($B$4,$B$5,SUM(OFFSET(C10,0,0,ROW($C$8)-ROW(C10),1)),0,0)))</f>
        <v>67404.969369506478</v>
      </c>
      <c r="E10" s="110">
        <f t="shared" ref="E10:E24" ca="1" si="0">(G9+C10)*$B$4</f>
        <v>30000</v>
      </c>
      <c r="F10" s="110">
        <f t="shared" ref="F10:F24" ca="1" si="1">IF($B$6="Yes",0,D10-E10)</f>
        <v>37404.969369506478</v>
      </c>
      <c r="G10" s="103">
        <f ca="1">IF(ROUND(SUM(B10:C10,-F10),0)=0,0,IF($B$6="Yes",SUM($C$9:C10),SUM(B10:C10,-F10)))</f>
        <v>202595.03063049354</v>
      </c>
      <c r="H10" s="114"/>
      <c r="I10" s="111"/>
      <c r="J10" s="114"/>
      <c r="K10" s="114"/>
    </row>
    <row r="11" spans="1:11" s="81" customFormat="1" ht="16.149999999999999" customHeight="1" x14ac:dyDescent="0.25">
      <c r="A11" s="112">
        <v>2</v>
      </c>
      <c r="B11" s="113">
        <f t="shared" ref="B11:B24" ca="1" si="2">G10</f>
        <v>202595.03063049354</v>
      </c>
      <c r="C11" s="113">
        <f ca="1">OFFSET(CashFlow!$B$37,0,ROW($A11)-ROW($A$9),1,1)</f>
        <v>300000</v>
      </c>
      <c r="D11" s="110">
        <f t="shared" ref="D11:D24" ca="1" si="3">IF($B$6="Yes",0,IF(ROW(C11)-ROW($C$9)&gt;$B$5,-PMT($B$4,$B$5,SUM(OFFSET(C11,0,0,-$B$5,1)),0,0),-PMT($B$4,$B$5,SUM(OFFSET(C11,0,0,ROW($C$8)-ROW(C11),1)),0,0)))</f>
        <v>151661.18108138957</v>
      </c>
      <c r="E11" s="110">
        <f t="shared" ca="1" si="0"/>
        <v>62824.378828811692</v>
      </c>
      <c r="F11" s="110">
        <f t="shared" ca="1" si="1"/>
        <v>88836.80225257788</v>
      </c>
      <c r="G11" s="103">
        <f ca="1">IF(ROUND(SUM(B11:C11,-F11),0)=0,0,IF($B$6="Yes",SUM($C$9:C11),SUM(B11:C11,-F11)))</f>
        <v>413758.22837791569</v>
      </c>
      <c r="H11" s="114"/>
      <c r="I11" s="114"/>
      <c r="J11" s="114"/>
      <c r="K11" s="114"/>
    </row>
    <row r="12" spans="1:11" s="81" customFormat="1" ht="16.149999999999999" customHeight="1" x14ac:dyDescent="0.25">
      <c r="A12" s="112">
        <v>3</v>
      </c>
      <c r="B12" s="113">
        <f t="shared" ca="1" si="2"/>
        <v>413758.22837791569</v>
      </c>
      <c r="C12" s="113">
        <f ca="1">OFFSET(CashFlow!$B$37,0,ROW($A12)-ROW($A$9),1,1)</f>
        <v>180000</v>
      </c>
      <c r="D12" s="110">
        <f t="shared" ca="1" si="3"/>
        <v>202214.90810851945</v>
      </c>
      <c r="E12" s="110">
        <f t="shared" ca="1" si="0"/>
        <v>74219.778547239461</v>
      </c>
      <c r="F12" s="110">
        <f t="shared" ca="1" si="1"/>
        <v>127995.12956127999</v>
      </c>
      <c r="G12" s="103">
        <f ca="1">IF(ROUND(SUM(B12:C12,-F12),0)=0,0,IF($B$6="Yes",SUM($C$9:C12),SUM(B12:C12,-F12)))</f>
        <v>465763.09881663567</v>
      </c>
      <c r="H12" s="114"/>
      <c r="I12" s="114"/>
      <c r="J12" s="114"/>
      <c r="K12" s="114"/>
    </row>
    <row r="13" spans="1:11" s="81" customFormat="1" ht="16.149999999999999" customHeight="1" x14ac:dyDescent="0.25">
      <c r="A13" s="112">
        <v>4</v>
      </c>
      <c r="B13" s="113">
        <f t="shared" ca="1" si="2"/>
        <v>465763.09881663567</v>
      </c>
      <c r="C13" s="113">
        <f ca="1">OFFSET(CashFlow!$B$37,0,ROW($A13)-ROW($A$9),1,1)</f>
        <v>200000</v>
      </c>
      <c r="D13" s="110">
        <f t="shared" ca="1" si="3"/>
        <v>258385.71591644152</v>
      </c>
      <c r="E13" s="110">
        <f t="shared" ca="1" si="0"/>
        <v>83220.387352079459</v>
      </c>
      <c r="F13" s="110">
        <f t="shared" ca="1" si="1"/>
        <v>175165.32856436208</v>
      </c>
      <c r="G13" s="103">
        <f ca="1">IF(ROUND(SUM(B13:C13,-F13),0)=0,0,IF($B$6="Yes",SUM($C$9:C13),SUM(B13:C13,-F13)))</f>
        <v>490597.77025227359</v>
      </c>
      <c r="H13" s="114"/>
      <c r="I13" s="114"/>
      <c r="J13" s="114"/>
      <c r="K13" s="114"/>
    </row>
    <row r="14" spans="1:11" s="81" customFormat="1" ht="16.149999999999999" customHeight="1" x14ac:dyDescent="0.25">
      <c r="A14" s="112">
        <v>5</v>
      </c>
      <c r="B14" s="113">
        <f t="shared" ca="1" si="2"/>
        <v>490597.77025227359</v>
      </c>
      <c r="C14" s="113">
        <f ca="1">OFFSET(CashFlow!$B$37,0,ROW($A14)-ROW($A$9),1,1)</f>
        <v>350000</v>
      </c>
      <c r="D14" s="110">
        <f t="shared" ca="1" si="3"/>
        <v>356684.62958030513</v>
      </c>
      <c r="E14" s="110">
        <f t="shared" ca="1" si="0"/>
        <v>105074.72128153421</v>
      </c>
      <c r="F14" s="110">
        <f t="shared" ca="1" si="1"/>
        <v>251609.90829877093</v>
      </c>
      <c r="G14" s="103">
        <f ca="1">IF(ROUND(SUM(B14:C14,-F14),0)=0,0,IF($B$6="Yes",SUM($C$9:C14),SUM(B14:C14,-F14)))</f>
        <v>588987.86195350275</v>
      </c>
      <c r="H14" s="114"/>
      <c r="I14" s="114"/>
      <c r="J14" s="114"/>
      <c r="K14" s="114"/>
    </row>
    <row r="15" spans="1:11" s="81" customFormat="1" ht="16.149999999999999" customHeight="1" x14ac:dyDescent="0.25">
      <c r="A15" s="112">
        <v>6</v>
      </c>
      <c r="B15" s="113">
        <f t="shared" ca="1" si="2"/>
        <v>588987.86195350275</v>
      </c>
      <c r="C15" s="113">
        <f ca="1">OFFSET(CashFlow!$B$37,0,ROW($A15)-ROW($A$9),1,1)</f>
        <v>0</v>
      </c>
      <c r="D15" s="110">
        <f t="shared" ca="1" si="3"/>
        <v>289279.66021079867</v>
      </c>
      <c r="E15" s="110">
        <f t="shared" ca="1" si="0"/>
        <v>73623.482744187844</v>
      </c>
      <c r="F15" s="110">
        <f t="shared" ca="1" si="1"/>
        <v>215656.17746661082</v>
      </c>
      <c r="G15" s="103">
        <f ca="1">IF(ROUND(SUM(B15:C15,-F15),0)=0,0,IF($B$6="Yes",SUM($C$9:C15),SUM(B15:C15,-F15)))</f>
        <v>373331.68448689196</v>
      </c>
      <c r="H15" s="114"/>
      <c r="I15" s="114"/>
      <c r="J15" s="114"/>
      <c r="K15" s="114"/>
    </row>
    <row r="16" spans="1:11" s="81" customFormat="1" ht="16.149999999999999" customHeight="1" x14ac:dyDescent="0.25">
      <c r="A16" s="112">
        <v>7</v>
      </c>
      <c r="B16" s="113">
        <f t="shared" ca="1" si="2"/>
        <v>373331.68448689196</v>
      </c>
      <c r="C16" s="113">
        <f ca="1">OFFSET(CashFlow!$B$37,0,ROW($A16)-ROW($A$9),1,1)</f>
        <v>0</v>
      </c>
      <c r="D16" s="110">
        <f t="shared" ca="1" si="3"/>
        <v>205023.44849891556</v>
      </c>
      <c r="E16" s="110">
        <f t="shared" ca="1" si="0"/>
        <v>46666.460560861495</v>
      </c>
      <c r="F16" s="110">
        <f t="shared" ca="1" si="1"/>
        <v>158356.98793805408</v>
      </c>
      <c r="G16" s="103">
        <f ca="1">IF(ROUND(SUM(B16:C16,-F16),0)=0,0,IF($B$6="Yes",SUM($C$9:C16),SUM(B16:C16,-F16)))</f>
        <v>214974.69654883788</v>
      </c>
      <c r="H16" s="114"/>
      <c r="I16" s="114"/>
      <c r="J16" s="114"/>
      <c r="K16" s="114"/>
    </row>
    <row r="17" spans="1:11" s="81" customFormat="1" ht="16.149999999999999" customHeight="1" x14ac:dyDescent="0.25">
      <c r="A17" s="112">
        <v>8</v>
      </c>
      <c r="B17" s="113">
        <f t="shared" ca="1" si="2"/>
        <v>214974.69654883788</v>
      </c>
      <c r="C17" s="113">
        <f ca="1">OFFSET(CashFlow!$B$37,0,ROW($A17)-ROW($A$9),1,1)</f>
        <v>0</v>
      </c>
      <c r="D17" s="110">
        <f t="shared" ca="1" si="3"/>
        <v>154469.72147178568</v>
      </c>
      <c r="E17" s="110">
        <f t="shared" ca="1" si="0"/>
        <v>26871.837068604735</v>
      </c>
      <c r="F17" s="110">
        <f t="shared" ca="1" si="1"/>
        <v>127597.88440318094</v>
      </c>
      <c r="G17" s="103">
        <f ca="1">IF(ROUND(SUM(B17:C17,-F17),0)=0,0,IF($B$6="Yes",SUM($C$9:C17),SUM(B17:C17,-F17)))</f>
        <v>87376.812145656935</v>
      </c>
      <c r="H17" s="114"/>
      <c r="I17" s="114"/>
      <c r="J17" s="114"/>
      <c r="K17" s="114"/>
    </row>
    <row r="18" spans="1:11" s="81" customFormat="1" ht="16.149999999999999" customHeight="1" x14ac:dyDescent="0.25">
      <c r="A18" s="112">
        <v>9</v>
      </c>
      <c r="B18" s="113">
        <f t="shared" ca="1" si="2"/>
        <v>87376.812145656935</v>
      </c>
      <c r="C18" s="113">
        <f ca="1">OFFSET(CashFlow!$B$37,0,ROW($A18)-ROW($A$9),1,1)</f>
        <v>0</v>
      </c>
      <c r="D18" s="110">
        <f t="shared" ca="1" si="3"/>
        <v>98298.913663863626</v>
      </c>
      <c r="E18" s="110">
        <f t="shared" ca="1" si="0"/>
        <v>10922.101518207117</v>
      </c>
      <c r="F18" s="110">
        <f t="shared" ca="1" si="1"/>
        <v>87376.812145656513</v>
      </c>
      <c r="G18" s="103">
        <f ca="1">IF(ROUND(SUM(B18:C18,-F18),0)=0,0,IF($B$6="Yes",SUM($C$9:C18),SUM(B18:C18,-F18)))</f>
        <v>0</v>
      </c>
      <c r="H18" s="114"/>
      <c r="I18" s="114"/>
      <c r="J18" s="114"/>
      <c r="K18" s="114"/>
    </row>
    <row r="19" spans="1:11" s="81" customFormat="1" ht="16.149999999999999" customHeight="1" x14ac:dyDescent="0.25">
      <c r="A19" s="112">
        <v>10</v>
      </c>
      <c r="B19" s="113">
        <f t="shared" ca="1" si="2"/>
        <v>0</v>
      </c>
      <c r="C19" s="113">
        <f ca="1">OFFSET(CashFlow!$B$37,0,ROW($A19)-ROW($A$9),1,1)</f>
        <v>0</v>
      </c>
      <c r="D19" s="110">
        <f t="shared" ca="1" si="3"/>
        <v>0</v>
      </c>
      <c r="E19" s="110">
        <f t="shared" ca="1" si="0"/>
        <v>0</v>
      </c>
      <c r="F19" s="110">
        <f t="shared" ca="1" si="1"/>
        <v>0</v>
      </c>
      <c r="G19" s="103">
        <f ca="1">IF(ROUND(SUM(B19:C19,-F19),0)=0,0,IF($B$6="Yes",SUM($C$9:C19),SUM(B19:C19,-F19)))</f>
        <v>0</v>
      </c>
      <c r="H19" s="114"/>
      <c r="I19" s="114"/>
      <c r="J19" s="114"/>
      <c r="K19" s="114"/>
    </row>
    <row r="20" spans="1:11" s="81" customFormat="1" ht="16.149999999999999" customHeight="1" x14ac:dyDescent="0.25">
      <c r="A20" s="112">
        <v>11</v>
      </c>
      <c r="B20" s="113">
        <f t="shared" ca="1" si="2"/>
        <v>0</v>
      </c>
      <c r="C20" s="113">
        <f ca="1">OFFSET(CashFlow!$B$37,0,ROW($A20)-ROW($A$9),1,1)</f>
        <v>0</v>
      </c>
      <c r="D20" s="110">
        <f t="shared" ca="1" si="3"/>
        <v>0</v>
      </c>
      <c r="E20" s="110">
        <f t="shared" ca="1" si="0"/>
        <v>0</v>
      </c>
      <c r="F20" s="110">
        <f t="shared" ca="1" si="1"/>
        <v>0</v>
      </c>
      <c r="G20" s="103">
        <f ca="1">IF(ROUND(SUM(B20:C20,-F20),0)=0,0,IF($B$6="Yes",SUM($C$9:C20),SUM(B20:C20,-F20)))</f>
        <v>0</v>
      </c>
      <c r="H20" s="114"/>
      <c r="I20" s="114"/>
      <c r="J20" s="114"/>
      <c r="K20" s="114"/>
    </row>
    <row r="21" spans="1:11" ht="16.149999999999999" customHeight="1" x14ac:dyDescent="0.25">
      <c r="A21" s="112">
        <v>12</v>
      </c>
      <c r="B21" s="113">
        <f t="shared" ca="1" si="2"/>
        <v>0</v>
      </c>
      <c r="C21" s="113">
        <f ca="1">OFFSET(CashFlow!$B$37,0,ROW($A21)-ROW($A$9),1,1)</f>
        <v>0</v>
      </c>
      <c r="D21" s="110">
        <f t="shared" ca="1" si="3"/>
        <v>0</v>
      </c>
      <c r="E21" s="110">
        <f t="shared" ca="1" si="0"/>
        <v>0</v>
      </c>
      <c r="F21" s="110">
        <f t="shared" ca="1" si="1"/>
        <v>0</v>
      </c>
      <c r="G21" s="103">
        <f ca="1">IF(ROUND(SUM(B21:C21,-F21),0)=0,0,IF($B$6="Yes",SUM($C$9:C21),SUM(B21:C21,-F21)))</f>
        <v>0</v>
      </c>
    </row>
    <row r="22" spans="1:11" ht="16.149999999999999" customHeight="1" x14ac:dyDescent="0.25">
      <c r="A22" s="112">
        <v>13</v>
      </c>
      <c r="B22" s="113">
        <f t="shared" ca="1" si="2"/>
        <v>0</v>
      </c>
      <c r="C22" s="113">
        <f ca="1">OFFSET(CashFlow!$B$37,0,ROW($A22)-ROW($A$9),1,1)</f>
        <v>0</v>
      </c>
      <c r="D22" s="110">
        <f t="shared" ca="1" si="3"/>
        <v>0</v>
      </c>
      <c r="E22" s="110">
        <f t="shared" ca="1" si="0"/>
        <v>0</v>
      </c>
      <c r="F22" s="110">
        <f t="shared" ca="1" si="1"/>
        <v>0</v>
      </c>
      <c r="G22" s="103">
        <f ca="1">IF(ROUND(SUM(B22:C22,-F22),0)=0,0,IF($B$6="Yes",SUM($C$9:C22),SUM(B22:C22,-F22)))</f>
        <v>0</v>
      </c>
    </row>
    <row r="23" spans="1:11" ht="16.149999999999999" customHeight="1" x14ac:dyDescent="0.25">
      <c r="A23" s="112">
        <v>14</v>
      </c>
      <c r="B23" s="113">
        <f t="shared" ca="1" si="2"/>
        <v>0</v>
      </c>
      <c r="C23" s="113">
        <f ca="1">OFFSET(CashFlow!$B$37,0,ROW($A23)-ROW($A$9),1,1)</f>
        <v>0</v>
      </c>
      <c r="D23" s="110">
        <f t="shared" ca="1" si="3"/>
        <v>0</v>
      </c>
      <c r="E23" s="110">
        <f t="shared" ca="1" si="0"/>
        <v>0</v>
      </c>
      <c r="F23" s="110">
        <f t="shared" ca="1" si="1"/>
        <v>0</v>
      </c>
      <c r="G23" s="103">
        <f ca="1">IF(ROUND(SUM(B23:C23,-F23),0)=0,0,IF($B$6="Yes",SUM($C$9:C23),SUM(B23:C23,-F23)))</f>
        <v>0</v>
      </c>
    </row>
    <row r="24" spans="1:11" s="65" customFormat="1" ht="16.149999999999999" customHeight="1" x14ac:dyDescent="0.25">
      <c r="A24" s="112">
        <v>15</v>
      </c>
      <c r="B24" s="113">
        <f t="shared" ca="1" si="2"/>
        <v>0</v>
      </c>
      <c r="C24" s="113">
        <f ca="1">OFFSET(CashFlow!$B$37,0,ROW($A24)-ROW($A$9),1,1)</f>
        <v>0</v>
      </c>
      <c r="D24" s="110">
        <f t="shared" ca="1" si="3"/>
        <v>0</v>
      </c>
      <c r="E24" s="110">
        <f t="shared" ca="1" si="0"/>
        <v>0</v>
      </c>
      <c r="F24" s="110">
        <f t="shared" ca="1" si="1"/>
        <v>0</v>
      </c>
      <c r="G24" s="103">
        <f ca="1">IF(ROUND(SUM(B24:C24,-F24),0)=0,0,IF($B$6="Yes",SUM($C$9:C24),SUM(B24:C24,-F24)))</f>
        <v>0</v>
      </c>
      <c r="H24" s="115"/>
      <c r="I24" s="115"/>
      <c r="J24" s="115"/>
      <c r="K24" s="115"/>
    </row>
  </sheetData>
  <sheetProtection formatCells="0" formatColumns="0" formatRows="0"/>
  <printOptions horizontalCentered="1"/>
  <pageMargins left="0.59055118110236227" right="0.59055118110236227" top="0.59055118110236227" bottom="0.59055118110236227" header="0.39370078740157483" footer="0.39370078740157483"/>
  <pageSetup paperSize="9" scale="94" orientation="portrait"/>
  <headerFooter alignWithMargins="0">
    <oddFooter>&amp;C&amp;9Page &amp;P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K24"/>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97" customWidth="1"/>
    <col min="2" max="7" width="13.7109375" style="17" customWidth="1"/>
    <col min="8" max="8" width="2.7109375" style="96" customWidth="1"/>
    <col min="9" max="11" width="15.7109375" style="96" customWidth="1"/>
    <col min="12" max="16" width="15.7109375" style="12" customWidth="1"/>
    <col min="17" max="16384" width="9.140625" style="12"/>
  </cols>
  <sheetData>
    <row r="1" spans="1:11" ht="16.149999999999999" customHeight="1" x14ac:dyDescent="0.25">
      <c r="A1" s="116" t="str">
        <f>IF(ISBLANK(Assumptions!$C$4),"Example Limited",Assumptions!$C$4)</f>
        <v>Example (Pty) Limited</v>
      </c>
      <c r="B1" s="19"/>
      <c r="C1" s="19"/>
      <c r="D1" s="19"/>
      <c r="G1" s="95"/>
    </row>
    <row r="2" spans="1:11" ht="16.149999999999999" customHeight="1" x14ac:dyDescent="0.25">
      <c r="A2" s="7" t="s">
        <v>197</v>
      </c>
      <c r="B2" s="19"/>
      <c r="C2" s="19"/>
      <c r="D2" s="19"/>
      <c r="G2" s="95"/>
    </row>
    <row r="4" spans="1:11" ht="16.149999999999999" customHeight="1" x14ac:dyDescent="0.25">
      <c r="A4" s="97" t="s">
        <v>36</v>
      </c>
      <c r="B4" s="98">
        <f>Assumptions!$F$75</f>
        <v>0.115</v>
      </c>
      <c r="C4" s="99"/>
      <c r="D4" s="99"/>
    </row>
    <row r="5" spans="1:11" ht="16.149999999999999" customHeight="1" x14ac:dyDescent="0.25">
      <c r="A5" s="100" t="s">
        <v>42</v>
      </c>
      <c r="B5" s="101">
        <f>Assumptions!$F$76</f>
        <v>4</v>
      </c>
      <c r="C5" s="20"/>
      <c r="D5" s="20"/>
    </row>
    <row r="6" spans="1:11" ht="16.149999999999999" customHeight="1" x14ac:dyDescent="0.25">
      <c r="A6" s="100" t="s">
        <v>43</v>
      </c>
      <c r="B6" s="102" t="str">
        <f>Assumptions!$F$77</f>
        <v>No</v>
      </c>
      <c r="C6" s="103"/>
      <c r="D6" s="103"/>
    </row>
    <row r="7" spans="1:11" ht="16.149999999999999" customHeight="1" x14ac:dyDescent="0.25">
      <c r="A7" s="8" t="s">
        <v>59</v>
      </c>
    </row>
    <row r="8" spans="1:11" s="107" customFormat="1" ht="25.5" x14ac:dyDescent="0.25">
      <c r="A8" s="104" t="s">
        <v>45</v>
      </c>
      <c r="B8" s="105" t="s">
        <v>46</v>
      </c>
      <c r="C8" s="105" t="s">
        <v>259</v>
      </c>
      <c r="D8" s="105" t="s">
        <v>64</v>
      </c>
      <c r="E8" s="105" t="s">
        <v>260</v>
      </c>
      <c r="F8" s="105" t="s">
        <v>60</v>
      </c>
      <c r="G8" s="105" t="s">
        <v>47</v>
      </c>
      <c r="H8" s="106"/>
      <c r="I8" s="106"/>
      <c r="J8" s="106"/>
      <c r="K8" s="106"/>
    </row>
    <row r="9" spans="1:11" s="2" customFormat="1" ht="16.149999999999999" customHeight="1" x14ac:dyDescent="0.25">
      <c r="A9" s="108">
        <v>0</v>
      </c>
      <c r="B9" s="109">
        <v>0</v>
      </c>
      <c r="C9" s="109">
        <f ca="1">-SUMIF(Assumptions!$A$79:$C$102,"FIN",Assumptions!$C$79:$C$102)</f>
        <v>425000</v>
      </c>
      <c r="D9" s="109">
        <v>0</v>
      </c>
      <c r="E9" s="103">
        <v>0</v>
      </c>
      <c r="F9" s="110">
        <f>IF($B$6="Yes",0,D9-E9)</f>
        <v>0</v>
      </c>
      <c r="G9" s="103">
        <f ca="1">IF(ROUND(SUM(B9:C9,-F9),0)=0,0,IF($B$6="Yes",SUM($C$9:C9),SUM(B9:C9,-F9)))</f>
        <v>425000</v>
      </c>
      <c r="H9" s="111"/>
      <c r="I9" s="111"/>
      <c r="J9" s="111"/>
      <c r="K9" s="111"/>
    </row>
    <row r="10" spans="1:11" s="81" customFormat="1" ht="16.149999999999999" customHeight="1" x14ac:dyDescent="0.25">
      <c r="A10" s="112">
        <v>1</v>
      </c>
      <c r="B10" s="113">
        <f ca="1">G9</f>
        <v>425000</v>
      </c>
      <c r="C10" s="113">
        <f ca="1">OFFSET(CashFlow!$B$38,0,ROW($A10)-ROW($A$9),1,1)</f>
        <v>0</v>
      </c>
      <c r="D10" s="110">
        <f ca="1">IF($B$6="Yes",0,IF(ROW(C10)-ROW($C$9)&gt;$B$5,-PMT($B$4,$B$5,SUM(OFFSET(C10,0,0,-$B$5,1)),0,0),-PMT($B$4,$B$5,SUM(OFFSET(C10,0,0,ROW($C$8)-ROW(C10),1)),0,0)))</f>
        <v>138453.89934248297</v>
      </c>
      <c r="E10" s="110">
        <f t="shared" ref="E10:E24" ca="1" si="0">(G9+C10)*$B$4</f>
        <v>48875</v>
      </c>
      <c r="F10" s="110">
        <f t="shared" ref="F10:F24" ca="1" si="1">IF($B$6="Yes",0,D10-E10)</f>
        <v>89578.899342482968</v>
      </c>
      <c r="G10" s="103">
        <f ca="1">IF(ROUND(SUM(B10:C10,-F10),0)=0,0,IF($B$6="Yes",SUM($C$9:C10),SUM(B10:C10,-F10)))</f>
        <v>335421.10065751703</v>
      </c>
      <c r="H10" s="114"/>
      <c r="I10" s="111"/>
      <c r="J10" s="114"/>
      <c r="K10" s="114"/>
    </row>
    <row r="11" spans="1:11" s="81" customFormat="1" ht="16.149999999999999" customHeight="1" x14ac:dyDescent="0.25">
      <c r="A11" s="112">
        <v>2</v>
      </c>
      <c r="B11" s="113">
        <f t="shared" ref="B11:B24" ca="1" si="2">G10</f>
        <v>335421.10065751703</v>
      </c>
      <c r="C11" s="113">
        <f ca="1">OFFSET(CashFlow!$B$38,0,ROW($A11)-ROW($A$9),1,1)</f>
        <v>0</v>
      </c>
      <c r="D11" s="110">
        <f t="shared" ref="D11:D24" ca="1" si="3">IF($B$6="Yes",0,IF(ROW(C11)-ROW($C$9)&gt;$B$5,-PMT($B$4,$B$5,SUM(OFFSET(C11,0,0,-$B$5,1)),0,0),-PMT($B$4,$B$5,SUM(OFFSET(C11,0,0,ROW($C$8)-ROW(C11),1)),0,0)))</f>
        <v>138453.89934248297</v>
      </c>
      <c r="E11" s="110">
        <f t="shared" ca="1" si="0"/>
        <v>38573.42657561446</v>
      </c>
      <c r="F11" s="110">
        <f t="shared" ca="1" si="1"/>
        <v>99880.472766868508</v>
      </c>
      <c r="G11" s="103">
        <f ca="1">IF(ROUND(SUM(B11:C11,-F11),0)=0,0,IF($B$6="Yes",SUM($C$9:C11),SUM(B11:C11,-F11)))</f>
        <v>235540.62789064852</v>
      </c>
      <c r="H11" s="114"/>
      <c r="I11" s="114"/>
      <c r="J11" s="114"/>
      <c r="K11" s="114"/>
    </row>
    <row r="12" spans="1:11" s="81" customFormat="1" ht="16.149999999999999" customHeight="1" x14ac:dyDescent="0.25">
      <c r="A12" s="112">
        <v>3</v>
      </c>
      <c r="B12" s="113">
        <f t="shared" ca="1" si="2"/>
        <v>235540.62789064852</v>
      </c>
      <c r="C12" s="113">
        <f ca="1">OFFSET(CashFlow!$B$38,0,ROW($A12)-ROW($A$9),1,1)</f>
        <v>0</v>
      </c>
      <c r="D12" s="110">
        <f t="shared" ca="1" si="3"/>
        <v>138453.89934248297</v>
      </c>
      <c r="E12" s="110">
        <f t="shared" ca="1" si="0"/>
        <v>27087.172207424581</v>
      </c>
      <c r="F12" s="110">
        <f t="shared" ca="1" si="1"/>
        <v>111366.72713505839</v>
      </c>
      <c r="G12" s="103">
        <f ca="1">IF(ROUND(SUM(B12:C12,-F12),0)=0,0,IF($B$6="Yes",SUM($C$9:C12),SUM(B12:C12,-F12)))</f>
        <v>124173.90075559013</v>
      </c>
      <c r="H12" s="114"/>
      <c r="I12" s="114"/>
      <c r="J12" s="114"/>
      <c r="K12" s="114"/>
    </row>
    <row r="13" spans="1:11" s="81" customFormat="1" ht="16.149999999999999" customHeight="1" x14ac:dyDescent="0.25">
      <c r="A13" s="112">
        <v>4</v>
      </c>
      <c r="B13" s="113">
        <f t="shared" ca="1" si="2"/>
        <v>124173.90075559013</v>
      </c>
      <c r="C13" s="113">
        <f ca="1">OFFSET(CashFlow!$B$38,0,ROW($A13)-ROW($A$9),1,1)</f>
        <v>0</v>
      </c>
      <c r="D13" s="110">
        <f t="shared" ca="1" si="3"/>
        <v>138453.89934248297</v>
      </c>
      <c r="E13" s="110">
        <f t="shared" ca="1" si="0"/>
        <v>14279.998586892865</v>
      </c>
      <c r="F13" s="110">
        <f t="shared" ca="1" si="1"/>
        <v>124173.9007555901</v>
      </c>
      <c r="G13" s="103">
        <f ca="1">IF(ROUND(SUM(B13:C13,-F13),0)=0,0,IF($B$6="Yes",SUM($C$9:C13),SUM(B13:C13,-F13)))</f>
        <v>0</v>
      </c>
      <c r="H13" s="114"/>
      <c r="I13" s="114"/>
      <c r="J13" s="114"/>
      <c r="K13" s="114"/>
    </row>
    <row r="14" spans="1:11" s="81" customFormat="1" ht="16.149999999999999" customHeight="1" x14ac:dyDescent="0.25">
      <c r="A14" s="112">
        <v>5</v>
      </c>
      <c r="B14" s="113">
        <f t="shared" ca="1" si="2"/>
        <v>0</v>
      </c>
      <c r="C14" s="113">
        <f ca="1">OFFSET(CashFlow!$B$38,0,ROW($A14)-ROW($A$9),1,1)</f>
        <v>0</v>
      </c>
      <c r="D14" s="110">
        <f t="shared" ca="1" si="3"/>
        <v>0</v>
      </c>
      <c r="E14" s="110">
        <f t="shared" ca="1" si="0"/>
        <v>0</v>
      </c>
      <c r="F14" s="110">
        <f t="shared" ca="1" si="1"/>
        <v>0</v>
      </c>
      <c r="G14" s="103">
        <f ca="1">IF(ROUND(SUM(B14:C14,-F14),0)=0,0,IF($B$6="Yes",SUM($C$9:C14),SUM(B14:C14,-F14)))</f>
        <v>0</v>
      </c>
      <c r="H14" s="114"/>
      <c r="I14" s="114"/>
      <c r="J14" s="114"/>
      <c r="K14" s="114"/>
    </row>
    <row r="15" spans="1:11" s="81" customFormat="1" ht="16.149999999999999" customHeight="1" x14ac:dyDescent="0.25">
      <c r="A15" s="112">
        <v>6</v>
      </c>
      <c r="B15" s="113">
        <f t="shared" ca="1" si="2"/>
        <v>0</v>
      </c>
      <c r="C15" s="113">
        <f ca="1">OFFSET(CashFlow!$B$38,0,ROW($A15)-ROW($A$9),1,1)</f>
        <v>0</v>
      </c>
      <c r="D15" s="110">
        <f t="shared" ca="1" si="3"/>
        <v>0</v>
      </c>
      <c r="E15" s="110">
        <f t="shared" ca="1" si="0"/>
        <v>0</v>
      </c>
      <c r="F15" s="110">
        <f t="shared" ca="1" si="1"/>
        <v>0</v>
      </c>
      <c r="G15" s="103">
        <f ca="1">IF(ROUND(SUM(B15:C15,-F15),0)=0,0,IF($B$6="Yes",SUM($C$9:C15),SUM(B15:C15,-F15)))</f>
        <v>0</v>
      </c>
      <c r="H15" s="114"/>
      <c r="I15" s="114"/>
      <c r="J15" s="114"/>
      <c r="K15" s="114"/>
    </row>
    <row r="16" spans="1:11" s="81" customFormat="1" ht="16.149999999999999" customHeight="1" x14ac:dyDescent="0.25">
      <c r="A16" s="112">
        <v>7</v>
      </c>
      <c r="B16" s="113">
        <f t="shared" ca="1" si="2"/>
        <v>0</v>
      </c>
      <c r="C16" s="113">
        <f ca="1">OFFSET(CashFlow!$B$38,0,ROW($A16)-ROW($A$9),1,1)</f>
        <v>0</v>
      </c>
      <c r="D16" s="110">
        <f t="shared" ca="1" si="3"/>
        <v>0</v>
      </c>
      <c r="E16" s="110">
        <f t="shared" ca="1" si="0"/>
        <v>0</v>
      </c>
      <c r="F16" s="110">
        <f t="shared" ca="1" si="1"/>
        <v>0</v>
      </c>
      <c r="G16" s="103">
        <f ca="1">IF(ROUND(SUM(B16:C16,-F16),0)=0,0,IF($B$6="Yes",SUM($C$9:C16),SUM(B16:C16,-F16)))</f>
        <v>0</v>
      </c>
      <c r="H16" s="114"/>
      <c r="I16" s="114"/>
      <c r="J16" s="114"/>
      <c r="K16" s="114"/>
    </row>
    <row r="17" spans="1:11" s="81" customFormat="1" ht="16.149999999999999" customHeight="1" x14ac:dyDescent="0.25">
      <c r="A17" s="112">
        <v>8</v>
      </c>
      <c r="B17" s="113">
        <f t="shared" ca="1" si="2"/>
        <v>0</v>
      </c>
      <c r="C17" s="113">
        <f ca="1">OFFSET(CashFlow!$B$38,0,ROW($A17)-ROW($A$9),1,1)</f>
        <v>0</v>
      </c>
      <c r="D17" s="110">
        <f t="shared" ca="1" si="3"/>
        <v>0</v>
      </c>
      <c r="E17" s="110">
        <f t="shared" ca="1" si="0"/>
        <v>0</v>
      </c>
      <c r="F17" s="110">
        <f t="shared" ca="1" si="1"/>
        <v>0</v>
      </c>
      <c r="G17" s="103">
        <f ca="1">IF(ROUND(SUM(B17:C17,-F17),0)=0,0,IF($B$6="Yes",SUM($C$9:C17),SUM(B17:C17,-F17)))</f>
        <v>0</v>
      </c>
      <c r="H17" s="114"/>
      <c r="I17" s="114"/>
      <c r="J17" s="114"/>
      <c r="K17" s="114"/>
    </row>
    <row r="18" spans="1:11" s="81" customFormat="1" ht="16.149999999999999" customHeight="1" x14ac:dyDescent="0.25">
      <c r="A18" s="112">
        <v>9</v>
      </c>
      <c r="B18" s="113">
        <f t="shared" ca="1" si="2"/>
        <v>0</v>
      </c>
      <c r="C18" s="113">
        <f ca="1">OFFSET(CashFlow!$B$38,0,ROW($A18)-ROW($A$9),1,1)</f>
        <v>0</v>
      </c>
      <c r="D18" s="110">
        <f t="shared" ca="1" si="3"/>
        <v>0</v>
      </c>
      <c r="E18" s="110">
        <f t="shared" ca="1" si="0"/>
        <v>0</v>
      </c>
      <c r="F18" s="110">
        <f t="shared" ca="1" si="1"/>
        <v>0</v>
      </c>
      <c r="G18" s="103">
        <f ca="1">IF(ROUND(SUM(B18:C18,-F18),0)=0,0,IF($B$6="Yes",SUM($C$9:C18),SUM(B18:C18,-F18)))</f>
        <v>0</v>
      </c>
      <c r="H18" s="114"/>
      <c r="I18" s="114"/>
      <c r="J18" s="114"/>
      <c r="K18" s="114"/>
    </row>
    <row r="19" spans="1:11" s="81" customFormat="1" ht="16.149999999999999" customHeight="1" x14ac:dyDescent="0.25">
      <c r="A19" s="112">
        <v>10</v>
      </c>
      <c r="B19" s="113">
        <f t="shared" ca="1" si="2"/>
        <v>0</v>
      </c>
      <c r="C19" s="113">
        <f ca="1">OFFSET(CashFlow!$B$38,0,ROW($A19)-ROW($A$9),1,1)</f>
        <v>0</v>
      </c>
      <c r="D19" s="110">
        <f t="shared" ca="1" si="3"/>
        <v>0</v>
      </c>
      <c r="E19" s="110">
        <f t="shared" ca="1" si="0"/>
        <v>0</v>
      </c>
      <c r="F19" s="110">
        <f t="shared" ca="1" si="1"/>
        <v>0</v>
      </c>
      <c r="G19" s="103">
        <f ca="1">IF(ROUND(SUM(B19:C19,-F19),0)=0,0,IF($B$6="Yes",SUM($C$9:C19),SUM(B19:C19,-F19)))</f>
        <v>0</v>
      </c>
      <c r="H19" s="114"/>
      <c r="I19" s="114"/>
      <c r="J19" s="114"/>
      <c r="K19" s="114"/>
    </row>
    <row r="20" spans="1:11" s="81" customFormat="1" ht="16.149999999999999" customHeight="1" x14ac:dyDescent="0.25">
      <c r="A20" s="112">
        <v>11</v>
      </c>
      <c r="B20" s="113">
        <f t="shared" ca="1" si="2"/>
        <v>0</v>
      </c>
      <c r="C20" s="113">
        <f ca="1">OFFSET(CashFlow!$B$38,0,ROW($A20)-ROW($A$9),1,1)</f>
        <v>0</v>
      </c>
      <c r="D20" s="110">
        <f t="shared" ca="1" si="3"/>
        <v>0</v>
      </c>
      <c r="E20" s="110">
        <f t="shared" ca="1" si="0"/>
        <v>0</v>
      </c>
      <c r="F20" s="110">
        <f t="shared" ca="1" si="1"/>
        <v>0</v>
      </c>
      <c r="G20" s="103">
        <f ca="1">IF(ROUND(SUM(B20:C20,-F20),0)=0,0,IF($B$6="Yes",SUM($C$9:C20),SUM(B20:C20,-F20)))</f>
        <v>0</v>
      </c>
      <c r="H20" s="114"/>
      <c r="I20" s="114"/>
      <c r="J20" s="114"/>
      <c r="K20" s="114"/>
    </row>
    <row r="21" spans="1:11" ht="16.149999999999999" customHeight="1" x14ac:dyDescent="0.25">
      <c r="A21" s="112">
        <v>12</v>
      </c>
      <c r="B21" s="113">
        <f t="shared" ca="1" si="2"/>
        <v>0</v>
      </c>
      <c r="C21" s="113">
        <f ca="1">OFFSET(CashFlow!$B$38,0,ROW($A21)-ROW($A$9),1,1)</f>
        <v>0</v>
      </c>
      <c r="D21" s="110">
        <f t="shared" ca="1" si="3"/>
        <v>0</v>
      </c>
      <c r="E21" s="110">
        <f t="shared" ca="1" si="0"/>
        <v>0</v>
      </c>
      <c r="F21" s="110">
        <f t="shared" ca="1" si="1"/>
        <v>0</v>
      </c>
      <c r="G21" s="103">
        <f ca="1">IF(ROUND(SUM(B21:C21,-F21),0)=0,0,IF($B$6="Yes",SUM($C$9:C21),SUM(B21:C21,-F21)))</f>
        <v>0</v>
      </c>
    </row>
    <row r="22" spans="1:11" ht="16.149999999999999" customHeight="1" x14ac:dyDescent="0.25">
      <c r="A22" s="112">
        <v>13</v>
      </c>
      <c r="B22" s="113">
        <f t="shared" ca="1" si="2"/>
        <v>0</v>
      </c>
      <c r="C22" s="113">
        <f ca="1">OFFSET(CashFlow!$B$38,0,ROW($A22)-ROW($A$9),1,1)</f>
        <v>0</v>
      </c>
      <c r="D22" s="110">
        <f t="shared" ca="1" si="3"/>
        <v>0</v>
      </c>
      <c r="E22" s="110">
        <f t="shared" ca="1" si="0"/>
        <v>0</v>
      </c>
      <c r="F22" s="110">
        <f t="shared" ca="1" si="1"/>
        <v>0</v>
      </c>
      <c r="G22" s="103">
        <f ca="1">IF(ROUND(SUM(B22:C22,-F22),0)=0,0,IF($B$6="Yes",SUM($C$9:C22),SUM(B22:C22,-F22)))</f>
        <v>0</v>
      </c>
    </row>
    <row r="23" spans="1:11" ht="16.149999999999999" customHeight="1" x14ac:dyDescent="0.25">
      <c r="A23" s="112">
        <v>14</v>
      </c>
      <c r="B23" s="113">
        <f t="shared" ca="1" si="2"/>
        <v>0</v>
      </c>
      <c r="C23" s="113">
        <f ca="1">OFFSET(CashFlow!$B$38,0,ROW($A23)-ROW($A$9),1,1)</f>
        <v>0</v>
      </c>
      <c r="D23" s="110">
        <f t="shared" ca="1" si="3"/>
        <v>0</v>
      </c>
      <c r="E23" s="110">
        <f t="shared" ca="1" si="0"/>
        <v>0</v>
      </c>
      <c r="F23" s="110">
        <f t="shared" ca="1" si="1"/>
        <v>0</v>
      </c>
      <c r="G23" s="103">
        <f ca="1">IF(ROUND(SUM(B23:C23,-F23),0)=0,0,IF($B$6="Yes",SUM($C$9:C23),SUM(B23:C23,-F23)))</f>
        <v>0</v>
      </c>
    </row>
    <row r="24" spans="1:11" s="65" customFormat="1" ht="16.149999999999999" customHeight="1" x14ac:dyDescent="0.25">
      <c r="A24" s="112">
        <v>15</v>
      </c>
      <c r="B24" s="113">
        <f t="shared" ca="1" si="2"/>
        <v>0</v>
      </c>
      <c r="C24" s="113">
        <f ca="1">OFFSET(CashFlow!$B$38,0,ROW($A24)-ROW($A$9),1,1)</f>
        <v>0</v>
      </c>
      <c r="D24" s="110">
        <f t="shared" ca="1" si="3"/>
        <v>0</v>
      </c>
      <c r="E24" s="110">
        <f t="shared" ca="1" si="0"/>
        <v>0</v>
      </c>
      <c r="F24" s="110">
        <f t="shared" ca="1" si="1"/>
        <v>0</v>
      </c>
      <c r="G24" s="103">
        <f ca="1">IF(ROUND(SUM(B24:C24,-F24),0)=0,0,IF($B$6="Yes",SUM($C$9:C24),SUM(B24:C24,-F24)))</f>
        <v>0</v>
      </c>
      <c r="H24" s="115"/>
      <c r="I24" s="115"/>
      <c r="J24" s="115"/>
      <c r="K24" s="115"/>
    </row>
  </sheetData>
  <sheetProtection formatCells="0" formatColumns="0" formatRows="0"/>
  <printOptions horizontalCentered="1"/>
  <pageMargins left="0.59055118110236227" right="0.59055118110236227" top="0.59055118110236227" bottom="0.59055118110236227" header="0.39370078740157483" footer="0.39370078740157483"/>
  <pageSetup paperSize="9" scale="94" orientation="portrait"/>
  <headerFooter alignWithMargins="0">
    <oddFooter>&amp;C&amp;9Page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362"/>
  <sheetViews>
    <sheetView zoomScaleNormal="100" workbookViewId="0">
      <pane ySplit="3" topLeftCell="A4" activePane="bottomLeft" state="frozen"/>
      <selection pane="bottomLeft"/>
    </sheetView>
  </sheetViews>
  <sheetFormatPr defaultColWidth="9.140625" defaultRowHeight="12.75" x14ac:dyDescent="0.2"/>
  <cols>
    <col min="1" max="1" width="109.7109375" style="145" customWidth="1"/>
    <col min="2" max="2" width="50.7109375" style="142" customWidth="1"/>
    <col min="3" max="19" width="20.7109375" style="142" customWidth="1"/>
    <col min="20" max="16384" width="9.140625" style="142"/>
  </cols>
  <sheetData>
    <row r="1" spans="1:1" ht="15.75" x14ac:dyDescent="0.25">
      <c r="A1" s="152" t="s">
        <v>48</v>
      </c>
    </row>
    <row r="2" spans="1:1" ht="15" customHeight="1" x14ac:dyDescent="0.2">
      <c r="A2" s="143" t="s">
        <v>49</v>
      </c>
    </row>
    <row r="3" spans="1:1" ht="15" customHeight="1" x14ac:dyDescent="0.2">
      <c r="A3" s="153" t="s">
        <v>30</v>
      </c>
    </row>
    <row r="4" spans="1:1" x14ac:dyDescent="0.2">
      <c r="A4" s="144"/>
    </row>
    <row r="5" spans="1:1" ht="63.75" x14ac:dyDescent="0.2">
      <c r="A5" s="145" t="s">
        <v>261</v>
      </c>
    </row>
    <row r="7" spans="1:1" ht="25.5" x14ac:dyDescent="0.2">
      <c r="A7" s="146" t="s">
        <v>426</v>
      </c>
    </row>
    <row r="9" spans="1:1" x14ac:dyDescent="0.2">
      <c r="A9" s="145" t="s">
        <v>61</v>
      </c>
    </row>
    <row r="10" spans="1:1" x14ac:dyDescent="0.2">
      <c r="A10" s="147" t="s">
        <v>409</v>
      </c>
    </row>
    <row r="11" spans="1:1" ht="51" x14ac:dyDescent="0.2">
      <c r="A11" s="147" t="s">
        <v>413</v>
      </c>
    </row>
    <row r="12" spans="1:1" x14ac:dyDescent="0.2">
      <c r="A12" s="147" t="s">
        <v>410</v>
      </c>
    </row>
    <row r="13" spans="1:1" ht="25.5" x14ac:dyDescent="0.2">
      <c r="A13" s="147" t="s">
        <v>411</v>
      </c>
    </row>
    <row r="14" spans="1:1" ht="38.25" x14ac:dyDescent="0.2">
      <c r="A14" s="147" t="s">
        <v>412</v>
      </c>
    </row>
    <row r="16" spans="1:1" ht="38.25" x14ac:dyDescent="0.2">
      <c r="A16" s="148" t="s">
        <v>262</v>
      </c>
    </row>
    <row r="17" spans="1:1" x14ac:dyDescent="0.2">
      <c r="A17" s="149"/>
    </row>
    <row r="18" spans="1:1" x14ac:dyDescent="0.2">
      <c r="A18" s="147" t="s">
        <v>263</v>
      </c>
    </row>
    <row r="19" spans="1:1" x14ac:dyDescent="0.2">
      <c r="A19" s="149"/>
    </row>
    <row r="20" spans="1:1" x14ac:dyDescent="0.2">
      <c r="A20" s="148" t="s">
        <v>264</v>
      </c>
    </row>
    <row r="21" spans="1:1" x14ac:dyDescent="0.2">
      <c r="A21" s="149"/>
    </row>
    <row r="22" spans="1:1" ht="51" x14ac:dyDescent="0.2">
      <c r="A22" s="149" t="s">
        <v>364</v>
      </c>
    </row>
    <row r="23" spans="1:1" x14ac:dyDescent="0.2">
      <c r="A23" s="149"/>
    </row>
    <row r="24" spans="1:1" x14ac:dyDescent="0.2">
      <c r="A24" s="148" t="s">
        <v>265</v>
      </c>
    </row>
    <row r="25" spans="1:1" x14ac:dyDescent="0.2">
      <c r="A25" s="148"/>
    </row>
    <row r="26" spans="1:1" ht="51" x14ac:dyDescent="0.2">
      <c r="A26" s="149" t="s">
        <v>367</v>
      </c>
    </row>
    <row r="27" spans="1:1" x14ac:dyDescent="0.2">
      <c r="A27" s="149"/>
    </row>
    <row r="28" spans="1:1" x14ac:dyDescent="0.2">
      <c r="A28" s="147" t="s">
        <v>90</v>
      </c>
    </row>
    <row r="29" spans="1:1" x14ac:dyDescent="0.2">
      <c r="A29" s="149"/>
    </row>
    <row r="30" spans="1:1" x14ac:dyDescent="0.2">
      <c r="A30" s="149" t="s">
        <v>365</v>
      </c>
    </row>
    <row r="31" spans="1:1" x14ac:dyDescent="0.2">
      <c r="A31" s="149"/>
    </row>
    <row r="32" spans="1:1" x14ac:dyDescent="0.2">
      <c r="A32" s="148" t="s">
        <v>266</v>
      </c>
    </row>
    <row r="33" spans="1:1" x14ac:dyDescent="0.2">
      <c r="A33" s="149"/>
    </row>
    <row r="34" spans="1:1" ht="38.25" x14ac:dyDescent="0.2">
      <c r="A34" s="149" t="s">
        <v>366</v>
      </c>
    </row>
    <row r="35" spans="1:1" x14ac:dyDescent="0.2">
      <c r="A35" s="149"/>
    </row>
    <row r="36" spans="1:1" ht="38.25" x14ac:dyDescent="0.2">
      <c r="A36" s="149" t="s">
        <v>267</v>
      </c>
    </row>
    <row r="37" spans="1:1" x14ac:dyDescent="0.2">
      <c r="A37" s="149"/>
    </row>
    <row r="38" spans="1:1" ht="51" x14ac:dyDescent="0.2">
      <c r="A38" s="149" t="s">
        <v>268</v>
      </c>
    </row>
    <row r="39" spans="1:1" x14ac:dyDescent="0.2">
      <c r="A39" s="149"/>
    </row>
    <row r="40" spans="1:1" ht="38.25" x14ac:dyDescent="0.2">
      <c r="A40" s="148" t="s">
        <v>269</v>
      </c>
    </row>
    <row r="41" spans="1:1" x14ac:dyDescent="0.2">
      <c r="A41" s="148"/>
    </row>
    <row r="42" spans="1:1" ht="38.25" x14ac:dyDescent="0.2">
      <c r="A42" s="148" t="s">
        <v>270</v>
      </c>
    </row>
    <row r="43" spans="1:1" x14ac:dyDescent="0.2">
      <c r="A43" s="149"/>
    </row>
    <row r="44" spans="1:1" x14ac:dyDescent="0.2">
      <c r="A44" s="148" t="s">
        <v>245</v>
      </c>
    </row>
    <row r="45" spans="1:1" x14ac:dyDescent="0.2">
      <c r="A45" s="149"/>
    </row>
    <row r="46" spans="1:1" ht="38.25" x14ac:dyDescent="0.2">
      <c r="A46" s="149" t="s">
        <v>414</v>
      </c>
    </row>
    <row r="47" spans="1:1" x14ac:dyDescent="0.2">
      <c r="A47" s="149"/>
    </row>
    <row r="48" spans="1:1" ht="25.5" x14ac:dyDescent="0.2">
      <c r="A48" s="149" t="s">
        <v>271</v>
      </c>
    </row>
    <row r="49" spans="1:1" x14ac:dyDescent="0.2">
      <c r="A49" s="149"/>
    </row>
    <row r="50" spans="1:1" x14ac:dyDescent="0.2">
      <c r="A50" s="148" t="s">
        <v>97</v>
      </c>
    </row>
    <row r="51" spans="1:1" s="149" customFormat="1" x14ac:dyDescent="0.2"/>
    <row r="52" spans="1:1" ht="51" x14ac:dyDescent="0.2">
      <c r="A52" s="149" t="s">
        <v>376</v>
      </c>
    </row>
    <row r="53" spans="1:1" x14ac:dyDescent="0.2">
      <c r="A53" s="149"/>
    </row>
    <row r="54" spans="1:1" ht="25.5" x14ac:dyDescent="0.2">
      <c r="A54" s="149" t="s">
        <v>272</v>
      </c>
    </row>
    <row r="55" spans="1:1" x14ac:dyDescent="0.2">
      <c r="A55" s="149"/>
    </row>
    <row r="56" spans="1:1" ht="38.25" x14ac:dyDescent="0.2">
      <c r="A56" s="148" t="s">
        <v>273</v>
      </c>
    </row>
    <row r="57" spans="1:1" x14ac:dyDescent="0.2">
      <c r="A57" s="149"/>
    </row>
    <row r="58" spans="1:1" x14ac:dyDescent="0.2">
      <c r="A58" s="148" t="s">
        <v>99</v>
      </c>
    </row>
    <row r="59" spans="1:1" x14ac:dyDescent="0.2">
      <c r="A59" s="149"/>
    </row>
    <row r="60" spans="1:1" ht="38.25" x14ac:dyDescent="0.2">
      <c r="A60" s="149" t="s">
        <v>377</v>
      </c>
    </row>
    <row r="61" spans="1:1" x14ac:dyDescent="0.2">
      <c r="A61" s="149"/>
    </row>
    <row r="62" spans="1:1" ht="25.5" x14ac:dyDescent="0.2">
      <c r="A62" s="149" t="s">
        <v>274</v>
      </c>
    </row>
    <row r="63" spans="1:1" x14ac:dyDescent="0.2">
      <c r="A63" s="149"/>
    </row>
    <row r="64" spans="1:1" ht="38.25" x14ac:dyDescent="0.2">
      <c r="A64" s="148" t="s">
        <v>273</v>
      </c>
    </row>
    <row r="65" spans="1:1" x14ac:dyDescent="0.2">
      <c r="A65" s="149"/>
    </row>
    <row r="66" spans="1:1" ht="51" x14ac:dyDescent="0.2">
      <c r="A66" s="148" t="s">
        <v>275</v>
      </c>
    </row>
    <row r="67" spans="1:1" x14ac:dyDescent="0.2">
      <c r="A67" s="149"/>
    </row>
    <row r="68" spans="1:1" x14ac:dyDescent="0.2">
      <c r="A68" s="148" t="s">
        <v>100</v>
      </c>
    </row>
    <row r="69" spans="1:1" x14ac:dyDescent="0.2">
      <c r="A69" s="149"/>
    </row>
    <row r="70" spans="1:1" ht="51" x14ac:dyDescent="0.2">
      <c r="A70" s="149" t="s">
        <v>378</v>
      </c>
    </row>
    <row r="71" spans="1:1" x14ac:dyDescent="0.2">
      <c r="A71" s="149"/>
    </row>
    <row r="72" spans="1:1" ht="38.25" x14ac:dyDescent="0.2">
      <c r="A72" s="149" t="s">
        <v>415</v>
      </c>
    </row>
    <row r="73" spans="1:1" x14ac:dyDescent="0.2">
      <c r="A73" s="149"/>
    </row>
    <row r="74" spans="1:1" ht="25.5" x14ac:dyDescent="0.2">
      <c r="A74" s="149" t="s">
        <v>379</v>
      </c>
    </row>
    <row r="75" spans="1:1" x14ac:dyDescent="0.2">
      <c r="A75" s="149"/>
    </row>
    <row r="76" spans="1:1" ht="76.5" x14ac:dyDescent="0.2">
      <c r="A76" s="149" t="s">
        <v>276</v>
      </c>
    </row>
    <row r="77" spans="1:1" x14ac:dyDescent="0.2">
      <c r="A77" s="149"/>
    </row>
    <row r="78" spans="1:1" x14ac:dyDescent="0.2">
      <c r="A78" s="148" t="s">
        <v>133</v>
      </c>
    </row>
    <row r="79" spans="1:1" x14ac:dyDescent="0.2">
      <c r="A79" s="149"/>
    </row>
    <row r="80" spans="1:1" ht="38.25" x14ac:dyDescent="0.2">
      <c r="A80" s="149" t="s">
        <v>277</v>
      </c>
    </row>
    <row r="81" spans="1:1" x14ac:dyDescent="0.2">
      <c r="A81" s="149"/>
    </row>
    <row r="82" spans="1:1" ht="25.5" x14ac:dyDescent="0.2">
      <c r="A82" s="149" t="s">
        <v>380</v>
      </c>
    </row>
    <row r="83" spans="1:1" x14ac:dyDescent="0.2">
      <c r="A83" s="149"/>
    </row>
    <row r="84" spans="1:1" ht="51" x14ac:dyDescent="0.2">
      <c r="A84" s="149" t="s">
        <v>278</v>
      </c>
    </row>
    <row r="85" spans="1:1" x14ac:dyDescent="0.2">
      <c r="A85" s="149"/>
    </row>
    <row r="86" spans="1:1" ht="38.25" x14ac:dyDescent="0.2">
      <c r="A86" s="149" t="s">
        <v>381</v>
      </c>
    </row>
    <row r="87" spans="1:1" x14ac:dyDescent="0.2">
      <c r="A87" s="149"/>
    </row>
    <row r="88" spans="1:1" ht="51" x14ac:dyDescent="0.2">
      <c r="A88" s="149" t="s">
        <v>279</v>
      </c>
    </row>
    <row r="89" spans="1:1" x14ac:dyDescent="0.2">
      <c r="A89" s="149"/>
    </row>
    <row r="90" spans="1:1" ht="89.25" x14ac:dyDescent="0.2">
      <c r="A90" s="149" t="s">
        <v>382</v>
      </c>
    </row>
    <row r="91" spans="1:1" x14ac:dyDescent="0.2">
      <c r="A91" s="149"/>
    </row>
    <row r="92" spans="1:1" x14ac:dyDescent="0.2">
      <c r="A92" s="148" t="s">
        <v>41</v>
      </c>
    </row>
    <row r="93" spans="1:1" x14ac:dyDescent="0.2">
      <c r="A93" s="149"/>
    </row>
    <row r="94" spans="1:1" ht="38.25" x14ac:dyDescent="0.2">
      <c r="A94" s="149" t="s">
        <v>280</v>
      </c>
    </row>
    <row r="95" spans="1:1" x14ac:dyDescent="0.2">
      <c r="A95" s="149"/>
    </row>
    <row r="96" spans="1:1" ht="51" x14ac:dyDescent="0.2">
      <c r="A96" s="149" t="s">
        <v>416</v>
      </c>
    </row>
    <row r="97" spans="1:1" x14ac:dyDescent="0.2">
      <c r="A97" s="149"/>
    </row>
    <row r="98" spans="1:1" ht="63.75" x14ac:dyDescent="0.2">
      <c r="A98" s="149" t="s">
        <v>406</v>
      </c>
    </row>
    <row r="99" spans="1:1" x14ac:dyDescent="0.2">
      <c r="A99" s="149"/>
    </row>
    <row r="100" spans="1:1" ht="51" x14ac:dyDescent="0.2">
      <c r="A100" s="149" t="s">
        <v>281</v>
      </c>
    </row>
    <row r="101" spans="1:1" x14ac:dyDescent="0.2">
      <c r="A101" s="149"/>
    </row>
    <row r="102" spans="1:1" ht="38.25" x14ac:dyDescent="0.2">
      <c r="A102" s="148" t="s">
        <v>282</v>
      </c>
    </row>
    <row r="103" spans="1:1" x14ac:dyDescent="0.2">
      <c r="A103" s="149"/>
    </row>
    <row r="104" spans="1:1" ht="38.25" x14ac:dyDescent="0.2">
      <c r="A104" s="148" t="s">
        <v>283</v>
      </c>
    </row>
    <row r="105" spans="1:1" x14ac:dyDescent="0.2">
      <c r="A105" s="149"/>
    </row>
    <row r="106" spans="1:1" x14ac:dyDescent="0.2">
      <c r="A106" s="148" t="s">
        <v>247</v>
      </c>
    </row>
    <row r="107" spans="1:1" x14ac:dyDescent="0.2">
      <c r="A107" s="149"/>
    </row>
    <row r="108" spans="1:1" ht="25.5" x14ac:dyDescent="0.2">
      <c r="A108" s="149" t="s">
        <v>284</v>
      </c>
    </row>
    <row r="109" spans="1:1" x14ac:dyDescent="0.2">
      <c r="A109" s="149"/>
    </row>
    <row r="110" spans="1:1" ht="63.75" x14ac:dyDescent="0.2">
      <c r="A110" s="149" t="s">
        <v>285</v>
      </c>
    </row>
    <row r="111" spans="1:1" x14ac:dyDescent="0.2">
      <c r="A111" s="149"/>
    </row>
    <row r="112" spans="1:1" ht="51" x14ac:dyDescent="0.2">
      <c r="A112" s="149" t="s">
        <v>286</v>
      </c>
    </row>
    <row r="113" spans="1:1" x14ac:dyDescent="0.2">
      <c r="A113" s="149"/>
    </row>
    <row r="114" spans="1:1" ht="38.25" x14ac:dyDescent="0.2">
      <c r="A114" s="148" t="s">
        <v>287</v>
      </c>
    </row>
    <row r="115" spans="1:1" x14ac:dyDescent="0.2">
      <c r="A115" s="149"/>
    </row>
    <row r="116" spans="1:1" ht="51" x14ac:dyDescent="0.2">
      <c r="A116" s="148" t="s">
        <v>417</v>
      </c>
    </row>
    <row r="117" spans="1:1" x14ac:dyDescent="0.2">
      <c r="A117" s="149"/>
    </row>
    <row r="118" spans="1:1" x14ac:dyDescent="0.2">
      <c r="A118" s="147" t="s">
        <v>37</v>
      </c>
    </row>
    <row r="119" spans="1:1" x14ac:dyDescent="0.2">
      <c r="A119" s="149"/>
    </row>
    <row r="120" spans="1:1" s="150" customFormat="1" x14ac:dyDescent="0.2">
      <c r="A120" s="149" t="s">
        <v>288</v>
      </c>
    </row>
    <row r="121" spans="1:1" s="150" customFormat="1" x14ac:dyDescent="0.2">
      <c r="A121" s="149"/>
    </row>
    <row r="122" spans="1:1" s="150" customFormat="1" x14ac:dyDescent="0.2">
      <c r="A122" s="148" t="s">
        <v>289</v>
      </c>
    </row>
    <row r="123" spans="1:1" x14ac:dyDescent="0.2">
      <c r="A123" s="148"/>
    </row>
    <row r="124" spans="1:1" ht="38.25" x14ac:dyDescent="0.2">
      <c r="A124" s="149" t="s">
        <v>290</v>
      </c>
    </row>
    <row r="125" spans="1:1" x14ac:dyDescent="0.2">
      <c r="A125" s="148"/>
    </row>
    <row r="126" spans="1:1" ht="51" x14ac:dyDescent="0.2">
      <c r="A126" s="149" t="s">
        <v>291</v>
      </c>
    </row>
    <row r="127" spans="1:1" x14ac:dyDescent="0.2">
      <c r="A127" s="149"/>
    </row>
    <row r="128" spans="1:1" ht="38.25" x14ac:dyDescent="0.2">
      <c r="A128" s="149" t="s">
        <v>292</v>
      </c>
    </row>
    <row r="129" spans="1:1" x14ac:dyDescent="0.2">
      <c r="A129" s="149"/>
    </row>
    <row r="130" spans="1:1" ht="25.5" x14ac:dyDescent="0.2">
      <c r="A130" s="148" t="s">
        <v>293</v>
      </c>
    </row>
    <row r="131" spans="1:1" x14ac:dyDescent="0.2">
      <c r="A131" s="149"/>
    </row>
    <row r="132" spans="1:1" x14ac:dyDescent="0.2">
      <c r="A132" s="148" t="s">
        <v>227</v>
      </c>
    </row>
    <row r="133" spans="1:1" x14ac:dyDescent="0.2">
      <c r="A133" s="149"/>
    </row>
    <row r="134" spans="1:1" ht="38.25" x14ac:dyDescent="0.2">
      <c r="A134" s="149" t="s">
        <v>383</v>
      </c>
    </row>
    <row r="135" spans="1:1" x14ac:dyDescent="0.2">
      <c r="A135" s="149"/>
    </row>
    <row r="136" spans="1:1" ht="63.75" x14ac:dyDescent="0.2">
      <c r="A136" s="149" t="s">
        <v>384</v>
      </c>
    </row>
    <row r="137" spans="1:1" x14ac:dyDescent="0.2">
      <c r="A137" s="149"/>
    </row>
    <row r="138" spans="1:1" ht="25.5" x14ac:dyDescent="0.2">
      <c r="A138" s="148" t="s">
        <v>385</v>
      </c>
    </row>
    <row r="139" spans="1:1" x14ac:dyDescent="0.2">
      <c r="A139" s="149"/>
    </row>
    <row r="140" spans="1:1" x14ac:dyDescent="0.2">
      <c r="A140" s="148" t="s">
        <v>294</v>
      </c>
    </row>
    <row r="141" spans="1:1" x14ac:dyDescent="0.2">
      <c r="A141" s="149"/>
    </row>
    <row r="142" spans="1:1" ht="38.25" x14ac:dyDescent="0.2">
      <c r="A142" s="149" t="s">
        <v>386</v>
      </c>
    </row>
    <row r="143" spans="1:1" x14ac:dyDescent="0.2">
      <c r="A143" s="149"/>
    </row>
    <row r="144" spans="1:1" ht="25.5" x14ac:dyDescent="0.2">
      <c r="A144" s="148" t="s">
        <v>295</v>
      </c>
    </row>
    <row r="145" spans="1:1" x14ac:dyDescent="0.2">
      <c r="A145" s="149"/>
    </row>
    <row r="146" spans="1:1" ht="38.25" x14ac:dyDescent="0.2">
      <c r="A146" s="149" t="s">
        <v>368</v>
      </c>
    </row>
    <row r="147" spans="1:1" x14ac:dyDescent="0.2">
      <c r="A147" s="149"/>
    </row>
    <row r="148" spans="1:1" x14ac:dyDescent="0.2">
      <c r="A148" s="148" t="s">
        <v>296</v>
      </c>
    </row>
    <row r="149" spans="1:1" x14ac:dyDescent="0.2">
      <c r="A149" s="149"/>
    </row>
    <row r="150" spans="1:1" ht="51" x14ac:dyDescent="0.2">
      <c r="A150" s="149" t="s">
        <v>387</v>
      </c>
    </row>
    <row r="151" spans="1:1" x14ac:dyDescent="0.2">
      <c r="A151" s="149"/>
    </row>
    <row r="152" spans="1:1" ht="38.25" x14ac:dyDescent="0.2">
      <c r="A152" s="149" t="s">
        <v>369</v>
      </c>
    </row>
    <row r="153" spans="1:1" x14ac:dyDescent="0.2">
      <c r="A153" s="149"/>
    </row>
    <row r="154" spans="1:1" ht="51" x14ac:dyDescent="0.2">
      <c r="A154" s="149" t="s">
        <v>297</v>
      </c>
    </row>
    <row r="155" spans="1:1" x14ac:dyDescent="0.2">
      <c r="A155" s="149"/>
    </row>
    <row r="156" spans="1:1" ht="51" x14ac:dyDescent="0.2">
      <c r="A156" s="148" t="s">
        <v>298</v>
      </c>
    </row>
    <row r="157" spans="1:1" x14ac:dyDescent="0.2">
      <c r="A157" s="149"/>
    </row>
    <row r="158" spans="1:1" ht="38.25" x14ac:dyDescent="0.2">
      <c r="A158" s="148" t="s">
        <v>299</v>
      </c>
    </row>
    <row r="159" spans="1:1" x14ac:dyDescent="0.2">
      <c r="A159" s="149"/>
    </row>
    <row r="160" spans="1:1" ht="25.5" x14ac:dyDescent="0.2">
      <c r="A160" s="148" t="s">
        <v>300</v>
      </c>
    </row>
    <row r="161" spans="1:1" x14ac:dyDescent="0.2">
      <c r="A161" s="149"/>
    </row>
    <row r="162" spans="1:1" ht="38.25" x14ac:dyDescent="0.2">
      <c r="A162" s="149" t="s">
        <v>370</v>
      </c>
    </row>
    <row r="163" spans="1:1" x14ac:dyDescent="0.2">
      <c r="A163" s="149"/>
    </row>
    <row r="164" spans="1:1" x14ac:dyDescent="0.2">
      <c r="A164" s="148" t="s">
        <v>301</v>
      </c>
    </row>
    <row r="165" spans="1:1" x14ac:dyDescent="0.2">
      <c r="A165" s="149"/>
    </row>
    <row r="166" spans="1:1" ht="63.75" x14ac:dyDescent="0.2">
      <c r="A166" s="149" t="s">
        <v>388</v>
      </c>
    </row>
    <row r="167" spans="1:1" x14ac:dyDescent="0.2">
      <c r="A167" s="149"/>
    </row>
    <row r="168" spans="1:1" ht="25.5" x14ac:dyDescent="0.2">
      <c r="A168" s="148" t="s">
        <v>389</v>
      </c>
    </row>
    <row r="169" spans="1:1" x14ac:dyDescent="0.2">
      <c r="A169" s="149"/>
    </row>
    <row r="170" spans="1:1" x14ac:dyDescent="0.2">
      <c r="A170" s="148" t="s">
        <v>302</v>
      </c>
    </row>
    <row r="171" spans="1:1" x14ac:dyDescent="0.2">
      <c r="A171" s="149"/>
    </row>
    <row r="172" spans="1:1" ht="38.25" x14ac:dyDescent="0.2">
      <c r="A172" s="149" t="s">
        <v>303</v>
      </c>
    </row>
    <row r="173" spans="1:1" x14ac:dyDescent="0.2">
      <c r="A173" s="149"/>
    </row>
    <row r="174" spans="1:1" x14ac:dyDescent="0.2">
      <c r="A174" s="148" t="s">
        <v>304</v>
      </c>
    </row>
    <row r="175" spans="1:1" x14ac:dyDescent="0.2">
      <c r="A175" s="149"/>
    </row>
    <row r="176" spans="1:1" ht="63.75" x14ac:dyDescent="0.2">
      <c r="A176" s="149" t="s">
        <v>390</v>
      </c>
    </row>
    <row r="177" spans="1:1" x14ac:dyDescent="0.2">
      <c r="A177" s="149"/>
    </row>
    <row r="178" spans="1:1" x14ac:dyDescent="0.2">
      <c r="A178" s="148" t="s">
        <v>305</v>
      </c>
    </row>
    <row r="179" spans="1:1" x14ac:dyDescent="0.2">
      <c r="A179" s="149"/>
    </row>
    <row r="180" spans="1:1" ht="25.5" x14ac:dyDescent="0.2">
      <c r="A180" s="149" t="s">
        <v>306</v>
      </c>
    </row>
    <row r="181" spans="1:1" x14ac:dyDescent="0.2">
      <c r="A181" s="149"/>
    </row>
    <row r="182" spans="1:1" x14ac:dyDescent="0.2">
      <c r="A182" s="148" t="s">
        <v>307</v>
      </c>
    </row>
    <row r="183" spans="1:1" x14ac:dyDescent="0.2">
      <c r="A183" s="149"/>
    </row>
    <row r="184" spans="1:1" ht="51" x14ac:dyDescent="0.2">
      <c r="A184" s="149" t="s">
        <v>308</v>
      </c>
    </row>
    <row r="185" spans="1:1" x14ac:dyDescent="0.2">
      <c r="A185" s="149"/>
    </row>
    <row r="186" spans="1:1" ht="51" x14ac:dyDescent="0.2">
      <c r="A186" s="148" t="s">
        <v>309</v>
      </c>
    </row>
    <row r="187" spans="1:1" x14ac:dyDescent="0.2">
      <c r="A187" s="149"/>
    </row>
    <row r="188" spans="1:1" ht="51" x14ac:dyDescent="0.2">
      <c r="A188" s="149" t="s">
        <v>418</v>
      </c>
    </row>
    <row r="189" spans="1:1" x14ac:dyDescent="0.2">
      <c r="A189" s="149"/>
    </row>
    <row r="190" spans="1:1" ht="38.25" x14ac:dyDescent="0.2">
      <c r="A190" s="148" t="s">
        <v>310</v>
      </c>
    </row>
    <row r="191" spans="1:1" x14ac:dyDescent="0.2">
      <c r="A191" s="149"/>
    </row>
    <row r="192" spans="1:1" ht="51" x14ac:dyDescent="0.2">
      <c r="A192" s="149" t="s">
        <v>391</v>
      </c>
    </row>
    <row r="193" spans="1:1" x14ac:dyDescent="0.2">
      <c r="A193" s="149"/>
    </row>
    <row r="194" spans="1:1" ht="38.25" x14ac:dyDescent="0.2">
      <c r="A194" s="149" t="s">
        <v>401</v>
      </c>
    </row>
    <row r="195" spans="1:1" x14ac:dyDescent="0.2">
      <c r="A195" s="147"/>
    </row>
    <row r="196" spans="1:1" x14ac:dyDescent="0.2">
      <c r="A196" s="148" t="s">
        <v>311</v>
      </c>
    </row>
    <row r="197" spans="1:1" x14ac:dyDescent="0.2">
      <c r="A197" s="148"/>
    </row>
    <row r="198" spans="1:1" ht="38.25" x14ac:dyDescent="0.2">
      <c r="A198" s="149" t="s">
        <v>371</v>
      </c>
    </row>
    <row r="199" spans="1:1" x14ac:dyDescent="0.2">
      <c r="A199" s="148"/>
    </row>
    <row r="200" spans="1:1" x14ac:dyDescent="0.2">
      <c r="A200" s="148" t="s">
        <v>312</v>
      </c>
    </row>
    <row r="201" spans="1:1" x14ac:dyDescent="0.2">
      <c r="A201" s="148"/>
    </row>
    <row r="202" spans="1:1" ht="38.25" x14ac:dyDescent="0.2">
      <c r="A202" s="149" t="s">
        <v>313</v>
      </c>
    </row>
    <row r="203" spans="1:1" x14ac:dyDescent="0.2">
      <c r="A203" s="149"/>
    </row>
    <row r="204" spans="1:1" ht="63.75" x14ac:dyDescent="0.2">
      <c r="A204" s="149" t="s">
        <v>392</v>
      </c>
    </row>
    <row r="205" spans="1:1" x14ac:dyDescent="0.2">
      <c r="A205" s="149"/>
    </row>
    <row r="206" spans="1:1" ht="51" x14ac:dyDescent="0.2">
      <c r="A206" s="148" t="s">
        <v>314</v>
      </c>
    </row>
    <row r="207" spans="1:1" x14ac:dyDescent="0.2">
      <c r="A207" s="148"/>
    </row>
    <row r="208" spans="1:1" ht="38.25" x14ac:dyDescent="0.2">
      <c r="A208" s="149" t="s">
        <v>315</v>
      </c>
    </row>
    <row r="209" spans="1:1" x14ac:dyDescent="0.2">
      <c r="A209" s="149"/>
    </row>
    <row r="210" spans="1:1" ht="38.25" x14ac:dyDescent="0.2">
      <c r="A210" s="149" t="s">
        <v>393</v>
      </c>
    </row>
    <row r="211" spans="1:1" x14ac:dyDescent="0.2">
      <c r="A211" s="149"/>
    </row>
    <row r="212" spans="1:1" ht="38.25" x14ac:dyDescent="0.2">
      <c r="A212" s="149" t="s">
        <v>372</v>
      </c>
    </row>
    <row r="213" spans="1:1" x14ac:dyDescent="0.2">
      <c r="A213" s="149"/>
    </row>
    <row r="214" spans="1:1" ht="51" x14ac:dyDescent="0.2">
      <c r="A214" s="149" t="s">
        <v>316</v>
      </c>
    </row>
    <row r="215" spans="1:1" x14ac:dyDescent="0.2">
      <c r="A215" s="149"/>
    </row>
    <row r="216" spans="1:1" ht="63.75" x14ac:dyDescent="0.2">
      <c r="A216" s="148" t="s">
        <v>317</v>
      </c>
    </row>
    <row r="217" spans="1:1" x14ac:dyDescent="0.2">
      <c r="A217" s="149"/>
    </row>
    <row r="218" spans="1:1" ht="51" x14ac:dyDescent="0.2">
      <c r="A218" s="148" t="s">
        <v>318</v>
      </c>
    </row>
    <row r="219" spans="1:1" x14ac:dyDescent="0.2">
      <c r="A219" s="149"/>
    </row>
    <row r="220" spans="1:1" ht="25.5" x14ac:dyDescent="0.2">
      <c r="A220" s="148" t="s">
        <v>319</v>
      </c>
    </row>
    <row r="221" spans="1:1" x14ac:dyDescent="0.2">
      <c r="A221" s="149"/>
    </row>
    <row r="222" spans="1:1" ht="38.25" x14ac:dyDescent="0.2">
      <c r="A222" s="149" t="s">
        <v>373</v>
      </c>
    </row>
    <row r="223" spans="1:1" x14ac:dyDescent="0.2">
      <c r="A223" s="149"/>
    </row>
    <row r="224" spans="1:1" x14ac:dyDescent="0.2">
      <c r="A224" s="148" t="s">
        <v>320</v>
      </c>
    </row>
    <row r="225" spans="1:1" x14ac:dyDescent="0.2">
      <c r="A225" s="149"/>
    </row>
    <row r="226" spans="1:1" ht="51" x14ac:dyDescent="0.2">
      <c r="A226" s="149" t="s">
        <v>321</v>
      </c>
    </row>
    <row r="227" spans="1:1" x14ac:dyDescent="0.2">
      <c r="A227" s="149"/>
    </row>
    <row r="228" spans="1:1" ht="51" x14ac:dyDescent="0.2">
      <c r="A228" s="149" t="s">
        <v>322</v>
      </c>
    </row>
    <row r="229" spans="1:1" x14ac:dyDescent="0.2">
      <c r="A229" s="149"/>
    </row>
    <row r="230" spans="1:1" ht="38.25" x14ac:dyDescent="0.2">
      <c r="A230" s="149" t="s">
        <v>323</v>
      </c>
    </row>
    <row r="231" spans="1:1" x14ac:dyDescent="0.2">
      <c r="A231" s="149"/>
    </row>
    <row r="232" spans="1:1" ht="51" x14ac:dyDescent="0.2">
      <c r="A232" s="149" t="s">
        <v>324</v>
      </c>
    </row>
    <row r="233" spans="1:1" x14ac:dyDescent="0.2">
      <c r="A233" s="149"/>
    </row>
    <row r="234" spans="1:1" ht="38.25" x14ac:dyDescent="0.2">
      <c r="A234" s="148" t="s">
        <v>325</v>
      </c>
    </row>
    <row r="235" spans="1:1" x14ac:dyDescent="0.2">
      <c r="A235" s="149"/>
    </row>
    <row r="236" spans="1:1" ht="25.5" x14ac:dyDescent="0.2">
      <c r="A236" s="148" t="s">
        <v>326</v>
      </c>
    </row>
    <row r="237" spans="1:1" x14ac:dyDescent="0.2">
      <c r="A237" s="149"/>
    </row>
    <row r="238" spans="1:1" ht="38.25" x14ac:dyDescent="0.2">
      <c r="A238" s="149" t="s">
        <v>327</v>
      </c>
    </row>
    <row r="239" spans="1:1" x14ac:dyDescent="0.2">
      <c r="A239" s="149"/>
    </row>
    <row r="240" spans="1:1" ht="63.75" x14ac:dyDescent="0.2">
      <c r="A240" s="148" t="s">
        <v>374</v>
      </c>
    </row>
    <row r="241" spans="1:1" x14ac:dyDescent="0.2">
      <c r="A241" s="149"/>
    </row>
    <row r="242" spans="1:1" ht="51" x14ac:dyDescent="0.2">
      <c r="A242" s="149" t="s">
        <v>328</v>
      </c>
    </row>
    <row r="243" spans="1:1" x14ac:dyDescent="0.2">
      <c r="A243" s="149"/>
    </row>
    <row r="244" spans="1:1" ht="25.5" x14ac:dyDescent="0.2">
      <c r="A244" s="149" t="s">
        <v>329</v>
      </c>
    </row>
    <row r="245" spans="1:1" x14ac:dyDescent="0.2">
      <c r="A245" s="149"/>
    </row>
    <row r="246" spans="1:1" ht="25.5" x14ac:dyDescent="0.2">
      <c r="A246" s="148" t="s">
        <v>330</v>
      </c>
    </row>
    <row r="247" spans="1:1" x14ac:dyDescent="0.2">
      <c r="A247" s="149"/>
    </row>
    <row r="248" spans="1:1" ht="38.25" x14ac:dyDescent="0.2">
      <c r="A248" s="148" t="s">
        <v>331</v>
      </c>
    </row>
    <row r="249" spans="1:1" x14ac:dyDescent="0.2">
      <c r="A249" s="148"/>
    </row>
    <row r="250" spans="1:1" ht="25.5" x14ac:dyDescent="0.2">
      <c r="A250" s="149" t="s">
        <v>407</v>
      </c>
    </row>
    <row r="251" spans="1:1" x14ac:dyDescent="0.2">
      <c r="A251" s="149"/>
    </row>
    <row r="252" spans="1:1" x14ac:dyDescent="0.2">
      <c r="A252" s="148" t="s">
        <v>332</v>
      </c>
    </row>
    <row r="253" spans="1:1" x14ac:dyDescent="0.2">
      <c r="A253" s="149"/>
    </row>
    <row r="254" spans="1:1" ht="51" x14ac:dyDescent="0.2">
      <c r="A254" s="149" t="s">
        <v>333</v>
      </c>
    </row>
    <row r="255" spans="1:1" x14ac:dyDescent="0.2">
      <c r="A255" s="149"/>
    </row>
    <row r="256" spans="1:1" ht="38.25" x14ac:dyDescent="0.2">
      <c r="A256" s="149" t="s">
        <v>334</v>
      </c>
    </row>
    <row r="257" spans="1:1" x14ac:dyDescent="0.2">
      <c r="A257" s="149"/>
    </row>
    <row r="258" spans="1:1" ht="63.75" x14ac:dyDescent="0.2">
      <c r="A258" s="149" t="s">
        <v>395</v>
      </c>
    </row>
    <row r="259" spans="1:1" x14ac:dyDescent="0.2">
      <c r="A259" s="149"/>
    </row>
    <row r="260" spans="1:1" ht="51" x14ac:dyDescent="0.2">
      <c r="A260" s="149" t="s">
        <v>335</v>
      </c>
    </row>
    <row r="261" spans="1:1" x14ac:dyDescent="0.2">
      <c r="A261" s="149"/>
    </row>
    <row r="262" spans="1:1" ht="51" x14ac:dyDescent="0.2">
      <c r="A262" s="148" t="s">
        <v>336</v>
      </c>
    </row>
    <row r="263" spans="1:1" x14ac:dyDescent="0.2">
      <c r="A263" s="149"/>
    </row>
    <row r="264" spans="1:1" ht="51" x14ac:dyDescent="0.2">
      <c r="A264" s="149" t="s">
        <v>396</v>
      </c>
    </row>
    <row r="265" spans="1:1" x14ac:dyDescent="0.2">
      <c r="A265" s="149"/>
    </row>
    <row r="266" spans="1:1" ht="38.25" x14ac:dyDescent="0.2">
      <c r="A266" s="149" t="s">
        <v>337</v>
      </c>
    </row>
    <row r="267" spans="1:1" x14ac:dyDescent="0.2">
      <c r="A267" s="149"/>
    </row>
    <row r="268" spans="1:1" ht="38.25" x14ac:dyDescent="0.2">
      <c r="A268" s="148" t="s">
        <v>338</v>
      </c>
    </row>
    <row r="269" spans="1:1" x14ac:dyDescent="0.2">
      <c r="A269" s="149"/>
    </row>
    <row r="270" spans="1:1" ht="51" x14ac:dyDescent="0.2">
      <c r="A270" s="148" t="s">
        <v>419</v>
      </c>
    </row>
    <row r="271" spans="1:1" x14ac:dyDescent="0.2">
      <c r="A271" s="149"/>
    </row>
    <row r="272" spans="1:1" ht="38.25" x14ac:dyDescent="0.2">
      <c r="A272" s="148" t="s">
        <v>339</v>
      </c>
    </row>
    <row r="273" spans="1:1" x14ac:dyDescent="0.2">
      <c r="A273" s="149"/>
    </row>
    <row r="274" spans="1:1" ht="51" x14ac:dyDescent="0.2">
      <c r="A274" s="149" t="s">
        <v>375</v>
      </c>
    </row>
    <row r="275" spans="1:1" x14ac:dyDescent="0.2">
      <c r="A275" s="149"/>
    </row>
    <row r="276" spans="1:1" ht="25.5" x14ac:dyDescent="0.2">
      <c r="A276" s="149" t="s">
        <v>420</v>
      </c>
    </row>
    <row r="277" spans="1:1" x14ac:dyDescent="0.2">
      <c r="A277" s="149"/>
    </row>
    <row r="278" spans="1:1" x14ac:dyDescent="0.2">
      <c r="A278" s="148" t="s">
        <v>340</v>
      </c>
    </row>
    <row r="279" spans="1:1" x14ac:dyDescent="0.2">
      <c r="A279" s="149"/>
    </row>
    <row r="280" spans="1:1" ht="63.75" x14ac:dyDescent="0.2">
      <c r="A280" s="149" t="s">
        <v>397</v>
      </c>
    </row>
    <row r="281" spans="1:1" x14ac:dyDescent="0.2">
      <c r="A281" s="149"/>
    </row>
    <row r="282" spans="1:1" x14ac:dyDescent="0.2">
      <c r="A282" s="148" t="s">
        <v>341</v>
      </c>
    </row>
    <row r="283" spans="1:1" x14ac:dyDescent="0.2">
      <c r="A283" s="149"/>
    </row>
    <row r="284" spans="1:1" ht="25.5" x14ac:dyDescent="0.2">
      <c r="A284" s="149" t="s">
        <v>342</v>
      </c>
    </row>
    <row r="285" spans="1:1" x14ac:dyDescent="0.2">
      <c r="A285" s="149"/>
    </row>
    <row r="286" spans="1:1" ht="51" x14ac:dyDescent="0.2">
      <c r="A286" s="149" t="s">
        <v>398</v>
      </c>
    </row>
    <row r="287" spans="1:1" x14ac:dyDescent="0.2">
      <c r="A287" s="149"/>
    </row>
    <row r="288" spans="1:1" ht="38.25" x14ac:dyDescent="0.2">
      <c r="A288" s="149" t="s">
        <v>343</v>
      </c>
    </row>
    <row r="289" spans="1:1" x14ac:dyDescent="0.2">
      <c r="A289" s="149"/>
    </row>
    <row r="290" spans="1:1" ht="51" x14ac:dyDescent="0.2">
      <c r="A290" s="149" t="s">
        <v>344</v>
      </c>
    </row>
    <row r="291" spans="1:1" x14ac:dyDescent="0.2">
      <c r="A291" s="149"/>
    </row>
    <row r="292" spans="1:1" ht="51" x14ac:dyDescent="0.2">
      <c r="A292" s="148" t="s">
        <v>408</v>
      </c>
    </row>
    <row r="293" spans="1:1" x14ac:dyDescent="0.2">
      <c r="A293" s="149"/>
    </row>
    <row r="294" spans="1:1" ht="51" x14ac:dyDescent="0.2">
      <c r="A294" s="149" t="s">
        <v>345</v>
      </c>
    </row>
    <row r="295" spans="1:1" x14ac:dyDescent="0.2">
      <c r="A295" s="149"/>
    </row>
    <row r="296" spans="1:1" ht="38.25" x14ac:dyDescent="0.2">
      <c r="A296" s="149" t="s">
        <v>346</v>
      </c>
    </row>
    <row r="297" spans="1:1" x14ac:dyDescent="0.2">
      <c r="A297" s="149"/>
    </row>
    <row r="298" spans="1:1" ht="38.25" x14ac:dyDescent="0.2">
      <c r="A298" s="148" t="s">
        <v>347</v>
      </c>
    </row>
    <row r="299" spans="1:1" x14ac:dyDescent="0.2">
      <c r="A299" s="148"/>
    </row>
    <row r="300" spans="1:1" ht="63.75" x14ac:dyDescent="0.2">
      <c r="A300" s="148" t="s">
        <v>421</v>
      </c>
    </row>
    <row r="301" spans="1:1" x14ac:dyDescent="0.2">
      <c r="A301" s="148"/>
    </row>
    <row r="302" spans="1:1" ht="89.25" x14ac:dyDescent="0.2">
      <c r="A302" s="148" t="s">
        <v>422</v>
      </c>
    </row>
    <row r="303" spans="1:1" x14ac:dyDescent="0.2">
      <c r="A303" s="148"/>
    </row>
    <row r="304" spans="1:1" ht="38.25" x14ac:dyDescent="0.2">
      <c r="A304" s="149" t="s">
        <v>399</v>
      </c>
    </row>
    <row r="305" spans="1:1" x14ac:dyDescent="0.2">
      <c r="A305" s="149"/>
    </row>
    <row r="306" spans="1:1" x14ac:dyDescent="0.2">
      <c r="A306" s="148" t="s">
        <v>348</v>
      </c>
    </row>
    <row r="307" spans="1:1" x14ac:dyDescent="0.2">
      <c r="A307" s="149"/>
    </row>
    <row r="308" spans="1:1" ht="51" x14ac:dyDescent="0.2">
      <c r="A308" s="149" t="s">
        <v>349</v>
      </c>
    </row>
    <row r="309" spans="1:1" x14ac:dyDescent="0.2">
      <c r="A309" s="149"/>
    </row>
    <row r="310" spans="1:1" ht="25.5" x14ac:dyDescent="0.2">
      <c r="A310" s="149" t="s">
        <v>423</v>
      </c>
    </row>
    <row r="311" spans="1:1" x14ac:dyDescent="0.2">
      <c r="A311" s="149"/>
    </row>
    <row r="312" spans="1:1" ht="51" x14ac:dyDescent="0.2">
      <c r="A312" s="149" t="s">
        <v>350</v>
      </c>
    </row>
    <row r="313" spans="1:1" x14ac:dyDescent="0.2">
      <c r="A313" s="149"/>
    </row>
    <row r="314" spans="1:1" ht="76.5" x14ac:dyDescent="0.2">
      <c r="A314" s="148" t="s">
        <v>351</v>
      </c>
    </row>
    <row r="315" spans="1:1" x14ac:dyDescent="0.2">
      <c r="A315" s="149"/>
    </row>
    <row r="316" spans="1:1" ht="38.25" x14ac:dyDescent="0.2">
      <c r="A316" s="149" t="s">
        <v>352</v>
      </c>
    </row>
    <row r="317" spans="1:1" x14ac:dyDescent="0.2">
      <c r="A317" s="149"/>
    </row>
    <row r="318" spans="1:1" ht="38.25" x14ac:dyDescent="0.2">
      <c r="A318" s="149" t="s">
        <v>353</v>
      </c>
    </row>
    <row r="319" spans="1:1" x14ac:dyDescent="0.2">
      <c r="A319" s="149"/>
    </row>
    <row r="320" spans="1:1" ht="38.25" x14ac:dyDescent="0.2">
      <c r="A320" s="149" t="s">
        <v>354</v>
      </c>
    </row>
    <row r="321" spans="1:1" x14ac:dyDescent="0.2">
      <c r="A321" s="149"/>
    </row>
    <row r="322" spans="1:1" ht="38.25" x14ac:dyDescent="0.2">
      <c r="A322" s="149" t="s">
        <v>424</v>
      </c>
    </row>
    <row r="323" spans="1:1" x14ac:dyDescent="0.2">
      <c r="A323" s="149"/>
    </row>
    <row r="324" spans="1:1" ht="38.25" x14ac:dyDescent="0.2">
      <c r="A324" s="148" t="s">
        <v>355</v>
      </c>
    </row>
    <row r="325" spans="1:1" x14ac:dyDescent="0.2">
      <c r="A325" s="149"/>
    </row>
    <row r="326" spans="1:1" ht="51" x14ac:dyDescent="0.2">
      <c r="A326" s="148" t="s">
        <v>356</v>
      </c>
    </row>
    <row r="327" spans="1:1" x14ac:dyDescent="0.2">
      <c r="A327" s="149"/>
    </row>
    <row r="328" spans="1:1" ht="63.75" x14ac:dyDescent="0.2">
      <c r="A328" s="148" t="s">
        <v>357</v>
      </c>
    </row>
    <row r="329" spans="1:1" x14ac:dyDescent="0.2">
      <c r="A329" s="149"/>
    </row>
    <row r="330" spans="1:1" ht="25.5" x14ac:dyDescent="0.2">
      <c r="A330" s="149" t="s">
        <v>400</v>
      </c>
    </row>
    <row r="331" spans="1:1" x14ac:dyDescent="0.2">
      <c r="A331" s="148"/>
    </row>
    <row r="332" spans="1:1" x14ac:dyDescent="0.2">
      <c r="A332" s="148" t="s">
        <v>358</v>
      </c>
    </row>
    <row r="333" spans="1:1" x14ac:dyDescent="0.2">
      <c r="A333" s="148"/>
    </row>
    <row r="334" spans="1:1" ht="51" x14ac:dyDescent="0.2">
      <c r="A334" s="149" t="s">
        <v>402</v>
      </c>
    </row>
    <row r="335" spans="1:1" x14ac:dyDescent="0.2">
      <c r="A335" s="148"/>
    </row>
    <row r="336" spans="1:1" ht="25.5" x14ac:dyDescent="0.2">
      <c r="A336" s="149" t="s">
        <v>359</v>
      </c>
    </row>
    <row r="337" spans="1:1" x14ac:dyDescent="0.2">
      <c r="A337" s="148"/>
    </row>
    <row r="338" spans="1:1" ht="38.25" x14ac:dyDescent="0.2">
      <c r="A338" s="149" t="s">
        <v>360</v>
      </c>
    </row>
    <row r="339" spans="1:1" x14ac:dyDescent="0.2">
      <c r="A339" s="148"/>
    </row>
    <row r="340" spans="1:1" x14ac:dyDescent="0.2">
      <c r="A340" s="148" t="s">
        <v>361</v>
      </c>
    </row>
    <row r="341" spans="1:1" x14ac:dyDescent="0.2">
      <c r="A341" s="149"/>
    </row>
    <row r="342" spans="1:1" ht="51" x14ac:dyDescent="0.2">
      <c r="A342" s="149" t="s">
        <v>425</v>
      </c>
    </row>
    <row r="343" spans="1:1" x14ac:dyDescent="0.2">
      <c r="A343" s="149"/>
    </row>
    <row r="344" spans="1:1" x14ac:dyDescent="0.2">
      <c r="A344" s="147" t="s">
        <v>91</v>
      </c>
    </row>
    <row r="345" spans="1:1" x14ac:dyDescent="0.2">
      <c r="A345" s="149"/>
    </row>
    <row r="346" spans="1:1" ht="25.5" x14ac:dyDescent="0.2">
      <c r="A346" s="149" t="s">
        <v>403</v>
      </c>
    </row>
    <row r="347" spans="1:1" x14ac:dyDescent="0.2">
      <c r="A347" s="149"/>
    </row>
    <row r="348" spans="1:1" ht="25.5" x14ac:dyDescent="0.2">
      <c r="A348" s="149" t="s">
        <v>404</v>
      </c>
    </row>
    <row r="349" spans="1:1" x14ac:dyDescent="0.2">
      <c r="A349" s="149"/>
    </row>
    <row r="350" spans="1:1" x14ac:dyDescent="0.2">
      <c r="A350" s="147" t="s">
        <v>362</v>
      </c>
    </row>
    <row r="351" spans="1:1" x14ac:dyDescent="0.2">
      <c r="A351" s="149"/>
    </row>
    <row r="352" spans="1:1" ht="38.25" x14ac:dyDescent="0.2">
      <c r="A352" s="149" t="s">
        <v>405</v>
      </c>
    </row>
    <row r="353" spans="1:1" x14ac:dyDescent="0.2">
      <c r="A353" s="149"/>
    </row>
    <row r="354" spans="1:1" ht="38.25" x14ac:dyDescent="0.2">
      <c r="A354" s="148" t="s">
        <v>363</v>
      </c>
    </row>
    <row r="355" spans="1:1" x14ac:dyDescent="0.2">
      <c r="A355" s="149"/>
    </row>
    <row r="356" spans="1:1" x14ac:dyDescent="0.2">
      <c r="A356" s="151" t="s">
        <v>31</v>
      </c>
    </row>
    <row r="357" spans="1:1" x14ac:dyDescent="0.2">
      <c r="A357" s="149"/>
    </row>
    <row r="358" spans="1:1" ht="63.75" x14ac:dyDescent="0.2">
      <c r="A358" s="149" t="s">
        <v>0</v>
      </c>
    </row>
    <row r="359" spans="1:1" x14ac:dyDescent="0.2">
      <c r="A359" s="149"/>
    </row>
    <row r="360" spans="1:1" x14ac:dyDescent="0.2">
      <c r="A360" s="147" t="s">
        <v>92</v>
      </c>
    </row>
    <row r="361" spans="1:1" x14ac:dyDescent="0.2">
      <c r="A361" s="147"/>
    </row>
    <row r="362" spans="1:1" ht="76.5" x14ac:dyDescent="0.2">
      <c r="A362" s="149" t="s">
        <v>93</v>
      </c>
    </row>
  </sheetData>
  <sheetProtection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08"/>
  <sheetViews>
    <sheetView zoomScale="95" zoomScaleNormal="95" workbookViewId="0">
      <selection activeCell="C4" sqref="C4:E4"/>
    </sheetView>
  </sheetViews>
  <sheetFormatPr defaultColWidth="9.140625" defaultRowHeight="16.149999999999999" customHeight="1" x14ac:dyDescent="0.3"/>
  <cols>
    <col min="1" max="1" width="5.7109375" style="118" customWidth="1"/>
    <col min="2" max="2" width="40.7109375" style="12" customWidth="1"/>
    <col min="3" max="3" width="15.7109375" style="17" customWidth="1"/>
    <col min="4" max="7" width="15.7109375" style="21" customWidth="1"/>
    <col min="8" max="8" width="8.7109375" style="21" customWidth="1"/>
    <col min="9" max="9" width="15.7109375" style="21" customWidth="1"/>
    <col min="10" max="15" width="15.7109375" style="12" customWidth="1"/>
    <col min="16" max="16384" width="9.140625" style="12"/>
  </cols>
  <sheetData>
    <row r="1" spans="1:9" s="6" customFormat="1" ht="16.149999999999999" customHeight="1" x14ac:dyDescent="0.3">
      <c r="A1" s="118"/>
      <c r="B1" s="117" t="str">
        <f>IF(ISBLANK(Assumptions!$C$4),"Example Limited",Assumptions!$C$4)</f>
        <v>Example (Pty) Limited</v>
      </c>
      <c r="C1" s="4"/>
      <c r="D1" s="5"/>
      <c r="E1" s="5"/>
      <c r="F1" s="5"/>
      <c r="G1" s="5"/>
      <c r="H1" s="5"/>
      <c r="I1" s="5"/>
    </row>
    <row r="2" spans="1:9" s="6" customFormat="1" ht="16.149999999999999" customHeight="1" x14ac:dyDescent="0.3">
      <c r="A2" s="118"/>
      <c r="B2" s="7" t="s">
        <v>67</v>
      </c>
      <c r="C2" s="4"/>
      <c r="D2" s="5"/>
      <c r="E2" s="5"/>
      <c r="F2" s="5"/>
      <c r="G2" s="5"/>
      <c r="H2" s="5"/>
      <c r="I2" s="5"/>
    </row>
    <row r="3" spans="1:9" s="6" customFormat="1" ht="16.149999999999999" customHeight="1" x14ac:dyDescent="0.3">
      <c r="A3" s="118"/>
      <c r="B3" s="8" t="s">
        <v>59</v>
      </c>
      <c r="C3" s="5"/>
      <c r="D3" s="5"/>
      <c r="E3" s="5"/>
      <c r="F3" s="5"/>
      <c r="G3" s="5"/>
      <c r="H3" s="5"/>
      <c r="I3" s="5"/>
    </row>
    <row r="4" spans="1:9" s="6" customFormat="1" ht="16.149999999999999" customHeight="1" x14ac:dyDescent="0.3">
      <c r="A4" s="118"/>
      <c r="B4" s="9" t="s">
        <v>66</v>
      </c>
      <c r="C4" s="154" t="s">
        <v>258</v>
      </c>
      <c r="D4" s="155"/>
      <c r="E4" s="156"/>
      <c r="F4" s="5"/>
      <c r="G4" s="5"/>
      <c r="H4" s="5"/>
      <c r="I4" s="5"/>
    </row>
    <row r="5" spans="1:9" s="6" customFormat="1" ht="16.149999999999999" customHeight="1" x14ac:dyDescent="0.3">
      <c r="A5" s="118"/>
      <c r="B5" s="3" t="s">
        <v>94</v>
      </c>
      <c r="C5" s="10">
        <v>44256</v>
      </c>
      <c r="D5" s="11"/>
      <c r="E5" s="11"/>
      <c r="F5" s="5"/>
      <c r="G5" s="5"/>
      <c r="H5" s="5"/>
      <c r="I5" s="5"/>
    </row>
    <row r="6" spans="1:9" s="6" customFormat="1" ht="16.149999999999999" customHeight="1" x14ac:dyDescent="0.3">
      <c r="A6" s="118"/>
      <c r="B6" s="8"/>
      <c r="C6" s="5"/>
      <c r="D6" s="5"/>
      <c r="E6" s="5"/>
      <c r="F6" s="5"/>
      <c r="G6" s="5"/>
      <c r="H6" s="5"/>
      <c r="I6" s="5"/>
    </row>
    <row r="7" spans="1:9" s="6" customFormat="1" ht="16.149999999999999" customHeight="1" x14ac:dyDescent="0.3">
      <c r="A7" s="118"/>
      <c r="B7" s="3" t="s">
        <v>95</v>
      </c>
      <c r="C7" s="12"/>
      <c r="D7" s="13"/>
      <c r="E7" s="13"/>
      <c r="F7" s="13"/>
      <c r="G7" s="14"/>
      <c r="H7" s="5"/>
      <c r="I7" s="5"/>
    </row>
    <row r="8" spans="1:9" s="6" customFormat="1" ht="16.149999999999999" customHeight="1" x14ac:dyDescent="0.3">
      <c r="A8" s="118"/>
      <c r="B8" s="7" t="s">
        <v>105</v>
      </c>
      <c r="C8" s="12"/>
      <c r="D8" s="13"/>
      <c r="E8" s="13"/>
      <c r="F8" s="13"/>
      <c r="G8" s="14"/>
      <c r="H8" s="5"/>
      <c r="I8" s="5"/>
    </row>
    <row r="9" spans="1:9" s="6" customFormat="1" ht="16.149999999999999" customHeight="1" x14ac:dyDescent="0.3">
      <c r="A9" s="118"/>
      <c r="B9" s="7" t="s">
        <v>132</v>
      </c>
      <c r="C9" s="12"/>
      <c r="D9" s="13"/>
      <c r="E9" s="13"/>
      <c r="F9" s="13"/>
      <c r="G9" s="14"/>
      <c r="H9" s="5"/>
      <c r="I9" s="5"/>
    </row>
    <row r="10" spans="1:9" s="6" customFormat="1" ht="16.149999999999999" customHeight="1" x14ac:dyDescent="0.3">
      <c r="A10" s="118"/>
      <c r="B10" s="3" t="s">
        <v>1</v>
      </c>
      <c r="C10" s="15"/>
      <c r="D10" s="16" t="s">
        <v>3</v>
      </c>
      <c r="E10" s="16" t="s">
        <v>4</v>
      </c>
      <c r="F10" s="16" t="s">
        <v>50</v>
      </c>
      <c r="G10" s="16" t="s">
        <v>51</v>
      </c>
      <c r="H10" s="5"/>
      <c r="I10" s="5"/>
    </row>
    <row r="11" spans="1:9" s="6" customFormat="1" ht="16.149999999999999" customHeight="1" x14ac:dyDescent="0.3">
      <c r="A11" s="118"/>
      <c r="B11" s="7" t="s">
        <v>96</v>
      </c>
      <c r="C11" s="17"/>
      <c r="D11" s="18">
        <v>0.08</v>
      </c>
      <c r="E11" s="18">
        <v>0.08</v>
      </c>
      <c r="F11" s="18">
        <v>0.1</v>
      </c>
      <c r="G11" s="18">
        <v>0.1</v>
      </c>
      <c r="H11" s="5"/>
      <c r="I11" s="5"/>
    </row>
    <row r="12" spans="1:9" s="6" customFormat="1" ht="16.149999999999999" customHeight="1" x14ac:dyDescent="0.3">
      <c r="A12" s="118"/>
      <c r="B12" s="3" t="s">
        <v>5</v>
      </c>
      <c r="C12" s="19"/>
      <c r="D12" s="16"/>
      <c r="E12" s="16"/>
      <c r="F12" s="16"/>
      <c r="G12" s="16"/>
      <c r="H12" s="5"/>
      <c r="I12" s="5"/>
    </row>
    <row r="13" spans="1:9" s="6" customFormat="1" ht="16.149999999999999" customHeight="1" x14ac:dyDescent="0.3">
      <c r="A13" s="118"/>
      <c r="B13" s="7" t="s">
        <v>115</v>
      </c>
      <c r="C13" s="17"/>
      <c r="D13" s="12"/>
      <c r="E13" s="12"/>
      <c r="F13" s="12"/>
      <c r="G13" s="12"/>
      <c r="H13" s="5"/>
      <c r="I13" s="5"/>
    </row>
    <row r="14" spans="1:9" s="6" customFormat="1" ht="16.149999999999999" customHeight="1" x14ac:dyDescent="0.3">
      <c r="A14" s="118"/>
      <c r="B14" s="7" t="s">
        <v>116</v>
      </c>
      <c r="C14" s="17"/>
      <c r="D14" s="12"/>
      <c r="E14" s="12"/>
      <c r="F14" s="12"/>
      <c r="G14" s="12"/>
      <c r="H14" s="5"/>
      <c r="I14" s="5"/>
    </row>
    <row r="15" spans="1:9" s="6" customFormat="1" ht="16.149999999999999" customHeight="1" x14ac:dyDescent="0.3">
      <c r="A15" s="118"/>
      <c r="B15" s="3" t="s">
        <v>97</v>
      </c>
      <c r="C15" s="19"/>
      <c r="H15" s="5"/>
      <c r="I15" s="5"/>
    </row>
    <row r="16" spans="1:9" s="6" customFormat="1" ht="16.149999999999999" customHeight="1" x14ac:dyDescent="0.3">
      <c r="A16" s="118"/>
      <c r="B16" s="7" t="s">
        <v>117</v>
      </c>
      <c r="C16" s="17"/>
      <c r="D16" s="20"/>
      <c r="E16" s="21"/>
      <c r="F16" s="21"/>
      <c r="G16" s="21"/>
      <c r="H16" s="5"/>
      <c r="I16" s="5"/>
    </row>
    <row r="17" spans="1:9" s="6" customFormat="1" ht="16.149999999999999" customHeight="1" x14ac:dyDescent="0.3">
      <c r="A17" s="118"/>
      <c r="B17" s="7" t="s">
        <v>118</v>
      </c>
      <c r="C17" s="17"/>
      <c r="D17" s="16" t="s">
        <v>3</v>
      </c>
      <c r="E17" s="16" t="s">
        <v>4</v>
      </c>
      <c r="F17" s="16" t="s">
        <v>50</v>
      </c>
      <c r="G17" s="16" t="s">
        <v>51</v>
      </c>
      <c r="H17" s="5"/>
      <c r="I17" s="5"/>
    </row>
    <row r="18" spans="1:9" s="6" customFormat="1" ht="16.149999999999999" customHeight="1" x14ac:dyDescent="0.3">
      <c r="A18" s="118"/>
      <c r="B18" s="7" t="s">
        <v>98</v>
      </c>
      <c r="C18" s="17"/>
      <c r="D18" s="18">
        <v>0.06</v>
      </c>
      <c r="E18" s="18">
        <v>0.06</v>
      </c>
      <c r="F18" s="18">
        <v>0.06</v>
      </c>
      <c r="G18" s="18">
        <v>0.06</v>
      </c>
      <c r="H18" s="5"/>
      <c r="I18" s="5"/>
    </row>
    <row r="19" spans="1:9" s="6" customFormat="1" ht="16.149999999999999" customHeight="1" x14ac:dyDescent="0.3">
      <c r="A19" s="118"/>
      <c r="B19" s="3" t="s">
        <v>99</v>
      </c>
      <c r="C19" s="19"/>
      <c r="D19" s="16"/>
      <c r="E19" s="16"/>
      <c r="F19" s="16"/>
      <c r="G19" s="16"/>
      <c r="H19" s="5"/>
      <c r="I19" s="5"/>
    </row>
    <row r="20" spans="1:9" s="6" customFormat="1" ht="16.149999999999999" customHeight="1" x14ac:dyDescent="0.3">
      <c r="A20" s="118"/>
      <c r="B20" s="7" t="s">
        <v>119</v>
      </c>
      <c r="C20" s="17"/>
      <c r="D20" s="20"/>
      <c r="E20" s="21"/>
      <c r="F20" s="21"/>
      <c r="G20" s="21"/>
      <c r="H20" s="5"/>
      <c r="I20" s="5"/>
    </row>
    <row r="21" spans="1:9" s="6" customFormat="1" ht="16.149999999999999" customHeight="1" x14ac:dyDescent="0.3">
      <c r="A21" s="118"/>
      <c r="B21" s="7" t="s">
        <v>120</v>
      </c>
      <c r="C21" s="17"/>
      <c r="D21" s="20"/>
      <c r="E21" s="21"/>
      <c r="F21" s="21"/>
      <c r="G21" s="21"/>
      <c r="H21" s="5"/>
      <c r="I21" s="5"/>
    </row>
    <row r="22" spans="1:9" s="6" customFormat="1" ht="16.149999999999999" customHeight="1" x14ac:dyDescent="0.3">
      <c r="A22" s="118"/>
      <c r="B22" s="3" t="s">
        <v>100</v>
      </c>
      <c r="C22" s="19"/>
      <c r="D22" s="16" t="s">
        <v>3</v>
      </c>
      <c r="E22" s="16" t="s">
        <v>4</v>
      </c>
      <c r="F22" s="16" t="s">
        <v>50</v>
      </c>
      <c r="G22" s="16" t="s">
        <v>51</v>
      </c>
      <c r="H22" s="5"/>
      <c r="I22" s="5"/>
    </row>
    <row r="23" spans="1:9" s="6" customFormat="1" ht="16.149999999999999" customHeight="1" x14ac:dyDescent="0.3">
      <c r="A23" s="118"/>
      <c r="B23" s="7" t="s">
        <v>130</v>
      </c>
      <c r="C23" s="19"/>
      <c r="D23" s="16"/>
      <c r="E23" s="16"/>
      <c r="F23" s="16"/>
      <c r="G23" s="16"/>
      <c r="H23" s="5"/>
      <c r="I23" s="5"/>
    </row>
    <row r="24" spans="1:9" s="6" customFormat="1" ht="16.149999999999999" customHeight="1" x14ac:dyDescent="0.3">
      <c r="A24" s="118"/>
      <c r="B24" s="7" t="s">
        <v>131</v>
      </c>
      <c r="C24" s="19"/>
      <c r="D24" s="16"/>
      <c r="E24" s="16"/>
      <c r="F24" s="16"/>
      <c r="G24" s="16"/>
      <c r="H24" s="5"/>
      <c r="I24" s="5"/>
    </row>
    <row r="25" spans="1:9" s="6" customFormat="1" ht="16.149999999999999" customHeight="1" x14ac:dyDescent="0.3">
      <c r="A25" s="118"/>
      <c r="B25" s="7" t="s">
        <v>101</v>
      </c>
      <c r="C25" s="17"/>
      <c r="D25" s="22">
        <v>263000</v>
      </c>
      <c r="E25" s="22">
        <v>307000</v>
      </c>
      <c r="F25" s="22">
        <v>250000</v>
      </c>
      <c r="G25" s="22">
        <v>275000</v>
      </c>
      <c r="H25" s="5"/>
      <c r="I25" s="5"/>
    </row>
    <row r="26" spans="1:9" s="6" customFormat="1" ht="16.149999999999999" customHeight="1" x14ac:dyDescent="0.3">
      <c r="A26" s="118"/>
      <c r="B26" s="7" t="s">
        <v>102</v>
      </c>
      <c r="C26" s="17"/>
      <c r="D26" s="22">
        <v>12000</v>
      </c>
      <c r="E26" s="22">
        <v>12000</v>
      </c>
      <c r="F26" s="22">
        <v>12000</v>
      </c>
      <c r="G26" s="22">
        <v>12000</v>
      </c>
      <c r="H26" s="5"/>
      <c r="I26" s="5"/>
    </row>
    <row r="27" spans="1:9" s="6" customFormat="1" ht="16.149999999999999" customHeight="1" x14ac:dyDescent="0.3">
      <c r="A27" s="118"/>
      <c r="B27" s="3" t="s">
        <v>103</v>
      </c>
      <c r="C27" s="17"/>
      <c r="D27" s="12"/>
      <c r="E27" s="12"/>
      <c r="F27" s="12"/>
      <c r="G27" s="12"/>
      <c r="H27" s="5"/>
      <c r="I27" s="5"/>
    </row>
    <row r="28" spans="1:9" s="6" customFormat="1" ht="16.149999999999999" customHeight="1" x14ac:dyDescent="0.3">
      <c r="A28" s="118"/>
      <c r="B28" s="7" t="s">
        <v>104</v>
      </c>
      <c r="C28" s="17"/>
      <c r="D28" s="12"/>
      <c r="E28" s="12"/>
      <c r="F28" s="12"/>
      <c r="G28" s="12"/>
      <c r="H28" s="5"/>
      <c r="I28" s="5"/>
    </row>
    <row r="29" spans="1:9" s="6" customFormat="1" ht="16.149999999999999" customHeight="1" x14ac:dyDescent="0.3">
      <c r="A29" s="118"/>
      <c r="B29" s="8"/>
      <c r="C29" s="5"/>
      <c r="D29" s="5"/>
      <c r="E29" s="5"/>
      <c r="F29" s="5"/>
      <c r="G29" s="5"/>
      <c r="H29" s="5"/>
      <c r="I29" s="5"/>
    </row>
    <row r="30" spans="1:9" s="6" customFormat="1" ht="16.149999999999999" customHeight="1" x14ac:dyDescent="0.3">
      <c r="A30" s="118"/>
      <c r="B30" s="3" t="s">
        <v>143</v>
      </c>
      <c r="C30" s="17"/>
      <c r="D30" s="12"/>
      <c r="E30" s="12"/>
      <c r="F30" s="12"/>
      <c r="G30" s="12"/>
      <c r="H30" s="5"/>
      <c r="I30" s="5"/>
    </row>
    <row r="31" spans="1:9" s="6" customFormat="1" ht="16.149999999999999" customHeight="1" x14ac:dyDescent="0.3">
      <c r="A31" s="118"/>
      <c r="B31" s="7" t="s">
        <v>152</v>
      </c>
      <c r="C31" s="17"/>
      <c r="D31" s="23"/>
      <c r="E31" s="23"/>
      <c r="F31" s="23"/>
      <c r="G31" s="23"/>
      <c r="H31" s="5"/>
      <c r="I31" s="5"/>
    </row>
    <row r="32" spans="1:9" s="6" customFormat="1" ht="16.149999999999999" customHeight="1" x14ac:dyDescent="0.3">
      <c r="A32" s="118"/>
      <c r="B32" s="7" t="s">
        <v>153</v>
      </c>
      <c r="C32" s="17"/>
      <c r="D32" s="23"/>
      <c r="E32" s="23"/>
      <c r="F32" s="23"/>
      <c r="G32" s="23"/>
      <c r="H32" s="5"/>
      <c r="I32" s="5"/>
    </row>
    <row r="33" spans="1:9" s="6" customFormat="1" ht="16.149999999999999" customHeight="1" x14ac:dyDescent="0.3">
      <c r="A33" s="118"/>
      <c r="B33" s="7"/>
      <c r="C33" s="24" t="s">
        <v>2</v>
      </c>
      <c r="D33" s="24" t="s">
        <v>3</v>
      </c>
      <c r="E33" s="24" t="s">
        <v>4</v>
      </c>
      <c r="F33" s="24" t="s">
        <v>50</v>
      </c>
      <c r="G33" s="24" t="s">
        <v>51</v>
      </c>
      <c r="H33" s="5"/>
      <c r="I33" s="5"/>
    </row>
    <row r="34" spans="1:9" s="6" customFormat="1" ht="16.149999999999999" customHeight="1" x14ac:dyDescent="0.3">
      <c r="A34" s="119" t="s">
        <v>154</v>
      </c>
      <c r="B34" s="12" t="s">
        <v>144</v>
      </c>
      <c r="C34" s="22">
        <v>0</v>
      </c>
      <c r="D34" s="22">
        <v>0</v>
      </c>
      <c r="E34" s="22">
        <v>0</v>
      </c>
      <c r="F34" s="22">
        <v>0</v>
      </c>
      <c r="G34" s="22">
        <v>0</v>
      </c>
      <c r="H34" s="5"/>
      <c r="I34" s="5"/>
    </row>
    <row r="35" spans="1:9" s="6" customFormat="1" ht="16.149999999999999" customHeight="1" x14ac:dyDescent="0.3">
      <c r="A35" s="120" t="s">
        <v>155</v>
      </c>
      <c r="B35" s="12" t="s">
        <v>145</v>
      </c>
      <c r="C35" s="22">
        <v>0</v>
      </c>
      <c r="D35" s="22">
        <v>-20000</v>
      </c>
      <c r="E35" s="22">
        <v>0</v>
      </c>
      <c r="F35" s="22">
        <v>10000</v>
      </c>
      <c r="G35" s="22">
        <v>15000</v>
      </c>
      <c r="H35" s="5"/>
      <c r="I35" s="5"/>
    </row>
    <row r="36" spans="1:9" s="6" customFormat="1" ht="16.149999999999999" customHeight="1" x14ac:dyDescent="0.3">
      <c r="A36" s="120" t="s">
        <v>156</v>
      </c>
      <c r="B36" s="12" t="s">
        <v>146</v>
      </c>
      <c r="C36" s="22">
        <v>0</v>
      </c>
      <c r="D36" s="22">
        <v>-7000</v>
      </c>
      <c r="E36" s="22">
        <v>0</v>
      </c>
      <c r="F36" s="22">
        <v>-5000</v>
      </c>
      <c r="G36" s="22">
        <v>-10000</v>
      </c>
      <c r="H36" s="5"/>
      <c r="I36" s="5"/>
    </row>
    <row r="37" spans="1:9" s="6" customFormat="1" ht="16.149999999999999" customHeight="1" x14ac:dyDescent="0.3">
      <c r="A37" s="119" t="s">
        <v>157</v>
      </c>
      <c r="B37" s="12" t="s">
        <v>147</v>
      </c>
      <c r="C37" s="22">
        <v>5000</v>
      </c>
      <c r="D37" s="22">
        <v>6000</v>
      </c>
      <c r="E37" s="22">
        <v>-16000</v>
      </c>
      <c r="F37" s="22">
        <v>20000</v>
      </c>
      <c r="G37" s="22">
        <v>10000</v>
      </c>
      <c r="H37" s="5"/>
      <c r="I37" s="5"/>
    </row>
    <row r="38" spans="1:9" s="6" customFormat="1" ht="16.149999999999999" customHeight="1" x14ac:dyDescent="0.3">
      <c r="A38" s="119" t="s">
        <v>158</v>
      </c>
      <c r="B38" s="12" t="s">
        <v>148</v>
      </c>
      <c r="C38" s="22">
        <v>-12000</v>
      </c>
      <c r="D38" s="22">
        <v>-9000</v>
      </c>
      <c r="E38" s="22">
        <v>19000</v>
      </c>
      <c r="F38" s="22">
        <v>15000</v>
      </c>
      <c r="G38" s="22">
        <v>18000</v>
      </c>
      <c r="H38" s="5"/>
      <c r="I38" s="5"/>
    </row>
    <row r="39" spans="1:9" s="6" customFormat="1" ht="16.149999999999999" customHeight="1" x14ac:dyDescent="0.3">
      <c r="A39" s="120" t="s">
        <v>159</v>
      </c>
      <c r="B39" s="12" t="s">
        <v>82</v>
      </c>
      <c r="C39" s="22">
        <v>-240000</v>
      </c>
      <c r="D39" s="22">
        <v>-300000</v>
      </c>
      <c r="E39" s="22">
        <v>-180000</v>
      </c>
      <c r="F39" s="22">
        <v>-200000</v>
      </c>
      <c r="G39" s="22">
        <v>-350000</v>
      </c>
      <c r="H39" s="5"/>
      <c r="I39" s="5"/>
    </row>
    <row r="40" spans="1:9" s="6" customFormat="1" ht="16.149999999999999" customHeight="1" x14ac:dyDescent="0.3">
      <c r="A40" s="120" t="s">
        <v>160</v>
      </c>
      <c r="B40" s="12" t="s">
        <v>149</v>
      </c>
      <c r="C40" s="22">
        <v>0</v>
      </c>
      <c r="D40" s="22">
        <v>0</v>
      </c>
      <c r="E40" s="22">
        <v>0</v>
      </c>
      <c r="F40" s="22">
        <v>0</v>
      </c>
      <c r="G40" s="22">
        <v>0</v>
      </c>
      <c r="H40" s="5"/>
      <c r="I40" s="5"/>
    </row>
    <row r="41" spans="1:9" s="6" customFormat="1" ht="16.149999999999999" customHeight="1" x14ac:dyDescent="0.3">
      <c r="A41" s="120" t="s">
        <v>161</v>
      </c>
      <c r="B41" s="12" t="s">
        <v>150</v>
      </c>
      <c r="C41" s="22">
        <v>0</v>
      </c>
      <c r="D41" s="22">
        <v>-400000</v>
      </c>
      <c r="E41" s="22">
        <v>-600000</v>
      </c>
      <c r="F41" s="22">
        <v>-500000</v>
      </c>
      <c r="G41" s="22">
        <v>-400000</v>
      </c>
      <c r="H41" s="5"/>
      <c r="I41" s="5"/>
    </row>
    <row r="42" spans="1:9" s="6" customFormat="1" ht="16.149999999999999" customHeight="1" x14ac:dyDescent="0.3">
      <c r="A42" s="119" t="s">
        <v>162</v>
      </c>
      <c r="B42" s="12" t="s">
        <v>85</v>
      </c>
      <c r="C42" s="22">
        <v>0</v>
      </c>
      <c r="D42" s="22">
        <v>0</v>
      </c>
      <c r="E42" s="22">
        <v>0</v>
      </c>
      <c r="F42" s="22">
        <v>0</v>
      </c>
      <c r="G42" s="22">
        <v>0</v>
      </c>
      <c r="H42" s="5"/>
      <c r="I42" s="5"/>
    </row>
    <row r="43" spans="1:9" s="6" customFormat="1" ht="16.149999999999999" customHeight="1" x14ac:dyDescent="0.3">
      <c r="A43" s="121" t="s">
        <v>163</v>
      </c>
      <c r="B43" s="6" t="s">
        <v>164</v>
      </c>
      <c r="C43" s="22">
        <v>0</v>
      </c>
      <c r="D43" s="22">
        <v>0</v>
      </c>
      <c r="E43" s="22">
        <v>0</v>
      </c>
      <c r="F43" s="22">
        <v>0</v>
      </c>
      <c r="G43" s="22">
        <v>0</v>
      </c>
      <c r="H43" s="5"/>
      <c r="I43" s="5"/>
    </row>
    <row r="44" spans="1:9" s="6" customFormat="1" ht="16.149999999999999" customHeight="1" x14ac:dyDescent="0.3">
      <c r="A44" s="121" t="s">
        <v>165</v>
      </c>
      <c r="B44" s="6" t="s">
        <v>166</v>
      </c>
      <c r="C44" s="22">
        <v>100000</v>
      </c>
      <c r="D44" s="22">
        <v>0</v>
      </c>
      <c r="E44" s="22">
        <v>0</v>
      </c>
      <c r="F44" s="22">
        <v>0</v>
      </c>
      <c r="G44" s="22">
        <v>0</v>
      </c>
      <c r="H44" s="5"/>
      <c r="I44" s="5"/>
    </row>
    <row r="45" spans="1:9" s="6" customFormat="1" ht="16.149999999999999" customHeight="1" x14ac:dyDescent="0.3">
      <c r="A45" s="121" t="s">
        <v>167</v>
      </c>
      <c r="B45" s="6" t="s">
        <v>168</v>
      </c>
      <c r="C45" s="22">
        <v>240000</v>
      </c>
      <c r="D45" s="22">
        <v>300000</v>
      </c>
      <c r="E45" s="22">
        <v>180000</v>
      </c>
      <c r="F45" s="22">
        <v>200000</v>
      </c>
      <c r="G45" s="22">
        <v>350000</v>
      </c>
      <c r="H45" s="5"/>
      <c r="I45" s="5"/>
    </row>
    <row r="46" spans="1:9" s="6" customFormat="1" ht="16.149999999999999" customHeight="1" x14ac:dyDescent="0.3">
      <c r="A46" s="121" t="s">
        <v>169</v>
      </c>
      <c r="B46" s="6" t="s">
        <v>170</v>
      </c>
      <c r="C46" s="22">
        <v>0</v>
      </c>
      <c r="D46" s="22">
        <v>0</v>
      </c>
      <c r="E46" s="22">
        <v>0</v>
      </c>
      <c r="F46" s="22">
        <v>0</v>
      </c>
      <c r="G46" s="22">
        <v>0</v>
      </c>
      <c r="H46" s="5"/>
      <c r="I46" s="5"/>
    </row>
    <row r="47" spans="1:9" s="6" customFormat="1" ht="16.149999999999999" customHeight="1" x14ac:dyDescent="0.3">
      <c r="A47" s="118"/>
      <c r="B47" s="12"/>
      <c r="C47" s="17"/>
      <c r="D47" s="26"/>
      <c r="E47" s="12"/>
      <c r="F47" s="12"/>
      <c r="G47" s="12"/>
      <c r="H47" s="5"/>
      <c r="I47" s="5"/>
    </row>
    <row r="48" spans="1:9" s="6" customFormat="1" ht="16.149999999999999" customHeight="1" x14ac:dyDescent="0.3">
      <c r="A48" s="118"/>
      <c r="B48" s="26" t="s">
        <v>151</v>
      </c>
      <c r="C48" s="17"/>
      <c r="D48" s="26"/>
      <c r="E48" s="12"/>
      <c r="F48" s="12"/>
      <c r="G48" s="12"/>
      <c r="H48" s="5"/>
      <c r="I48" s="5"/>
    </row>
    <row r="49" spans="2:8" ht="16.149999999999999" customHeight="1" x14ac:dyDescent="0.3">
      <c r="B49" s="9" t="s">
        <v>29</v>
      </c>
      <c r="C49" s="19"/>
    </row>
    <row r="50" spans="2:8" ht="16.149999999999999" customHeight="1" x14ac:dyDescent="0.3">
      <c r="B50" s="12" t="s">
        <v>34</v>
      </c>
      <c r="C50" s="27">
        <v>30</v>
      </c>
      <c r="D50" s="12"/>
      <c r="E50" s="12"/>
      <c r="F50" s="12"/>
      <c r="G50" s="12"/>
      <c r="H50" s="12"/>
    </row>
    <row r="51" spans="2:8" ht="16.149999999999999" customHeight="1" x14ac:dyDescent="0.3">
      <c r="B51" s="12" t="s">
        <v>32</v>
      </c>
      <c r="C51" s="27">
        <v>25</v>
      </c>
      <c r="D51" s="12"/>
      <c r="E51" s="12"/>
      <c r="F51" s="12"/>
      <c r="G51" s="12"/>
      <c r="H51" s="12"/>
    </row>
    <row r="52" spans="2:8" ht="16.149999999999999" customHeight="1" x14ac:dyDescent="0.3">
      <c r="B52" s="12" t="s">
        <v>33</v>
      </c>
      <c r="C52" s="27">
        <v>20</v>
      </c>
      <c r="D52" s="12"/>
      <c r="E52" s="12"/>
      <c r="F52" s="12"/>
      <c r="G52" s="12"/>
      <c r="H52" s="12"/>
    </row>
    <row r="53" spans="2:8" ht="16.149999999999999" customHeight="1" x14ac:dyDescent="0.3">
      <c r="B53" s="6" t="s">
        <v>171</v>
      </c>
      <c r="C53" s="12"/>
      <c r="E53" s="20"/>
      <c r="F53" s="20"/>
      <c r="H53" s="20"/>
    </row>
    <row r="54" spans="2:8" ht="16.149999999999999" customHeight="1" x14ac:dyDescent="0.3">
      <c r="B54" s="6" t="s">
        <v>172</v>
      </c>
      <c r="C54" s="28">
        <v>0.2</v>
      </c>
      <c r="E54" s="20"/>
      <c r="F54" s="20"/>
      <c r="H54" s="20"/>
    </row>
    <row r="55" spans="2:8" ht="16.149999999999999" customHeight="1" x14ac:dyDescent="0.3">
      <c r="B55" s="6" t="s">
        <v>173</v>
      </c>
      <c r="C55" s="27">
        <v>1</v>
      </c>
      <c r="E55" s="20"/>
      <c r="F55" s="20"/>
      <c r="H55" s="20"/>
    </row>
    <row r="56" spans="2:8" ht="16.149999999999999" customHeight="1" x14ac:dyDescent="0.3">
      <c r="B56" s="6" t="s">
        <v>174</v>
      </c>
      <c r="C56" s="27">
        <v>1</v>
      </c>
      <c r="D56" s="29">
        <f>IF(C55=0,1,C56-((ROUNDUP(C56/C55,0))-1)*C55)</f>
        <v>1</v>
      </c>
      <c r="E56" s="20"/>
      <c r="F56" s="20"/>
      <c r="H56" s="20"/>
    </row>
    <row r="57" spans="2:8" ht="16.149999999999999" customHeight="1" x14ac:dyDescent="0.3">
      <c r="B57" s="6" t="s">
        <v>175</v>
      </c>
      <c r="C57" s="27" t="s">
        <v>176</v>
      </c>
      <c r="D57" s="29">
        <f>IF(C57="Current",0,1)</f>
        <v>1</v>
      </c>
      <c r="E57" s="20"/>
      <c r="F57" s="20"/>
      <c r="H57" s="20"/>
    </row>
    <row r="58" spans="2:8" ht="16.149999999999999" customHeight="1" x14ac:dyDescent="0.3">
      <c r="B58" s="3" t="s">
        <v>177</v>
      </c>
      <c r="C58" s="15"/>
      <c r="D58" s="16"/>
      <c r="H58" s="20"/>
    </row>
    <row r="59" spans="2:8" ht="16.149999999999999" customHeight="1" x14ac:dyDescent="0.3">
      <c r="B59" s="7" t="s">
        <v>178</v>
      </c>
      <c r="C59" s="15"/>
      <c r="D59" s="12"/>
      <c r="H59" s="20"/>
    </row>
    <row r="60" spans="2:8" ht="16.149999999999999" customHeight="1" x14ac:dyDescent="0.3">
      <c r="B60" s="30" t="s">
        <v>179</v>
      </c>
      <c r="C60" s="18">
        <v>0.15</v>
      </c>
      <c r="D60" s="12"/>
      <c r="H60" s="20"/>
    </row>
    <row r="61" spans="2:8" ht="16.149999999999999" customHeight="1" x14ac:dyDescent="0.3">
      <c r="B61" s="30" t="s">
        <v>180</v>
      </c>
      <c r="C61" s="18">
        <v>0</v>
      </c>
      <c r="D61" s="12"/>
      <c r="H61" s="20"/>
    </row>
    <row r="62" spans="2:8" ht="16.149999999999999" customHeight="1" x14ac:dyDescent="0.3">
      <c r="B62" s="30" t="s">
        <v>181</v>
      </c>
      <c r="C62" s="18">
        <v>0</v>
      </c>
      <c r="D62" s="12"/>
      <c r="H62" s="20"/>
    </row>
    <row r="63" spans="2:8" ht="16.149999999999999" customHeight="1" x14ac:dyDescent="0.3">
      <c r="B63" s="30" t="s">
        <v>182</v>
      </c>
      <c r="C63" s="18">
        <v>0</v>
      </c>
      <c r="D63" s="12"/>
      <c r="H63" s="20"/>
    </row>
    <row r="64" spans="2:8" ht="16.149999999999999" customHeight="1" x14ac:dyDescent="0.3">
      <c r="B64" s="6" t="s">
        <v>173</v>
      </c>
      <c r="C64" s="27">
        <v>2</v>
      </c>
      <c r="H64" s="20"/>
    </row>
    <row r="65" spans="1:8" ht="16.149999999999999" customHeight="1" x14ac:dyDescent="0.3">
      <c r="B65" s="6" t="s">
        <v>174</v>
      </c>
      <c r="C65" s="27">
        <v>1</v>
      </c>
      <c r="D65" s="29">
        <f>IF(C64=0,1,C65-((ROUNDUP(C65/C64,0))-1)*C64)</f>
        <v>1</v>
      </c>
      <c r="H65" s="20"/>
    </row>
    <row r="66" spans="1:8" ht="16.149999999999999" customHeight="1" x14ac:dyDescent="0.3">
      <c r="B66" s="6" t="s">
        <v>175</v>
      </c>
      <c r="C66" s="27" t="s">
        <v>176</v>
      </c>
      <c r="D66" s="29">
        <f>IF(C66="Current",0,1)</f>
        <v>1</v>
      </c>
      <c r="H66" s="20"/>
    </row>
    <row r="67" spans="1:8" ht="16.149999999999999" customHeight="1" x14ac:dyDescent="0.3">
      <c r="B67" s="3" t="s">
        <v>183</v>
      </c>
      <c r="C67" s="19"/>
      <c r="H67" s="20"/>
    </row>
    <row r="68" spans="1:8" ht="16.149999999999999" customHeight="1" x14ac:dyDescent="0.3">
      <c r="B68" s="6" t="s">
        <v>35</v>
      </c>
      <c r="C68" s="28">
        <v>0.28000000000000003</v>
      </c>
      <c r="H68" s="20"/>
    </row>
    <row r="69" spans="1:8" ht="16.149999999999999" customHeight="1" x14ac:dyDescent="0.3">
      <c r="B69" s="6" t="s">
        <v>184</v>
      </c>
      <c r="C69" s="27">
        <v>0</v>
      </c>
      <c r="H69" s="20"/>
    </row>
    <row r="70" spans="1:8" ht="16.149999999999999" customHeight="1" x14ac:dyDescent="0.3">
      <c r="B70" s="6" t="s">
        <v>173</v>
      </c>
      <c r="C70" s="27">
        <v>12</v>
      </c>
      <c r="H70" s="20"/>
    </row>
    <row r="71" spans="1:8" ht="16.149999999999999" customHeight="1" x14ac:dyDescent="0.3">
      <c r="B71" s="6" t="s">
        <v>174</v>
      </c>
      <c r="C71" s="27">
        <v>2</v>
      </c>
      <c r="D71" s="29">
        <f>IF(C70=0,1,C71-((ROUNDUP(C71/C70,0))-1)*C70)</f>
        <v>2</v>
      </c>
      <c r="H71" s="20"/>
    </row>
    <row r="72" spans="1:8" ht="16.149999999999999" customHeight="1" x14ac:dyDescent="0.3">
      <c r="B72" s="6" t="s">
        <v>175</v>
      </c>
      <c r="C72" s="27" t="s">
        <v>185</v>
      </c>
      <c r="D72" s="29">
        <f>IF(C72="Subsequent",1,0)</f>
        <v>0</v>
      </c>
      <c r="H72" s="20"/>
    </row>
    <row r="73" spans="1:8" ht="16.149999999999999" customHeight="1" x14ac:dyDescent="0.3">
      <c r="B73" s="7" t="s">
        <v>186</v>
      </c>
      <c r="C73" s="12"/>
      <c r="D73" s="29"/>
      <c r="H73" s="20"/>
    </row>
    <row r="74" spans="1:8" ht="16.149999999999999" customHeight="1" x14ac:dyDescent="0.3">
      <c r="B74" s="3" t="s">
        <v>62</v>
      </c>
      <c r="C74" s="24" t="s">
        <v>187</v>
      </c>
      <c r="D74" s="24" t="s">
        <v>188</v>
      </c>
      <c r="E74" s="24" t="s">
        <v>189</v>
      </c>
      <c r="F74" s="24" t="s">
        <v>190</v>
      </c>
      <c r="G74" s="20"/>
      <c r="H74" s="20"/>
    </row>
    <row r="75" spans="1:8" ht="16.149999999999999" customHeight="1" x14ac:dyDescent="0.3">
      <c r="B75" s="31" t="s">
        <v>36</v>
      </c>
      <c r="C75" s="32">
        <v>0.10249999999999999</v>
      </c>
      <c r="D75" s="32">
        <v>9.2499999999999999E-2</v>
      </c>
      <c r="E75" s="32">
        <v>0.125</v>
      </c>
      <c r="F75" s="32">
        <v>0.115</v>
      </c>
      <c r="G75" s="20"/>
      <c r="H75" s="20"/>
    </row>
    <row r="76" spans="1:8" ht="16.149999999999999" customHeight="1" x14ac:dyDescent="0.3">
      <c r="B76" s="31" t="s">
        <v>191</v>
      </c>
      <c r="C76" s="33">
        <v>10</v>
      </c>
      <c r="D76" s="33">
        <v>8</v>
      </c>
      <c r="E76" s="33">
        <v>5</v>
      </c>
      <c r="F76" s="33">
        <v>4</v>
      </c>
      <c r="G76" s="20"/>
      <c r="H76" s="20"/>
    </row>
    <row r="77" spans="1:8" ht="16.149999999999999" customHeight="1" x14ac:dyDescent="0.3">
      <c r="B77" s="31" t="s">
        <v>43</v>
      </c>
      <c r="C77" s="34" t="s">
        <v>63</v>
      </c>
      <c r="D77" s="34" t="s">
        <v>63</v>
      </c>
      <c r="E77" s="34" t="s">
        <v>63</v>
      </c>
      <c r="F77" s="34" t="s">
        <v>63</v>
      </c>
      <c r="G77" s="20"/>
      <c r="H77" s="20"/>
    </row>
    <row r="78" spans="1:8" ht="16.149999999999999" customHeight="1" x14ac:dyDescent="0.3">
      <c r="B78" s="35" t="s">
        <v>192</v>
      </c>
      <c r="C78" s="12"/>
      <c r="D78" s="12"/>
      <c r="E78" s="12"/>
      <c r="F78" s="12"/>
      <c r="G78" s="20"/>
      <c r="H78" s="20"/>
    </row>
    <row r="79" spans="1:8" ht="16.149999999999999" customHeight="1" x14ac:dyDescent="0.3">
      <c r="B79" s="3" t="s">
        <v>193</v>
      </c>
      <c r="D79" s="20"/>
      <c r="E79" s="20"/>
      <c r="F79" s="20"/>
      <c r="G79" s="20"/>
      <c r="H79" s="20"/>
    </row>
    <row r="80" spans="1:8" ht="16.149999999999999" customHeight="1" x14ac:dyDescent="0.3">
      <c r="A80" s="119" t="s">
        <v>159</v>
      </c>
      <c r="B80" s="12" t="s">
        <v>52</v>
      </c>
      <c r="C80" s="36">
        <v>1050000</v>
      </c>
      <c r="D80" s="37" t="str">
        <f>IF(ROUND(SUM(C79:C103),0)&lt;&gt;0,"The total of all the start-up balances should be nil!","")</f>
        <v/>
      </c>
      <c r="E80" s="20"/>
      <c r="F80" s="20"/>
      <c r="G80" s="20"/>
      <c r="H80" s="20"/>
    </row>
    <row r="81" spans="1:8" ht="16.149999999999999" customHeight="1" x14ac:dyDescent="0.3">
      <c r="A81" s="119" t="s">
        <v>160</v>
      </c>
      <c r="B81" s="12" t="s">
        <v>206</v>
      </c>
      <c r="C81" s="36">
        <v>120000</v>
      </c>
      <c r="D81" s="20"/>
      <c r="E81" s="20"/>
      <c r="F81" s="20"/>
      <c r="G81" s="20"/>
      <c r="H81" s="20"/>
    </row>
    <row r="82" spans="1:8" ht="16.149999999999999" customHeight="1" x14ac:dyDescent="0.3">
      <c r="A82" s="119" t="s">
        <v>161</v>
      </c>
      <c r="B82" s="12" t="s">
        <v>207</v>
      </c>
      <c r="C82" s="36">
        <v>800000</v>
      </c>
      <c r="D82" s="20"/>
      <c r="E82" s="20"/>
      <c r="F82" s="20"/>
      <c r="G82" s="20"/>
      <c r="H82" s="20"/>
    </row>
    <row r="83" spans="1:8" ht="16.149999999999999" customHeight="1" x14ac:dyDescent="0.3">
      <c r="A83" s="119" t="s">
        <v>155</v>
      </c>
      <c r="B83" s="12" t="s">
        <v>145</v>
      </c>
      <c r="C83" s="36">
        <v>55000</v>
      </c>
      <c r="D83" s="20"/>
      <c r="E83" s="20"/>
      <c r="F83" s="20"/>
      <c r="G83" s="20"/>
      <c r="H83" s="20"/>
    </row>
    <row r="84" spans="1:8" ht="16.149999999999999" customHeight="1" x14ac:dyDescent="0.3">
      <c r="A84" s="119" t="s">
        <v>219</v>
      </c>
      <c r="B84" s="12" t="s">
        <v>28</v>
      </c>
      <c r="C84" s="36">
        <v>170000</v>
      </c>
      <c r="D84" s="20"/>
      <c r="E84" s="20"/>
      <c r="F84" s="20"/>
      <c r="G84" s="20"/>
      <c r="H84" s="20"/>
    </row>
    <row r="85" spans="1:8" ht="16.149999999999999" customHeight="1" x14ac:dyDescent="0.3">
      <c r="A85" s="119" t="s">
        <v>220</v>
      </c>
      <c r="B85" s="12" t="s">
        <v>208</v>
      </c>
      <c r="C85" s="36">
        <v>370000</v>
      </c>
      <c r="D85" s="20"/>
      <c r="E85" s="20"/>
      <c r="F85" s="20"/>
      <c r="G85" s="20"/>
      <c r="H85" s="20"/>
    </row>
    <row r="86" spans="1:8" ht="16.149999999999999" customHeight="1" x14ac:dyDescent="0.3">
      <c r="A86" s="119" t="s">
        <v>156</v>
      </c>
      <c r="B86" s="12" t="s">
        <v>146</v>
      </c>
      <c r="C86" s="36">
        <v>53000</v>
      </c>
      <c r="D86" s="20"/>
      <c r="E86" s="20"/>
      <c r="F86" s="20"/>
      <c r="G86" s="20"/>
      <c r="H86" s="20"/>
    </row>
    <row r="87" spans="1:8" ht="16.149999999999999" customHeight="1" x14ac:dyDescent="0.3">
      <c r="A87" s="119" t="s">
        <v>221</v>
      </c>
      <c r="B87" s="12" t="s">
        <v>209</v>
      </c>
      <c r="C87" s="36">
        <v>171000</v>
      </c>
      <c r="D87" s="20"/>
      <c r="E87" s="20"/>
      <c r="F87" s="20"/>
      <c r="G87" s="20"/>
      <c r="H87" s="20"/>
    </row>
    <row r="88" spans="1:8" ht="16.149999999999999" customHeight="1" x14ac:dyDescent="0.3">
      <c r="A88" s="119" t="s">
        <v>162</v>
      </c>
      <c r="B88" s="12" t="s">
        <v>65</v>
      </c>
      <c r="C88" s="36">
        <v>-1000</v>
      </c>
      <c r="D88" s="20"/>
      <c r="E88" s="20"/>
      <c r="F88" s="20"/>
      <c r="G88" s="20"/>
      <c r="H88" s="20"/>
    </row>
    <row r="89" spans="1:8" ht="16.149999999999999" customHeight="1" x14ac:dyDescent="0.3">
      <c r="A89" s="119" t="s">
        <v>154</v>
      </c>
      <c r="B89" s="12" t="s">
        <v>144</v>
      </c>
      <c r="C89" s="36">
        <v>0</v>
      </c>
      <c r="D89" s="20"/>
      <c r="E89" s="20"/>
      <c r="F89" s="20"/>
      <c r="G89" s="20"/>
      <c r="H89" s="20"/>
    </row>
    <row r="90" spans="1:8" ht="16.149999999999999" customHeight="1" x14ac:dyDescent="0.3">
      <c r="A90" s="119" t="s">
        <v>222</v>
      </c>
      <c r="B90" s="12" t="s">
        <v>39</v>
      </c>
      <c r="C90" s="36">
        <v>-400000</v>
      </c>
      <c r="D90" s="20"/>
      <c r="E90" s="20"/>
      <c r="F90" s="20"/>
      <c r="G90" s="20"/>
      <c r="H90" s="20"/>
    </row>
    <row r="91" spans="1:8" ht="16.149999999999999" customHeight="1" x14ac:dyDescent="0.3">
      <c r="A91" s="119" t="s">
        <v>163</v>
      </c>
      <c r="B91" s="12" t="s">
        <v>210</v>
      </c>
      <c r="C91" s="36">
        <v>-1200000</v>
      </c>
      <c r="D91" s="37" t="str">
        <f>IF($C91&gt;0,"Long term loans balances should be entered as negative values!","")</f>
        <v/>
      </c>
      <c r="E91" s="20"/>
      <c r="F91" s="20"/>
      <c r="G91" s="20"/>
      <c r="H91" s="20"/>
    </row>
    <row r="92" spans="1:8" ht="16.149999999999999" customHeight="1" x14ac:dyDescent="0.3">
      <c r="A92" s="119" t="s">
        <v>165</v>
      </c>
      <c r="B92" s="12" t="s">
        <v>211</v>
      </c>
      <c r="C92" s="36">
        <v>-500000</v>
      </c>
      <c r="D92" s="37" t="str">
        <f>IF($C92&gt;0,"Long term loans balances should be entered as negative values!","")</f>
        <v/>
      </c>
      <c r="E92" s="20"/>
      <c r="F92" s="20"/>
      <c r="G92" s="20"/>
      <c r="H92" s="20"/>
    </row>
    <row r="93" spans="1:8" ht="16.149999999999999" customHeight="1" x14ac:dyDescent="0.3">
      <c r="A93" s="119" t="s">
        <v>167</v>
      </c>
      <c r="B93" s="12" t="s">
        <v>212</v>
      </c>
      <c r="C93" s="36">
        <v>0</v>
      </c>
      <c r="D93" s="37" t="str">
        <f>IF($C93&gt;0,"Long term loans balances should be entered as negative values!","")</f>
        <v/>
      </c>
      <c r="E93" s="20"/>
      <c r="F93" s="20"/>
      <c r="G93" s="20"/>
      <c r="H93" s="20"/>
    </row>
    <row r="94" spans="1:8" ht="16.149999999999999" customHeight="1" x14ac:dyDescent="0.3">
      <c r="A94" s="119" t="s">
        <v>169</v>
      </c>
      <c r="B94" s="12" t="s">
        <v>213</v>
      </c>
      <c r="C94" s="36">
        <v>-425000</v>
      </c>
      <c r="D94" s="37" t="str">
        <f>IF($C94&gt;0,"Finance lease balances should be entered as negative values!","")</f>
        <v/>
      </c>
      <c r="E94" s="20"/>
      <c r="F94" s="20"/>
      <c r="G94" s="20"/>
      <c r="H94" s="20"/>
    </row>
    <row r="95" spans="1:8" ht="16.149999999999999" customHeight="1" x14ac:dyDescent="0.3">
      <c r="A95" s="119" t="s">
        <v>223</v>
      </c>
      <c r="B95" s="12" t="s">
        <v>214</v>
      </c>
      <c r="C95" s="36">
        <v>0</v>
      </c>
      <c r="D95" s="20"/>
      <c r="E95" s="20"/>
      <c r="F95" s="20"/>
      <c r="G95" s="20"/>
      <c r="H95" s="20"/>
    </row>
    <row r="96" spans="1:8" ht="16.149999999999999" customHeight="1" x14ac:dyDescent="0.3">
      <c r="A96" s="119" t="s">
        <v>224</v>
      </c>
      <c r="B96" s="12" t="s">
        <v>215</v>
      </c>
      <c r="C96" s="36">
        <v>-130000</v>
      </c>
      <c r="D96" s="20"/>
      <c r="E96" s="20"/>
      <c r="F96" s="20"/>
      <c r="G96" s="20"/>
      <c r="H96" s="20"/>
    </row>
    <row r="97" spans="1:8" ht="16.149999999999999" customHeight="1" x14ac:dyDescent="0.3">
      <c r="A97" s="119" t="s">
        <v>225</v>
      </c>
      <c r="B97" s="12" t="s">
        <v>177</v>
      </c>
      <c r="C97" s="36">
        <v>-16000</v>
      </c>
      <c r="D97" s="20"/>
      <c r="E97" s="20"/>
      <c r="F97" s="20"/>
      <c r="G97" s="20"/>
      <c r="H97" s="20"/>
    </row>
    <row r="98" spans="1:8" ht="16.149999999999999" customHeight="1" x14ac:dyDescent="0.3">
      <c r="A98" s="119" t="s">
        <v>124</v>
      </c>
      <c r="B98" s="38" t="s">
        <v>216</v>
      </c>
      <c r="C98" s="36">
        <v>-20000</v>
      </c>
      <c r="D98" s="20"/>
      <c r="E98" s="20"/>
      <c r="F98" s="20"/>
      <c r="G98" s="20"/>
      <c r="H98" s="20"/>
    </row>
    <row r="99" spans="1:8" ht="16.149999999999999" customHeight="1" x14ac:dyDescent="0.3">
      <c r="A99" s="119" t="s">
        <v>157</v>
      </c>
      <c r="B99" s="38" t="s">
        <v>217</v>
      </c>
      <c r="C99" s="36">
        <v>-55000</v>
      </c>
      <c r="D99" s="20"/>
      <c r="E99" s="20"/>
      <c r="F99" s="20"/>
      <c r="G99" s="20"/>
      <c r="H99" s="20"/>
    </row>
    <row r="100" spans="1:8" ht="16.149999999999999" customHeight="1" x14ac:dyDescent="0.3">
      <c r="A100" s="119" t="s">
        <v>141</v>
      </c>
      <c r="B100" s="12" t="s">
        <v>218</v>
      </c>
      <c r="C100" s="36">
        <v>0</v>
      </c>
      <c r="D100" s="20"/>
      <c r="E100" s="20"/>
      <c r="F100" s="20"/>
      <c r="G100" s="20"/>
      <c r="H100" s="20"/>
    </row>
    <row r="101" spans="1:8" ht="16.149999999999999" customHeight="1" x14ac:dyDescent="0.3">
      <c r="A101" s="119" t="s">
        <v>246</v>
      </c>
      <c r="B101" s="12" t="s">
        <v>252</v>
      </c>
      <c r="C101" s="36">
        <v>0</v>
      </c>
      <c r="D101" s="20"/>
      <c r="E101" s="20"/>
      <c r="F101" s="20"/>
      <c r="G101" s="20"/>
      <c r="H101" s="20"/>
    </row>
    <row r="102" spans="1:8" ht="16.149999999999999" customHeight="1" x14ac:dyDescent="0.3">
      <c r="A102" s="119" t="s">
        <v>158</v>
      </c>
      <c r="B102" s="12" t="s">
        <v>148</v>
      </c>
      <c r="C102" s="36">
        <v>-42000</v>
      </c>
      <c r="D102" s="20"/>
      <c r="E102" s="20"/>
      <c r="F102" s="20"/>
      <c r="G102" s="20"/>
      <c r="H102" s="20"/>
    </row>
    <row r="103" spans="1:8" ht="16.149999999999999" customHeight="1" x14ac:dyDescent="0.25">
      <c r="A103" s="122"/>
      <c r="B103" s="3" t="s">
        <v>247</v>
      </c>
      <c r="C103" s="12"/>
      <c r="D103" s="12"/>
      <c r="E103" s="12"/>
      <c r="F103" s="12"/>
      <c r="G103" s="12"/>
      <c r="H103" s="20"/>
    </row>
    <row r="104" spans="1:8" ht="16.149999999999999" customHeight="1" x14ac:dyDescent="0.3">
      <c r="A104" s="121"/>
      <c r="B104" s="6" t="s">
        <v>249</v>
      </c>
      <c r="C104" s="28">
        <v>0</v>
      </c>
      <c r="H104" s="20"/>
    </row>
    <row r="105" spans="1:8" ht="16.149999999999999" customHeight="1" x14ac:dyDescent="0.3">
      <c r="A105" s="121"/>
      <c r="B105" s="6" t="s">
        <v>173</v>
      </c>
      <c r="C105" s="27">
        <v>12</v>
      </c>
      <c r="H105" s="20"/>
    </row>
    <row r="106" spans="1:8" ht="16.149999999999999" customHeight="1" x14ac:dyDescent="0.3">
      <c r="A106" s="121"/>
      <c r="B106" s="6" t="s">
        <v>174</v>
      </c>
      <c r="C106" s="27">
        <v>3</v>
      </c>
      <c r="D106" s="29">
        <f>IF(C105=0,1,C106-((ROUNDUP(C106/C105,0))-1)*C105)</f>
        <v>3</v>
      </c>
      <c r="H106" s="20"/>
    </row>
    <row r="107" spans="1:8" ht="16.149999999999999" customHeight="1" x14ac:dyDescent="0.3">
      <c r="A107" s="121"/>
      <c r="B107" s="6" t="s">
        <v>175</v>
      </c>
      <c r="C107" s="27" t="s">
        <v>250</v>
      </c>
      <c r="D107" s="29">
        <f>IF(C107="Next",1,IF(C107="Subsequent",IF(C105=0,1,IF(D106-((MONTH($C$5)-1)-((ROUNDUP((MONTH($C$5)-1)/C105,0))-1)*C105)&lt;0,D106+C105-((MONTH($C$5)-1)-((ROUNDUP((MONTH($C$5)-1)/C105,0))-1)*C105),D106-((MONTH($C$5)-1)-((ROUNDUP((MONTH($C$5)-1)/C105,0))-1)*C105))),0))</f>
        <v>1</v>
      </c>
    </row>
    <row r="108" spans="1:8" ht="16.149999999999999" customHeight="1" x14ac:dyDescent="0.3">
      <c r="A108" s="121"/>
      <c r="C108" s="12"/>
      <c r="D108" s="12"/>
      <c r="E108" s="12"/>
      <c r="F108" s="12"/>
      <c r="G108" s="12"/>
    </row>
  </sheetData>
  <mergeCells count="1">
    <mergeCell ref="C4:E4"/>
  </mergeCells>
  <phoneticPr fontId="3" type="noConversion"/>
  <conditionalFormatting sqref="C79:C102">
    <cfRule type="expression" dxfId="1" priority="2" stopIfTrue="1">
      <formula>ROUND(SUM($C$79:$C$102),0)&lt;&gt;0</formula>
    </cfRule>
  </conditionalFormatting>
  <conditionalFormatting sqref="C91:C94">
    <cfRule type="cellIs" dxfId="0" priority="1" stopIfTrue="1" operator="greaterThan">
      <formula>0</formula>
    </cfRule>
  </conditionalFormatting>
  <dataValidations count="13">
    <dataValidation type="list" allowBlank="1" showInputMessage="1" showErrorMessage="1" errorTitle="Invalid Data" error="Select a valid item from the list box." sqref="C77:F77" xr:uid="{00000000-0002-0000-0400-000000000000}">
      <formula1>"Yes,No"</formula1>
    </dataValidation>
    <dataValidation operator="lessThan" allowBlank="1" showInputMessage="1" showErrorMessage="1" errorTitle="Invalid Input" error="The estimated Creditors balances should be entered as a negative value." sqref="C52 E53:F74 G74:G79 E77:F77 H53:H79 E104:F107" xr:uid="{00000000-0002-0000-0400-000001000000}"/>
    <dataValidation type="decimal" allowBlank="1" showInputMessage="1" showErrorMessage="1" errorTitle="Invalid Data" error="Enter a percentage between -100% and 100%." sqref="D11:G11 D18:G18" xr:uid="{00000000-0002-0000-0400-000002000000}">
      <formula1>-1</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 xr:uid="{00000000-0002-0000-0400-000003000000}">
      <formula1>36526</formula1>
    </dataValidation>
    <dataValidation type="decimal" allowBlank="1" showInputMessage="1" showErrorMessage="1" errorTitle="Invalid Data" error="Enter a percentage that is between 0% and 100%." sqref="C60:C63" xr:uid="{00000000-0002-0000-0400-000004000000}">
      <formula1>0</formula1>
      <formula2>1</formula2>
    </dataValidation>
    <dataValidation type="whole" allowBlank="1" showInputMessage="1" showErrorMessage="1" errorTitle="Invalid Data" error="Enter a valid integer value between 1 and 12." sqref="C64:C65 C70:C71 C55:C56 C105:C106" xr:uid="{00000000-0002-0000-0400-000005000000}">
      <formula1>1</formula1>
      <formula2>12</formula2>
    </dataValidation>
    <dataValidation type="list" allowBlank="1" showInputMessage="1" showErrorMessage="1" errorTitle="Invalid Data" error="Select a valid item from the list box." sqref="C57 C66 C72" xr:uid="{00000000-0002-0000-0400-000006000000}">
      <formula1>"Current,Subsequent"</formula1>
    </dataValidation>
    <dataValidation type="decimal" operator="greaterThanOrEqual" allowBlank="1" showInputMessage="1" showErrorMessage="1" errorTitle="Invalid Data" error="The assessed loss needs to be entered as a positive value." sqref="C69" xr:uid="{00000000-0002-0000-0400-000007000000}">
      <formula1>0</formula1>
    </dataValidation>
    <dataValidation type="decimal" allowBlank="1" showInputMessage="1" showErrorMessage="1" errorTitle="Invalid Data" error="Enter an income tax percentage that is between 0% and 100%." sqref="C68 C54 C104" xr:uid="{00000000-0002-0000-0400-000008000000}">
      <formula1>0</formula1>
      <formula2>1</formula2>
    </dataValidation>
    <dataValidation type="decimal" allowBlank="1" showInputMessage="1" showErrorMessage="1" errorTitle="Invalid Input" error="Enter an interest rate percentage that is between 0% and 100%." sqref="E75:F75" xr:uid="{00000000-0002-0000-0400-000009000000}">
      <formula1>0</formula1>
      <formula2>1</formula2>
    </dataValidation>
    <dataValidation type="decimal" allowBlank="1" showInputMessage="1" showErrorMessage="1" errorTitle="Invalid Repayment Term" error="The repayment term must be between 0 and 30 years." sqref="C76:F76" xr:uid="{00000000-0002-0000-0400-00000A000000}">
      <formula1>0</formula1>
      <formula2>30</formula2>
    </dataValidation>
    <dataValidation type="decimal" allowBlank="1" showInputMessage="1" showErrorMessage="1" errorTitle="Invalid Data" error="Enter an interest rate percentage that is between 0% and 100%." sqref="C75:F75" xr:uid="{00000000-0002-0000-0400-00000B000000}">
      <formula1>0</formula1>
      <formula2>1</formula2>
    </dataValidation>
    <dataValidation type="list" allowBlank="1" showInputMessage="1" showErrorMessage="1" errorTitle="Invalid Data" error="Select a valid item from the list box." sqref="C107" xr:uid="{00000000-0002-0000-0400-00000C000000}">
      <formula1>"Cash,Next,Subsequent"</formula1>
    </dataValidation>
  </dataValidations>
  <printOptions horizontalCentered="1"/>
  <pageMargins left="0.59055118110236227" right="0.59055118110236227" top="0.59055118110236227" bottom="0.59055118110236227" header="0.39370078740157483" footer="0.39370078740157483"/>
  <pageSetup paperSize="9" scale="75" fitToHeight="2" orientation="portrait"/>
  <headerFooter alignWithMargins="0">
    <oddFooter>&amp;C&amp;9Page &amp;P of &amp;N</oddFooter>
  </headerFooter>
  <rowBreaks count="1" manualBreakCount="1">
    <brk id="66" max="16383" man="1"/>
  </rowBreaks>
  <ignoredErrors>
    <ignoredError sqref="D80"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91"/>
  <sheetViews>
    <sheetView zoomScale="95" workbookViewId="0">
      <pane ySplit="4" topLeftCell="A5" activePane="bottomLeft" state="frozen"/>
      <selection pane="bottomLeft" activeCell="B4" sqref="B4"/>
    </sheetView>
  </sheetViews>
  <sheetFormatPr defaultColWidth="9.140625" defaultRowHeight="16.149999999999999" customHeight="1" x14ac:dyDescent="0.3"/>
  <cols>
    <col min="1" max="1" width="5.7109375" style="118" customWidth="1"/>
    <col min="2" max="2" width="39.7109375" style="6" customWidth="1"/>
    <col min="3" max="7" width="15.7109375" style="17" customWidth="1"/>
    <col min="8" max="19" width="15.7109375" style="12" customWidth="1"/>
    <col min="20" max="16384" width="9.140625" style="12"/>
  </cols>
  <sheetData>
    <row r="1" spans="1:7" ht="16.149999999999999" customHeight="1" x14ac:dyDescent="0.3">
      <c r="B1" s="117" t="str">
        <f>IF(ISBLANK(Assumptions!$C$4),"Example Limited",Assumptions!$C$4)</f>
        <v>Example (Pty) Limited</v>
      </c>
    </row>
    <row r="2" spans="1:7" ht="16.149999999999999" customHeight="1" x14ac:dyDescent="0.3">
      <c r="B2" s="7" t="s">
        <v>68</v>
      </c>
      <c r="G2" s="39"/>
    </row>
    <row r="3" spans="1:7" ht="16.149999999999999" customHeight="1" x14ac:dyDescent="0.3">
      <c r="B3" s="8" t="s">
        <v>59</v>
      </c>
    </row>
    <row r="4" spans="1:7" s="43" customFormat="1" ht="18" customHeight="1" x14ac:dyDescent="0.25">
      <c r="A4" s="123"/>
      <c r="B4" s="40"/>
      <c r="C4" s="41">
        <f>DATE(YEAR(Assumptions!$C$5)+COLUMN(C$1)-COLUMN($B$1),MONTH(Assumptions!$C$5),0)</f>
        <v>44620</v>
      </c>
      <c r="D4" s="42">
        <f>DATE(YEAR(Assumptions!$C$5)+COLUMN(D$1)-COLUMN($B$1),MONTH(Assumptions!$C$5),0)</f>
        <v>44985</v>
      </c>
      <c r="E4" s="42">
        <f>DATE(YEAR(Assumptions!$C$5)+COLUMN(E$1)-COLUMN($B$1),MONTH(Assumptions!$C$5),0)</f>
        <v>45351</v>
      </c>
      <c r="F4" s="42">
        <f>DATE(YEAR(Assumptions!$C$5)+COLUMN(F$1)-COLUMN($B$1),MONTH(Assumptions!$C$5),0)</f>
        <v>45716</v>
      </c>
      <c r="G4" s="42">
        <f>DATE(YEAR(Assumptions!$C$5)+COLUMN(G$1)-COLUMN($B$1),MONTH(Assumptions!$C$5),0)</f>
        <v>46081</v>
      </c>
    </row>
    <row r="5" spans="1:7" ht="16.149999999999999" customHeight="1" x14ac:dyDescent="0.3">
      <c r="A5" s="124" t="s">
        <v>106</v>
      </c>
      <c r="B5" s="44" t="s">
        <v>107</v>
      </c>
      <c r="C5" s="45">
        <v>3662300</v>
      </c>
      <c r="D5" s="46">
        <f>C5*(1+Assumptions!D$11)</f>
        <v>3955284.0000000005</v>
      </c>
      <c r="E5" s="46">
        <f>D5*(1+Assumptions!E$11)</f>
        <v>4271706.7200000007</v>
      </c>
      <c r="F5" s="46">
        <f>E5*(1+Assumptions!F$11)</f>
        <v>4698877.3920000009</v>
      </c>
      <c r="G5" s="46">
        <f>F5*(1+Assumptions!G$11)</f>
        <v>5168765.1312000016</v>
      </c>
    </row>
    <row r="6" spans="1:7" ht="16.149999999999999" customHeight="1" x14ac:dyDescent="0.3">
      <c r="A6" s="124" t="s">
        <v>106</v>
      </c>
      <c r="B6" s="44" t="s">
        <v>108</v>
      </c>
      <c r="C6" s="47">
        <v>1535100</v>
      </c>
      <c r="D6" s="48">
        <f>C6*(1+Assumptions!D$11)</f>
        <v>1657908</v>
      </c>
      <c r="E6" s="48">
        <f>D6*(1+Assumptions!E$11)</f>
        <v>1790540.6400000001</v>
      </c>
      <c r="F6" s="48">
        <f>E6*(1+Assumptions!F$11)</f>
        <v>1969594.7040000004</v>
      </c>
      <c r="G6" s="48">
        <f>F6*(1+Assumptions!G$11)</f>
        <v>2166554.1744000004</v>
      </c>
    </row>
    <row r="7" spans="1:7" s="9" customFormat="1" ht="16.149999999999999" customHeight="1" thickBot="1" x14ac:dyDescent="0.35">
      <c r="A7" s="118"/>
      <c r="B7" s="49" t="s">
        <v>109</v>
      </c>
      <c r="C7" s="50">
        <f ca="1">SUM(OFFSET(C4,1,0,ROW($B7)-ROW($B4)-1,1))</f>
        <v>5197400</v>
      </c>
      <c r="D7" s="50">
        <f t="shared" ref="D7:G7" ca="1" si="0">SUM(OFFSET(D4,1,0,ROW($B7)-ROW($B4)-1,1))</f>
        <v>5613192</v>
      </c>
      <c r="E7" s="50">
        <f t="shared" ca="1" si="0"/>
        <v>6062247.3600000013</v>
      </c>
      <c r="F7" s="50">
        <f t="shared" ca="1" si="0"/>
        <v>6668472.0960000008</v>
      </c>
      <c r="G7" s="50">
        <f t="shared" ca="1" si="0"/>
        <v>7335319.3056000024</v>
      </c>
    </row>
    <row r="8" spans="1:7" s="17" customFormat="1" ht="16.149999999999999" customHeight="1" x14ac:dyDescent="0.3">
      <c r="A8" s="125" t="s">
        <v>106</v>
      </c>
      <c r="B8" s="17" t="s">
        <v>110</v>
      </c>
      <c r="C8" s="48">
        <f>SUM(C5,-C11)</f>
        <v>2362230</v>
      </c>
      <c r="D8" s="48">
        <f t="shared" ref="D8:G8" si="1">SUM(D5,-D11)</f>
        <v>2452276.08</v>
      </c>
      <c r="E8" s="48">
        <f t="shared" si="1"/>
        <v>2563024.0320000006</v>
      </c>
      <c r="F8" s="48">
        <f t="shared" si="1"/>
        <v>2819326.4352000002</v>
      </c>
      <c r="G8" s="48">
        <f t="shared" si="1"/>
        <v>3101259.0787200006</v>
      </c>
    </row>
    <row r="9" spans="1:7" s="17" customFormat="1" ht="16.149999999999999" customHeight="1" x14ac:dyDescent="0.3">
      <c r="A9" s="125" t="s">
        <v>111</v>
      </c>
      <c r="B9" s="17" t="s">
        <v>112</v>
      </c>
      <c r="C9" s="48">
        <f t="shared" ref="C9:G9" si="2">SUM(C6,-C12)</f>
        <v>0</v>
      </c>
      <c r="D9" s="48">
        <f t="shared" si="2"/>
        <v>0</v>
      </c>
      <c r="E9" s="48">
        <f t="shared" si="2"/>
        <v>0</v>
      </c>
      <c r="F9" s="48">
        <f t="shared" si="2"/>
        <v>0</v>
      </c>
      <c r="G9" s="48">
        <f t="shared" si="2"/>
        <v>0</v>
      </c>
    </row>
    <row r="10" spans="1:7" ht="16.149999999999999" customHeight="1" thickBot="1" x14ac:dyDescent="0.35">
      <c r="A10" s="126"/>
      <c r="B10" s="4" t="s">
        <v>113</v>
      </c>
      <c r="C10" s="51">
        <f ca="1">SUM(OFFSET(C7,1,0,ROW($B10)-ROW($B7)-1,1))</f>
        <v>2362230</v>
      </c>
      <c r="D10" s="51">
        <f t="shared" ref="D10:G10" ca="1" si="3">SUM(OFFSET(D7,1,0,ROW($B10)-ROW($B7)-1,1))</f>
        <v>2452276.08</v>
      </c>
      <c r="E10" s="51">
        <f t="shared" ca="1" si="3"/>
        <v>2563024.0320000006</v>
      </c>
      <c r="F10" s="51">
        <f t="shared" ca="1" si="3"/>
        <v>2819326.4352000002</v>
      </c>
      <c r="G10" s="51">
        <f t="shared" ca="1" si="3"/>
        <v>3101259.0787200006</v>
      </c>
    </row>
    <row r="11" spans="1:7" s="17" customFormat="1" ht="16.149999999999999" customHeight="1" x14ac:dyDescent="0.3">
      <c r="A11" s="125"/>
      <c r="B11" s="17" t="s">
        <v>110</v>
      </c>
      <c r="C11" s="17">
        <f t="shared" ref="C11:G12" si="4">C5*C14</f>
        <v>1300070</v>
      </c>
      <c r="D11" s="17">
        <f t="shared" si="4"/>
        <v>1503007.9200000002</v>
      </c>
      <c r="E11" s="17">
        <f t="shared" si="4"/>
        <v>1708682.6880000003</v>
      </c>
      <c r="F11" s="17">
        <f t="shared" si="4"/>
        <v>1879550.9568000005</v>
      </c>
      <c r="G11" s="17">
        <f t="shared" si="4"/>
        <v>2067506.0524800008</v>
      </c>
    </row>
    <row r="12" spans="1:7" s="17" customFormat="1" ht="16.149999999999999" customHeight="1" x14ac:dyDescent="0.3">
      <c r="A12" s="125"/>
      <c r="B12" s="17" t="s">
        <v>112</v>
      </c>
      <c r="C12" s="48">
        <f t="shared" si="4"/>
        <v>1535100</v>
      </c>
      <c r="D12" s="48">
        <f t="shared" si="4"/>
        <v>1657908</v>
      </c>
      <c r="E12" s="48">
        <f t="shared" si="4"/>
        <v>1790540.6400000001</v>
      </c>
      <c r="F12" s="48">
        <f t="shared" si="4"/>
        <v>1969594.7040000004</v>
      </c>
      <c r="G12" s="48">
        <f t="shared" si="4"/>
        <v>2166554.1744000004</v>
      </c>
    </row>
    <row r="13" spans="1:7" ht="16.149999999999999" customHeight="1" thickBot="1" x14ac:dyDescent="0.35">
      <c r="A13" s="126"/>
      <c r="B13" s="4" t="s">
        <v>114</v>
      </c>
      <c r="C13" s="51">
        <f ca="1">SUM(OFFSET(C10,1,0,ROW($B13)-ROW($B10)-1,1))</f>
        <v>2835170</v>
      </c>
      <c r="D13" s="51">
        <f t="shared" ref="D13:G13" ca="1" si="5">SUM(OFFSET(D10,1,0,ROW($B13)-ROW($B10)-1,1))</f>
        <v>3160915.92</v>
      </c>
      <c r="E13" s="51">
        <f t="shared" ca="1" si="5"/>
        <v>3499223.3280000007</v>
      </c>
      <c r="F13" s="51">
        <f t="shared" ca="1" si="5"/>
        <v>3849145.6608000007</v>
      </c>
      <c r="G13" s="51">
        <f t="shared" ca="1" si="5"/>
        <v>4234060.2268800009</v>
      </c>
    </row>
    <row r="14" spans="1:7" s="54" customFormat="1" ht="16.149999999999999" customHeight="1" x14ac:dyDescent="0.25">
      <c r="A14" s="127"/>
      <c r="B14" s="52" t="s">
        <v>110</v>
      </c>
      <c r="C14" s="53">
        <v>0.35498730306091802</v>
      </c>
      <c r="D14" s="53">
        <v>0.38</v>
      </c>
      <c r="E14" s="53">
        <v>0.4</v>
      </c>
      <c r="F14" s="53">
        <v>0.4</v>
      </c>
      <c r="G14" s="53">
        <v>0.4</v>
      </c>
    </row>
    <row r="15" spans="1:7" s="54" customFormat="1" ht="16.149999999999999" customHeight="1" x14ac:dyDescent="0.25">
      <c r="A15" s="127"/>
      <c r="B15" s="52" t="s">
        <v>112</v>
      </c>
      <c r="C15" s="54">
        <v>1</v>
      </c>
      <c r="D15" s="54">
        <v>1</v>
      </c>
      <c r="E15" s="54">
        <v>1</v>
      </c>
      <c r="F15" s="54">
        <v>1</v>
      </c>
      <c r="G15" s="54">
        <v>1</v>
      </c>
    </row>
    <row r="16" spans="1:7" s="57" customFormat="1" ht="16.149999999999999" customHeight="1" thickBot="1" x14ac:dyDescent="0.3">
      <c r="A16" s="128"/>
      <c r="B16" s="55" t="s">
        <v>5</v>
      </c>
      <c r="C16" s="56">
        <f ca="1">IF(C7=0,0,C13/C7)</f>
        <v>0.54549774887443725</v>
      </c>
      <c r="D16" s="56">
        <f t="shared" ref="D16:G16" ca="1" si="6">IF(D7=0,0,D13/D7)</f>
        <v>0.56312271520375567</v>
      </c>
      <c r="E16" s="56">
        <f t="shared" ca="1" si="6"/>
        <v>0.57721553084234423</v>
      </c>
      <c r="F16" s="56">
        <f t="shared" ca="1" si="6"/>
        <v>0.57721553084234423</v>
      </c>
      <c r="G16" s="56">
        <f t="shared" ca="1" si="6"/>
        <v>0.57721553084234423</v>
      </c>
    </row>
    <row r="17" spans="1:7" ht="16.149999999999999" customHeight="1" x14ac:dyDescent="0.3">
      <c r="A17" s="124"/>
      <c r="B17" s="6" t="s">
        <v>245</v>
      </c>
      <c r="C17" s="48">
        <v>6000</v>
      </c>
      <c r="D17" s="48">
        <f>C17*(1+Assumptions!D$11)</f>
        <v>6480</v>
      </c>
      <c r="E17" s="48">
        <f>D17*(1+Assumptions!E$11)</f>
        <v>6998.4000000000005</v>
      </c>
      <c r="F17" s="48">
        <f>E17*(1+Assumptions!F$11)</f>
        <v>7698.2400000000016</v>
      </c>
      <c r="G17" s="48">
        <f>F17*(1+Assumptions!G$11)</f>
        <v>8468.0640000000021</v>
      </c>
    </row>
    <row r="18" spans="1:7" ht="16.149999999999999" customHeight="1" x14ac:dyDescent="0.3">
      <c r="B18" s="3" t="s">
        <v>97</v>
      </c>
      <c r="C18" s="48"/>
      <c r="D18" s="48"/>
      <c r="E18" s="48"/>
      <c r="F18" s="48"/>
      <c r="G18" s="48"/>
    </row>
    <row r="19" spans="1:7" ht="16.149999999999999" customHeight="1" x14ac:dyDescent="0.3">
      <c r="A19" s="124" t="s">
        <v>106</v>
      </c>
      <c r="B19" s="6" t="s">
        <v>6</v>
      </c>
      <c r="C19" s="48">
        <v>24000</v>
      </c>
      <c r="D19" s="48">
        <f>C19*(1+Assumptions!D$18)</f>
        <v>25440</v>
      </c>
      <c r="E19" s="48">
        <f>D19*(1+Assumptions!E$18)</f>
        <v>26966.400000000001</v>
      </c>
      <c r="F19" s="48">
        <f>E19*(1+Assumptions!F$18)</f>
        <v>28584.384000000002</v>
      </c>
      <c r="G19" s="48">
        <f>F19*(1+Assumptions!G$18)</f>
        <v>30299.447040000003</v>
      </c>
    </row>
    <row r="20" spans="1:7" ht="16.149999999999999" customHeight="1" x14ac:dyDescent="0.3">
      <c r="A20" s="124" t="s">
        <v>106</v>
      </c>
      <c r="B20" s="6" t="s">
        <v>18</v>
      </c>
      <c r="C20" s="48">
        <v>131000</v>
      </c>
      <c r="D20" s="48">
        <f>C20*(1+Assumptions!D$18)</f>
        <v>138860</v>
      </c>
      <c r="E20" s="48">
        <f>D20*(1+Assumptions!E$18)</f>
        <v>147191.6</v>
      </c>
      <c r="F20" s="48">
        <f>E20*(1+Assumptions!F$18)</f>
        <v>156023.09600000002</v>
      </c>
      <c r="G20" s="48">
        <f>F20*(1+Assumptions!G$18)</f>
        <v>165384.48176000002</v>
      </c>
    </row>
    <row r="21" spans="1:7" ht="16.149999999999999" customHeight="1" x14ac:dyDescent="0.3">
      <c r="A21" s="124" t="s">
        <v>111</v>
      </c>
      <c r="B21" s="6" t="s">
        <v>7</v>
      </c>
      <c r="C21" s="48">
        <v>3000</v>
      </c>
      <c r="D21" s="48">
        <f>C21*(1+Assumptions!D$18)</f>
        <v>3180</v>
      </c>
      <c r="E21" s="48">
        <f>D21*(1+Assumptions!E$18)</f>
        <v>3370.8</v>
      </c>
      <c r="F21" s="48">
        <f>E21*(1+Assumptions!F$18)</f>
        <v>3573.0480000000002</v>
      </c>
      <c r="G21" s="48">
        <f>F21*(1+Assumptions!G$18)</f>
        <v>3787.4308800000003</v>
      </c>
    </row>
    <row r="22" spans="1:7" ht="16.149999999999999" customHeight="1" x14ac:dyDescent="0.3">
      <c r="A22" s="124" t="s">
        <v>111</v>
      </c>
      <c r="B22" s="6" t="s">
        <v>19</v>
      </c>
      <c r="C22" s="48">
        <v>9420</v>
      </c>
      <c r="D22" s="48">
        <f>C22*(1+Assumptions!D$18)</f>
        <v>9985.2000000000007</v>
      </c>
      <c r="E22" s="48">
        <f>D22*(1+Assumptions!E$18)</f>
        <v>10584.312000000002</v>
      </c>
      <c r="F22" s="48">
        <f>E22*(1+Assumptions!F$18)</f>
        <v>11219.370720000003</v>
      </c>
      <c r="G22" s="48">
        <f>F22*(1+Assumptions!G$18)</f>
        <v>11892.532963200003</v>
      </c>
    </row>
    <row r="23" spans="1:7" ht="16.149999999999999" customHeight="1" x14ac:dyDescent="0.3">
      <c r="A23" s="124" t="s">
        <v>111</v>
      </c>
      <c r="B23" s="6" t="s">
        <v>8</v>
      </c>
      <c r="C23" s="48">
        <v>8000</v>
      </c>
      <c r="D23" s="48">
        <f>C23*(1+Assumptions!D$18)</f>
        <v>8480</v>
      </c>
      <c r="E23" s="48">
        <f>D23*(1+Assumptions!E$18)</f>
        <v>8988.8000000000011</v>
      </c>
      <c r="F23" s="48">
        <f>E23*(1+Assumptions!F$18)</f>
        <v>9528.1280000000024</v>
      </c>
      <c r="G23" s="48">
        <f>F23*(1+Assumptions!G$18)</f>
        <v>10099.815680000003</v>
      </c>
    </row>
    <row r="24" spans="1:7" ht="16.149999999999999" customHeight="1" x14ac:dyDescent="0.3">
      <c r="A24" s="124" t="s">
        <v>111</v>
      </c>
      <c r="B24" s="6" t="s">
        <v>25</v>
      </c>
      <c r="C24" s="48">
        <v>5289</v>
      </c>
      <c r="D24" s="48">
        <f>C24*(1+Assumptions!D$18)</f>
        <v>5606.34</v>
      </c>
      <c r="E24" s="48">
        <f>D24*(1+Assumptions!E$18)</f>
        <v>5942.7204000000002</v>
      </c>
      <c r="F24" s="48">
        <f>E24*(1+Assumptions!F$18)</f>
        <v>6299.2836240000006</v>
      </c>
      <c r="G24" s="48">
        <f>F24*(1+Assumptions!G$18)</f>
        <v>6677.2406414400011</v>
      </c>
    </row>
    <row r="25" spans="1:7" ht="16.149999999999999" customHeight="1" x14ac:dyDescent="0.3">
      <c r="A25" s="124" t="s">
        <v>111</v>
      </c>
      <c r="B25" s="6" t="s">
        <v>10</v>
      </c>
      <c r="C25" s="48">
        <v>13400</v>
      </c>
      <c r="D25" s="48">
        <f>C25*(1+Assumptions!D$18)</f>
        <v>14204</v>
      </c>
      <c r="E25" s="48">
        <f>D25*(1+Assumptions!E$18)</f>
        <v>15056.240000000002</v>
      </c>
      <c r="F25" s="48">
        <f>E25*(1+Assumptions!F$18)</f>
        <v>15959.614400000002</v>
      </c>
      <c r="G25" s="48">
        <f>F25*(1+Assumptions!G$18)</f>
        <v>16917.191264000005</v>
      </c>
    </row>
    <row r="26" spans="1:7" ht="16.149999999999999" customHeight="1" x14ac:dyDescent="0.3">
      <c r="A26" s="124" t="s">
        <v>111</v>
      </c>
      <c r="B26" s="6" t="s">
        <v>11</v>
      </c>
      <c r="C26" s="48">
        <v>12000</v>
      </c>
      <c r="D26" s="48">
        <f>C26*(1+Assumptions!D$18)</f>
        <v>12720</v>
      </c>
      <c r="E26" s="48">
        <f>D26*(1+Assumptions!E$18)</f>
        <v>13483.2</v>
      </c>
      <c r="F26" s="48">
        <f>E26*(1+Assumptions!F$18)</f>
        <v>14292.192000000001</v>
      </c>
      <c r="G26" s="48">
        <f>F26*(1+Assumptions!G$18)</f>
        <v>15149.723520000001</v>
      </c>
    </row>
    <row r="27" spans="1:7" ht="16.149999999999999" customHeight="1" x14ac:dyDescent="0.3">
      <c r="A27" s="124" t="s">
        <v>106</v>
      </c>
      <c r="B27" s="6" t="s">
        <v>23</v>
      </c>
      <c r="C27" s="48">
        <v>18000</v>
      </c>
      <c r="D27" s="48">
        <f>C27*(1+Assumptions!D$18)</f>
        <v>19080</v>
      </c>
      <c r="E27" s="48">
        <f>D27*(1+Assumptions!E$18)</f>
        <v>20224.8</v>
      </c>
      <c r="F27" s="48">
        <f>E27*(1+Assumptions!F$18)</f>
        <v>21438.288</v>
      </c>
      <c r="G27" s="48">
        <f>F27*(1+Assumptions!G$18)</f>
        <v>22724.585280000003</v>
      </c>
    </row>
    <row r="28" spans="1:7" ht="16.149999999999999" customHeight="1" x14ac:dyDescent="0.3">
      <c r="A28" s="124" t="s">
        <v>111</v>
      </c>
      <c r="B28" s="6" t="s">
        <v>12</v>
      </c>
      <c r="C28" s="48">
        <v>25800</v>
      </c>
      <c r="D28" s="48">
        <f>C28*(1+Assumptions!D$18)</f>
        <v>27348</v>
      </c>
      <c r="E28" s="48">
        <f>D28*(1+Assumptions!E$18)</f>
        <v>28988.880000000001</v>
      </c>
      <c r="F28" s="48">
        <f>E28*(1+Assumptions!F$18)</f>
        <v>30728.212800000001</v>
      </c>
      <c r="G28" s="48">
        <f>F28*(1+Assumptions!G$18)</f>
        <v>32571.905568000002</v>
      </c>
    </row>
    <row r="29" spans="1:7" ht="16.149999999999999" customHeight="1" x14ac:dyDescent="0.3">
      <c r="A29" s="124" t="s">
        <v>106</v>
      </c>
      <c r="B29" s="6" t="s">
        <v>26</v>
      </c>
      <c r="C29" s="48">
        <v>74000</v>
      </c>
      <c r="D29" s="48">
        <f>C29*(1+Assumptions!D$18)</f>
        <v>78440</v>
      </c>
      <c r="E29" s="48">
        <f>D29*(1+Assumptions!E$18)</f>
        <v>83146.400000000009</v>
      </c>
      <c r="F29" s="48">
        <f>E29*(1+Assumptions!F$18)</f>
        <v>88135.184000000008</v>
      </c>
      <c r="G29" s="48">
        <f>F29*(1+Assumptions!G$18)</f>
        <v>93423.295040000012</v>
      </c>
    </row>
    <row r="30" spans="1:7" ht="16.149999999999999" customHeight="1" x14ac:dyDescent="0.3">
      <c r="A30" s="124" t="s">
        <v>111</v>
      </c>
      <c r="B30" s="6" t="s">
        <v>22</v>
      </c>
      <c r="C30" s="48">
        <v>1800</v>
      </c>
      <c r="D30" s="48">
        <f>C30*(1+Assumptions!D$18)</f>
        <v>1908</v>
      </c>
      <c r="E30" s="48">
        <f>D30*(1+Assumptions!E$18)</f>
        <v>2022.48</v>
      </c>
      <c r="F30" s="48">
        <f>E30*(1+Assumptions!F$18)</f>
        <v>2143.8288000000002</v>
      </c>
      <c r="G30" s="48">
        <f>F30*(1+Assumptions!G$18)</f>
        <v>2272.4585280000006</v>
      </c>
    </row>
    <row r="31" spans="1:7" ht="16.149999999999999" customHeight="1" x14ac:dyDescent="0.3">
      <c r="A31" s="124" t="s">
        <v>111</v>
      </c>
      <c r="B31" s="6" t="s">
        <v>21</v>
      </c>
      <c r="C31" s="48">
        <v>1200</v>
      </c>
      <c r="D31" s="48">
        <f>C31*(1+Assumptions!D$18)</f>
        <v>1272</v>
      </c>
      <c r="E31" s="48">
        <f>D31*(1+Assumptions!E$18)</f>
        <v>1348.3200000000002</v>
      </c>
      <c r="F31" s="48">
        <f>E31*(1+Assumptions!F$18)</f>
        <v>1429.2192000000002</v>
      </c>
      <c r="G31" s="48">
        <f>F31*(1+Assumptions!G$18)</f>
        <v>1514.9723520000002</v>
      </c>
    </row>
    <row r="32" spans="1:7" ht="16.149999999999999" customHeight="1" x14ac:dyDescent="0.3">
      <c r="A32" s="124" t="s">
        <v>106</v>
      </c>
      <c r="B32" s="6" t="s">
        <v>13</v>
      </c>
      <c r="C32" s="48">
        <v>3600</v>
      </c>
      <c r="D32" s="48">
        <f>C32*(1+Assumptions!D$18)</f>
        <v>3816</v>
      </c>
      <c r="E32" s="48">
        <f>D32*(1+Assumptions!E$18)</f>
        <v>4044.96</v>
      </c>
      <c r="F32" s="48">
        <f>E32*(1+Assumptions!F$18)</f>
        <v>4287.6576000000005</v>
      </c>
      <c r="G32" s="48">
        <f>F32*(1+Assumptions!G$18)</f>
        <v>4544.9170560000011</v>
      </c>
    </row>
    <row r="33" spans="1:7" ht="16.149999999999999" customHeight="1" x14ac:dyDescent="0.3">
      <c r="A33" s="124" t="s">
        <v>106</v>
      </c>
      <c r="B33" s="6" t="s">
        <v>20</v>
      </c>
      <c r="C33" s="48">
        <v>32000</v>
      </c>
      <c r="D33" s="48">
        <f>C33*(1+Assumptions!D$18)</f>
        <v>33920</v>
      </c>
      <c r="E33" s="48">
        <f>D33*(1+Assumptions!E$18)</f>
        <v>35955.200000000004</v>
      </c>
      <c r="F33" s="48">
        <f>E33*(1+Assumptions!F$18)</f>
        <v>38112.51200000001</v>
      </c>
      <c r="G33" s="48">
        <f>F33*(1+Assumptions!G$18)</f>
        <v>40399.262720000013</v>
      </c>
    </row>
    <row r="34" spans="1:7" ht="16.149999999999999" customHeight="1" x14ac:dyDescent="0.3">
      <c r="A34" s="124" t="s">
        <v>111</v>
      </c>
      <c r="B34" s="6" t="s">
        <v>14</v>
      </c>
      <c r="C34" s="48">
        <v>244000</v>
      </c>
      <c r="D34" s="48">
        <f>C34*(1+Assumptions!D$18)</f>
        <v>258640</v>
      </c>
      <c r="E34" s="48">
        <f>D34*(1+Assumptions!E$18)</f>
        <v>274158.40000000002</v>
      </c>
      <c r="F34" s="48">
        <f>E34*(1+Assumptions!F$18)</f>
        <v>290607.90400000004</v>
      </c>
      <c r="G34" s="48">
        <f>F34*(1+Assumptions!G$18)</f>
        <v>308044.37824000005</v>
      </c>
    </row>
    <row r="35" spans="1:7" ht="16.149999999999999" customHeight="1" x14ac:dyDescent="0.3">
      <c r="A35" s="124" t="s">
        <v>111</v>
      </c>
      <c r="B35" s="6" t="s">
        <v>24</v>
      </c>
      <c r="C35" s="48">
        <v>5880</v>
      </c>
      <c r="D35" s="48">
        <f>C35*(1+Assumptions!D$18)</f>
        <v>6232.8</v>
      </c>
      <c r="E35" s="48">
        <f>D35*(1+Assumptions!E$18)</f>
        <v>6606.7680000000009</v>
      </c>
      <c r="F35" s="48">
        <f>E35*(1+Assumptions!F$18)</f>
        <v>7003.1740800000016</v>
      </c>
      <c r="G35" s="48">
        <f>F35*(1+Assumptions!G$18)</f>
        <v>7423.3645248000021</v>
      </c>
    </row>
    <row r="36" spans="1:7" ht="16.149999999999999" customHeight="1" x14ac:dyDescent="0.3">
      <c r="A36" s="124" t="s">
        <v>106</v>
      </c>
      <c r="B36" s="6" t="s">
        <v>15</v>
      </c>
      <c r="C36" s="48">
        <v>3900</v>
      </c>
      <c r="D36" s="48">
        <f>C36*(1+Assumptions!D$18)</f>
        <v>4134</v>
      </c>
      <c r="E36" s="48">
        <f>D36*(1+Assumptions!E$18)</f>
        <v>4382.04</v>
      </c>
      <c r="F36" s="48">
        <f>E36*(1+Assumptions!F$18)</f>
        <v>4644.9624000000003</v>
      </c>
      <c r="G36" s="48">
        <f>F36*(1+Assumptions!G$18)</f>
        <v>4923.6601440000004</v>
      </c>
    </row>
    <row r="37" spans="1:7" ht="16.149999999999999" customHeight="1" x14ac:dyDescent="0.3">
      <c r="A37" s="124" t="s">
        <v>111</v>
      </c>
      <c r="B37" s="6" t="s">
        <v>16</v>
      </c>
      <c r="C37" s="48">
        <v>3200</v>
      </c>
      <c r="D37" s="48">
        <f>C37*(1+Assumptions!D$18)</f>
        <v>3392</v>
      </c>
      <c r="E37" s="48">
        <f>D37*(1+Assumptions!E$18)</f>
        <v>3595.52</v>
      </c>
      <c r="F37" s="48">
        <f>E37*(1+Assumptions!F$18)</f>
        <v>3811.2512000000002</v>
      </c>
      <c r="G37" s="48">
        <f>F37*(1+Assumptions!G$18)</f>
        <v>4039.9262720000002</v>
      </c>
    </row>
    <row r="38" spans="1:7" ht="16.149999999999999" customHeight="1" x14ac:dyDescent="0.3">
      <c r="A38" s="124" t="s">
        <v>106</v>
      </c>
      <c r="B38" s="6" t="s">
        <v>17</v>
      </c>
      <c r="C38" s="48">
        <v>30120</v>
      </c>
      <c r="D38" s="48">
        <f>C38*(1+Assumptions!D$18)</f>
        <v>31927.200000000001</v>
      </c>
      <c r="E38" s="48">
        <f>D38*(1+Assumptions!E$18)</f>
        <v>33842.832000000002</v>
      </c>
      <c r="F38" s="48">
        <f>E38*(1+Assumptions!F$18)</f>
        <v>35873.401920000004</v>
      </c>
      <c r="G38" s="48">
        <f>F38*(1+Assumptions!G$18)</f>
        <v>38025.806035200003</v>
      </c>
    </row>
    <row r="39" spans="1:7" ht="16.149999999999999" customHeight="1" x14ac:dyDescent="0.3">
      <c r="A39" s="124" t="s">
        <v>106</v>
      </c>
      <c r="B39" s="6" t="s">
        <v>27</v>
      </c>
      <c r="C39" s="48">
        <v>12000</v>
      </c>
      <c r="D39" s="48">
        <f>C39*(1+Assumptions!D$18)</f>
        <v>12720</v>
      </c>
      <c r="E39" s="48">
        <f>D39*(1+Assumptions!E$18)</f>
        <v>13483.2</v>
      </c>
      <c r="F39" s="48">
        <f>E39*(1+Assumptions!F$18)</f>
        <v>14292.192000000001</v>
      </c>
      <c r="G39" s="48">
        <f>F39*(1+Assumptions!G$18)</f>
        <v>15149.723520000001</v>
      </c>
    </row>
    <row r="40" spans="1:7" ht="16.149999999999999" customHeight="1" x14ac:dyDescent="0.3">
      <c r="A40" s="124" t="s">
        <v>106</v>
      </c>
      <c r="B40" s="6" t="s">
        <v>9</v>
      </c>
      <c r="C40" s="48">
        <v>2530</v>
      </c>
      <c r="D40" s="48">
        <f>C40*(1+Assumptions!D$18)</f>
        <v>2681.8</v>
      </c>
      <c r="E40" s="48">
        <f>D40*(1+Assumptions!E$18)</f>
        <v>2842.7080000000005</v>
      </c>
      <c r="F40" s="48">
        <f>E40*(1+Assumptions!F$18)</f>
        <v>3013.2704800000006</v>
      </c>
      <c r="G40" s="48">
        <f>F40*(1+Assumptions!G$18)</f>
        <v>3194.0667088000009</v>
      </c>
    </row>
    <row r="41" spans="1:7" s="9" customFormat="1" ht="16.149999999999999" customHeight="1" x14ac:dyDescent="0.25">
      <c r="A41" s="129"/>
      <c r="B41" s="3" t="s">
        <v>121</v>
      </c>
      <c r="C41" s="58">
        <f ca="1">SUM(OFFSET(B18,1,1,ROW($B$41)-ROW($B$18)-1,1))</f>
        <v>664139</v>
      </c>
      <c r="D41" s="58">
        <f t="shared" ref="D41:G41" ca="1" si="7">SUM(OFFSET(C18,1,1,ROW($B$41)-ROW($B$18)-1,1))</f>
        <v>703987.34000000008</v>
      </c>
      <c r="E41" s="58">
        <f t="shared" ca="1" si="7"/>
        <v>746226.58040000009</v>
      </c>
      <c r="F41" s="58">
        <f t="shared" ca="1" si="7"/>
        <v>791000.17522400012</v>
      </c>
      <c r="G41" s="58">
        <f t="shared" ca="1" si="7"/>
        <v>838460.18573744001</v>
      </c>
    </row>
    <row r="42" spans="1:7" s="9" customFormat="1" ht="16.149999999999999" customHeight="1" x14ac:dyDescent="0.3">
      <c r="A42" s="121"/>
      <c r="B42" s="3" t="s">
        <v>99</v>
      </c>
      <c r="C42" s="59"/>
      <c r="D42" s="59"/>
      <c r="E42" s="59"/>
      <c r="F42" s="59"/>
      <c r="G42" s="59"/>
    </row>
    <row r="43" spans="1:7" ht="16.149999999999999" customHeight="1" x14ac:dyDescent="0.3">
      <c r="A43" s="130" t="s">
        <v>394</v>
      </c>
      <c r="B43" s="6" t="s">
        <v>122</v>
      </c>
      <c r="C43" s="48">
        <v>840000</v>
      </c>
      <c r="D43" s="48">
        <f>C43*(1+Assumptions!D$18)</f>
        <v>890400</v>
      </c>
      <c r="E43" s="48">
        <f>D43*(1+Assumptions!E$18)</f>
        <v>943824</v>
      </c>
      <c r="F43" s="48">
        <f>E43*(1+Assumptions!F$18)</f>
        <v>1000453.4400000001</v>
      </c>
      <c r="G43" s="48">
        <f>F43*(1+Assumptions!G$18)</f>
        <v>1060480.6464000002</v>
      </c>
    </row>
    <row r="44" spans="1:7" ht="16.149999999999999" customHeight="1" x14ac:dyDescent="0.3">
      <c r="A44" s="130" t="s">
        <v>394</v>
      </c>
      <c r="B44" s="6" t="s">
        <v>123</v>
      </c>
      <c r="C44" s="48">
        <v>360000</v>
      </c>
      <c r="D44" s="48">
        <f>C44*(1+Assumptions!D$18)</f>
        <v>381600</v>
      </c>
      <c r="E44" s="48">
        <f>D44*(1+Assumptions!E$18)</f>
        <v>404496</v>
      </c>
      <c r="F44" s="48">
        <f>E44*(1+Assumptions!F$18)</f>
        <v>428765.76</v>
      </c>
      <c r="G44" s="48">
        <f>F44*(1+Assumptions!G$18)</f>
        <v>454491.70560000004</v>
      </c>
    </row>
    <row r="45" spans="1:7" s="9" customFormat="1" ht="16.149999999999999" customHeight="1" thickBot="1" x14ac:dyDescent="0.35">
      <c r="A45" s="121" t="s">
        <v>124</v>
      </c>
      <c r="B45" s="3" t="s">
        <v>125</v>
      </c>
      <c r="C45" s="51">
        <f ca="1">SUM(OFFSET(C42,1,0,ROW($B45)-ROW($B42)-1,1))</f>
        <v>1200000</v>
      </c>
      <c r="D45" s="51">
        <f t="shared" ref="D45:G45" ca="1" si="8">SUM(OFFSET(D42,1,0,ROW($B45)-ROW($B42)-1,1))</f>
        <v>1272000</v>
      </c>
      <c r="E45" s="51">
        <f t="shared" ca="1" si="8"/>
        <v>1348320</v>
      </c>
      <c r="F45" s="51">
        <f t="shared" ca="1" si="8"/>
        <v>1429219.2000000002</v>
      </c>
      <c r="G45" s="51">
        <f t="shared" ca="1" si="8"/>
        <v>1514972.3520000002</v>
      </c>
    </row>
    <row r="46" spans="1:7" ht="16.149999999999999" customHeight="1" x14ac:dyDescent="0.3">
      <c r="A46" s="121"/>
      <c r="B46" s="3" t="s">
        <v>100</v>
      </c>
      <c r="C46" s="48"/>
      <c r="D46" s="48"/>
      <c r="E46" s="48"/>
      <c r="F46" s="48"/>
      <c r="G46" s="48"/>
    </row>
    <row r="47" spans="1:7" ht="16.149999999999999" customHeight="1" x14ac:dyDescent="0.3">
      <c r="A47" s="130" t="s">
        <v>126</v>
      </c>
      <c r="B47" s="6" t="s">
        <v>71</v>
      </c>
      <c r="C47" s="48">
        <v>188000</v>
      </c>
      <c r="D47" s="48">
        <f>Assumptions!D25</f>
        <v>263000</v>
      </c>
      <c r="E47" s="48">
        <f>Assumptions!E25</f>
        <v>307000</v>
      </c>
      <c r="F47" s="48">
        <f>Assumptions!F25</f>
        <v>250000</v>
      </c>
      <c r="G47" s="48">
        <f>Assumptions!G25</f>
        <v>275000</v>
      </c>
    </row>
    <row r="48" spans="1:7" ht="16.149999999999999" customHeight="1" x14ac:dyDescent="0.3">
      <c r="A48" s="130" t="s">
        <v>127</v>
      </c>
      <c r="B48" s="6" t="s">
        <v>128</v>
      </c>
      <c r="C48" s="48">
        <v>12000</v>
      </c>
      <c r="D48" s="48">
        <f>Assumptions!D26</f>
        <v>12000</v>
      </c>
      <c r="E48" s="48">
        <f>Assumptions!E26</f>
        <v>12000</v>
      </c>
      <c r="F48" s="48">
        <f>Assumptions!F26</f>
        <v>12000</v>
      </c>
      <c r="G48" s="48">
        <f>Assumptions!G26</f>
        <v>12000</v>
      </c>
    </row>
    <row r="49" spans="1:7" s="9" customFormat="1" ht="16.149999999999999" customHeight="1" thickBot="1" x14ac:dyDescent="0.3">
      <c r="A49" s="131"/>
      <c r="B49" s="3" t="s">
        <v>129</v>
      </c>
      <c r="C49" s="51">
        <f>SUM(C47:C48)</f>
        <v>200000</v>
      </c>
      <c r="D49" s="51">
        <f t="shared" ref="D49:G49" si="9">SUM(D47:D48)</f>
        <v>275000</v>
      </c>
      <c r="E49" s="51">
        <f t="shared" si="9"/>
        <v>319000</v>
      </c>
      <c r="F49" s="51">
        <f t="shared" si="9"/>
        <v>262000</v>
      </c>
      <c r="G49" s="51">
        <f t="shared" si="9"/>
        <v>287000</v>
      </c>
    </row>
    <row r="50" spans="1:7" s="9" customFormat="1" ht="16.149999999999999" customHeight="1" x14ac:dyDescent="0.25">
      <c r="A50" s="129"/>
      <c r="B50" s="3" t="s">
        <v>73</v>
      </c>
      <c r="C50" s="59">
        <f ca="1">SUM(C13,C17,-C41,-C45,-C49)</f>
        <v>777031</v>
      </c>
      <c r="D50" s="59">
        <f t="shared" ref="D50:G50" ca="1" si="10">SUM(D13,D17,-D41,-D45,-D49)</f>
        <v>916408.58000000007</v>
      </c>
      <c r="E50" s="59">
        <f t="shared" ca="1" si="10"/>
        <v>1092675.1476000007</v>
      </c>
      <c r="F50" s="59">
        <f t="shared" ca="1" si="10"/>
        <v>1374624.5255760006</v>
      </c>
      <c r="G50" s="59">
        <f t="shared" ca="1" si="10"/>
        <v>1602095.7531425611</v>
      </c>
    </row>
    <row r="51" spans="1:7" ht="16.149999999999999" customHeight="1" x14ac:dyDescent="0.25">
      <c r="A51" s="129"/>
      <c r="B51" s="3" t="s">
        <v>133</v>
      </c>
      <c r="C51" s="48"/>
      <c r="D51" s="48"/>
      <c r="E51" s="48"/>
      <c r="F51" s="48"/>
      <c r="G51" s="48"/>
    </row>
    <row r="52" spans="1:7" ht="16.149999999999999" customHeight="1" x14ac:dyDescent="0.3">
      <c r="A52" s="126" t="s">
        <v>134</v>
      </c>
      <c r="B52" s="5" t="s">
        <v>135</v>
      </c>
      <c r="C52" s="48">
        <f ca="1">OFFSET(Loans1!$E$8,1+COLUMN(C$4)-COLUMN($B$4),0,1,1)</f>
        <v>122999.99999999999</v>
      </c>
      <c r="D52" s="48">
        <f ca="1">OFFSET(Loans1!$E$8,1+COLUMN(D$4)-COLUMN($B$4),0,1,1)</f>
        <v>115374.33163986719</v>
      </c>
      <c r="E52" s="48">
        <f ca="1">OFFSET(Loans1!$E$8,1+COLUMN(E$4)-COLUMN($B$4),0,1,1)</f>
        <v>106967.03227282075</v>
      </c>
      <c r="F52" s="48">
        <f ca="1">OFFSET(Loans1!$E$8,1+COLUMN(F$4)-COLUMN($B$4),0,1,1)</f>
        <v>97697.984720652064</v>
      </c>
      <c r="G52" s="48">
        <f ca="1">OFFSET(Loans1!$E$8,1+COLUMN(G$4)-COLUMN($B$4),0,1,1)</f>
        <v>87478.859794386095</v>
      </c>
    </row>
    <row r="53" spans="1:7" ht="16.149999999999999" customHeight="1" x14ac:dyDescent="0.3">
      <c r="A53" s="126" t="s">
        <v>134</v>
      </c>
      <c r="B53" s="5" t="s">
        <v>136</v>
      </c>
      <c r="C53" s="48">
        <f ca="1">OFFSET(Loans2!$E$8,1+COLUMN(C$4)-COLUMN($B$4),0,1,1)</f>
        <v>55500</v>
      </c>
      <c r="D53" s="48">
        <f ca="1">OFFSET(Loans2!$E$8,1+COLUMN(D$4)-COLUMN($B$4),0,1,1)</f>
        <v>50512.960071114197</v>
      </c>
      <c r="E53" s="48">
        <f ca="1">OFFSET(Loans2!$E$8,1+COLUMN(E$4)-COLUMN($B$4),0,1,1)</f>
        <v>45064.618948806463</v>
      </c>
      <c r="F53" s="48">
        <f ca="1">OFFSET(Loans2!$E$8,1+COLUMN(F$4)-COLUMN($B$4),0,1,1)</f>
        <v>39112.306272685266</v>
      </c>
      <c r="G53" s="48">
        <f ca="1">OFFSET(Loans2!$E$8,1+COLUMN(G$4)-COLUMN($B$4),0,1,1)</f>
        <v>32609.404674022855</v>
      </c>
    </row>
    <row r="54" spans="1:7" ht="16.149999999999999" customHeight="1" x14ac:dyDescent="0.3">
      <c r="A54" s="126" t="s">
        <v>134</v>
      </c>
      <c r="B54" s="5" t="s">
        <v>137</v>
      </c>
      <c r="C54" s="48">
        <f ca="1">OFFSET(Loans3!$E$8,1+COLUMN(C$4)-COLUMN($B$4),0,1,1)</f>
        <v>30000</v>
      </c>
      <c r="D54" s="48">
        <f ca="1">OFFSET(Loans3!$E$8,1+COLUMN(D$4)-COLUMN($B$4),0,1,1)</f>
        <v>62824.378828811692</v>
      </c>
      <c r="E54" s="48">
        <f ca="1">OFFSET(Loans3!$E$8,1+COLUMN(E$4)-COLUMN($B$4),0,1,1)</f>
        <v>74219.778547239461</v>
      </c>
      <c r="F54" s="48">
        <f ca="1">OFFSET(Loans3!$E$8,1+COLUMN(F$4)-COLUMN($B$4),0,1,1)</f>
        <v>83220.387352079459</v>
      </c>
      <c r="G54" s="48">
        <f ca="1">OFFSET(Loans3!$E$8,1+COLUMN(G$4)-COLUMN($B$4),0,1,1)</f>
        <v>105074.72128153421</v>
      </c>
    </row>
    <row r="55" spans="1:7" ht="16.149999999999999" customHeight="1" x14ac:dyDescent="0.3">
      <c r="A55" s="126" t="s">
        <v>134</v>
      </c>
      <c r="B55" s="5" t="s">
        <v>138</v>
      </c>
      <c r="C55" s="48">
        <f ca="1">OFFSET(Leases!$E$8,1+COLUMN(C$4)-COLUMN($B$4),0,1,1)</f>
        <v>48875</v>
      </c>
      <c r="D55" s="48">
        <f ca="1">OFFSET(Leases!$E$8,1+COLUMN(D$4)-COLUMN($B$4),0,1,1)</f>
        <v>38573.42657561446</v>
      </c>
      <c r="E55" s="48">
        <f ca="1">OFFSET(Leases!$E$8,1+COLUMN(E$4)-COLUMN($B$4),0,1,1)</f>
        <v>27087.172207424581</v>
      </c>
      <c r="F55" s="48">
        <f ca="1">OFFSET(Leases!$E$8,1+COLUMN(F$4)-COLUMN($B$4),0,1,1)</f>
        <v>14279.998586892865</v>
      </c>
      <c r="G55" s="48">
        <f ca="1">OFFSET(Leases!$E$8,1+COLUMN(G$4)-COLUMN($B$4),0,1,1)</f>
        <v>0</v>
      </c>
    </row>
    <row r="56" spans="1:7" s="9" customFormat="1" ht="16.149999999999999" customHeight="1" thickBot="1" x14ac:dyDescent="0.3">
      <c r="A56" s="132"/>
      <c r="B56" s="4" t="s">
        <v>139</v>
      </c>
      <c r="C56" s="51">
        <f ca="1">SUM(C52:C55)</f>
        <v>257375</v>
      </c>
      <c r="D56" s="51">
        <f t="shared" ref="D56:G56" ca="1" si="11">SUM(D52:D55)</f>
        <v>267285.09711540758</v>
      </c>
      <c r="E56" s="51">
        <f t="shared" ca="1" si="11"/>
        <v>253338.60197629128</v>
      </c>
      <c r="F56" s="51">
        <f t="shared" ca="1" si="11"/>
        <v>234310.67693230967</v>
      </c>
      <c r="G56" s="51">
        <f t="shared" ca="1" si="11"/>
        <v>225162.98574994315</v>
      </c>
    </row>
    <row r="57" spans="1:7" s="9" customFormat="1" ht="16.149999999999999" customHeight="1" x14ac:dyDescent="0.25">
      <c r="A57" s="132"/>
      <c r="B57" s="4" t="s">
        <v>140</v>
      </c>
      <c r="C57" s="59">
        <f ca="1">SUM(C50,-C56)</f>
        <v>519656</v>
      </c>
      <c r="D57" s="59">
        <f t="shared" ref="D57:G57" ca="1" si="12">SUM(D50,-D56)</f>
        <v>649123.48288459249</v>
      </c>
      <c r="E57" s="59">
        <f t="shared" ca="1" si="12"/>
        <v>839336.54562370945</v>
      </c>
      <c r="F57" s="59">
        <f t="shared" ca="1" si="12"/>
        <v>1140313.8486436908</v>
      </c>
      <c r="G57" s="59">
        <f t="shared" ca="1" si="12"/>
        <v>1376932.7673926179</v>
      </c>
    </row>
    <row r="58" spans="1:7" ht="16.149999999999999" customHeight="1" x14ac:dyDescent="0.3">
      <c r="A58" s="126" t="s">
        <v>141</v>
      </c>
      <c r="B58" s="5" t="s">
        <v>41</v>
      </c>
      <c r="C58" s="48">
        <f ca="1">IF(SUM($C57:C57)-Assumptions!$C$69&lt;0,0,(SUM($C57:C57)-Assumptions!$C$69)*Assumptions!$C$68)</f>
        <v>145503.68000000002</v>
      </c>
      <c r="D58" s="48">
        <f ca="1">IF(SUM($C57:D57)-Assumptions!$C$69&lt;0,-SUM($C58:C58),(SUM($C57:D57)-Assumptions!$C$69)*Assumptions!$C$68-SUM($C58:C58))</f>
        <v>181754.57520768585</v>
      </c>
      <c r="E58" s="48">
        <f ca="1">IF(SUM($C57:E57)-Assumptions!$C$69&lt;0,-SUM($C58:D58),(SUM($C57:E57)-Assumptions!$C$69)*Assumptions!$C$68-SUM($C58:D58))</f>
        <v>235014.23277463869</v>
      </c>
      <c r="F58" s="48">
        <f ca="1">IF(SUM($C57:F57)-Assumptions!$C$69&lt;0,-SUM($C58:E58),(SUM($C57:F57)-Assumptions!$C$69)*Assumptions!$C$68-SUM($C58:E58))</f>
        <v>319287.87762023346</v>
      </c>
      <c r="G58" s="48">
        <f ca="1">IF(SUM($C57:G57)-Assumptions!$C$69&lt;0,-SUM($C58:F58),(SUM($C57:G57)-Assumptions!$C$69)*Assumptions!$C$68-SUM($C58:F58))</f>
        <v>385541.17486993317</v>
      </c>
    </row>
    <row r="59" spans="1:7" ht="16.149999999999999" customHeight="1" x14ac:dyDescent="0.3">
      <c r="B59" s="3" t="s">
        <v>72</v>
      </c>
      <c r="C59" s="59">
        <f ca="1">SUM(C57,-C58)</f>
        <v>374152.31999999995</v>
      </c>
      <c r="D59" s="59">
        <f t="shared" ref="D59:G59" ca="1" si="13">SUM(D57,-D58)</f>
        <v>467368.90767690667</v>
      </c>
      <c r="E59" s="59">
        <f t="shared" ca="1" si="13"/>
        <v>604322.31284907076</v>
      </c>
      <c r="F59" s="59">
        <f t="shared" ca="1" si="13"/>
        <v>821025.97102345736</v>
      </c>
      <c r="G59" s="59">
        <f t="shared" ca="1" si="13"/>
        <v>991391.59252268472</v>
      </c>
    </row>
    <row r="60" spans="1:7" ht="16.149999999999999" customHeight="1" x14ac:dyDescent="0.3">
      <c r="A60" s="118" t="s">
        <v>246</v>
      </c>
      <c r="B60" s="6" t="s">
        <v>247</v>
      </c>
      <c r="C60" s="48">
        <f ca="1">BalanceSheet!D79</f>
        <v>0</v>
      </c>
      <c r="D60" s="48">
        <f ca="1">BalanceSheet!E79</f>
        <v>0</v>
      </c>
      <c r="E60" s="48">
        <f ca="1">BalanceSheet!F79</f>
        <v>0</v>
      </c>
      <c r="F60" s="48">
        <f ca="1">BalanceSheet!G79</f>
        <v>0</v>
      </c>
      <c r="G60" s="48">
        <f ca="1">BalanceSheet!H79</f>
        <v>0</v>
      </c>
    </row>
    <row r="61" spans="1:7" ht="16.149999999999999" customHeight="1" x14ac:dyDescent="0.3">
      <c r="B61" s="3" t="s">
        <v>248</v>
      </c>
      <c r="C61" s="59">
        <f ca="1">SUM(C59,-C60)</f>
        <v>374152.31999999995</v>
      </c>
      <c r="D61" s="59">
        <f ca="1">SUM(D59,-D60)</f>
        <v>467368.90767690667</v>
      </c>
      <c r="E61" s="59">
        <f ca="1">SUM(E59,-E60)</f>
        <v>604322.31284907076</v>
      </c>
      <c r="F61" s="59">
        <f ca="1">SUM(F59,-F60)</f>
        <v>821025.97102345736</v>
      </c>
      <c r="G61" s="59">
        <f ca="1">SUM(G59,-G60)</f>
        <v>991391.59252268472</v>
      </c>
    </row>
    <row r="62" spans="1:7" s="52" customFormat="1" ht="16.149999999999999" customHeight="1" x14ac:dyDescent="0.25">
      <c r="A62" s="133"/>
      <c r="B62" s="52" t="s">
        <v>142</v>
      </c>
      <c r="C62" s="60">
        <f ca="1">IF(C7=0,0,C59/C7)</f>
        <v>7.1988363412475456E-2</v>
      </c>
      <c r="D62" s="60">
        <f ca="1">IF(D7=0,0,D59/D7)</f>
        <v>8.3262590639498285E-2</v>
      </c>
      <c r="E62" s="60">
        <f ca="1">IF(E7=0,0,E59/E7)</f>
        <v>9.9686185165672722E-2</v>
      </c>
      <c r="F62" s="60">
        <f ca="1">IF(F7=0,0,F59/F7)</f>
        <v>0.12312055283487494</v>
      </c>
      <c r="G62" s="60">
        <f ca="1">IF(G7=0,0,G59/G7)</f>
        <v>0.13515316119447271</v>
      </c>
    </row>
    <row r="63" spans="1:7" ht="16.149999999999999" customHeight="1" x14ac:dyDescent="0.3">
      <c r="B63" s="61"/>
      <c r="C63" s="62"/>
      <c r="D63" s="62"/>
      <c r="E63" s="62"/>
      <c r="F63" s="62"/>
      <c r="G63" s="62"/>
    </row>
    <row r="64" spans="1:7" s="9" customFormat="1" ht="16.149999999999999" customHeight="1" x14ac:dyDescent="0.25">
      <c r="A64" s="129"/>
      <c r="B64" s="3"/>
    </row>
    <row r="65" spans="1:7" s="26" customFormat="1" ht="16.149999999999999" customHeight="1" x14ac:dyDescent="0.25">
      <c r="A65" s="134"/>
      <c r="B65" s="7" t="s">
        <v>53</v>
      </c>
      <c r="C65" s="63">
        <f ca="1">IF(C56=0,0,C50/C56)</f>
        <v>3.019061680427392</v>
      </c>
      <c r="D65" s="63">
        <f t="shared" ref="D65:G65" ca="1" si="14">IF(D56=0,0,D50/D56)</f>
        <v>3.4285809043978079</v>
      </c>
      <c r="E65" s="63">
        <f t="shared" ca="1" si="14"/>
        <v>4.3131016713444206</v>
      </c>
      <c r="F65" s="63">
        <f t="shared" ca="1" si="14"/>
        <v>5.8666747225228573</v>
      </c>
      <c r="G65" s="63">
        <f t="shared" ca="1" si="14"/>
        <v>7.1152714013207454</v>
      </c>
    </row>
    <row r="66" spans="1:7" s="26" customFormat="1" ht="16.149999999999999" customHeight="1" x14ac:dyDescent="0.25">
      <c r="A66" s="134"/>
      <c r="B66" s="7" t="s">
        <v>57</v>
      </c>
      <c r="C66" s="52">
        <f ca="1">IF(BalanceSheet!D$24=0,0,C59/BalanceSheet!D$24)</f>
        <v>0.48268231977942089</v>
      </c>
      <c r="D66" s="52">
        <f ca="1">IF(BalanceSheet!E$24=0,0,D59/BalanceSheet!E$24)</f>
        <v>0.37614561205584235</v>
      </c>
      <c r="E66" s="52">
        <f ca="1">IF(BalanceSheet!F$24=0,0,E59/BalanceSheet!F$24)</f>
        <v>0.32721900885927829</v>
      </c>
      <c r="F66" s="52">
        <f ca="1">IF(BalanceSheet!G$24=0,0,F59/BalanceSheet!G$24)</f>
        <v>0.30774592515457216</v>
      </c>
      <c r="G66" s="52">
        <f ca="1">IF(BalanceSheet!H$24=0,0,G59/BalanceSheet!H$24)</f>
        <v>0.27092671562011217</v>
      </c>
    </row>
    <row r="67" spans="1:7" s="26" customFormat="1" ht="16.149999999999999" customHeight="1" x14ac:dyDescent="0.25">
      <c r="A67" s="134"/>
      <c r="B67" s="7" t="s">
        <v>58</v>
      </c>
      <c r="C67" s="52">
        <f ca="1">IF(BalanceSheet!D18-BalanceSheet!D40=0,0,C59/(BalanceSheet!D18-BalanceSheet!D40))</f>
        <v>0.12535013470917086</v>
      </c>
      <c r="D67" s="52">
        <f ca="1">IF(BalanceSheet!E18-BalanceSheet!E40=0,0,D59/(BalanceSheet!E18-BalanceSheet!E40))</f>
        <v>0.13655432285443178</v>
      </c>
      <c r="E67" s="52">
        <f ca="1">IF(BalanceSheet!F18-BalanceSheet!F40=0,0,E59/(BalanceSheet!F18-BalanceSheet!F40))</f>
        <v>0.15849965569233793</v>
      </c>
      <c r="F67" s="52">
        <f ca="1">IF(BalanceSheet!G18-BalanceSheet!G40=0,0,F59/(BalanceSheet!G18-BalanceSheet!G40))</f>
        <v>0.18811655060938037</v>
      </c>
      <c r="G67" s="52">
        <f ca="1">IF(BalanceSheet!H18-BalanceSheet!H40=0,0,G59/(BalanceSheet!H18-BalanceSheet!H40))</f>
        <v>0.18820866855297905</v>
      </c>
    </row>
    <row r="70" spans="1:7" s="65" customFormat="1" ht="16.149999999999999" customHeight="1" x14ac:dyDescent="0.3">
      <c r="A70" s="118"/>
      <c r="B70" s="64"/>
    </row>
    <row r="75" spans="1:7" s="65" customFormat="1" ht="16.149999999999999" customHeight="1" x14ac:dyDescent="0.3">
      <c r="A75" s="118"/>
      <c r="B75" s="64"/>
    </row>
    <row r="76" spans="1:7" s="65" customFormat="1" ht="16.149999999999999" customHeight="1" x14ac:dyDescent="0.3">
      <c r="A76" s="118"/>
      <c r="B76" s="64"/>
    </row>
    <row r="91" spans="1:2" s="65" customFormat="1" ht="16.149999999999999" customHeight="1" x14ac:dyDescent="0.3">
      <c r="A91" s="118"/>
      <c r="B91" s="64"/>
    </row>
  </sheetData>
  <phoneticPr fontId="3" type="noConversion"/>
  <printOptions horizontalCentered="1"/>
  <pageMargins left="0.59055118110236227" right="0.59055118110236227" top="0.59055118110236227" bottom="0.59055118110236227" header="0.39370078740157483" footer="0.39370078740157483"/>
  <pageSetup paperSize="9" scale="77" orientation="portrait"/>
  <headerFooter alignWithMargins="0">
    <oddFooter>&amp;C&amp;9Page &amp;P of &amp;N</oddFooter>
  </headerFooter>
  <ignoredErrors>
    <ignoredError sqref="C60:G60"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47"/>
  <sheetViews>
    <sheetView zoomScale="95" zoomScaleNormal="95" workbookViewId="0">
      <pane ySplit="4" topLeftCell="A5" activePane="bottomLeft" state="frozen"/>
      <selection pane="bottomLeft" activeCell="B4" sqref="B4"/>
    </sheetView>
  </sheetViews>
  <sheetFormatPr defaultColWidth="9.140625" defaultRowHeight="16.149999999999999" customHeight="1" x14ac:dyDescent="0.3"/>
  <cols>
    <col min="1" max="1" width="5.7109375" style="118" customWidth="1"/>
    <col min="2" max="2" width="44.7109375" style="12" customWidth="1"/>
    <col min="3" max="20" width="15.7109375" style="12" customWidth="1"/>
    <col min="21" max="16384" width="9.140625" style="12"/>
  </cols>
  <sheetData>
    <row r="1" spans="1:7" ht="16.149999999999999" customHeight="1" x14ac:dyDescent="0.3">
      <c r="B1" s="117" t="str">
        <f>IF(ISBLANK(Assumptions!$C$4),"Example Limited",Assumptions!$C$4)</f>
        <v>Example (Pty) Limited</v>
      </c>
      <c r="C1" s="17"/>
      <c r="D1" s="17"/>
      <c r="E1" s="17"/>
      <c r="F1" s="17"/>
      <c r="G1" s="17"/>
    </row>
    <row r="2" spans="1:7" ht="16.149999999999999" customHeight="1" x14ac:dyDescent="0.3">
      <c r="B2" s="7" t="s">
        <v>69</v>
      </c>
      <c r="C2" s="17"/>
      <c r="D2" s="17"/>
      <c r="E2" s="17"/>
      <c r="F2" s="17"/>
      <c r="G2" s="39"/>
    </row>
    <row r="3" spans="1:7" ht="16.149999999999999" customHeight="1" x14ac:dyDescent="0.3">
      <c r="B3" s="8" t="s">
        <v>59</v>
      </c>
      <c r="C3" s="17"/>
      <c r="D3" s="17"/>
      <c r="E3" s="17"/>
      <c r="F3" s="17"/>
      <c r="G3" s="17"/>
    </row>
    <row r="4" spans="1:7" s="66" customFormat="1" ht="18" customHeight="1" x14ac:dyDescent="0.3">
      <c r="A4" s="135"/>
      <c r="B4" s="40"/>
      <c r="C4" s="42">
        <f>DATE(YEAR(Assumptions!$C$5)+COLUMN(C$1)-COLUMN($B$1),MONTH(Assumptions!$C$5),0)</f>
        <v>44620</v>
      </c>
      <c r="D4" s="42">
        <f>DATE(YEAR(Assumptions!$C$5)+COLUMN(D$1)-COLUMN($B$1),MONTH(Assumptions!$C$5),0)</f>
        <v>44985</v>
      </c>
      <c r="E4" s="42">
        <f>DATE(YEAR(Assumptions!$C$5)+COLUMN(E$1)-COLUMN($B$1),MONTH(Assumptions!$C$5),0)</f>
        <v>45351</v>
      </c>
      <c r="F4" s="42">
        <f>DATE(YEAR(Assumptions!$C$5)+COLUMN(F$1)-COLUMN($B$1),MONTH(Assumptions!$C$5),0)</f>
        <v>45716</v>
      </c>
      <c r="G4" s="42">
        <f>DATE(YEAR(Assumptions!$C$5)+COLUMN(G$1)-COLUMN($B$1),MONTH(Assumptions!$C$5),0)</f>
        <v>46081</v>
      </c>
    </row>
    <row r="5" spans="1:7" ht="16.149999999999999" customHeight="1" x14ac:dyDescent="0.3">
      <c r="B5" s="9" t="s">
        <v>74</v>
      </c>
      <c r="C5" s="67"/>
      <c r="D5" s="67"/>
      <c r="E5" s="67"/>
      <c r="F5" s="67"/>
      <c r="G5" s="67"/>
    </row>
    <row r="6" spans="1:7" ht="16.149999999999999" customHeight="1" x14ac:dyDescent="0.3">
      <c r="B6" s="12" t="s">
        <v>72</v>
      </c>
      <c r="C6" s="48">
        <f ca="1">IncState!C59</f>
        <v>374152.31999999995</v>
      </c>
      <c r="D6" s="48">
        <f ca="1">IncState!D59</f>
        <v>467368.90767690667</v>
      </c>
      <c r="E6" s="48">
        <f ca="1">IncState!E59</f>
        <v>604322.31284907076</v>
      </c>
      <c r="F6" s="48">
        <f ca="1">IncState!F59</f>
        <v>821025.97102345736</v>
      </c>
      <c r="G6" s="48">
        <f ca="1">IncState!G59</f>
        <v>991391.59252268472</v>
      </c>
    </row>
    <row r="7" spans="1:7" ht="16.149999999999999" customHeight="1" x14ac:dyDescent="0.3">
      <c r="A7" s="118" t="s">
        <v>134</v>
      </c>
      <c r="B7" s="12" t="s">
        <v>44</v>
      </c>
      <c r="C7" s="48">
        <f ca="1">IncState!C56</f>
        <v>257375</v>
      </c>
      <c r="D7" s="48">
        <f ca="1">IncState!D56</f>
        <v>267285.09711540758</v>
      </c>
      <c r="E7" s="48">
        <f ca="1">IncState!E56</f>
        <v>253338.60197629128</v>
      </c>
      <c r="F7" s="48">
        <f ca="1">IncState!F56</f>
        <v>234310.67693230967</v>
      </c>
      <c r="G7" s="48">
        <f ca="1">IncState!G56</f>
        <v>225162.98574994315</v>
      </c>
    </row>
    <row r="8" spans="1:7" ht="16.149999999999999" customHeight="1" x14ac:dyDescent="0.3">
      <c r="A8" s="118" t="s">
        <v>141</v>
      </c>
      <c r="B8" s="12" t="s">
        <v>41</v>
      </c>
      <c r="C8" s="48">
        <f ca="1">IncState!C58</f>
        <v>145503.68000000002</v>
      </c>
      <c r="D8" s="48">
        <f ca="1">IncState!D58</f>
        <v>181754.57520768585</v>
      </c>
      <c r="E8" s="48">
        <f ca="1">IncState!E58</f>
        <v>235014.23277463869</v>
      </c>
      <c r="F8" s="48">
        <f ca="1">IncState!F58</f>
        <v>319287.87762023346</v>
      </c>
      <c r="G8" s="48">
        <f ca="1">IncState!G58</f>
        <v>385541.17486993317</v>
      </c>
    </row>
    <row r="9" spans="1:7" ht="16.149999999999999" customHeight="1" x14ac:dyDescent="0.3">
      <c r="B9" s="26" t="s">
        <v>75</v>
      </c>
      <c r="C9" s="48"/>
      <c r="D9" s="68"/>
      <c r="E9" s="68"/>
      <c r="F9" s="68"/>
      <c r="G9" s="68"/>
    </row>
    <row r="10" spans="1:7" ht="16.149999999999999" customHeight="1" x14ac:dyDescent="0.3">
      <c r="A10" s="118" t="s">
        <v>126</v>
      </c>
      <c r="B10" s="12" t="s">
        <v>71</v>
      </c>
      <c r="C10" s="48">
        <f ca="1">SUMIF(IncState!$A$4:$AO$63,$A10,IncState!C$4:C$63)</f>
        <v>188000</v>
      </c>
      <c r="D10" s="48">
        <f ca="1">SUMIF(IncState!$A$4:$AO$63,$A10,IncState!D$4:D$63)</f>
        <v>263000</v>
      </c>
      <c r="E10" s="48">
        <f ca="1">SUMIF(IncState!$A$4:$AO$63,$A10,IncState!E$4:E$63)</f>
        <v>307000</v>
      </c>
      <c r="F10" s="48">
        <f ca="1">SUMIF(IncState!$A$4:$AO$63,$A10,IncState!F$4:F$63)</f>
        <v>250000</v>
      </c>
      <c r="G10" s="48">
        <f ca="1">SUMIF(IncState!$A$4:$AO$63,$A10,IncState!G$4:G$63)</f>
        <v>275000</v>
      </c>
    </row>
    <row r="11" spans="1:7" ht="16.149999999999999" customHeight="1" x14ac:dyDescent="0.3">
      <c r="A11" s="118" t="s">
        <v>127</v>
      </c>
      <c r="B11" s="12" t="s">
        <v>128</v>
      </c>
      <c r="C11" s="48">
        <f ca="1">SUMIF(IncState!$A$4:$AO$63,$A11,IncState!C$4:C$63)</f>
        <v>12000</v>
      </c>
      <c r="D11" s="48">
        <f ca="1">SUMIF(IncState!$A$4:$AO$63,$A11,IncState!D$4:D$63)</f>
        <v>12000</v>
      </c>
      <c r="E11" s="48">
        <f ca="1">SUMIF(IncState!$A$4:$AO$63,$A11,IncState!E$4:E$63)</f>
        <v>12000</v>
      </c>
      <c r="F11" s="48">
        <f ca="1">SUMIF(IncState!$A$4:$AO$63,$A11,IncState!F$4:F$63)</f>
        <v>12000</v>
      </c>
      <c r="G11" s="48">
        <f ca="1">SUMIF(IncState!$A$4:$AO$63,$A11,IncState!G$4:G$63)</f>
        <v>12000</v>
      </c>
    </row>
    <row r="12" spans="1:7" ht="16.149999999999999" customHeight="1" x14ac:dyDescent="0.3">
      <c r="A12" s="118" t="s">
        <v>154</v>
      </c>
      <c r="B12" s="12" t="s">
        <v>144</v>
      </c>
      <c r="C12" s="48">
        <f>Assumptions!C34</f>
        <v>0</v>
      </c>
      <c r="D12" s="48">
        <f>Assumptions!D34</f>
        <v>0</v>
      </c>
      <c r="E12" s="48">
        <f>Assumptions!E34</f>
        <v>0</v>
      </c>
      <c r="F12" s="48">
        <f>Assumptions!F34</f>
        <v>0</v>
      </c>
      <c r="G12" s="48">
        <f>Assumptions!G34</f>
        <v>0</v>
      </c>
    </row>
    <row r="13" spans="1:7" ht="16.149999999999999" customHeight="1" x14ac:dyDescent="0.3">
      <c r="B13" s="7" t="s">
        <v>76</v>
      </c>
      <c r="C13" s="48"/>
      <c r="D13" s="59"/>
      <c r="E13" s="59"/>
      <c r="F13" s="59"/>
      <c r="G13" s="59"/>
    </row>
    <row r="14" spans="1:7" ht="16.149999999999999" customHeight="1" x14ac:dyDescent="0.3">
      <c r="A14" s="118" t="s">
        <v>219</v>
      </c>
      <c r="B14" s="6" t="s">
        <v>28</v>
      </c>
      <c r="C14" s="48">
        <f ca="1">BalanceSheet!C12-BalanceSheet!D12</f>
        <v>-24155.890410958906</v>
      </c>
      <c r="D14" s="48">
        <f ca="1">BalanceSheet!D12-BalanceSheet!E12</f>
        <v>-7401.0476712328673</v>
      </c>
      <c r="E14" s="48">
        <f ca="1">BalanceSheet!E12-BalanceSheet!F12</f>
        <v>-8526.9989669885836</v>
      </c>
      <c r="F14" s="48">
        <f ca="1">BalanceSheet!F12-BalanceSheet!G12</f>
        <v>-21641.523378216923</v>
      </c>
      <c r="G14" s="48">
        <f ca="1">BalanceSheet!G12-BalanceSheet!H12</f>
        <v>-23172.546042739763</v>
      </c>
    </row>
    <row r="15" spans="1:7" ht="16.149999999999999" customHeight="1" x14ac:dyDescent="0.3">
      <c r="A15" s="118" t="s">
        <v>220</v>
      </c>
      <c r="B15" s="6" t="s">
        <v>208</v>
      </c>
      <c r="C15" s="48">
        <f ca="1">BalanceSheet!C13-BalanceSheet!D13</f>
        <v>-39384.246575342491</v>
      </c>
      <c r="D15" s="48">
        <f ca="1">BalanceSheet!D13-BalanceSheet!E13</f>
        <v>-32750.739726027357</v>
      </c>
      <c r="E15" s="48">
        <f ca="1">BalanceSheet!E13-BalanceSheet!F13</f>
        <v>-34066.138288794144</v>
      </c>
      <c r="F15" s="48">
        <f ca="1">BalanceSheet!F13-BalanceSheet!G13</f>
        <v>-49055.239135863434</v>
      </c>
      <c r="G15" s="48">
        <f ca="1">BalanceSheet!G13-BalanceSheet!H13</f>
        <v>-52525.636372602894</v>
      </c>
    </row>
    <row r="16" spans="1:7" ht="16.149999999999999" customHeight="1" x14ac:dyDescent="0.3">
      <c r="A16" s="118" t="s">
        <v>155</v>
      </c>
      <c r="B16" s="6" t="s">
        <v>145</v>
      </c>
      <c r="C16" s="48">
        <f>Assumptions!C35</f>
        <v>0</v>
      </c>
      <c r="D16" s="48">
        <f>Assumptions!D35</f>
        <v>-20000</v>
      </c>
      <c r="E16" s="48">
        <f>Assumptions!E35</f>
        <v>0</v>
      </c>
      <c r="F16" s="48">
        <f>Assumptions!F35</f>
        <v>10000</v>
      </c>
      <c r="G16" s="48">
        <f>Assumptions!G35</f>
        <v>15000</v>
      </c>
    </row>
    <row r="17" spans="1:7" ht="16.149999999999999" customHeight="1" x14ac:dyDescent="0.3">
      <c r="A17" s="118" t="s">
        <v>156</v>
      </c>
      <c r="B17" s="6" t="s">
        <v>146</v>
      </c>
      <c r="C17" s="48">
        <f>Assumptions!C36</f>
        <v>0</v>
      </c>
      <c r="D17" s="48">
        <f>Assumptions!D36</f>
        <v>-7000</v>
      </c>
      <c r="E17" s="48">
        <f>Assumptions!E36</f>
        <v>0</v>
      </c>
      <c r="F17" s="48">
        <f>Assumptions!F36</f>
        <v>-5000</v>
      </c>
      <c r="G17" s="48">
        <f>Assumptions!G36</f>
        <v>-10000</v>
      </c>
    </row>
    <row r="18" spans="1:7" ht="16.149999999999999" customHeight="1" x14ac:dyDescent="0.3">
      <c r="A18" s="118" t="s">
        <v>224</v>
      </c>
      <c r="B18" s="6" t="s">
        <v>215</v>
      </c>
      <c r="C18" s="48">
        <f ca="1">BalanceSheet!D33-BalanceSheet!C33</f>
        <v>39719.835616438329</v>
      </c>
      <c r="D18" s="48">
        <f ca="1">BalanceSheet!E33-BalanceSheet!D33</f>
        <v>6926.155726027413</v>
      </c>
      <c r="E18" s="48">
        <f ca="1">BalanceSheet!F33-BalanceSheet!E33</f>
        <v>7800.4456957856892</v>
      </c>
      <c r="F18" s="48">
        <f ca="1">BalanceSheet!G33-BalanceSheet!F33</f>
        <v>18062.663846132171</v>
      </c>
      <c r="G18" s="48">
        <f ca="1">BalanceSheet!H33-BalanceSheet!G33</f>
        <v>19256.793506169837</v>
      </c>
    </row>
    <row r="19" spans="1:7" ht="16.149999999999999" customHeight="1" x14ac:dyDescent="0.3">
      <c r="A19" s="118" t="s">
        <v>225</v>
      </c>
      <c r="B19" s="6" t="s">
        <v>177</v>
      </c>
      <c r="C19" s="48">
        <f ca="1">BalanceSheet!D34-BalanceSheet!C34</f>
        <v>38275.775000000001</v>
      </c>
      <c r="D19" s="48">
        <f ca="1">BalanceSheet!E34-BalanceSheet!D34</f>
        <v>7147.4394999999931</v>
      </c>
      <c r="E19" s="48">
        <f ca="1">BalanceSheet!F34-BalanceSheet!E34</f>
        <v>7401.7041900000258</v>
      </c>
      <c r="F19" s="48">
        <f ca="1">BalanceSheet!G34-BalanceSheet!F34</f>
        <v>7628.7184493999957</v>
      </c>
      <c r="G19" s="48">
        <f ca="1">BalanceSheet!H34-BalanceSheet!G34</f>
        <v>8436.3638891640439</v>
      </c>
    </row>
    <row r="20" spans="1:7" ht="16.149999999999999" customHeight="1" x14ac:dyDescent="0.3">
      <c r="A20" s="118" t="s">
        <v>124</v>
      </c>
      <c r="B20" s="6" t="s">
        <v>216</v>
      </c>
      <c r="C20" s="48">
        <f ca="1">BalanceSheet!D35-BalanceSheet!C35</f>
        <v>0</v>
      </c>
      <c r="D20" s="48">
        <f ca="1">BalanceSheet!E35-BalanceSheet!D35</f>
        <v>1200</v>
      </c>
      <c r="E20" s="48">
        <f ca="1">BalanceSheet!F35-BalanceSheet!E35</f>
        <v>1272</v>
      </c>
      <c r="F20" s="48">
        <f ca="1">BalanceSheet!G35-BalanceSheet!F35</f>
        <v>1348.3200000000033</v>
      </c>
      <c r="G20" s="48">
        <f ca="1">BalanceSheet!H35-BalanceSheet!G35</f>
        <v>1429.2191999999995</v>
      </c>
    </row>
    <row r="21" spans="1:7" ht="16.149999999999999" customHeight="1" x14ac:dyDescent="0.3">
      <c r="A21" s="118" t="s">
        <v>157</v>
      </c>
      <c r="B21" s="6" t="s">
        <v>147</v>
      </c>
      <c r="C21" s="48">
        <f>Assumptions!C37</f>
        <v>5000</v>
      </c>
      <c r="D21" s="48">
        <f>Assumptions!D37</f>
        <v>6000</v>
      </c>
      <c r="E21" s="48">
        <f>Assumptions!E37</f>
        <v>-16000</v>
      </c>
      <c r="F21" s="48">
        <f>Assumptions!F37</f>
        <v>20000</v>
      </c>
      <c r="G21" s="48">
        <f>Assumptions!G37</f>
        <v>10000</v>
      </c>
    </row>
    <row r="22" spans="1:7" ht="16.149999999999999" customHeight="1" x14ac:dyDescent="0.3">
      <c r="A22" s="118" t="s">
        <v>158</v>
      </c>
      <c r="B22" s="6" t="s">
        <v>148</v>
      </c>
      <c r="C22" s="48">
        <f>Assumptions!C38</f>
        <v>-12000</v>
      </c>
      <c r="D22" s="48">
        <f>Assumptions!D38</f>
        <v>-9000</v>
      </c>
      <c r="E22" s="48">
        <f>Assumptions!E38</f>
        <v>19000</v>
      </c>
      <c r="F22" s="48">
        <f>Assumptions!F38</f>
        <v>15000</v>
      </c>
      <c r="G22" s="48">
        <f>Assumptions!G38</f>
        <v>18000</v>
      </c>
    </row>
    <row r="23" spans="1:7" s="26" customFormat="1" ht="16.149999999999999" customHeight="1" x14ac:dyDescent="0.25">
      <c r="A23" s="134"/>
      <c r="B23" s="7" t="s">
        <v>77</v>
      </c>
      <c r="C23" s="69">
        <f ca="1">SUM(C6:C22)</f>
        <v>984486.47363013693</v>
      </c>
      <c r="D23" s="69">
        <f t="shared" ref="D23:G23" ca="1" si="0">SUM(D6:D22)</f>
        <v>1136530.3878287673</v>
      </c>
      <c r="E23" s="69">
        <f t="shared" ca="1" si="0"/>
        <v>1388556.1602300038</v>
      </c>
      <c r="F23" s="69">
        <f t="shared" ca="1" si="0"/>
        <v>1632967.4653574524</v>
      </c>
      <c r="G23" s="69">
        <f t="shared" ca="1" si="0"/>
        <v>1875519.9473225523</v>
      </c>
    </row>
    <row r="24" spans="1:7" ht="16.149999999999999" customHeight="1" x14ac:dyDescent="0.3">
      <c r="A24" s="118" t="s">
        <v>134</v>
      </c>
      <c r="B24" s="6" t="s">
        <v>78</v>
      </c>
      <c r="C24" s="48">
        <f ca="1">-C7</f>
        <v>-257375</v>
      </c>
      <c r="D24" s="48">
        <f t="shared" ref="D24:G24" ca="1" si="1">-D7</f>
        <v>-267285.09711540758</v>
      </c>
      <c r="E24" s="48">
        <f t="shared" ca="1" si="1"/>
        <v>-253338.60197629128</v>
      </c>
      <c r="F24" s="48">
        <f t="shared" ca="1" si="1"/>
        <v>-234310.67693230967</v>
      </c>
      <c r="G24" s="48">
        <f t="shared" ca="1" si="1"/>
        <v>-225162.98574994315</v>
      </c>
    </row>
    <row r="25" spans="1:7" ht="16.149999999999999" customHeight="1" x14ac:dyDescent="0.3">
      <c r="A25" s="118" t="s">
        <v>141</v>
      </c>
      <c r="B25" s="6" t="s">
        <v>79</v>
      </c>
      <c r="C25" s="48">
        <f ca="1">BalanceSheet!D37-BalanceSheet!C37-C8</f>
        <v>-145503.68000000002</v>
      </c>
      <c r="D25" s="48">
        <f ca="1">BalanceSheet!E37-BalanceSheet!D37-D8</f>
        <v>-181754.57520768585</v>
      </c>
      <c r="E25" s="48">
        <f ca="1">BalanceSheet!F37-BalanceSheet!E37-E8</f>
        <v>-235014.23277463869</v>
      </c>
      <c r="F25" s="48">
        <f ca="1">BalanceSheet!G37-BalanceSheet!F37-F8</f>
        <v>-319287.87762023346</v>
      </c>
      <c r="G25" s="48">
        <f ca="1">BalanceSheet!H37-BalanceSheet!G37-G8</f>
        <v>-385541.17486993317</v>
      </c>
    </row>
    <row r="26" spans="1:7" s="26" customFormat="1" ht="16.149999999999999" customHeight="1" thickBot="1" x14ac:dyDescent="0.3">
      <c r="A26" s="134"/>
      <c r="B26" s="7" t="s">
        <v>80</v>
      </c>
      <c r="C26" s="70">
        <f ca="1">SUM(C23:C25)</f>
        <v>581607.79363013688</v>
      </c>
      <c r="D26" s="70">
        <f t="shared" ref="D26:G26" ca="1" si="2">SUM(D23:D25)</f>
        <v>687490.7155056739</v>
      </c>
      <c r="E26" s="70">
        <f t="shared" ca="1" si="2"/>
        <v>900203.3254790738</v>
      </c>
      <c r="F26" s="70">
        <f t="shared" ca="1" si="2"/>
        <v>1079368.9108049092</v>
      </c>
      <c r="G26" s="70">
        <f t="shared" ca="1" si="2"/>
        <v>1264815.786702676</v>
      </c>
    </row>
    <row r="27" spans="1:7" ht="16.149999999999999" customHeight="1" x14ac:dyDescent="0.3">
      <c r="B27" s="3" t="s">
        <v>81</v>
      </c>
      <c r="C27" s="48"/>
      <c r="D27" s="48"/>
      <c r="E27" s="48"/>
      <c r="F27" s="48"/>
      <c r="G27" s="48"/>
    </row>
    <row r="28" spans="1:7" ht="16.149999999999999" customHeight="1" x14ac:dyDescent="0.3">
      <c r="A28" s="118" t="s">
        <v>159</v>
      </c>
      <c r="B28" s="6" t="s">
        <v>82</v>
      </c>
      <c r="C28" s="48">
        <f>Assumptions!C39</f>
        <v>-240000</v>
      </c>
      <c r="D28" s="48">
        <f>Assumptions!D39</f>
        <v>-300000</v>
      </c>
      <c r="E28" s="48">
        <f>Assumptions!E39</f>
        <v>-180000</v>
      </c>
      <c r="F28" s="48">
        <f>Assumptions!F39</f>
        <v>-200000</v>
      </c>
      <c r="G28" s="48">
        <f>Assumptions!G39</f>
        <v>-350000</v>
      </c>
    </row>
    <row r="29" spans="1:7" ht="16.149999999999999" customHeight="1" x14ac:dyDescent="0.3">
      <c r="A29" s="118" t="s">
        <v>160</v>
      </c>
      <c r="B29" s="6" t="s">
        <v>149</v>
      </c>
      <c r="C29" s="48">
        <f>Assumptions!C40</f>
        <v>0</v>
      </c>
      <c r="D29" s="48">
        <f>Assumptions!D40</f>
        <v>0</v>
      </c>
      <c r="E29" s="48">
        <f>Assumptions!E40</f>
        <v>0</v>
      </c>
      <c r="F29" s="48">
        <f>Assumptions!F40</f>
        <v>0</v>
      </c>
      <c r="G29" s="48">
        <f>Assumptions!G40</f>
        <v>0</v>
      </c>
    </row>
    <row r="30" spans="1:7" ht="16.149999999999999" customHeight="1" x14ac:dyDescent="0.3">
      <c r="A30" s="118" t="s">
        <v>161</v>
      </c>
      <c r="B30" s="6" t="s">
        <v>150</v>
      </c>
      <c r="C30" s="48">
        <f>Assumptions!C41</f>
        <v>0</v>
      </c>
      <c r="D30" s="48">
        <f>Assumptions!D41</f>
        <v>-400000</v>
      </c>
      <c r="E30" s="48">
        <f>Assumptions!E41</f>
        <v>-600000</v>
      </c>
      <c r="F30" s="48">
        <f>Assumptions!F41</f>
        <v>-500000</v>
      </c>
      <c r="G30" s="48">
        <f>Assumptions!G41</f>
        <v>-400000</v>
      </c>
    </row>
    <row r="31" spans="1:7" s="26" customFormat="1" ht="16.149999999999999" customHeight="1" thickBot="1" x14ac:dyDescent="0.3">
      <c r="A31" s="134"/>
      <c r="B31" s="7" t="s">
        <v>83</v>
      </c>
      <c r="C31" s="70">
        <f>SUM(C28:C30)</f>
        <v>-240000</v>
      </c>
      <c r="D31" s="70">
        <f t="shared" ref="D31:G31" si="3">SUM(D28:D30)</f>
        <v>-700000</v>
      </c>
      <c r="E31" s="70">
        <f t="shared" si="3"/>
        <v>-780000</v>
      </c>
      <c r="F31" s="70">
        <f t="shared" si="3"/>
        <v>-700000</v>
      </c>
      <c r="G31" s="70">
        <f t="shared" si="3"/>
        <v>-750000</v>
      </c>
    </row>
    <row r="32" spans="1:7" ht="16.149999999999999" customHeight="1" x14ac:dyDescent="0.3">
      <c r="B32" s="3" t="s">
        <v>84</v>
      </c>
      <c r="C32" s="59"/>
      <c r="D32" s="59"/>
      <c r="E32" s="59"/>
      <c r="F32" s="59"/>
      <c r="G32" s="59"/>
    </row>
    <row r="33" spans="1:7" ht="16.149999999999999" customHeight="1" x14ac:dyDescent="0.3">
      <c r="A33" s="118" t="s">
        <v>162</v>
      </c>
      <c r="B33" s="6" t="s">
        <v>85</v>
      </c>
      <c r="C33" s="48">
        <f>Assumptions!C42</f>
        <v>0</v>
      </c>
      <c r="D33" s="48">
        <f>Assumptions!D42</f>
        <v>0</v>
      </c>
      <c r="E33" s="48">
        <f>Assumptions!E42</f>
        <v>0</v>
      </c>
      <c r="F33" s="48">
        <f>Assumptions!F42</f>
        <v>0</v>
      </c>
      <c r="G33" s="48">
        <f>Assumptions!G42</f>
        <v>0</v>
      </c>
    </row>
    <row r="34" spans="1:7" ht="16.149999999999999" customHeight="1" x14ac:dyDescent="0.3">
      <c r="A34" s="118" t="s">
        <v>246</v>
      </c>
      <c r="B34" s="6" t="s">
        <v>251</v>
      </c>
      <c r="C34" s="48">
        <f ca="1">BalanceSheet!D38-BalanceSheet!C38-IncState!C60</f>
        <v>0</v>
      </c>
      <c r="D34" s="48">
        <f ca="1">BalanceSheet!E38-BalanceSheet!D38-IncState!D60</f>
        <v>0</v>
      </c>
      <c r="E34" s="48">
        <f ca="1">BalanceSheet!F38-BalanceSheet!E38-IncState!E60</f>
        <v>0</v>
      </c>
      <c r="F34" s="48">
        <f ca="1">BalanceSheet!G38-BalanceSheet!F38-IncState!F60</f>
        <v>0</v>
      </c>
      <c r="G34" s="48">
        <f ca="1">BalanceSheet!H38-BalanceSheet!G38-IncState!G60</f>
        <v>0</v>
      </c>
    </row>
    <row r="35" spans="1:7" ht="16.149999999999999" customHeight="1" x14ac:dyDescent="0.3">
      <c r="A35" s="118" t="s">
        <v>163</v>
      </c>
      <c r="B35" s="6" t="s">
        <v>198</v>
      </c>
      <c r="C35" s="48">
        <f>Assumptions!C43</f>
        <v>0</v>
      </c>
      <c r="D35" s="48">
        <f>Assumptions!D43</f>
        <v>0</v>
      </c>
      <c r="E35" s="48">
        <f>Assumptions!E43</f>
        <v>0</v>
      </c>
      <c r="F35" s="48">
        <f>Assumptions!F43</f>
        <v>0</v>
      </c>
      <c r="G35" s="48">
        <f>Assumptions!G43</f>
        <v>0</v>
      </c>
    </row>
    <row r="36" spans="1:7" ht="16.149999999999999" customHeight="1" x14ac:dyDescent="0.3">
      <c r="A36" s="118" t="s">
        <v>165</v>
      </c>
      <c r="B36" s="6" t="s">
        <v>199</v>
      </c>
      <c r="C36" s="48">
        <f>Assumptions!C44</f>
        <v>100000</v>
      </c>
      <c r="D36" s="48">
        <f>Assumptions!D44</f>
        <v>0</v>
      </c>
      <c r="E36" s="48">
        <f>Assumptions!E44</f>
        <v>0</v>
      </c>
      <c r="F36" s="48">
        <f>Assumptions!F44</f>
        <v>0</v>
      </c>
      <c r="G36" s="48">
        <f>Assumptions!G44</f>
        <v>0</v>
      </c>
    </row>
    <row r="37" spans="1:7" ht="16.149999999999999" customHeight="1" x14ac:dyDescent="0.3">
      <c r="A37" s="118" t="s">
        <v>167</v>
      </c>
      <c r="B37" s="6" t="s">
        <v>200</v>
      </c>
      <c r="C37" s="48">
        <f>Assumptions!C45</f>
        <v>240000</v>
      </c>
      <c r="D37" s="48">
        <f>Assumptions!D45</f>
        <v>300000</v>
      </c>
      <c r="E37" s="48">
        <f>Assumptions!E45</f>
        <v>180000</v>
      </c>
      <c r="F37" s="48">
        <f>Assumptions!F45</f>
        <v>200000</v>
      </c>
      <c r="G37" s="48">
        <f>Assumptions!G45</f>
        <v>350000</v>
      </c>
    </row>
    <row r="38" spans="1:7" ht="16.149999999999999" customHeight="1" x14ac:dyDescent="0.3">
      <c r="A38" s="118" t="s">
        <v>169</v>
      </c>
      <c r="B38" s="6" t="s">
        <v>201</v>
      </c>
      <c r="C38" s="48">
        <f>Assumptions!C46</f>
        <v>0</v>
      </c>
      <c r="D38" s="48">
        <f>Assumptions!D46</f>
        <v>0</v>
      </c>
      <c r="E38" s="48">
        <f>Assumptions!E46</f>
        <v>0</v>
      </c>
      <c r="F38" s="48">
        <f>Assumptions!F46</f>
        <v>0</v>
      </c>
      <c r="G38" s="48">
        <f>Assumptions!G46</f>
        <v>0</v>
      </c>
    </row>
    <row r="39" spans="1:7" ht="16.149999999999999" customHeight="1" x14ac:dyDescent="0.3">
      <c r="A39" s="118" t="s">
        <v>163</v>
      </c>
      <c r="B39" s="6" t="s">
        <v>202</v>
      </c>
      <c r="C39" s="48">
        <f ca="1">-OFFSET(Loans1!$F$8,1+COLUMN(C$4)-COLUMN($B$4),0,1,1)</f>
        <v>-74396.764489100649</v>
      </c>
      <c r="D39" s="48">
        <f ca="1">-OFFSET(Loans1!$F$8,1+COLUMN(D$4)-COLUMN($B$4),0,1,1)</f>
        <v>-82022.432849233446</v>
      </c>
      <c r="E39" s="48">
        <f ca="1">-OFFSET(Loans1!$F$8,1+COLUMN(E$4)-COLUMN($B$4),0,1,1)</f>
        <v>-90429.732216279881</v>
      </c>
      <c r="F39" s="48">
        <f ca="1">-OFFSET(Loans1!$F$8,1+COLUMN(F$4)-COLUMN($B$4),0,1,1)</f>
        <v>-99698.77976844857</v>
      </c>
      <c r="G39" s="48">
        <f ca="1">-OFFSET(Loans1!$F$8,1+COLUMN(G$4)-COLUMN($B$4),0,1,1)</f>
        <v>-109917.90469471454</v>
      </c>
    </row>
    <row r="40" spans="1:7" ht="16.149999999999999" customHeight="1" x14ac:dyDescent="0.3">
      <c r="A40" s="118" t="s">
        <v>165</v>
      </c>
      <c r="B40" s="6" t="s">
        <v>203</v>
      </c>
      <c r="C40" s="48">
        <f ca="1">-OFFSET(Loans2!$F$8,1+COLUMN(C$4)-COLUMN($B$4),0,1,1)</f>
        <v>-53913.945177143774</v>
      </c>
      <c r="D40" s="48">
        <f ca="1">-OFFSET(Loans2!$F$8,1+COLUMN(D$4)-COLUMN($B$4),0,1,1)</f>
        <v>-58900.985106029577</v>
      </c>
      <c r="E40" s="48">
        <f ca="1">-OFFSET(Loans2!$F$8,1+COLUMN(E$4)-COLUMN($B$4),0,1,1)</f>
        <v>-64349.326228337311</v>
      </c>
      <c r="F40" s="48">
        <f ca="1">-OFFSET(Loans2!$F$8,1+COLUMN(F$4)-COLUMN($B$4),0,1,1)</f>
        <v>-70301.638904458508</v>
      </c>
      <c r="G40" s="48">
        <f ca="1">-OFFSET(Loans2!$F$8,1+COLUMN(G$4)-COLUMN($B$4),0,1,1)</f>
        <v>-76804.540503120923</v>
      </c>
    </row>
    <row r="41" spans="1:7" ht="16.149999999999999" customHeight="1" x14ac:dyDescent="0.3">
      <c r="A41" s="118" t="s">
        <v>167</v>
      </c>
      <c r="B41" s="6" t="s">
        <v>204</v>
      </c>
      <c r="C41" s="48">
        <f ca="1">-OFFSET(Loans3!$F$8,1+COLUMN(C$4)-COLUMN($B$4),0,1,1)</f>
        <v>-37404.969369506478</v>
      </c>
      <c r="D41" s="48">
        <f ca="1">-OFFSET(Loans3!$F$8,1+COLUMN(D$4)-COLUMN($B$4),0,1,1)</f>
        <v>-88836.80225257788</v>
      </c>
      <c r="E41" s="48">
        <f ca="1">-OFFSET(Loans3!$F$8,1+COLUMN(E$4)-COLUMN($B$4),0,1,1)</f>
        <v>-127995.12956127999</v>
      </c>
      <c r="F41" s="48">
        <f ca="1">-OFFSET(Loans3!$F$8,1+COLUMN(F$4)-COLUMN($B$4),0,1,1)</f>
        <v>-175165.32856436208</v>
      </c>
      <c r="G41" s="48">
        <f ca="1">-OFFSET(Loans3!$F$8,1+COLUMN(G$4)-COLUMN($B$4),0,1,1)</f>
        <v>-251609.90829877093</v>
      </c>
    </row>
    <row r="42" spans="1:7" ht="16.149999999999999" customHeight="1" x14ac:dyDescent="0.3">
      <c r="A42" s="118" t="s">
        <v>169</v>
      </c>
      <c r="B42" s="6" t="s">
        <v>205</v>
      </c>
      <c r="C42" s="48">
        <f ca="1">-OFFSET(Leases!$F$8,1+COLUMN(C$4)-COLUMN($B$4),0,1,1)</f>
        <v>-89578.899342482968</v>
      </c>
      <c r="D42" s="48">
        <f ca="1">-OFFSET(Leases!$F$8,1+COLUMN(D$4)-COLUMN($B$4),0,1,1)</f>
        <v>-99880.472766868508</v>
      </c>
      <c r="E42" s="48">
        <f ca="1">-OFFSET(Leases!$F$8,1+COLUMN(E$4)-COLUMN($B$4),0,1,1)</f>
        <v>-111366.72713505839</v>
      </c>
      <c r="F42" s="48">
        <f ca="1">-OFFSET(Leases!$F$8,1+COLUMN(F$4)-COLUMN($B$4),0,1,1)</f>
        <v>-124173.9007555901</v>
      </c>
      <c r="G42" s="48">
        <f ca="1">-OFFSET(Leases!$F$8,1+COLUMN(G$4)-COLUMN($B$4),0,1,1)</f>
        <v>0</v>
      </c>
    </row>
    <row r="43" spans="1:7" s="26" customFormat="1" ht="16.149999999999999" customHeight="1" thickBot="1" x14ac:dyDescent="0.3">
      <c r="A43" s="134"/>
      <c r="B43" s="7" t="s">
        <v>86</v>
      </c>
      <c r="C43" s="70">
        <f ca="1">SUM(C33:C42)</f>
        <v>84705.421621766116</v>
      </c>
      <c r="D43" s="70">
        <f t="shared" ref="D43:G43" ca="1" si="4">SUM(D33:D42)</f>
        <v>-29640.692974709411</v>
      </c>
      <c r="E43" s="70">
        <f t="shared" ca="1" si="4"/>
        <v>-214140.91514095559</v>
      </c>
      <c r="F43" s="70">
        <f t="shared" ca="1" si="4"/>
        <v>-269339.64799285925</v>
      </c>
      <c r="G43" s="70">
        <f t="shared" ca="1" si="4"/>
        <v>-88332.353496606374</v>
      </c>
    </row>
    <row r="44" spans="1:7" ht="16.149999999999999" customHeight="1" x14ac:dyDescent="0.3">
      <c r="B44" s="6" t="s">
        <v>87</v>
      </c>
      <c r="C44" s="48">
        <f ca="1">SUM(C26,C31,C43)</f>
        <v>426313.21525190299</v>
      </c>
      <c r="D44" s="48">
        <f ca="1">SUM(D26,D31,D43)</f>
        <v>-42149.977469035512</v>
      </c>
      <c r="E44" s="48">
        <f ca="1">SUM(E26,E31,E43)</f>
        <v>-93937.589661881793</v>
      </c>
      <c r="F44" s="48">
        <f ca="1">SUM(F26,F31,F43)</f>
        <v>110029.26281204994</v>
      </c>
      <c r="G44" s="48">
        <f ca="1">SUM(G26,G31,G43)</f>
        <v>426483.43320606963</v>
      </c>
    </row>
    <row r="45" spans="1:7" ht="16.149999999999999" customHeight="1" x14ac:dyDescent="0.3">
      <c r="B45" s="6" t="s">
        <v>89</v>
      </c>
      <c r="C45" s="48">
        <f ca="1">BalanceSheet!C16-BalanceSheet!C32</f>
        <v>171000</v>
      </c>
      <c r="D45" s="48">
        <f ca="1">BalanceSheet!D16-BalanceSheet!D32</f>
        <v>597313.21525190305</v>
      </c>
      <c r="E45" s="48">
        <f ca="1">BalanceSheet!E16-BalanceSheet!E32</f>
        <v>555163.23778286751</v>
      </c>
      <c r="F45" s="48">
        <f ca="1">BalanceSheet!F16-BalanceSheet!F32</f>
        <v>461225.64812098572</v>
      </c>
      <c r="G45" s="48">
        <f ca="1">BalanceSheet!G16-BalanceSheet!G32</f>
        <v>571254.91093303566</v>
      </c>
    </row>
    <row r="46" spans="1:7" ht="16.149999999999999" customHeight="1" thickBot="1" x14ac:dyDescent="0.35">
      <c r="B46" s="3" t="s">
        <v>88</v>
      </c>
      <c r="C46" s="71">
        <f ca="1">SUM(C44,C45)</f>
        <v>597313.21525190305</v>
      </c>
      <c r="D46" s="71">
        <f ca="1">SUM(D44,D45)</f>
        <v>555163.23778286751</v>
      </c>
      <c r="E46" s="71">
        <f ca="1">SUM(E44,E45)</f>
        <v>461225.64812098572</v>
      </c>
      <c r="F46" s="71">
        <f ca="1">SUM(F44,F45)</f>
        <v>571254.91093303566</v>
      </c>
      <c r="G46" s="71">
        <f ca="1">SUM(G44,G45)</f>
        <v>997738.34413910529</v>
      </c>
    </row>
    <row r="47" spans="1:7" ht="16.149999999999999" customHeight="1" thickTop="1" x14ac:dyDescent="0.3"/>
  </sheetData>
  <printOptions horizontalCentered="1"/>
  <pageMargins left="0.59055118110236227" right="0.59055118110236227" top="0.59055118110236227" bottom="0.59055118110236227" header="0.39370078740157483" footer="0.39370078740157483"/>
  <pageSetup paperSize="9" scale="77" orientation="portrait"/>
  <headerFooter>
    <oddFooter>&amp;C&amp;9Page &amp;P of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86"/>
  <sheetViews>
    <sheetView zoomScale="95" workbookViewId="0">
      <pane ySplit="4" topLeftCell="A5" activePane="bottomLeft" state="frozen"/>
      <selection pane="bottomLeft" activeCell="B4" sqref="B4"/>
    </sheetView>
  </sheetViews>
  <sheetFormatPr defaultColWidth="9.140625" defaultRowHeight="16.149999999999999" customHeight="1" x14ac:dyDescent="0.3"/>
  <cols>
    <col min="1" max="1" width="5.7109375" style="118" customWidth="1"/>
    <col min="2" max="2" width="38.140625" style="6" customWidth="1"/>
    <col min="3" max="8" width="15.7109375" style="17" customWidth="1"/>
    <col min="9" max="20" width="15.7109375" style="12" customWidth="1"/>
    <col min="21" max="16384" width="9.140625" style="12"/>
  </cols>
  <sheetData>
    <row r="1" spans="1:8" ht="16.149999999999999" customHeight="1" x14ac:dyDescent="0.3">
      <c r="B1" s="117" t="str">
        <f>IF(ISBLANK(Assumptions!$C$4),"Example Limited",Assumptions!$C$4)</f>
        <v>Example (Pty) Limited</v>
      </c>
      <c r="C1" s="19"/>
    </row>
    <row r="2" spans="1:8" ht="16.149999999999999" customHeight="1" x14ac:dyDescent="0.3">
      <c r="B2" s="7" t="s">
        <v>70</v>
      </c>
      <c r="C2" s="19"/>
      <c r="F2" s="72"/>
      <c r="G2" s="72"/>
      <c r="H2" s="72"/>
    </row>
    <row r="3" spans="1:8" ht="16.149999999999999" customHeight="1" x14ac:dyDescent="0.3">
      <c r="B3" s="8" t="s">
        <v>59</v>
      </c>
    </row>
    <row r="4" spans="1:8" s="43" customFormat="1" ht="18" customHeight="1" x14ac:dyDescent="0.25">
      <c r="A4" s="123"/>
      <c r="B4" s="40"/>
      <c r="C4" s="73">
        <f>DATE(YEAR(Assumptions!$C$5)+COLUMN(B$1)-COLUMN($B$1),MONTH(Assumptions!$C$5),0)</f>
        <v>44255</v>
      </c>
      <c r="D4" s="42">
        <f>DATE(YEAR(Assumptions!$C$5)+COLUMN(C$1)-COLUMN($B$1),MONTH(Assumptions!$C$5),0)</f>
        <v>44620</v>
      </c>
      <c r="E4" s="42">
        <f>DATE(YEAR(Assumptions!$C$5)+COLUMN(D$1)-COLUMN($B$1),MONTH(Assumptions!$C$5),0)</f>
        <v>44985</v>
      </c>
      <c r="F4" s="42">
        <f>DATE(YEAR(Assumptions!$C$5)+COLUMN(E$1)-COLUMN($B$1),MONTH(Assumptions!$C$5),0)</f>
        <v>45351</v>
      </c>
      <c r="G4" s="42">
        <f>DATE(YEAR(Assumptions!$C$5)+COLUMN(F$1)-COLUMN($B$1),MONTH(Assumptions!$C$5),0)</f>
        <v>45716</v>
      </c>
      <c r="H4" s="42">
        <f>DATE(YEAR(Assumptions!$C$5)+COLUMN(G$1)-COLUMN($B$1),MONTH(Assumptions!$C$5),0)</f>
        <v>46081</v>
      </c>
    </row>
    <row r="5" spans="1:8" s="9" customFormat="1" ht="16.149999999999999" customHeight="1" x14ac:dyDescent="0.25">
      <c r="A5" s="122"/>
      <c r="B5" s="3" t="s">
        <v>226</v>
      </c>
      <c r="C5" s="74"/>
      <c r="D5" s="75"/>
      <c r="E5" s="74"/>
      <c r="F5" s="74"/>
      <c r="G5" s="74"/>
      <c r="H5" s="74"/>
    </row>
    <row r="6" spans="1:8" s="9" customFormat="1" ht="16.149999999999999" customHeight="1" x14ac:dyDescent="0.25">
      <c r="A6" s="122"/>
      <c r="B6" s="3" t="s">
        <v>227</v>
      </c>
      <c r="C6" s="59"/>
      <c r="D6" s="76"/>
      <c r="E6" s="59"/>
      <c r="F6" s="59"/>
      <c r="G6" s="59"/>
      <c r="H6" s="59"/>
    </row>
    <row r="7" spans="1:8" ht="16.149999999999999" customHeight="1" x14ac:dyDescent="0.3">
      <c r="A7" s="121" t="s">
        <v>159</v>
      </c>
      <c r="B7" s="6" t="s">
        <v>52</v>
      </c>
      <c r="C7" s="48">
        <f ca="1">SUMIF(Assumptions!$A$79:$C$103,$A7,Assumptions!$C$79:$C$103)</f>
        <v>1050000</v>
      </c>
      <c r="D7" s="48">
        <f ca="1">C7-CashFlow!C28-CashFlow!C10</f>
        <v>1102000</v>
      </c>
      <c r="E7" s="48">
        <f ca="1">D7-CashFlow!D28-CashFlow!D10</f>
        <v>1139000</v>
      </c>
      <c r="F7" s="48">
        <f ca="1">E7-CashFlow!E28-CashFlow!E10</f>
        <v>1012000</v>
      </c>
      <c r="G7" s="48">
        <f ca="1">F7-CashFlow!F28-CashFlow!F10</f>
        <v>962000</v>
      </c>
      <c r="H7" s="48">
        <f ca="1">G7-CashFlow!G28-CashFlow!G10</f>
        <v>1037000</v>
      </c>
    </row>
    <row r="8" spans="1:8" ht="16.149999999999999" customHeight="1" x14ac:dyDescent="0.3">
      <c r="A8" s="121" t="s">
        <v>160</v>
      </c>
      <c r="B8" s="6" t="s">
        <v>206</v>
      </c>
      <c r="C8" s="48">
        <f ca="1">SUMIF(Assumptions!$A$79:$C$103,$A8,Assumptions!$C$79:$C$103)</f>
        <v>120000</v>
      </c>
      <c r="D8" s="48">
        <f ca="1">C8-CashFlow!C29-CashFlow!C11</f>
        <v>108000</v>
      </c>
      <c r="E8" s="48">
        <f ca="1">D8-CashFlow!D29-CashFlow!D11</f>
        <v>96000</v>
      </c>
      <c r="F8" s="48">
        <f ca="1">E8-CashFlow!E29-CashFlow!E11</f>
        <v>84000</v>
      </c>
      <c r="G8" s="48">
        <f ca="1">F8-CashFlow!F29-CashFlow!F11</f>
        <v>72000</v>
      </c>
      <c r="H8" s="48">
        <f ca="1">G8-CashFlow!G29-CashFlow!G11</f>
        <v>60000</v>
      </c>
    </row>
    <row r="9" spans="1:8" ht="16.149999999999999" customHeight="1" x14ac:dyDescent="0.3">
      <c r="A9" s="121" t="s">
        <v>161</v>
      </c>
      <c r="B9" s="6" t="s">
        <v>207</v>
      </c>
      <c r="C9" s="48">
        <f ca="1">SUMIF(Assumptions!$A$79:$C$103,$A9,Assumptions!$C$79:$C$103)</f>
        <v>800000</v>
      </c>
      <c r="D9" s="48">
        <f ca="1">C9-CashFlow!C30</f>
        <v>800000</v>
      </c>
      <c r="E9" s="48">
        <f ca="1">D9-CashFlow!D30</f>
        <v>1200000</v>
      </c>
      <c r="F9" s="48">
        <f ca="1">E9-CashFlow!E30</f>
        <v>1800000</v>
      </c>
      <c r="G9" s="48">
        <f ca="1">F9-CashFlow!F30</f>
        <v>2300000</v>
      </c>
      <c r="H9" s="48">
        <f ca="1">G9-CashFlow!G30</f>
        <v>2700000</v>
      </c>
    </row>
    <row r="10" spans="1:8" ht="16.149999999999999" customHeight="1" thickBot="1" x14ac:dyDescent="0.35">
      <c r="A10" s="121"/>
      <c r="C10" s="77">
        <f ca="1">SUM(C7:C9)</f>
        <v>1970000</v>
      </c>
      <c r="D10" s="77">
        <f t="shared" ref="D10:H10" ca="1" si="0">SUM(D7:D9)</f>
        <v>2010000</v>
      </c>
      <c r="E10" s="77">
        <f t="shared" ca="1" si="0"/>
        <v>2435000</v>
      </c>
      <c r="F10" s="77">
        <f t="shared" ca="1" si="0"/>
        <v>2896000</v>
      </c>
      <c r="G10" s="77">
        <f t="shared" ca="1" si="0"/>
        <v>3334000</v>
      </c>
      <c r="H10" s="77">
        <f t="shared" ca="1" si="0"/>
        <v>3797000</v>
      </c>
    </row>
    <row r="11" spans="1:8" s="9" customFormat="1" ht="16.149999999999999" customHeight="1" x14ac:dyDescent="0.25">
      <c r="A11" s="122"/>
      <c r="B11" s="78" t="s">
        <v>38</v>
      </c>
      <c r="C11" s="59"/>
      <c r="D11" s="59"/>
      <c r="E11" s="59"/>
      <c r="F11" s="59"/>
      <c r="G11" s="59"/>
      <c r="H11" s="59"/>
    </row>
    <row r="12" spans="1:8" ht="16.149999999999999" customHeight="1" x14ac:dyDescent="0.3">
      <c r="A12" s="121" t="s">
        <v>219</v>
      </c>
      <c r="B12" s="31" t="s">
        <v>28</v>
      </c>
      <c r="C12" s="48">
        <f ca="1">SUMIF(Assumptions!$A$79:$C$103,$A12,Assumptions!$C$79:$C$103)</f>
        <v>170000</v>
      </c>
      <c r="D12" s="48">
        <f ca="1">D54/D$43*D53</f>
        <v>194155.89041095891</v>
      </c>
      <c r="E12" s="48">
        <f ca="1">E54/E$43*E53</f>
        <v>201556.93808219177</v>
      </c>
      <c r="F12" s="48">
        <f ca="1">F54/F$43*F53</f>
        <v>210083.93704918036</v>
      </c>
      <c r="G12" s="48">
        <f ca="1">G54/G$43*G53</f>
        <v>231725.46042739728</v>
      </c>
      <c r="H12" s="48">
        <f ca="1">H54/H$43*H53</f>
        <v>254898.00647013704</v>
      </c>
    </row>
    <row r="13" spans="1:8" ht="16.149999999999999" customHeight="1" x14ac:dyDescent="0.3">
      <c r="A13" s="121" t="s">
        <v>220</v>
      </c>
      <c r="B13" s="31" t="s">
        <v>208</v>
      </c>
      <c r="C13" s="48">
        <f ca="1">SUMIF(Assumptions!$A$79:$C$103,$A13,Assumptions!$C$79:$C$103)</f>
        <v>370000</v>
      </c>
      <c r="D13" s="48">
        <f ca="1">D56/D$43*D55</f>
        <v>409384.24657534249</v>
      </c>
      <c r="E13" s="48">
        <f ca="1">E56/E$43*E55</f>
        <v>442134.98630136985</v>
      </c>
      <c r="F13" s="48">
        <f ca="1">F56/F$43*F55</f>
        <v>476201.12459016399</v>
      </c>
      <c r="G13" s="48">
        <f ca="1">G56/G$43*G55</f>
        <v>525256.36372602743</v>
      </c>
      <c r="H13" s="48">
        <f ca="1">H56/H$43*H55</f>
        <v>577782.00009863032</v>
      </c>
    </row>
    <row r="14" spans="1:8" ht="16.149999999999999" customHeight="1" x14ac:dyDescent="0.3">
      <c r="A14" s="121" t="s">
        <v>155</v>
      </c>
      <c r="B14" s="31" t="s">
        <v>145</v>
      </c>
      <c r="C14" s="48">
        <f ca="1">SUMIF(Assumptions!$A$79:$C$103,$A14,Assumptions!$C$79:$C$103)</f>
        <v>55000</v>
      </c>
      <c r="D14" s="48">
        <f ca="1">C14-CashFlow!C16</f>
        <v>55000</v>
      </c>
      <c r="E14" s="48">
        <f ca="1">D14-CashFlow!D16</f>
        <v>75000</v>
      </c>
      <c r="F14" s="48">
        <f ca="1">E14-CashFlow!E16</f>
        <v>75000</v>
      </c>
      <c r="G14" s="48">
        <f ca="1">F14-CashFlow!F16</f>
        <v>65000</v>
      </c>
      <c r="H14" s="48">
        <f ca="1">G14-CashFlow!G16</f>
        <v>50000</v>
      </c>
    </row>
    <row r="15" spans="1:8" ht="16.149999999999999" customHeight="1" x14ac:dyDescent="0.3">
      <c r="A15" s="121" t="s">
        <v>156</v>
      </c>
      <c r="B15" s="31" t="s">
        <v>146</v>
      </c>
      <c r="C15" s="48">
        <f ca="1">SUMIF(Assumptions!$A$79:$C$103,$A15,Assumptions!$C$79:$C$103)</f>
        <v>53000</v>
      </c>
      <c r="D15" s="48">
        <f ca="1">C15-CashFlow!C17</f>
        <v>53000</v>
      </c>
      <c r="E15" s="48">
        <f ca="1">D15-CashFlow!D17</f>
        <v>60000</v>
      </c>
      <c r="F15" s="48">
        <f ca="1">E15-CashFlow!E17</f>
        <v>60000</v>
      </c>
      <c r="G15" s="48">
        <f ca="1">F15-CashFlow!F17</f>
        <v>65000</v>
      </c>
      <c r="H15" s="48">
        <f ca="1">G15-CashFlow!G17</f>
        <v>75000</v>
      </c>
    </row>
    <row r="16" spans="1:8" ht="16.149999999999999" customHeight="1" x14ac:dyDescent="0.3">
      <c r="A16" s="121" t="s">
        <v>221</v>
      </c>
      <c r="B16" s="31" t="s">
        <v>209</v>
      </c>
      <c r="C16" s="48">
        <f ca="1">SUMIF(Assumptions!$A$79:$C$103,$A16,Assumptions!$C$79:$C$103)</f>
        <v>171000</v>
      </c>
      <c r="D16" s="48">
        <f ca="1">IF(CashFlow!C46&gt;=0,CashFlow!C46,0)</f>
        <v>597313.21525190305</v>
      </c>
      <c r="E16" s="48">
        <f ca="1">IF(CashFlow!D46&gt;=0,CashFlow!D46,0)</f>
        <v>555163.23778286751</v>
      </c>
      <c r="F16" s="48">
        <f ca="1">IF(CashFlow!E46&gt;=0,CashFlow!E46,0)</f>
        <v>461225.64812098572</v>
      </c>
      <c r="G16" s="48">
        <f ca="1">IF(CashFlow!F46&gt;=0,CashFlow!F46,0)</f>
        <v>571254.91093303566</v>
      </c>
      <c r="H16" s="48">
        <f ca="1">IF(CashFlow!G46&gt;=0,CashFlow!G46,0)</f>
        <v>997738.34413910529</v>
      </c>
    </row>
    <row r="17" spans="1:8" ht="16.149999999999999" customHeight="1" thickBot="1" x14ac:dyDescent="0.35">
      <c r="A17" s="121"/>
      <c r="B17" s="31"/>
      <c r="C17" s="77">
        <f ca="1">SUM(C12:C16)</f>
        <v>819000</v>
      </c>
      <c r="D17" s="77">
        <f t="shared" ref="D17:H17" ca="1" si="1">SUM(D12:D16)</f>
        <v>1308853.3522382043</v>
      </c>
      <c r="E17" s="77">
        <f t="shared" ca="1" si="1"/>
        <v>1333855.1621664292</v>
      </c>
      <c r="F17" s="77">
        <f t="shared" ca="1" si="1"/>
        <v>1282510.7097603302</v>
      </c>
      <c r="G17" s="77">
        <f t="shared" ca="1" si="1"/>
        <v>1458236.7350864604</v>
      </c>
      <c r="H17" s="77">
        <f t="shared" ca="1" si="1"/>
        <v>1955418.3507078728</v>
      </c>
    </row>
    <row r="18" spans="1:8" s="9" customFormat="1" ht="16.149999999999999" customHeight="1" thickBot="1" x14ac:dyDescent="0.3">
      <c r="A18" s="129"/>
      <c r="B18" s="3" t="s">
        <v>228</v>
      </c>
      <c r="C18" s="79">
        <f ca="1">SUM(C10,C17)</f>
        <v>2789000</v>
      </c>
      <c r="D18" s="79">
        <f t="shared" ref="D18:H18" ca="1" si="2">SUM(D10,D17)</f>
        <v>3318853.3522382043</v>
      </c>
      <c r="E18" s="79">
        <f t="shared" ca="1" si="2"/>
        <v>3768855.1621664292</v>
      </c>
      <c r="F18" s="79">
        <f t="shared" ca="1" si="2"/>
        <v>4178510.7097603302</v>
      </c>
      <c r="G18" s="79">
        <f t="shared" ca="1" si="2"/>
        <v>4792236.7350864606</v>
      </c>
      <c r="H18" s="79">
        <f t="shared" ca="1" si="2"/>
        <v>5752418.3507078728</v>
      </c>
    </row>
    <row r="19" spans="1:8" s="9" customFormat="1" ht="16.149999999999999" customHeight="1" thickTop="1" x14ac:dyDescent="0.25">
      <c r="A19" s="129"/>
      <c r="B19" s="3" t="s">
        <v>229</v>
      </c>
      <c r="C19" s="59"/>
      <c r="D19" s="59"/>
      <c r="E19" s="59"/>
      <c r="F19" s="59"/>
      <c r="G19" s="59"/>
      <c r="H19" s="59"/>
    </row>
    <row r="20" spans="1:8" s="9" customFormat="1" ht="16.149999999999999" customHeight="1" x14ac:dyDescent="0.25">
      <c r="A20" s="129"/>
      <c r="B20" s="3" t="s">
        <v>230</v>
      </c>
      <c r="C20" s="59"/>
      <c r="D20" s="59"/>
      <c r="E20" s="59"/>
      <c r="F20" s="59"/>
      <c r="G20" s="59"/>
      <c r="H20" s="59"/>
    </row>
    <row r="21" spans="1:8" ht="16.149999999999999" customHeight="1" x14ac:dyDescent="0.3">
      <c r="A21" s="118" t="s">
        <v>162</v>
      </c>
      <c r="B21" s="6" t="s">
        <v>65</v>
      </c>
      <c r="C21" s="48">
        <f ca="1">-SUMIF(Assumptions!$A$79:$C$103,$A21,Assumptions!$C$79:$C$103)</f>
        <v>1000</v>
      </c>
      <c r="D21" s="48">
        <f ca="1">C21+CashFlow!C33</f>
        <v>1000</v>
      </c>
      <c r="E21" s="48">
        <f ca="1">D21+CashFlow!D33</f>
        <v>1000</v>
      </c>
      <c r="F21" s="48">
        <f ca="1">E21+CashFlow!E33</f>
        <v>1000</v>
      </c>
      <c r="G21" s="48">
        <f ca="1">F21+CashFlow!F33</f>
        <v>1000</v>
      </c>
      <c r="H21" s="48">
        <f ca="1">G21+CashFlow!G33</f>
        <v>1000</v>
      </c>
    </row>
    <row r="22" spans="1:8" ht="16.149999999999999" customHeight="1" x14ac:dyDescent="0.3">
      <c r="A22" s="118" t="s">
        <v>154</v>
      </c>
      <c r="B22" s="6" t="s">
        <v>144</v>
      </c>
      <c r="C22" s="48">
        <f ca="1">-SUMIF(Assumptions!$A$79:$C$103,$A22,Assumptions!$C$79:$C$103)</f>
        <v>0</v>
      </c>
      <c r="D22" s="48">
        <f ca="1">C22+CashFlow!C12</f>
        <v>0</v>
      </c>
      <c r="E22" s="48">
        <f ca="1">D22+CashFlow!D12</f>
        <v>0</v>
      </c>
      <c r="F22" s="48">
        <f ca="1">E22+CashFlow!E12</f>
        <v>0</v>
      </c>
      <c r="G22" s="48">
        <f ca="1">F22+CashFlow!F12</f>
        <v>0</v>
      </c>
      <c r="H22" s="48">
        <f ca="1">G22+CashFlow!G12</f>
        <v>0</v>
      </c>
    </row>
    <row r="23" spans="1:8" ht="16.149999999999999" customHeight="1" x14ac:dyDescent="0.3">
      <c r="A23" s="118" t="s">
        <v>222</v>
      </c>
      <c r="B23" s="6" t="s">
        <v>39</v>
      </c>
      <c r="C23" s="48">
        <f ca="1">-SUMIF(Assumptions!$A$79:$C$103,$A23,Assumptions!$C$79:$C$103)</f>
        <v>400000</v>
      </c>
      <c r="D23" s="48">
        <f ca="1">C23+IncState!C61</f>
        <v>774152.32</v>
      </c>
      <c r="E23" s="48">
        <f ca="1">D23+IncState!D61</f>
        <v>1241521.2276769066</v>
      </c>
      <c r="F23" s="48">
        <f ca="1">E23+IncState!E61</f>
        <v>1845843.5405259775</v>
      </c>
      <c r="G23" s="48">
        <f ca="1">F23+IncState!F61</f>
        <v>2666869.5115494346</v>
      </c>
      <c r="H23" s="48">
        <f ca="1">G23+IncState!G61</f>
        <v>3658261.1040721191</v>
      </c>
    </row>
    <row r="24" spans="1:8" ht="16.149999999999999" customHeight="1" thickBot="1" x14ac:dyDescent="0.35">
      <c r="A24" s="121"/>
      <c r="C24" s="77">
        <f ca="1">SUM(C21:C23)</f>
        <v>401000</v>
      </c>
      <c r="D24" s="77">
        <f t="shared" ref="D24:H24" ca="1" si="3">SUM(D21:D23)</f>
        <v>775152.32</v>
      </c>
      <c r="E24" s="77">
        <f t="shared" ca="1" si="3"/>
        <v>1242521.2276769066</v>
      </c>
      <c r="F24" s="77">
        <f t="shared" ca="1" si="3"/>
        <v>1846843.5405259775</v>
      </c>
      <c r="G24" s="77">
        <f t="shared" ca="1" si="3"/>
        <v>2667869.5115494346</v>
      </c>
      <c r="H24" s="77">
        <f t="shared" ca="1" si="3"/>
        <v>3659261.1040721191</v>
      </c>
    </row>
    <row r="25" spans="1:8" s="9" customFormat="1" ht="16.149999999999999" customHeight="1" x14ac:dyDescent="0.25">
      <c r="A25" s="122"/>
      <c r="B25" s="3" t="s">
        <v>231</v>
      </c>
      <c r="C25" s="59"/>
      <c r="D25" s="59"/>
      <c r="E25" s="59"/>
      <c r="F25" s="59"/>
      <c r="G25" s="59"/>
      <c r="H25" s="59"/>
    </row>
    <row r="26" spans="1:8" s="81" customFormat="1" ht="16.149999999999999" customHeight="1" x14ac:dyDescent="0.3">
      <c r="A26" s="118" t="s">
        <v>163</v>
      </c>
      <c r="B26" s="6" t="s">
        <v>210</v>
      </c>
      <c r="C26" s="80">
        <f ca="1">-SUMIF(Assumptions!$A$79:$C$103,$A26,Assumptions!$C$79:$C$103)</f>
        <v>1200000</v>
      </c>
      <c r="D26" s="80">
        <f ca="1">ROUND(C26+CashFlow!C39+CashFlow!C35,2)</f>
        <v>1125603.24</v>
      </c>
      <c r="E26" s="80">
        <f ca="1">ROUND(D26+CashFlow!D39+CashFlow!D35,2)</f>
        <v>1043580.81</v>
      </c>
      <c r="F26" s="80">
        <f ca="1">ROUND(E26+CashFlow!E39+CashFlow!E35,2)</f>
        <v>953151.08</v>
      </c>
      <c r="G26" s="80">
        <f ca="1">ROUND(F26+CashFlow!F39+CashFlow!F35,2)</f>
        <v>853452.3</v>
      </c>
      <c r="H26" s="80">
        <f ca="1">ROUND(G26+CashFlow!G39+CashFlow!G35,2)</f>
        <v>743534.4</v>
      </c>
    </row>
    <row r="27" spans="1:8" s="81" customFormat="1" ht="16.149999999999999" customHeight="1" x14ac:dyDescent="0.3">
      <c r="A27" s="118" t="s">
        <v>165</v>
      </c>
      <c r="B27" s="6" t="s">
        <v>211</v>
      </c>
      <c r="C27" s="80">
        <f ca="1">-SUMIF(Assumptions!$A$79:$C$103,$A27,Assumptions!$C$79:$C$103)</f>
        <v>500000</v>
      </c>
      <c r="D27" s="80">
        <f ca="1">ROUND(C27+CashFlow!C40+CashFlow!C36,2)</f>
        <v>546086.05000000005</v>
      </c>
      <c r="E27" s="80">
        <f ca="1">ROUND(D27+CashFlow!D40+CashFlow!D36,2)</f>
        <v>487185.06</v>
      </c>
      <c r="F27" s="80">
        <f ca="1">ROUND(E27+CashFlow!E40+CashFlow!E36,2)</f>
        <v>422835.73</v>
      </c>
      <c r="G27" s="80">
        <f ca="1">ROUND(F27+CashFlow!F40+CashFlow!F36,2)</f>
        <v>352534.09</v>
      </c>
      <c r="H27" s="80">
        <f ca="1">ROUND(G27+CashFlow!G40+CashFlow!G36,2)</f>
        <v>275729.55</v>
      </c>
    </row>
    <row r="28" spans="1:8" s="81" customFormat="1" ht="16.149999999999999" customHeight="1" x14ac:dyDescent="0.3">
      <c r="A28" s="118" t="s">
        <v>167</v>
      </c>
      <c r="B28" s="6" t="s">
        <v>212</v>
      </c>
      <c r="C28" s="80">
        <f ca="1">-SUMIF(Assumptions!$A$79:$C$103,$A28,Assumptions!$C$79:$C$103)</f>
        <v>0</v>
      </c>
      <c r="D28" s="80">
        <f ca="1">ROUND(C28+CashFlow!C41+CashFlow!C37,2)</f>
        <v>202595.03</v>
      </c>
      <c r="E28" s="80">
        <f ca="1">ROUND(D28+CashFlow!D41+CashFlow!D37,2)</f>
        <v>413758.23</v>
      </c>
      <c r="F28" s="80">
        <f ca="1">ROUND(E28+CashFlow!E41+CashFlow!E37,2)</f>
        <v>465763.1</v>
      </c>
      <c r="G28" s="80">
        <f ca="1">ROUND(F28+CashFlow!F41+CashFlow!F37,2)</f>
        <v>490597.77</v>
      </c>
      <c r="H28" s="80">
        <f ca="1">ROUND(G28+CashFlow!G41+CashFlow!G37,2)</f>
        <v>588987.86</v>
      </c>
    </row>
    <row r="29" spans="1:8" s="81" customFormat="1" ht="16.149999999999999" customHeight="1" x14ac:dyDescent="0.3">
      <c r="A29" s="118" t="s">
        <v>169</v>
      </c>
      <c r="B29" s="6" t="s">
        <v>213</v>
      </c>
      <c r="C29" s="80">
        <f ca="1">-SUMIF(Assumptions!$A$79:$C$103,$A29,Assumptions!$C$79:$C$103)</f>
        <v>425000</v>
      </c>
      <c r="D29" s="80">
        <f ca="1">ROUND(C29+CashFlow!C42+CashFlow!C38,2)</f>
        <v>335421.09999999998</v>
      </c>
      <c r="E29" s="80">
        <f ca="1">ROUND(D29+CashFlow!D42+CashFlow!D38,2)</f>
        <v>235540.63</v>
      </c>
      <c r="F29" s="80">
        <f ca="1">ROUND(E29+CashFlow!E42+CashFlow!E38,2)</f>
        <v>124173.9</v>
      </c>
      <c r="G29" s="80">
        <f ca="1">ROUND(F29+CashFlow!F42+CashFlow!F38,2)</f>
        <v>0</v>
      </c>
      <c r="H29" s="80">
        <f ca="1">ROUND(G29+CashFlow!G42+CashFlow!G38,2)</f>
        <v>0</v>
      </c>
    </row>
    <row r="30" spans="1:8" s="81" customFormat="1" ht="16.149999999999999" customHeight="1" thickBot="1" x14ac:dyDescent="0.35">
      <c r="A30" s="118"/>
      <c r="B30" s="6"/>
      <c r="C30" s="82">
        <f ca="1">SUM(C26:C29)</f>
        <v>2125000</v>
      </c>
      <c r="D30" s="82">
        <f t="shared" ref="D30:H30" ca="1" si="4">SUM(D26:D29)</f>
        <v>2209705.42</v>
      </c>
      <c r="E30" s="82">
        <f t="shared" ca="1" si="4"/>
        <v>2180064.73</v>
      </c>
      <c r="F30" s="82">
        <f t="shared" ca="1" si="4"/>
        <v>1965923.81</v>
      </c>
      <c r="G30" s="82">
        <f t="shared" ca="1" si="4"/>
        <v>1696584.1600000001</v>
      </c>
      <c r="H30" s="82">
        <f t="shared" ca="1" si="4"/>
        <v>1608251.81</v>
      </c>
    </row>
    <row r="31" spans="1:8" s="9" customFormat="1" ht="16.149999999999999" customHeight="1" x14ac:dyDescent="0.25">
      <c r="A31" s="129"/>
      <c r="B31" s="3" t="s">
        <v>40</v>
      </c>
      <c r="C31" s="59"/>
      <c r="D31" s="59"/>
      <c r="E31" s="59"/>
      <c r="F31" s="59"/>
      <c r="G31" s="59"/>
      <c r="H31" s="59"/>
    </row>
    <row r="32" spans="1:8" ht="16.149999999999999" customHeight="1" x14ac:dyDescent="0.3">
      <c r="A32" s="121" t="s">
        <v>223</v>
      </c>
      <c r="B32" s="6" t="s">
        <v>214</v>
      </c>
      <c r="C32" s="48">
        <f ca="1">-SUMIF(Assumptions!$A$79:$C$103,$A32,Assumptions!$C$79:$C$103)</f>
        <v>0</v>
      </c>
      <c r="D32" s="48">
        <f ca="1">IF(CashFlow!C46&lt;0,-CashFlow!C46,0)</f>
        <v>0</v>
      </c>
      <c r="E32" s="48">
        <f ca="1">IF(CashFlow!D46&lt;0,-CashFlow!D46,0)</f>
        <v>0</v>
      </c>
      <c r="F32" s="48">
        <f ca="1">IF(CashFlow!E46&lt;0,-CashFlow!E46,0)</f>
        <v>0</v>
      </c>
      <c r="G32" s="48">
        <f ca="1">IF(CashFlow!F46&lt;0,-CashFlow!F46,0)</f>
        <v>0</v>
      </c>
      <c r="H32" s="48">
        <f ca="1">IF(CashFlow!G46&lt;0,-CashFlow!G46,0)</f>
        <v>0</v>
      </c>
    </row>
    <row r="33" spans="1:8" ht="16.149999999999999" customHeight="1" x14ac:dyDescent="0.3">
      <c r="A33" s="121" t="s">
        <v>224</v>
      </c>
      <c r="B33" s="6" t="s">
        <v>215</v>
      </c>
      <c r="C33" s="48">
        <f ca="1">-SUMIF(Assumptions!$A$79:$C$103,$A33,Assumptions!$C$79:$C$103)</f>
        <v>130000</v>
      </c>
      <c r="D33" s="48">
        <f ca="1">D58/D$43*D57</f>
        <v>169719.83561643833</v>
      </c>
      <c r="E33" s="48">
        <f ca="1">E58/E$43*E57</f>
        <v>176645.99134246574</v>
      </c>
      <c r="F33" s="48">
        <f ca="1">F58/F$43*F57</f>
        <v>184446.43703825143</v>
      </c>
      <c r="G33" s="48">
        <f ca="1">G58/G$43*G57</f>
        <v>202509.1008843836</v>
      </c>
      <c r="H33" s="48">
        <f ca="1">H58/H$43*H57</f>
        <v>221765.89439055344</v>
      </c>
    </row>
    <row r="34" spans="1:8" ht="16.149999999999999" customHeight="1" x14ac:dyDescent="0.3">
      <c r="A34" s="121" t="s">
        <v>225</v>
      </c>
      <c r="B34" s="6" t="s">
        <v>177</v>
      </c>
      <c r="C34" s="48">
        <f ca="1">-SUMIF(Assumptions!$A$79:$C$103,$A34,Assumptions!$C$79:$C$103)</f>
        <v>16000</v>
      </c>
      <c r="D34" s="83">
        <f ca="1">SUM(D62,-D63)/12*D61</f>
        <v>54275.775000000001</v>
      </c>
      <c r="E34" s="83">
        <f t="shared" ref="E34:H34" ca="1" si="5">SUM(E62,-E63)/12*E61</f>
        <v>61423.214499999995</v>
      </c>
      <c r="F34" s="83">
        <f t="shared" ca="1" si="5"/>
        <v>68824.91869000002</v>
      </c>
      <c r="G34" s="83">
        <f t="shared" ca="1" si="5"/>
        <v>76453.637139400016</v>
      </c>
      <c r="H34" s="83">
        <f t="shared" ca="1" si="5"/>
        <v>84890.00102856406</v>
      </c>
    </row>
    <row r="35" spans="1:8" ht="16.149999999999999" customHeight="1" x14ac:dyDescent="0.3">
      <c r="A35" s="121" t="s">
        <v>124</v>
      </c>
      <c r="B35" s="6" t="s">
        <v>216</v>
      </c>
      <c r="C35" s="48">
        <f ca="1">-SUMIF(Assumptions!$A$79:$C$103,$A35,Assumptions!$C$79:$C$103)</f>
        <v>20000</v>
      </c>
      <c r="D35" s="48">
        <f ca="1">D72/12*D71</f>
        <v>20000</v>
      </c>
      <c r="E35" s="48">
        <f t="shared" ref="E35:H35" ca="1" si="6">E72/12*E71</f>
        <v>21200</v>
      </c>
      <c r="F35" s="48">
        <f t="shared" ca="1" si="6"/>
        <v>22472</v>
      </c>
      <c r="G35" s="48">
        <f t="shared" ca="1" si="6"/>
        <v>23820.320000000003</v>
      </c>
      <c r="H35" s="48">
        <f t="shared" ca="1" si="6"/>
        <v>25249.539200000003</v>
      </c>
    </row>
    <row r="36" spans="1:8" ht="16.149999999999999" customHeight="1" x14ac:dyDescent="0.3">
      <c r="A36" s="121" t="s">
        <v>157</v>
      </c>
      <c r="B36" s="6" t="s">
        <v>147</v>
      </c>
      <c r="C36" s="48">
        <f ca="1">-SUMIF(Assumptions!$A$79:$C$103,$A36,Assumptions!$C$79:$C$103)</f>
        <v>55000</v>
      </c>
      <c r="D36" s="48">
        <f ca="1">C36+CashFlow!C21</f>
        <v>60000</v>
      </c>
      <c r="E36" s="48">
        <f ca="1">D36+CashFlow!D21</f>
        <v>66000</v>
      </c>
      <c r="F36" s="48">
        <f ca="1">E36+CashFlow!E21</f>
        <v>50000</v>
      </c>
      <c r="G36" s="48">
        <f ca="1">F36+CashFlow!F21</f>
        <v>70000</v>
      </c>
      <c r="H36" s="48">
        <f ca="1">G36+CashFlow!G21</f>
        <v>80000</v>
      </c>
    </row>
    <row r="37" spans="1:8" ht="16.149999999999999" customHeight="1" x14ac:dyDescent="0.3">
      <c r="A37" s="121" t="s">
        <v>141</v>
      </c>
      <c r="B37" s="6" t="s">
        <v>218</v>
      </c>
      <c r="C37" s="48">
        <f ca="1">-SUMIF(Assumptions!$A$79:$C$103,$A37,Assumptions!$C$79:$C$103)</f>
        <v>0</v>
      </c>
      <c r="D37" s="48">
        <f ca="1">D67/12*D66</f>
        <v>0</v>
      </c>
      <c r="E37" s="48">
        <f t="shared" ref="E37:H37" ca="1" si="7">E67/12*E66</f>
        <v>0</v>
      </c>
      <c r="F37" s="48">
        <f t="shared" ca="1" si="7"/>
        <v>0</v>
      </c>
      <c r="G37" s="48">
        <f t="shared" ca="1" si="7"/>
        <v>0</v>
      </c>
      <c r="H37" s="48">
        <f t="shared" ca="1" si="7"/>
        <v>0</v>
      </c>
    </row>
    <row r="38" spans="1:8" ht="16.149999999999999" customHeight="1" x14ac:dyDescent="0.3">
      <c r="A38" s="121" t="s">
        <v>246</v>
      </c>
      <c r="B38" s="6" t="s">
        <v>252</v>
      </c>
      <c r="C38" s="48">
        <f ca="1">-SUMIF(Assumptions!$A$79:$C$103,$A38,Assumptions!$C$79:$C$103)</f>
        <v>0</v>
      </c>
      <c r="D38" s="48">
        <f ca="1">D80</f>
        <v>0</v>
      </c>
      <c r="E38" s="48">
        <f t="shared" ref="E38:H38" ca="1" si="8">E80</f>
        <v>0</v>
      </c>
      <c r="F38" s="48">
        <f t="shared" ca="1" si="8"/>
        <v>0</v>
      </c>
      <c r="G38" s="48">
        <f t="shared" ca="1" si="8"/>
        <v>0</v>
      </c>
      <c r="H38" s="48">
        <f t="shared" ca="1" si="8"/>
        <v>0</v>
      </c>
    </row>
    <row r="39" spans="1:8" ht="16.149999999999999" customHeight="1" x14ac:dyDescent="0.3">
      <c r="A39" s="121" t="s">
        <v>158</v>
      </c>
      <c r="B39" s="6" t="s">
        <v>148</v>
      </c>
      <c r="C39" s="48">
        <f ca="1">-SUMIF(Assumptions!$A$79:$C$103,$A39,Assumptions!$C$79:$C$103)</f>
        <v>42000</v>
      </c>
      <c r="D39" s="48">
        <f ca="1">C39+CashFlow!C22</f>
        <v>30000</v>
      </c>
      <c r="E39" s="48">
        <f ca="1">D39+CashFlow!D22</f>
        <v>21000</v>
      </c>
      <c r="F39" s="48">
        <f ca="1">E39+CashFlow!E22</f>
        <v>40000</v>
      </c>
      <c r="G39" s="48">
        <f ca="1">F39+CashFlow!F22</f>
        <v>55000</v>
      </c>
      <c r="H39" s="48">
        <f ca="1">G39+CashFlow!G22</f>
        <v>73000</v>
      </c>
    </row>
    <row r="40" spans="1:8" ht="16.149999999999999" customHeight="1" thickBot="1" x14ac:dyDescent="0.35">
      <c r="A40" s="121"/>
      <c r="C40" s="77">
        <f ca="1">SUM(C32:C39)</f>
        <v>263000</v>
      </c>
      <c r="D40" s="77">
        <f t="shared" ref="D40:H40" ca="1" si="9">SUM(D32:D39)</f>
        <v>333995.61061643832</v>
      </c>
      <c r="E40" s="77">
        <f t="shared" ca="1" si="9"/>
        <v>346269.20584246574</v>
      </c>
      <c r="F40" s="77">
        <f t="shared" ca="1" si="9"/>
        <v>365743.35572825145</v>
      </c>
      <c r="G40" s="77">
        <f t="shared" ca="1" si="9"/>
        <v>427783.05802378361</v>
      </c>
      <c r="H40" s="77">
        <f t="shared" ca="1" si="9"/>
        <v>484905.43461911753</v>
      </c>
    </row>
    <row r="41" spans="1:8" s="9" customFormat="1" ht="16.149999999999999" customHeight="1" thickBot="1" x14ac:dyDescent="0.3">
      <c r="A41" s="129"/>
      <c r="B41" s="3" t="s">
        <v>232</v>
      </c>
      <c r="C41" s="79">
        <f ca="1">SUM(C24,C30,C40)</f>
        <v>2789000</v>
      </c>
      <c r="D41" s="79">
        <f t="shared" ref="D41:H41" ca="1" si="10">SUM(D24,D30,D40)</f>
        <v>3318853.3506164383</v>
      </c>
      <c r="E41" s="79">
        <f t="shared" ca="1" si="10"/>
        <v>3768855.1635193722</v>
      </c>
      <c r="F41" s="79">
        <f t="shared" ca="1" si="10"/>
        <v>4178510.7062542289</v>
      </c>
      <c r="G41" s="79">
        <f t="shared" ca="1" si="10"/>
        <v>4792236.7295732182</v>
      </c>
      <c r="H41" s="79">
        <f t="shared" ca="1" si="10"/>
        <v>5752418.3486912362</v>
      </c>
    </row>
    <row r="42" spans="1:8" s="25" customFormat="1" ht="16.149999999999999" customHeight="1" thickTop="1" x14ac:dyDescent="0.3">
      <c r="A42" s="136"/>
      <c r="B42" s="84"/>
      <c r="C42" s="85" t="str">
        <f ca="1">IF(ROUND(C18-C41,0)&lt;&gt;0,ROUND(C18-C41,0),"")</f>
        <v/>
      </c>
      <c r="D42" s="85" t="str">
        <f t="shared" ref="D42:H42" ca="1" si="11">IF(ROUND(D18-D41,0)&lt;&gt;0,ROUND(D18-D41,0),"")</f>
        <v/>
      </c>
      <c r="E42" s="85" t="str">
        <f t="shared" ca="1" si="11"/>
        <v/>
      </c>
      <c r="F42" s="85" t="str">
        <f t="shared" ca="1" si="11"/>
        <v/>
      </c>
      <c r="G42" s="85" t="str">
        <f t="shared" ca="1" si="11"/>
        <v/>
      </c>
      <c r="H42" s="85" t="str">
        <f t="shared" ca="1" si="11"/>
        <v/>
      </c>
    </row>
    <row r="43" spans="1:8" s="26" customFormat="1" ht="16.149999999999999" customHeight="1" x14ac:dyDescent="0.25">
      <c r="A43" s="137"/>
      <c r="B43" s="7" t="s">
        <v>244</v>
      </c>
      <c r="C43" s="86"/>
      <c r="D43" s="87">
        <f>DATE(YEAR(D$4),MONTH(D$4)+1,0)-DATE(YEAR(C$4),MONTH(C$4)+1,0)</f>
        <v>365</v>
      </c>
      <c r="E43" s="87">
        <f t="shared" ref="E43:H43" si="12">DATE(YEAR(E$4),MONTH(E$4)+1,0)-DATE(YEAR(D$4),MONTH(D$4)+1,0)</f>
        <v>365</v>
      </c>
      <c r="F43" s="87">
        <f t="shared" si="12"/>
        <v>366</v>
      </c>
      <c r="G43" s="87">
        <f t="shared" si="12"/>
        <v>365</v>
      </c>
      <c r="H43" s="87">
        <f t="shared" si="12"/>
        <v>365</v>
      </c>
    </row>
    <row r="44" spans="1:8" ht="16.149999999999999" customHeight="1" x14ac:dyDescent="0.3">
      <c r="A44" s="138"/>
    </row>
    <row r="45" spans="1:8" s="90" customFormat="1" ht="16.149999999999999" customHeight="1" x14ac:dyDescent="0.25">
      <c r="A45" s="134"/>
      <c r="B45" s="88" t="s">
        <v>54</v>
      </c>
      <c r="C45" s="89"/>
      <c r="D45" s="89">
        <f ca="1">IF(D$40=0,0,D$17/D$40)</f>
        <v>3.9187741114996144</v>
      </c>
      <c r="E45" s="89">
        <f t="shared" ref="E45:H45" ca="1" si="13">IF(E$40=0,0,E$17/E$40)</f>
        <v>3.8520756095569846</v>
      </c>
      <c r="F45" s="89">
        <f t="shared" ca="1" si="13"/>
        <v>3.5065864893339032</v>
      </c>
      <c r="G45" s="89">
        <f t="shared" ca="1" si="13"/>
        <v>3.408823018431427</v>
      </c>
      <c r="H45" s="89">
        <f t="shared" ca="1" si="13"/>
        <v>4.0325766863054664</v>
      </c>
    </row>
    <row r="46" spans="1:8" s="90" customFormat="1" ht="16.149999999999999" customHeight="1" x14ac:dyDescent="0.25">
      <c r="A46" s="134"/>
      <c r="B46" s="88" t="s">
        <v>55</v>
      </c>
      <c r="C46" s="89"/>
      <c r="D46" s="89">
        <f ca="1">IF(D$40=0,0,(D$17-D$12)/D$40)</f>
        <v>3.3374614108547909</v>
      </c>
      <c r="E46" s="89">
        <f t="shared" ref="E46:H46" ca="1" si="14">IF(E$40=0,0,(E$17-E$12)/E$40)</f>
        <v>3.2699939959413356</v>
      </c>
      <c r="F46" s="89">
        <f t="shared" ca="1" si="14"/>
        <v>2.9321838822629673</v>
      </c>
      <c r="G46" s="89">
        <f t="shared" ca="1" si="14"/>
        <v>2.8671338232167027</v>
      </c>
      <c r="H46" s="89">
        <f t="shared" ca="1" si="14"/>
        <v>3.5069112920408014</v>
      </c>
    </row>
    <row r="47" spans="1:8" s="90" customFormat="1" ht="16.149999999999999" customHeight="1" x14ac:dyDescent="0.25">
      <c r="A47" s="134"/>
      <c r="B47" s="88" t="s">
        <v>34</v>
      </c>
      <c r="C47" s="89"/>
      <c r="D47" s="89">
        <f ca="1">IF(D$54=0,0,D$12/D$54*D$43)</f>
        <v>30</v>
      </c>
      <c r="E47" s="89">
        <f t="shared" ref="E47:H47" ca="1" si="15">IF(E$54=0,0,E$12/E$54*E$43)</f>
        <v>30</v>
      </c>
      <c r="F47" s="89">
        <f t="shared" ca="1" si="15"/>
        <v>29.999999999999996</v>
      </c>
      <c r="G47" s="89">
        <f t="shared" ca="1" si="15"/>
        <v>30</v>
      </c>
      <c r="H47" s="89">
        <f t="shared" ca="1" si="15"/>
        <v>30.000000000000004</v>
      </c>
    </row>
    <row r="48" spans="1:8" s="90" customFormat="1" ht="16.149999999999999" customHeight="1" x14ac:dyDescent="0.25">
      <c r="A48" s="134"/>
      <c r="B48" s="88" t="s">
        <v>32</v>
      </c>
      <c r="C48" s="89"/>
      <c r="D48" s="89">
        <f ca="1">IF(D$56=0,0,D$13/D$56*D$43)</f>
        <v>25.000000000000004</v>
      </c>
      <c r="E48" s="89">
        <f t="shared" ref="E48:H48" ca="1" si="16">IF(E$56=0,0,E$13/E$56*E$43)</f>
        <v>25</v>
      </c>
      <c r="F48" s="89">
        <f t="shared" ca="1" si="16"/>
        <v>25.000000000000004</v>
      </c>
      <c r="G48" s="89">
        <f t="shared" ca="1" si="16"/>
        <v>25</v>
      </c>
      <c r="H48" s="89">
        <f t="shared" ca="1" si="16"/>
        <v>25</v>
      </c>
    </row>
    <row r="49" spans="1:8" s="90" customFormat="1" ht="16.149999999999999" customHeight="1" x14ac:dyDescent="0.25">
      <c r="A49" s="134"/>
      <c r="B49" s="88" t="s">
        <v>33</v>
      </c>
      <c r="C49" s="89"/>
      <c r="D49" s="89">
        <f ca="1">IF(D$58=0,0,D$33/D$58*D$43)</f>
        <v>20</v>
      </c>
      <c r="E49" s="89">
        <f t="shared" ref="E49:H49" ca="1" si="17">IF(E$58=0,0,E$33/E$58*E$43)</f>
        <v>20</v>
      </c>
      <c r="F49" s="89">
        <f t="shared" ca="1" si="17"/>
        <v>20.000000000000004</v>
      </c>
      <c r="G49" s="89">
        <f t="shared" ca="1" si="17"/>
        <v>20.000000000000004</v>
      </c>
      <c r="H49" s="89">
        <f t="shared" ca="1" si="17"/>
        <v>20</v>
      </c>
    </row>
    <row r="50" spans="1:8" s="90" customFormat="1" ht="16.149999999999999" customHeight="1" x14ac:dyDescent="0.25">
      <c r="A50" s="134"/>
      <c r="B50" s="88" t="s">
        <v>56</v>
      </c>
      <c r="C50" s="89"/>
      <c r="D50" s="89">
        <f ca="1">IF(D$24=0,0,D$30/D$24)</f>
        <v>2.8506725233048389</v>
      </c>
      <c r="E50" s="89">
        <f t="shared" ref="E50:H50" ca="1" si="18">IF(E$24=0,0,E$30/E$24)</f>
        <v>1.7545492836979388</v>
      </c>
      <c r="F50" s="89">
        <f t="shared" ca="1" si="18"/>
        <v>1.0644777247563206</v>
      </c>
      <c r="G50" s="89">
        <f t="shared" ca="1" si="18"/>
        <v>0.63593221207234563</v>
      </c>
      <c r="H50" s="89">
        <f t="shared" ca="1" si="18"/>
        <v>0.4395017912797467</v>
      </c>
    </row>
    <row r="51" spans="1:8" s="26" customFormat="1" ht="16.149999999999999" customHeight="1" x14ac:dyDescent="0.25">
      <c r="A51" s="134"/>
      <c r="B51" s="8"/>
      <c r="C51" s="86"/>
      <c r="D51" s="52"/>
      <c r="E51" s="52"/>
      <c r="F51" s="52"/>
      <c r="G51" s="52"/>
      <c r="H51" s="52"/>
    </row>
    <row r="52" spans="1:8" s="63" customFormat="1" ht="16.149999999999999" customHeight="1" x14ac:dyDescent="0.25">
      <c r="A52" s="139"/>
      <c r="B52" s="91" t="s">
        <v>233</v>
      </c>
    </row>
    <row r="53" spans="1:8" s="63" customFormat="1" ht="16.149999999999999" customHeight="1" x14ac:dyDescent="0.25">
      <c r="A53" s="139"/>
      <c r="B53" s="91" t="s">
        <v>34</v>
      </c>
      <c r="C53" s="63">
        <f>Assumptions!$C$50</f>
        <v>30</v>
      </c>
      <c r="D53" s="63">
        <f>Assumptions!$C$50</f>
        <v>30</v>
      </c>
      <c r="E53" s="63">
        <f>Assumptions!$C$50</f>
        <v>30</v>
      </c>
      <c r="F53" s="63">
        <f>Assumptions!$C$50</f>
        <v>30</v>
      </c>
      <c r="G53" s="63">
        <f>Assumptions!$C$50</f>
        <v>30</v>
      </c>
      <c r="H53" s="63">
        <f>Assumptions!$C$50</f>
        <v>30</v>
      </c>
    </row>
    <row r="54" spans="1:8" s="63" customFormat="1" ht="16.149999999999999" customHeight="1" x14ac:dyDescent="0.25">
      <c r="A54" s="139"/>
      <c r="B54" s="91" t="s">
        <v>238</v>
      </c>
      <c r="D54" s="86">
        <f ca="1">IncState!C10</f>
        <v>2362230</v>
      </c>
      <c r="E54" s="86">
        <f ca="1">IncState!D10</f>
        <v>2452276.08</v>
      </c>
      <c r="F54" s="86">
        <f ca="1">IncState!E10</f>
        <v>2563024.0320000006</v>
      </c>
      <c r="G54" s="86">
        <f ca="1">IncState!F10</f>
        <v>2819326.4352000002</v>
      </c>
      <c r="H54" s="86">
        <f ca="1">IncState!G10</f>
        <v>3101259.0787200006</v>
      </c>
    </row>
    <row r="55" spans="1:8" s="63" customFormat="1" ht="16.149999999999999" customHeight="1" x14ac:dyDescent="0.25">
      <c r="A55" s="139"/>
      <c r="B55" s="91" t="s">
        <v>32</v>
      </c>
      <c r="C55" s="63">
        <f>Assumptions!$C$51</f>
        <v>25</v>
      </c>
      <c r="D55" s="63">
        <f>Assumptions!$C$51</f>
        <v>25</v>
      </c>
      <c r="E55" s="63">
        <f>Assumptions!$C$51</f>
        <v>25</v>
      </c>
      <c r="F55" s="63">
        <f>Assumptions!$C$51</f>
        <v>25</v>
      </c>
      <c r="G55" s="63">
        <f>Assumptions!$C$51</f>
        <v>25</v>
      </c>
      <c r="H55" s="63">
        <f>Assumptions!$C$51</f>
        <v>25</v>
      </c>
    </row>
    <row r="56" spans="1:8" s="63" customFormat="1" ht="16.149999999999999" customHeight="1" x14ac:dyDescent="0.25">
      <c r="A56" s="139"/>
      <c r="B56" s="91" t="s">
        <v>239</v>
      </c>
      <c r="D56" s="86">
        <f ca="1">(SUMIF(IncState!$A$4:$AO$7,"V1C1*",IncState!C$4:C$7)*(1+Assumptions!$C$60))+(SUMIF(IncState!$A$4:$AO$7,"V2C1*",IncState!C$4:C$7)*(1+Assumptions!$C$61))+(SUMIF(IncState!$A$4:$AO$7,"V3C1*",IncState!C$4:C$7)*(1+Assumptions!$C$62))+(SUMIF(IncState!$A$4:$AO$7,"V4C1*",IncState!C$4:C$7)*(1+Assumptions!$C$63))</f>
        <v>5977010</v>
      </c>
      <c r="E56" s="86">
        <f ca="1">(SUMIF(IncState!$A$4:$AO$7,"V1C1*",IncState!D$4:D$7)*(1+Assumptions!$C$60))+(SUMIF(IncState!$A$4:$AO$7,"V2C1*",IncState!D$4:D$7)*(1+Assumptions!$C$61))+(SUMIF(IncState!$A$4:$AO$7,"V3C1*",IncState!D$4:D$7)*(1+Assumptions!$C$62))+(SUMIF(IncState!$A$4:$AO$7,"V4C1*",IncState!D$4:D$7)*(1+Assumptions!$C$63))</f>
        <v>6455170.7999999998</v>
      </c>
      <c r="F56" s="86">
        <f ca="1">(SUMIF(IncState!$A$4:$AO$7,"V1C1*",IncState!E$4:E$7)*(1+Assumptions!$C$60))+(SUMIF(IncState!$A$4:$AO$7,"V2C1*",IncState!E$4:E$7)*(1+Assumptions!$C$61))+(SUMIF(IncState!$A$4:$AO$7,"V3C1*",IncState!E$4:E$7)*(1+Assumptions!$C$62))+(SUMIF(IncState!$A$4:$AO$7,"V4C1*",IncState!E$4:E$7)*(1+Assumptions!$C$63))</f>
        <v>6971584.4640000006</v>
      </c>
      <c r="G56" s="86">
        <f ca="1">(SUMIF(IncState!$A$4:$AO$7,"V1C1*",IncState!F$4:F$7)*(1+Assumptions!$C$60))+(SUMIF(IncState!$A$4:$AO$7,"V2C1*",IncState!F$4:F$7)*(1+Assumptions!$C$61))+(SUMIF(IncState!$A$4:$AO$7,"V3C1*",IncState!F$4:F$7)*(1+Assumptions!$C$62))+(SUMIF(IncState!$A$4:$AO$7,"V4C1*",IncState!F$4:F$7)*(1+Assumptions!$C$63))</f>
        <v>7668742.9104000004</v>
      </c>
      <c r="H56" s="86">
        <f ca="1">(SUMIF(IncState!$A$4:$AO$7,"V1C1*",IncState!G$4:G$7)*(1+Assumptions!$C$60))+(SUMIF(IncState!$A$4:$AO$7,"V2C1*",IncState!G$4:G$7)*(1+Assumptions!$C$61))+(SUMIF(IncState!$A$4:$AO$7,"V3C1*",IncState!G$4:G$7)*(1+Assumptions!$C$62))+(SUMIF(IncState!$A$4:$AO$7,"V4C1*",IncState!G$4:G$7)*(1+Assumptions!$C$63))</f>
        <v>8435617.2014400028</v>
      </c>
    </row>
    <row r="57" spans="1:8" s="63" customFormat="1" ht="16.149999999999999" customHeight="1" x14ac:dyDescent="0.25">
      <c r="A57" s="139"/>
      <c r="B57" s="91" t="s">
        <v>33</v>
      </c>
      <c r="C57" s="63">
        <f>Assumptions!$C$52</f>
        <v>20</v>
      </c>
      <c r="D57" s="63">
        <f>Assumptions!$C$52</f>
        <v>20</v>
      </c>
      <c r="E57" s="63">
        <f>Assumptions!$C$52</f>
        <v>20</v>
      </c>
      <c r="F57" s="63">
        <f>Assumptions!$C$52</f>
        <v>20</v>
      </c>
      <c r="G57" s="63">
        <f>Assumptions!$C$52</f>
        <v>20</v>
      </c>
      <c r="H57" s="63">
        <f>Assumptions!$C$52</f>
        <v>20</v>
      </c>
    </row>
    <row r="58" spans="1:8" s="63" customFormat="1" ht="16.149999999999999" customHeight="1" x14ac:dyDescent="0.25">
      <c r="A58" s="140"/>
      <c r="B58" s="91" t="s">
        <v>240</v>
      </c>
      <c r="D58" s="86">
        <f ca="1">((SUMIF(IncState!$A$7:$AO$59,"*V1C1*",IncState!C$7:C$59)-SUMIF(CashFlow!$A$27:$AO$31,"*V1C1*",CashFlow!C$27:C$31))*(1+Assumptions!$C$60))+((SUMIF(IncState!$A$7:$AO$59,"*V2C1*",IncState!C$7:C$59)-SUMIF(CashFlow!$A$27:$AO$31,"*V2C1*",CashFlow!C$27:C$31))*(1+Assumptions!$C$61))+((SUMIF(IncState!$A$7:$AO$59,"*V3C1*",IncState!C$7:C$59)-SUMIF(CashFlow!$A$27:$AO$31,"*V3C1*",CashFlow!C$27:C$31))*(1+Assumptions!$C$62))+((SUMIF(IncState!$A$7:$AO$59,"*V4C1*",IncState!C$7:C$59)-SUMIF(CashFlow!$A$27:$AO$31,"*V4C1*",CashFlow!C$27:C$31))*(1+Assumptions!$C$63))</f>
        <v>3097386.9999999995</v>
      </c>
      <c r="E58" s="86">
        <f ca="1">((SUMIF(IncState!$A$7:$AO$59,"*V1C1*",IncState!D$7:D$59)-SUMIF(CashFlow!$A$27:$AO$31,"*V1C1*",CashFlow!D$27:D$31))*(1+Assumptions!$C$60))+((SUMIF(IncState!$A$7:$AO$59,"*V2C1*",IncState!D$7:D$59)-SUMIF(CashFlow!$A$27:$AO$31,"*V2C1*",CashFlow!D$27:D$31))*(1+Assumptions!$C$61))+((SUMIF(IncState!$A$7:$AO$59,"*V3C1*",IncState!D$7:D$59)-SUMIF(CashFlow!$A$27:$AO$31,"*V3C1*",CashFlow!D$27:D$31))*(1+Assumptions!$C$62))+((SUMIF(IncState!$A$7:$AO$59,"*V4C1*",IncState!D$7:D$59)-SUMIF(CashFlow!$A$27:$AO$31,"*V4C1*",CashFlow!D$27:D$31))*(1+Assumptions!$C$63))</f>
        <v>3223789.3419999997</v>
      </c>
      <c r="F58" s="86">
        <f ca="1">((SUMIF(IncState!$A$7:$AO$59,"*V1C1*",IncState!E$7:E$59)-SUMIF(CashFlow!$A$27:$AO$31,"*V1C1*",CashFlow!E$27:E$31))*(1+Assumptions!$C$60))+((SUMIF(IncState!$A$7:$AO$59,"*V2C1*",IncState!E$7:E$59)-SUMIF(CashFlow!$A$27:$AO$31,"*V2C1*",CashFlow!E$27:E$31))*(1+Assumptions!$C$61))+((SUMIF(IncState!$A$7:$AO$59,"*V3C1*",IncState!E$7:E$59)-SUMIF(CashFlow!$A$27:$AO$31,"*V3C1*",CashFlow!E$27:E$31))*(1+Assumptions!$C$62))+((SUMIF(IncState!$A$7:$AO$59,"*V4C1*",IncState!E$7:E$59)-SUMIF(CashFlow!$A$27:$AO$31,"*V4C1*",CashFlow!E$27:E$31))*(1+Assumptions!$C$63))</f>
        <v>3375369.7978000008</v>
      </c>
      <c r="G58" s="86">
        <f ca="1">((SUMIF(IncState!$A$7:$AO$59,"*V1C1*",IncState!F$7:F$59)-SUMIF(CashFlow!$A$27:$AO$31,"*V1C1*",CashFlow!F$27:F$31))*(1+Assumptions!$C$60))+((SUMIF(IncState!$A$7:$AO$59,"*V2C1*",IncState!F$7:F$59)-SUMIF(CashFlow!$A$27:$AO$31,"*V2C1*",CashFlow!F$27:F$31))*(1+Assumptions!$C$61))+((SUMIF(IncState!$A$7:$AO$59,"*V3C1*",IncState!F$7:F$59)-SUMIF(CashFlow!$A$27:$AO$31,"*V3C1*",CashFlow!F$27:F$31))*(1+Assumptions!$C$62))+((SUMIF(IncState!$A$7:$AO$59,"*V4C1*",IncState!F$7:F$59)-SUMIF(CashFlow!$A$27:$AO$31,"*V4C1*",CashFlow!F$27:F$31))*(1+Assumptions!$C$63))</f>
        <v>3695791.0911400001</v>
      </c>
      <c r="H58" s="86">
        <f ca="1">((SUMIF(IncState!$A$7:$AO$59,"*V1C1*",IncState!G$7:G$59)-SUMIF(CashFlow!$A$27:$AO$31,"*V1C1*",CashFlow!G$27:G$31))*(1+Assumptions!$C$60))+((SUMIF(IncState!$A$7:$AO$59,"*V2C1*",IncState!G$7:G$59)-SUMIF(CashFlow!$A$27:$AO$31,"*V2C1*",CashFlow!G$27:G$31))*(1+Assumptions!$C$61))+((SUMIF(IncState!$A$7:$AO$59,"*V3C1*",IncState!G$7:G$59)-SUMIF(CashFlow!$A$27:$AO$31,"*V3C1*",CashFlow!G$27:G$31))*(1+Assumptions!$C$62))+((SUMIF(IncState!$A$7:$AO$59,"*V4C1*",IncState!G$7:G$59)-SUMIF(CashFlow!$A$27:$AO$31,"*V4C1*",CashFlow!G$27:G$31))*(1+Assumptions!$C$63))</f>
        <v>4047227.5726276003</v>
      </c>
    </row>
    <row r="59" spans="1:8" s="63" customFormat="1" ht="16.149999999999999" customHeight="1" x14ac:dyDescent="0.25">
      <c r="A59" s="139"/>
      <c r="B59" s="91" t="s">
        <v>234</v>
      </c>
    </row>
    <row r="60" spans="1:8" s="63" customFormat="1" ht="16.149999999999999" customHeight="1" x14ac:dyDescent="0.25">
      <c r="A60" s="139"/>
      <c r="B60" s="91" t="s">
        <v>235</v>
      </c>
      <c r="C60" s="16" t="str">
        <f>IF(OR(MONTH(C$4)=Assumptions!$C$65,((MONTH(C$4)-Assumptions!$C$65)/MAX(Assumptions!$C$64,1))-ROUND((MONTH(C$4)-Assumptions!$C$65)/MAX(Assumptions!$C$64,1),0)=0),"Yes","No")</f>
        <v>No</v>
      </c>
      <c r="D60" s="16" t="str">
        <f>IF(OR(MONTH(D$4)=Assumptions!$C$65,((MONTH(D$4)-Assumptions!$C$65)/MAX(Assumptions!$C$64,1))-ROUND((MONTH(D$4)-Assumptions!$C$65)/MAX(Assumptions!$C$64,1),0)=0),"Yes","No")</f>
        <v>No</v>
      </c>
      <c r="E60" s="16" t="str">
        <f>IF(OR(MONTH(E$4)=Assumptions!$C$65,((MONTH(E$4)-Assumptions!$C$65)/MAX(Assumptions!$C$64,1))-ROUND((MONTH(E$4)-Assumptions!$C$65)/MAX(Assumptions!$C$64,1),0)=0),"Yes","No")</f>
        <v>No</v>
      </c>
      <c r="F60" s="16" t="str">
        <f>IF(OR(MONTH(F$4)=Assumptions!$C$65,((MONTH(F$4)-Assumptions!$C$65)/MAX(Assumptions!$C$64,1))-ROUND((MONTH(F$4)-Assumptions!$C$65)/MAX(Assumptions!$C$64,1),0)=0),"Yes","No")</f>
        <v>No</v>
      </c>
      <c r="G60" s="16" t="str">
        <f>IF(OR(MONTH(G$4)=Assumptions!$C$65,((MONTH(G$4)-Assumptions!$C$65)/MAX(Assumptions!$C$64,1))-ROUND((MONTH(G$4)-Assumptions!$C$65)/MAX(Assumptions!$C$64,1),0)=0),"Yes","No")</f>
        <v>No</v>
      </c>
      <c r="H60" s="16" t="str">
        <f>IF(OR(MONTH(H$4)=Assumptions!$C$65,((MONTH(H$4)-Assumptions!$C$65)/MAX(Assumptions!$C$64,1))-ROUND((MONTH(H$4)-Assumptions!$C$65)/MAX(Assumptions!$C$64,1),0)=0),"Yes","No")</f>
        <v>No</v>
      </c>
    </row>
    <row r="61" spans="1:8" s="63" customFormat="1" ht="16.149999999999999" customHeight="1" x14ac:dyDescent="0.25">
      <c r="A61" s="139"/>
      <c r="B61" s="91" t="s">
        <v>236</v>
      </c>
      <c r="C61" s="92">
        <f>IF((((MONTH(C$4)-Assumptions!$D$65)/MAX(Assumptions!$C$64,1))-ROUND((MONTH(C$4)-Assumptions!$D$65)/MAX(Assumptions!$C$64,1),0))*Assumptions!$C$64&lt;0,((((MONTH(C$4)-Assumptions!$D$65)/MAX(Assumptions!$C$64,1))-ROUND((MONTH(C$4)-Assumptions!$D$65)/MAX(Assumptions!$C$64,1),0))*Assumptions!$C$64)+Assumptions!$C$64+Assumptions!$D$66,((((MONTH(C$4)-Assumptions!$D$65)/MAX(Assumptions!$C$64,1))-ROUND((MONTH(C$4)-Assumptions!$D$65)/MAX(Assumptions!$C$64,1),0))*Assumptions!$C$64)+Assumptions!$D$66)</f>
        <v>2</v>
      </c>
      <c r="D61" s="92">
        <f>$C$61</f>
        <v>2</v>
      </c>
      <c r="E61" s="92">
        <f t="shared" ref="E61:H61" si="19">$C$61</f>
        <v>2</v>
      </c>
      <c r="F61" s="92">
        <f t="shared" si="19"/>
        <v>2</v>
      </c>
      <c r="G61" s="92">
        <f t="shared" si="19"/>
        <v>2</v>
      </c>
      <c r="H61" s="92">
        <f t="shared" si="19"/>
        <v>2</v>
      </c>
    </row>
    <row r="62" spans="1:8" s="63" customFormat="1" ht="16.149999999999999" customHeight="1" x14ac:dyDescent="0.25">
      <c r="A62" s="139"/>
      <c r="B62" s="91" t="s">
        <v>241</v>
      </c>
      <c r="C62" s="86">
        <f ca="1">IF(C$34&gt;0,C$34,0)</f>
        <v>16000</v>
      </c>
      <c r="D62" s="86">
        <f ca="1">(SUMIF(IncState!$A$4:$AO$7,"V1*",IncState!C$4:C$7)*Assumptions!$C$60)+(SUMIF(IncState!$A$4:$AO$7,"V2*",IncState!C$4:C$7)*Assumptions!$C$61)+(SUMIF(IncState!$A$4:$AO$7,"V3*",IncState!C$4:C$7)*Assumptions!$C$62)+(SUMIF(IncState!$A$4:$AO$7,"V4*",IncState!C$4:C$7)*Assumptions!$C$63)</f>
        <v>779610</v>
      </c>
      <c r="E62" s="86">
        <f ca="1">(SUMIF(IncState!$A$4:$AO$7,"V1*",IncState!D$4:D$7)*Assumptions!$C$60)+(SUMIF(IncState!$A$4:$AO$7,"V2*",IncState!D$4:D$7)*Assumptions!$C$61)+(SUMIF(IncState!$A$4:$AO$7,"V3*",IncState!D$4:D$7)*Assumptions!$C$62)+(SUMIF(IncState!$A$4:$AO$7,"V4*",IncState!D$4:D$7)*Assumptions!$C$63)</f>
        <v>841978.79999999993</v>
      </c>
      <c r="F62" s="86">
        <f ca="1">(SUMIF(IncState!$A$4:$AO$7,"V1*",IncState!E$4:E$7)*Assumptions!$C$60)+(SUMIF(IncState!$A$4:$AO$7,"V2*",IncState!E$4:E$7)*Assumptions!$C$61)+(SUMIF(IncState!$A$4:$AO$7,"V3*",IncState!E$4:E$7)*Assumptions!$C$62)+(SUMIF(IncState!$A$4:$AO$7,"V4*",IncState!E$4:E$7)*Assumptions!$C$63)</f>
        <v>909337.10400000017</v>
      </c>
      <c r="G62" s="86">
        <f ca="1">(SUMIF(IncState!$A$4:$AO$7,"V1*",IncState!F$4:F$7)*Assumptions!$C$60)+(SUMIF(IncState!$A$4:$AO$7,"V2*",IncState!F$4:F$7)*Assumptions!$C$61)+(SUMIF(IncState!$A$4:$AO$7,"V3*",IncState!F$4:F$7)*Assumptions!$C$62)+(SUMIF(IncState!$A$4:$AO$7,"V4*",IncState!F$4:F$7)*Assumptions!$C$63)</f>
        <v>1000270.8144</v>
      </c>
      <c r="H62" s="86">
        <f ca="1">(SUMIF(IncState!$A$4:$AO$7,"V1*",IncState!G$4:G$7)*Assumptions!$C$60)+(SUMIF(IncState!$A$4:$AO$7,"V2*",IncState!G$4:G$7)*Assumptions!$C$61)+(SUMIF(IncState!$A$4:$AO$7,"V3*",IncState!G$4:G$7)*Assumptions!$C$62)+(SUMIF(IncState!$A$4:$AO$7,"V4*",IncState!G$4:G$7)*Assumptions!$C$63)</f>
        <v>1100297.8958400004</v>
      </c>
    </row>
    <row r="63" spans="1:8" s="63" customFormat="1" ht="16.149999999999999" customHeight="1" x14ac:dyDescent="0.25">
      <c r="A63" s="139"/>
      <c r="B63" s="91" t="s">
        <v>242</v>
      </c>
      <c r="C63" s="86">
        <f ca="1">IF(C$34&lt;0,-C$34,0)</f>
        <v>0</v>
      </c>
      <c r="D63" s="86">
        <f ca="1">((SUMIF(IncState!$A$7:$AO$59,"*V1*",IncState!C$7:C$59)-SUMIF(CashFlow!$A$27:$AO$31,"*V1*",CashFlow!C$27:C$31))*Assumptions!$C$60)+((SUMIF(IncState!$A$7:$AO$59,"*V2*",IncState!C$7:C$59)-SUMIF(CashFlow!$A$27:$AO$31,"*V2*",CashFlow!C$27:C$31))*Assumptions!$C$61)+((SUMIF(IncState!$A$7:$AO$59,"*V3*",IncState!C$7:C$59)-SUMIF(CashFlow!$A$27:$AO$31,"*V3*",CashFlow!C$27:C$31))*Assumptions!$C$62)+((SUMIF(IncState!$A$7:$AO$59,"*V4*",IncState!C$7:C$59)-SUMIF(CashFlow!$A$27:$AO$31,"*V4*",CashFlow!C$27:C$31))*Assumptions!$C$63)</f>
        <v>453955.35</v>
      </c>
      <c r="E63" s="86">
        <f ca="1">((SUMIF(IncState!$A$7:$AO$59,"*V1*",IncState!D$7:D$59)-SUMIF(CashFlow!$A$27:$AO$31,"*V1*",CashFlow!D$27:D$31))*Assumptions!$C$60)+((SUMIF(IncState!$A$7:$AO$59,"*V2*",IncState!D$7:D$59)-SUMIF(CashFlow!$A$27:$AO$31,"*V2*",CashFlow!D$27:D$31))*Assumptions!$C$61)+((SUMIF(IncState!$A$7:$AO$59,"*V3*",IncState!D$7:D$59)-SUMIF(CashFlow!$A$27:$AO$31,"*V3*",CashFlow!D$27:D$31))*Assumptions!$C$62)+((SUMIF(IncState!$A$7:$AO$59,"*V4*",IncState!D$7:D$59)-SUMIF(CashFlow!$A$27:$AO$31,"*V4*",CashFlow!D$27:D$31))*Assumptions!$C$63)</f>
        <v>473439.51299999998</v>
      </c>
      <c r="F63" s="86">
        <f ca="1">((SUMIF(IncState!$A$7:$AO$59,"*V1*",IncState!E$7:E$59)-SUMIF(CashFlow!$A$27:$AO$31,"*V1*",CashFlow!E$27:E$31))*Assumptions!$C$60)+((SUMIF(IncState!$A$7:$AO$59,"*V2*",IncState!E$7:E$59)-SUMIF(CashFlow!$A$27:$AO$31,"*V2*",CashFlow!E$27:E$31))*Assumptions!$C$61)+((SUMIF(IncState!$A$7:$AO$59,"*V3*",IncState!E$7:E$59)-SUMIF(CashFlow!$A$27:$AO$31,"*V3*",CashFlow!E$27:E$31))*Assumptions!$C$62)+((SUMIF(IncState!$A$7:$AO$59,"*V4*",IncState!E$7:E$59)-SUMIF(CashFlow!$A$27:$AO$31,"*V4*",CashFlow!E$27:E$31))*Assumptions!$C$63)</f>
        <v>496387.59186000004</v>
      </c>
      <c r="G63" s="86">
        <f ca="1">((SUMIF(IncState!$A$7:$AO$59,"*V1*",IncState!F$7:F$59)-SUMIF(CashFlow!$A$27:$AO$31,"*V1*",CashFlow!F$27:F$31))*Assumptions!$C$60)+((SUMIF(IncState!$A$7:$AO$59,"*V2*",IncState!F$7:F$59)-SUMIF(CashFlow!$A$27:$AO$31,"*V2*",CashFlow!F$27:F$31))*Assumptions!$C$61)+((SUMIF(IncState!$A$7:$AO$59,"*V3*",IncState!F$7:F$59)-SUMIF(CashFlow!$A$27:$AO$31,"*V3*",CashFlow!F$27:F$31))*Assumptions!$C$62)+((SUMIF(IncState!$A$7:$AO$59,"*V4*",IncState!F$7:F$59)-SUMIF(CashFlow!$A$27:$AO$31,"*V4*",CashFlow!F$27:F$31))*Assumptions!$C$63)</f>
        <v>541548.99156359991</v>
      </c>
      <c r="H63" s="86">
        <f ca="1">((SUMIF(IncState!$A$7:$AO$59,"*V1*",IncState!G$7:G$59)-SUMIF(CashFlow!$A$27:$AO$31,"*V1*",CashFlow!G$27:G$31))*Assumptions!$C$60)+((SUMIF(IncState!$A$7:$AO$59,"*V2*",IncState!G$7:G$59)-SUMIF(CashFlow!$A$27:$AO$31,"*V2*",CashFlow!G$27:G$31))*Assumptions!$C$61)+((SUMIF(IncState!$A$7:$AO$59,"*V3*",IncState!G$7:G$59)-SUMIF(CashFlow!$A$27:$AO$31,"*V3*",CashFlow!G$27:G$31))*Assumptions!$C$62)+((SUMIF(IncState!$A$7:$AO$59,"*V4*",IncState!G$7:G$59)-SUMIF(CashFlow!$A$27:$AO$31,"*V4*",CashFlow!G$27:G$31))*Assumptions!$C$63)</f>
        <v>590957.889668616</v>
      </c>
    </row>
    <row r="64" spans="1:8" s="63" customFormat="1" ht="16.149999999999999" customHeight="1" x14ac:dyDescent="0.25">
      <c r="A64" s="139"/>
      <c r="B64" s="91" t="s">
        <v>237</v>
      </c>
    </row>
    <row r="65" spans="1:8" s="63" customFormat="1" ht="16.149999999999999" customHeight="1" x14ac:dyDescent="0.25">
      <c r="A65" s="139"/>
      <c r="B65" s="91" t="s">
        <v>235</v>
      </c>
      <c r="C65" s="16" t="str">
        <f>IF(OR(MONTH(C$4)=Assumptions!$C$71,((MONTH(C$4)-Assumptions!$C$71)/MAX(Assumptions!$C$70,1))-ROUND((MONTH(C$4)-Assumptions!$C$71)/MAX(Assumptions!$C$70,1),0)=0),"Yes","No")</f>
        <v>Yes</v>
      </c>
      <c r="D65" s="16" t="str">
        <f>IF(OR(MONTH(D$4)=Assumptions!$C$71,((MONTH(D$4)-Assumptions!$C$71)/MAX(Assumptions!$C$70,1))-ROUND((MONTH(D$4)-Assumptions!$C$71)/MAX(Assumptions!$C$70,1),0)=0),"Yes","No")</f>
        <v>Yes</v>
      </c>
      <c r="E65" s="16" t="str">
        <f>IF(OR(MONTH(E$4)=Assumptions!$C$71,((MONTH(E$4)-Assumptions!$C$71)/MAX(Assumptions!$C$70,1))-ROUND((MONTH(E$4)-Assumptions!$C$71)/MAX(Assumptions!$C$70,1),0)=0),"Yes","No")</f>
        <v>Yes</v>
      </c>
      <c r="F65" s="16" t="str">
        <f>IF(OR(MONTH(F$4)=Assumptions!$C$71,((MONTH(F$4)-Assumptions!$C$71)/MAX(Assumptions!$C$70,1))-ROUND((MONTH(F$4)-Assumptions!$C$71)/MAX(Assumptions!$C$70,1),0)=0),"Yes","No")</f>
        <v>Yes</v>
      </c>
      <c r="G65" s="16" t="str">
        <f>IF(OR(MONTH(G$4)=Assumptions!$C$71,((MONTH(G$4)-Assumptions!$C$71)/MAX(Assumptions!$C$70,1))-ROUND((MONTH(G$4)-Assumptions!$C$71)/MAX(Assumptions!$C$70,1),0)=0),"Yes","No")</f>
        <v>Yes</v>
      </c>
      <c r="H65" s="16" t="str">
        <f>IF(OR(MONTH(H$4)=Assumptions!$C$71,((MONTH(H$4)-Assumptions!$C$71)/MAX(Assumptions!$C$70,1))-ROUND((MONTH(H$4)-Assumptions!$C$71)/MAX(Assumptions!$C$70,1),0)=0),"Yes","No")</f>
        <v>Yes</v>
      </c>
    </row>
    <row r="66" spans="1:8" s="63" customFormat="1" ht="16.149999999999999" customHeight="1" x14ac:dyDescent="0.25">
      <c r="A66" s="139"/>
      <c r="B66" s="91" t="s">
        <v>236</v>
      </c>
      <c r="C66" s="92">
        <f>IF((((MONTH(C$4)-Assumptions!$D$71)/MAX(Assumptions!$C$70,1))-ROUND((MONTH(C$4)-Assumptions!$D$71)/MAX(Assumptions!$C$70,1),0))*Assumptions!$C$70&lt;0,((((MONTH(C$4)-Assumptions!$D$71)/MAX(Assumptions!$C$70,1))-ROUND((MONTH(C$4)-Assumptions!$D$71)/MAX(Assumptions!$C$70,1),0))*Assumptions!$C$70)+Assumptions!$C$70+Assumptions!$D$72,((((MONTH(C$4)-Assumptions!$D$71)/MAX(Assumptions!$C$70,1))-ROUND((MONTH(C$4)-Assumptions!$D$71)/MAX(Assumptions!$C$70,1),0))*Assumptions!$C$70)+Assumptions!$D$72)</f>
        <v>0</v>
      </c>
      <c r="D66" s="92">
        <f>$C$66</f>
        <v>0</v>
      </c>
      <c r="E66" s="92">
        <f t="shared" ref="E66:H66" si="20">$C$66</f>
        <v>0</v>
      </c>
      <c r="F66" s="92">
        <f t="shared" si="20"/>
        <v>0</v>
      </c>
      <c r="G66" s="92">
        <f t="shared" si="20"/>
        <v>0</v>
      </c>
      <c r="H66" s="92">
        <f t="shared" si="20"/>
        <v>0</v>
      </c>
    </row>
    <row r="67" spans="1:8" s="63" customFormat="1" ht="16.149999999999999" customHeight="1" x14ac:dyDescent="0.25">
      <c r="A67" s="139"/>
      <c r="B67" s="91" t="s">
        <v>243</v>
      </c>
      <c r="C67" s="63">
        <f ca="1">C37</f>
        <v>0</v>
      </c>
      <c r="D67" s="86">
        <f ca="1">IncState!C58</f>
        <v>145503.68000000002</v>
      </c>
      <c r="E67" s="86">
        <f ca="1">IncState!D58</f>
        <v>181754.57520768585</v>
      </c>
      <c r="F67" s="86">
        <f ca="1">IncState!E58</f>
        <v>235014.23277463869</v>
      </c>
      <c r="G67" s="86">
        <f ca="1">IncState!F58</f>
        <v>319287.87762023346</v>
      </c>
      <c r="H67" s="86">
        <f ca="1">IncState!G58</f>
        <v>385541.17486993317</v>
      </c>
    </row>
    <row r="68" spans="1:8" s="63" customFormat="1" ht="16.149999999999999" customHeight="1" x14ac:dyDescent="0.25">
      <c r="A68" s="139"/>
      <c r="B68" s="91" t="s">
        <v>171</v>
      </c>
    </row>
    <row r="69" spans="1:8" s="63" customFormat="1" ht="16.149999999999999" customHeight="1" x14ac:dyDescent="0.25">
      <c r="A69" s="139"/>
      <c r="B69" s="91" t="s">
        <v>172</v>
      </c>
      <c r="C69" s="93">
        <f>Assumptions!$C$54</f>
        <v>0.2</v>
      </c>
      <c r="D69" s="93">
        <f>Assumptions!$C$54</f>
        <v>0.2</v>
      </c>
      <c r="E69" s="93">
        <f>Assumptions!$C$54</f>
        <v>0.2</v>
      </c>
      <c r="F69" s="93">
        <f>Assumptions!$C$54</f>
        <v>0.2</v>
      </c>
      <c r="G69" s="93">
        <f>Assumptions!$C$54</f>
        <v>0.2</v>
      </c>
      <c r="H69" s="93">
        <f>Assumptions!$C$54</f>
        <v>0.2</v>
      </c>
    </row>
    <row r="70" spans="1:8" s="63" customFormat="1" ht="16.149999999999999" customHeight="1" x14ac:dyDescent="0.25">
      <c r="A70" s="139"/>
      <c r="B70" s="91" t="s">
        <v>235</v>
      </c>
      <c r="C70" s="16" t="str">
        <f>IF(OR(MONTH(C$4)=Assumptions!$C$56,((MONTH(C$4)-Assumptions!$C$56)/MAX(Assumptions!$C$55,1))-ROUND((MONTH(C$4)-Assumptions!$C$56)/MAX(Assumptions!$C$55,1),0)=0),"Yes","No")</f>
        <v>Yes</v>
      </c>
      <c r="D70" s="16" t="str">
        <f>IF(OR(MONTH(D$4)=Assumptions!$C$56,((MONTH(D$4)-Assumptions!$C$56)/MAX(Assumptions!$C$55,1))-ROUND((MONTH(D$4)-Assumptions!$C$56)/MAX(Assumptions!$C$55,1),0)=0),"Yes","No")</f>
        <v>Yes</v>
      </c>
      <c r="E70" s="16" t="str">
        <f>IF(OR(MONTH(E$4)=Assumptions!$C$56,((MONTH(E$4)-Assumptions!$C$56)/MAX(Assumptions!$C$55,1))-ROUND((MONTH(E$4)-Assumptions!$C$56)/MAX(Assumptions!$C$55,1),0)=0),"Yes","No")</f>
        <v>Yes</v>
      </c>
      <c r="F70" s="16" t="str">
        <f>IF(OR(MONTH(F$4)=Assumptions!$C$56,((MONTH(F$4)-Assumptions!$C$56)/MAX(Assumptions!$C$55,1))-ROUND((MONTH(F$4)-Assumptions!$C$56)/MAX(Assumptions!$C$55,1),0)=0),"Yes","No")</f>
        <v>Yes</v>
      </c>
      <c r="G70" s="16" t="str">
        <f>IF(OR(MONTH(G$4)=Assumptions!$C$56,((MONTH(G$4)-Assumptions!$C$56)/MAX(Assumptions!$C$55,1))-ROUND((MONTH(G$4)-Assumptions!$C$56)/MAX(Assumptions!$C$55,1),0)=0),"Yes","No")</f>
        <v>Yes</v>
      </c>
      <c r="H70" s="16" t="str">
        <f>IF(OR(MONTH(H$4)=Assumptions!$C$56,((MONTH(H$4)-Assumptions!$C$56)/MAX(Assumptions!$C$55,1))-ROUND((MONTH(H$4)-Assumptions!$C$56)/MAX(Assumptions!$C$55,1),0)=0),"Yes","No")</f>
        <v>Yes</v>
      </c>
    </row>
    <row r="71" spans="1:8" s="63" customFormat="1" ht="16.149999999999999" customHeight="1" x14ac:dyDescent="0.25">
      <c r="A71" s="139"/>
      <c r="B71" s="91" t="s">
        <v>236</v>
      </c>
      <c r="C71" s="92">
        <f>IF((((MONTH(C$4)-Assumptions!$D$56)/MAX(Assumptions!$C$55,1))-ROUND((MONTH(C$4)-Assumptions!$D$56)/MAX(Assumptions!$C$55,1),0))*Assumptions!$C$55&lt;0,((((MONTH(C$4)-Assumptions!$D$56)/MAX(Assumptions!$C$55,1))-ROUND((MONTH(C$4)-Assumptions!$D$56)/MAX(Assumptions!$C$55,1),0))*Assumptions!$C$55)+Assumptions!$C$55+Assumptions!$D$57,((((MONTH(C$4)-Assumptions!$D$56)/MAX(Assumptions!$C$55,1))-ROUND((MONTH(C$4)-Assumptions!$D$56)/MAX(Assumptions!$C$55,1),0))*Assumptions!$C$55)+Assumptions!$D$57)</f>
        <v>1</v>
      </c>
      <c r="D71" s="92">
        <f>$C$71</f>
        <v>1</v>
      </c>
      <c r="E71" s="92">
        <f t="shared" ref="E71:H71" si="21">$C$71</f>
        <v>1</v>
      </c>
      <c r="F71" s="92">
        <f t="shared" si="21"/>
        <v>1</v>
      </c>
      <c r="G71" s="92">
        <f t="shared" si="21"/>
        <v>1</v>
      </c>
      <c r="H71" s="92">
        <f t="shared" si="21"/>
        <v>1</v>
      </c>
    </row>
    <row r="72" spans="1:8" s="63" customFormat="1" ht="16.149999999999999" customHeight="1" x14ac:dyDescent="0.25">
      <c r="A72" s="139"/>
      <c r="B72" s="91" t="s">
        <v>243</v>
      </c>
      <c r="C72" s="94">
        <f ca="1">C35</f>
        <v>20000</v>
      </c>
      <c r="D72" s="86">
        <f ca="1">SUMIF(IncState!$A$4:$AO$59,"PAY",IncState!C$4:C$59)*D69</f>
        <v>240000</v>
      </c>
      <c r="E72" s="86">
        <f ca="1">SUMIF(IncState!$A$4:$AO$59,"PAY",IncState!D$4:D$59)*E69</f>
        <v>254400</v>
      </c>
      <c r="F72" s="86">
        <f ca="1">SUMIF(IncState!$A$4:$AO$59,"PAY",IncState!E$4:E$59)*F69</f>
        <v>269664</v>
      </c>
      <c r="G72" s="86">
        <f ca="1">SUMIF(IncState!$A$4:$AO$59,"PAY",IncState!F$4:F$59)*G69</f>
        <v>285843.84000000003</v>
      </c>
      <c r="H72" s="86">
        <f ca="1">SUMIF(IncState!$A$4:$AO$59,"PAY",IncState!G$4:G$59)*H69</f>
        <v>302994.47040000005</v>
      </c>
    </row>
    <row r="73" spans="1:8" s="26" customFormat="1" ht="16.149999999999999" customHeight="1" x14ac:dyDescent="0.25">
      <c r="A73" s="134"/>
      <c r="B73" s="7" t="s">
        <v>253</v>
      </c>
      <c r="C73" s="86"/>
      <c r="D73" s="86"/>
      <c r="E73" s="86"/>
      <c r="F73" s="86"/>
      <c r="G73" s="86"/>
      <c r="H73" s="86"/>
    </row>
    <row r="74" spans="1:8" s="63" customFormat="1" ht="16.149999999999999" customHeight="1" x14ac:dyDescent="0.25">
      <c r="A74" s="139"/>
      <c r="B74" s="91" t="s">
        <v>249</v>
      </c>
      <c r="C74" s="93">
        <f>Assumptions!$C$104</f>
        <v>0</v>
      </c>
      <c r="D74" s="93">
        <f>Assumptions!$C$104</f>
        <v>0</v>
      </c>
      <c r="E74" s="93">
        <f>Assumptions!$C$104</f>
        <v>0</v>
      </c>
      <c r="F74" s="93">
        <f>Assumptions!$C$104</f>
        <v>0</v>
      </c>
      <c r="G74" s="93">
        <f>Assumptions!$C$104</f>
        <v>0</v>
      </c>
      <c r="H74" s="93">
        <f>Assumptions!$C$104</f>
        <v>0</v>
      </c>
    </row>
    <row r="75" spans="1:8" s="26" customFormat="1" ht="16.149999999999999" customHeight="1" x14ac:dyDescent="0.25">
      <c r="A75" s="134"/>
      <c r="B75" s="7" t="s">
        <v>254</v>
      </c>
      <c r="C75" s="15" t="str">
        <f>IF(OR(MONTH(C$4)=Assumptions!$D$106-Assumptions!$D$107,((MONTH(C$4)-Assumptions!$D$106+Assumptions!$D$107)/MAX(Assumptions!$C$105,1))-ROUND((MONTH(C$4)-Assumptions!$D$106+Assumptions!$D$107)/MAX(Assumptions!$C$105,1),0)=0),"Yes","No")</f>
        <v>Yes</v>
      </c>
      <c r="D75" s="15" t="str">
        <f>IF(OR(MONTH(D$4)=Assumptions!$D$106-Assumptions!$D$107,((MONTH(D$4)-Assumptions!$D$106+Assumptions!$D$107)/MAX(Assumptions!$C$105,1))-ROUND((MONTH(D$4)-Assumptions!$D$106+Assumptions!$D$107)/MAX(Assumptions!$C$105,1),0)=0),"Yes","No")</f>
        <v>Yes</v>
      </c>
      <c r="E75" s="15" t="str">
        <f>IF(OR(MONTH(E$4)=Assumptions!$D$106-Assumptions!$D$107,((MONTH(E$4)-Assumptions!$D$106+Assumptions!$D$107)/MAX(Assumptions!$C$105,1))-ROUND((MONTH(E$4)-Assumptions!$D$106+Assumptions!$D$107)/MAX(Assumptions!$C$105,1),0)=0),"Yes","No")</f>
        <v>Yes</v>
      </c>
      <c r="F75" s="15" t="str">
        <f>IF(OR(MONTH(F$4)=Assumptions!$D$106-Assumptions!$D$107,((MONTH(F$4)-Assumptions!$D$106+Assumptions!$D$107)/MAX(Assumptions!$C$105,1))-ROUND((MONTH(F$4)-Assumptions!$D$106+Assumptions!$D$107)/MAX(Assumptions!$C$105,1),0)=0),"Yes","No")</f>
        <v>Yes</v>
      </c>
      <c r="G75" s="15" t="str">
        <f>IF(OR(MONTH(G$4)=Assumptions!$D$106-Assumptions!$D$107,((MONTH(G$4)-Assumptions!$D$106+Assumptions!$D$107)/MAX(Assumptions!$C$105,1))-ROUND((MONTH(G$4)-Assumptions!$D$106+Assumptions!$D$107)/MAX(Assumptions!$C$105,1),0)=0),"Yes","No")</f>
        <v>Yes</v>
      </c>
      <c r="H75" s="15" t="str">
        <f>IF(OR(MONTH(H$4)=Assumptions!$D$106-Assumptions!$D$107,((MONTH(H$4)-Assumptions!$D$106+Assumptions!$D$107)/MAX(Assumptions!$C$105,1))-ROUND((MONTH(H$4)-Assumptions!$D$106+Assumptions!$D$107)/MAX(Assumptions!$C$105,1),0)=0),"Yes","No")</f>
        <v>Yes</v>
      </c>
    </row>
    <row r="76" spans="1:8" s="26" customFormat="1" ht="16.149999999999999" customHeight="1" x14ac:dyDescent="0.25">
      <c r="A76" s="134"/>
      <c r="B76" s="7" t="s">
        <v>235</v>
      </c>
      <c r="C76" s="15" t="str">
        <f>IF(OR(MONTH(C$4)=Assumptions!$D$106,((MONTH(C$4)-Assumptions!$D$106)/MAX(Assumptions!$C$105,1))-ROUND((MONTH(C$4)-Assumptions!$D$106)/MAX(Assumptions!$C$105,1),0)=0),"Yes","No")</f>
        <v>No</v>
      </c>
      <c r="D76" s="15" t="str">
        <f>IF(OR(MONTH(D$4)=Assumptions!$D$106,((MONTH(D$4)-Assumptions!$D$106)/MAX(Assumptions!$C$105,1))-ROUND((MONTH(D$4)-Assumptions!$D$106)/MAX(Assumptions!$C$105,1),0)=0),"Yes","No")</f>
        <v>No</v>
      </c>
      <c r="E76" s="15" t="str">
        <f>IF(OR(MONTH(E$4)=Assumptions!$D$106,((MONTH(E$4)-Assumptions!$D$106)/MAX(Assumptions!$C$105,1))-ROUND((MONTH(E$4)-Assumptions!$D$106)/MAX(Assumptions!$C$105,1),0)=0),"Yes","No")</f>
        <v>No</v>
      </c>
      <c r="F76" s="15" t="str">
        <f>IF(OR(MONTH(F$4)=Assumptions!$D$106,((MONTH(F$4)-Assumptions!$D$106)/MAX(Assumptions!$C$105,1))-ROUND((MONTH(F$4)-Assumptions!$D$106)/MAX(Assumptions!$C$105,1),0)=0),"Yes","No")</f>
        <v>No</v>
      </c>
      <c r="G76" s="15" t="str">
        <f>IF(OR(MONTH(G$4)=Assumptions!$D$106,((MONTH(G$4)-Assumptions!$D$106)/MAX(Assumptions!$C$105,1))-ROUND((MONTH(G$4)-Assumptions!$D$106)/MAX(Assumptions!$C$105,1),0)=0),"Yes","No")</f>
        <v>No</v>
      </c>
      <c r="H76" s="15" t="str">
        <f>IF(OR(MONTH(H$4)=Assumptions!$D$106,((MONTH(H$4)-Assumptions!$D$106)/MAX(Assumptions!$C$105,1))-ROUND((MONTH(H$4)-Assumptions!$D$106)/MAX(Assumptions!$C$105,1),0)=0),"Yes","No")</f>
        <v>No</v>
      </c>
    </row>
    <row r="77" spans="1:8" s="26" customFormat="1" ht="16.149999999999999" customHeight="1" x14ac:dyDescent="0.25">
      <c r="A77" s="134"/>
      <c r="B77" s="7" t="s">
        <v>72</v>
      </c>
      <c r="C77" s="86"/>
      <c r="D77" s="86">
        <f ca="1">IncState!C59</f>
        <v>374152.31999999995</v>
      </c>
      <c r="E77" s="86">
        <f ca="1">IncState!D59</f>
        <v>467368.90767690667</v>
      </c>
      <c r="F77" s="86">
        <f ca="1">IncState!E59</f>
        <v>604322.31284907076</v>
      </c>
      <c r="G77" s="86">
        <f ca="1">IncState!F59</f>
        <v>821025.97102345736</v>
      </c>
      <c r="H77" s="86">
        <f ca="1">IncState!G59</f>
        <v>991391.59252268472</v>
      </c>
    </row>
    <row r="78" spans="1:8" s="26" customFormat="1" ht="16.149999999999999" customHeight="1" x14ac:dyDescent="0.25">
      <c r="A78" s="134"/>
      <c r="B78" s="7" t="s">
        <v>255</v>
      </c>
      <c r="C78" s="86"/>
      <c r="D78" s="86">
        <f ca="1">IF(SUM($D77:D77)&lt;=0,0,(SUM($D77:D77)*D74))-SUM($C78:C78)</f>
        <v>0</v>
      </c>
      <c r="E78" s="86">
        <f ca="1">IF(SUM($D77:E77)&lt;=0,0,(SUM($D77:E77)*E74))-SUM($C78:D78)</f>
        <v>0</v>
      </c>
      <c r="F78" s="86">
        <f ca="1">IF(SUM($D77:F77)&lt;=0,0,(SUM($D77:F77)*F74))-SUM($C78:E78)</f>
        <v>0</v>
      </c>
      <c r="G78" s="86">
        <f ca="1">IF(SUM($D77:G77)&lt;=0,0,(SUM($D77:G77)*G74))-SUM($C78:F78)</f>
        <v>0</v>
      </c>
      <c r="H78" s="86">
        <f ca="1">IF(SUM($D77:H77)&lt;=0,0,(SUM($D77:H77)*H74))-SUM($C78:G78)</f>
        <v>0</v>
      </c>
    </row>
    <row r="79" spans="1:8" s="26" customFormat="1" ht="16.149999999999999" customHeight="1" x14ac:dyDescent="0.25">
      <c r="A79" s="134"/>
      <c r="B79" s="7" t="s">
        <v>256</v>
      </c>
      <c r="C79" s="86">
        <f ca="1">C38</f>
        <v>0</v>
      </c>
      <c r="D79" s="86">
        <f ca="1">D78</f>
        <v>0</v>
      </c>
      <c r="E79" s="86">
        <f t="shared" ref="E79:H79" ca="1" si="22">E78</f>
        <v>0</v>
      </c>
      <c r="F79" s="86">
        <f t="shared" ca="1" si="22"/>
        <v>0</v>
      </c>
      <c r="G79" s="86">
        <f t="shared" ca="1" si="22"/>
        <v>0</v>
      </c>
      <c r="H79" s="86">
        <f t="shared" ca="1" si="22"/>
        <v>0</v>
      </c>
    </row>
    <row r="80" spans="1:8" s="26" customFormat="1" ht="16.149999999999999" customHeight="1" x14ac:dyDescent="0.25">
      <c r="A80" s="134"/>
      <c r="B80" s="7" t="s">
        <v>257</v>
      </c>
      <c r="C80" s="86"/>
      <c r="D80" s="86">
        <f ca="1">IF(OR(Assumptions!$C$107="Cash",D76="Yes"),0,D78/12*Assumptions!$C$105)</f>
        <v>0</v>
      </c>
      <c r="E80" s="86">
        <f ca="1">IF(OR(Assumptions!$C$107="Cash",E76="Yes"),0,E78/12*Assumptions!$C$105)</f>
        <v>0</v>
      </c>
      <c r="F80" s="86">
        <f ca="1">IF(OR(Assumptions!$C$107="Cash",F76="Yes"),0,F78/12*Assumptions!$C$105)</f>
        <v>0</v>
      </c>
      <c r="G80" s="86">
        <f ca="1">IF(OR(Assumptions!$C$107="Cash",G76="Yes"),0,G78/12*Assumptions!$C$105)</f>
        <v>0</v>
      </c>
      <c r="H80" s="86">
        <f ca="1">IF(OR(Assumptions!$C$107="Cash",H76="Yes"),0,H78/12*Assumptions!$C$105)</f>
        <v>0</v>
      </c>
    </row>
    <row r="83" spans="1:3" ht="16.149999999999999" customHeight="1" x14ac:dyDescent="0.3">
      <c r="C83" s="21"/>
    </row>
    <row r="84" spans="1:3" s="21" customFormat="1" ht="16.149999999999999" customHeight="1" x14ac:dyDescent="0.3">
      <c r="A84" s="141"/>
    </row>
    <row r="85" spans="1:3" s="21" customFormat="1" ht="16.149999999999999" customHeight="1" x14ac:dyDescent="0.3">
      <c r="A85" s="141"/>
    </row>
    <row r="86" spans="1:3" s="21" customFormat="1" ht="16.149999999999999" customHeight="1" x14ac:dyDescent="0.3">
      <c r="A86" s="141"/>
    </row>
  </sheetData>
  <phoneticPr fontId="3" type="noConversion"/>
  <printOptions horizontalCentered="1"/>
  <pageMargins left="0.59055118110236227" right="0.59055118110236227" top="0.59055118110236227" bottom="0.59055118110236227" header="0.39370078740157483" footer="0.39370078740157483"/>
  <pageSetup paperSize="9" scale="68" orientation="portrait"/>
  <headerFooter alignWithMargins="0">
    <oddFooter>&amp;C&amp;9Page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24"/>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97" customWidth="1"/>
    <col min="2" max="7" width="13.7109375" style="17" customWidth="1"/>
    <col min="8" max="8" width="2.7109375" style="96" customWidth="1"/>
    <col min="9" max="11" width="15.7109375" style="96" customWidth="1"/>
    <col min="12" max="16" width="15.7109375" style="12" customWidth="1"/>
    <col min="17" max="16384" width="9.140625" style="12"/>
  </cols>
  <sheetData>
    <row r="1" spans="1:11" ht="16.149999999999999" customHeight="1" x14ac:dyDescent="0.25">
      <c r="A1" s="116" t="str">
        <f>IF(ISBLANK(Assumptions!$C$4),"Example Limited",Assumptions!$C$4)</f>
        <v>Example (Pty) Limited</v>
      </c>
      <c r="B1" s="19"/>
      <c r="C1" s="19"/>
      <c r="D1" s="19"/>
      <c r="G1" s="95"/>
    </row>
    <row r="2" spans="1:11" ht="16.149999999999999" customHeight="1" x14ac:dyDescent="0.25">
      <c r="A2" s="7" t="s">
        <v>194</v>
      </c>
      <c r="B2" s="19"/>
      <c r="C2" s="19"/>
      <c r="D2" s="19"/>
      <c r="G2" s="95"/>
    </row>
    <row r="4" spans="1:11" ht="16.149999999999999" customHeight="1" x14ac:dyDescent="0.25">
      <c r="A4" s="97" t="s">
        <v>36</v>
      </c>
      <c r="B4" s="98">
        <f>Assumptions!$C$75</f>
        <v>0.10249999999999999</v>
      </c>
      <c r="C4" s="99"/>
      <c r="D4" s="99"/>
    </row>
    <row r="5" spans="1:11" ht="16.149999999999999" customHeight="1" x14ac:dyDescent="0.25">
      <c r="A5" s="100" t="s">
        <v>42</v>
      </c>
      <c r="B5" s="101">
        <f>Assumptions!$C$76</f>
        <v>10</v>
      </c>
      <c r="C5" s="20"/>
      <c r="D5" s="20"/>
    </row>
    <row r="6" spans="1:11" ht="16.149999999999999" customHeight="1" x14ac:dyDescent="0.25">
      <c r="A6" s="100" t="s">
        <v>43</v>
      </c>
      <c r="B6" s="102" t="str">
        <f>Assumptions!$C$77</f>
        <v>No</v>
      </c>
      <c r="C6" s="103"/>
      <c r="D6" s="103"/>
    </row>
    <row r="7" spans="1:11" ht="16.149999999999999" customHeight="1" x14ac:dyDescent="0.25">
      <c r="A7" s="8" t="s">
        <v>59</v>
      </c>
    </row>
    <row r="8" spans="1:11" s="107" customFormat="1" ht="25.5" x14ac:dyDescent="0.25">
      <c r="A8" s="104" t="s">
        <v>45</v>
      </c>
      <c r="B8" s="105" t="s">
        <v>46</v>
      </c>
      <c r="C8" s="105" t="s">
        <v>259</v>
      </c>
      <c r="D8" s="105" t="s">
        <v>64</v>
      </c>
      <c r="E8" s="105" t="s">
        <v>260</v>
      </c>
      <c r="F8" s="105" t="s">
        <v>60</v>
      </c>
      <c r="G8" s="105" t="s">
        <v>47</v>
      </c>
      <c r="H8" s="106"/>
      <c r="I8" s="106"/>
      <c r="J8" s="106"/>
      <c r="K8" s="106"/>
    </row>
    <row r="9" spans="1:11" s="2" customFormat="1" ht="16.149999999999999" customHeight="1" x14ac:dyDescent="0.25">
      <c r="A9" s="108">
        <v>0</v>
      </c>
      <c r="B9" s="109">
        <v>0</v>
      </c>
      <c r="C9" s="109">
        <f ca="1">-SUMIF(Assumptions!$A$79:$C$102,"LT1",Assumptions!$C$79:$C$102)</f>
        <v>1200000</v>
      </c>
      <c r="D9" s="109">
        <v>0</v>
      </c>
      <c r="E9" s="103">
        <v>0</v>
      </c>
      <c r="F9" s="110">
        <f>IF($B$6="Yes",0,D9-E9)</f>
        <v>0</v>
      </c>
      <c r="G9" s="103">
        <f ca="1">IF(ROUND(SUM(B9:C9,-F9),0)=0,0,IF($B$6="Yes",SUM($C$9:C9),SUM(B9:C9,-F9)))</f>
        <v>1200000</v>
      </c>
      <c r="H9" s="111"/>
      <c r="I9" s="111"/>
      <c r="J9" s="111"/>
      <c r="K9" s="111"/>
    </row>
    <row r="10" spans="1:11" s="81" customFormat="1" ht="16.149999999999999" customHeight="1" x14ac:dyDescent="0.25">
      <c r="A10" s="112">
        <v>1</v>
      </c>
      <c r="B10" s="113">
        <f ca="1">G9</f>
        <v>1200000</v>
      </c>
      <c r="C10" s="113">
        <f ca="1">OFFSET(CashFlow!$B$35,0,ROW($A10)-ROW($A$9),1,1)</f>
        <v>0</v>
      </c>
      <c r="D10" s="110">
        <f ca="1">IF($B$6="Yes",0,IF(ROW(C10)-ROW($C$9)&gt;$B$5,-PMT($B$4,$B$5,SUM(OFFSET(C10,0,0,-$B$5,1)),0,0),-PMT($B$4,$B$5,SUM(OFFSET(C10,0,0,ROW($C$8)-ROW(C10),1)),0,0)))</f>
        <v>197396.76448910063</v>
      </c>
      <c r="E10" s="110">
        <f t="shared" ref="E10:E24" ca="1" si="0">(G9+C10)*$B$4</f>
        <v>122999.99999999999</v>
      </c>
      <c r="F10" s="110">
        <f t="shared" ref="F10:F24" ca="1" si="1">IF($B$6="Yes",0,D10-E10)</f>
        <v>74396.764489100649</v>
      </c>
      <c r="G10" s="103">
        <f ca="1">IF(ROUND(SUM(B10:C10,-F10),0)=0,0,IF($B$6="Yes",SUM($C$9:C10),SUM(B10:C10,-F10)))</f>
        <v>1125603.2355108995</v>
      </c>
      <c r="H10" s="114"/>
      <c r="I10" s="111"/>
      <c r="J10" s="114"/>
      <c r="K10" s="114"/>
    </row>
    <row r="11" spans="1:11" s="81" customFormat="1" ht="16.149999999999999" customHeight="1" x14ac:dyDescent="0.25">
      <c r="A11" s="112">
        <v>2</v>
      </c>
      <c r="B11" s="113">
        <f t="shared" ref="B11:B24" ca="1" si="2">G10</f>
        <v>1125603.2355108995</v>
      </c>
      <c r="C11" s="113">
        <f ca="1">OFFSET(CashFlow!$B$35,0,ROW($A11)-ROW($A$9),1,1)</f>
        <v>0</v>
      </c>
      <c r="D11" s="110">
        <f t="shared" ref="D11:D24" ca="1" si="3">IF($B$6="Yes",0,IF(ROW(C11)-ROW($C$9)&gt;$B$5,-PMT($B$4,$B$5,SUM(OFFSET(C11,0,0,-$B$5,1)),0,0),-PMT($B$4,$B$5,SUM(OFFSET(C11,0,0,ROW($C$8)-ROW(C11),1)),0,0)))</f>
        <v>197396.76448910063</v>
      </c>
      <c r="E11" s="110">
        <f t="shared" ca="1" si="0"/>
        <v>115374.33163986719</v>
      </c>
      <c r="F11" s="110">
        <f t="shared" ca="1" si="1"/>
        <v>82022.432849233446</v>
      </c>
      <c r="G11" s="103">
        <f ca="1">IF(ROUND(SUM(B11:C11,-F11),0)=0,0,IF($B$6="Yes",SUM($C$9:C11),SUM(B11:C11,-F11)))</f>
        <v>1043580.8026616659</v>
      </c>
      <c r="H11" s="114"/>
      <c r="I11" s="114"/>
      <c r="J11" s="114"/>
      <c r="K11" s="114"/>
    </row>
    <row r="12" spans="1:11" s="81" customFormat="1" ht="16.149999999999999" customHeight="1" x14ac:dyDescent="0.25">
      <c r="A12" s="112">
        <v>3</v>
      </c>
      <c r="B12" s="113">
        <f t="shared" ca="1" si="2"/>
        <v>1043580.8026616659</v>
      </c>
      <c r="C12" s="113">
        <f ca="1">OFFSET(CashFlow!$B$35,0,ROW($A12)-ROW($A$9),1,1)</f>
        <v>0</v>
      </c>
      <c r="D12" s="110">
        <f t="shared" ca="1" si="3"/>
        <v>197396.76448910063</v>
      </c>
      <c r="E12" s="110">
        <f t="shared" ca="1" si="0"/>
        <v>106967.03227282075</v>
      </c>
      <c r="F12" s="110">
        <f t="shared" ca="1" si="1"/>
        <v>90429.732216279881</v>
      </c>
      <c r="G12" s="103">
        <f ca="1">IF(ROUND(SUM(B12:C12,-F12),0)=0,0,IF($B$6="Yes",SUM($C$9:C12),SUM(B12:C12,-F12)))</f>
        <v>953151.07044538611</v>
      </c>
      <c r="H12" s="114"/>
      <c r="I12" s="114"/>
      <c r="J12" s="114"/>
      <c r="K12" s="114"/>
    </row>
    <row r="13" spans="1:11" s="81" customFormat="1" ht="16.149999999999999" customHeight="1" x14ac:dyDescent="0.25">
      <c r="A13" s="112">
        <v>4</v>
      </c>
      <c r="B13" s="113">
        <f t="shared" ca="1" si="2"/>
        <v>953151.07044538611</v>
      </c>
      <c r="C13" s="113">
        <f ca="1">OFFSET(CashFlow!$B$35,0,ROW($A13)-ROW($A$9),1,1)</f>
        <v>0</v>
      </c>
      <c r="D13" s="110">
        <f t="shared" ca="1" si="3"/>
        <v>197396.76448910063</v>
      </c>
      <c r="E13" s="110">
        <f t="shared" ca="1" si="0"/>
        <v>97697.984720652064</v>
      </c>
      <c r="F13" s="110">
        <f t="shared" ca="1" si="1"/>
        <v>99698.77976844857</v>
      </c>
      <c r="G13" s="103">
        <f ca="1">IF(ROUND(SUM(B13:C13,-F13),0)=0,0,IF($B$6="Yes",SUM($C$9:C13),SUM(B13:C13,-F13)))</f>
        <v>853452.29067693755</v>
      </c>
      <c r="H13" s="114"/>
      <c r="I13" s="114"/>
      <c r="J13" s="114"/>
      <c r="K13" s="114"/>
    </row>
    <row r="14" spans="1:11" s="81" customFormat="1" ht="16.149999999999999" customHeight="1" x14ac:dyDescent="0.25">
      <c r="A14" s="112">
        <v>5</v>
      </c>
      <c r="B14" s="113">
        <f t="shared" ca="1" si="2"/>
        <v>853452.29067693755</v>
      </c>
      <c r="C14" s="113">
        <f ca="1">OFFSET(CashFlow!$B$35,0,ROW($A14)-ROW($A$9),1,1)</f>
        <v>0</v>
      </c>
      <c r="D14" s="110">
        <f t="shared" ca="1" si="3"/>
        <v>197396.76448910063</v>
      </c>
      <c r="E14" s="110">
        <f t="shared" ca="1" si="0"/>
        <v>87478.859794386095</v>
      </c>
      <c r="F14" s="110">
        <f t="shared" ca="1" si="1"/>
        <v>109917.90469471454</v>
      </c>
      <c r="G14" s="103">
        <f ca="1">IF(ROUND(SUM(B14:C14,-F14),0)=0,0,IF($B$6="Yes",SUM($C$9:C14),SUM(B14:C14,-F14)))</f>
        <v>743534.38598222297</v>
      </c>
      <c r="H14" s="114"/>
      <c r="I14" s="114"/>
      <c r="J14" s="114"/>
      <c r="K14" s="114"/>
    </row>
    <row r="15" spans="1:11" s="81" customFormat="1" ht="16.149999999999999" customHeight="1" x14ac:dyDescent="0.25">
      <c r="A15" s="112">
        <v>6</v>
      </c>
      <c r="B15" s="113">
        <f t="shared" ca="1" si="2"/>
        <v>743534.38598222297</v>
      </c>
      <c r="C15" s="113">
        <f ca="1">OFFSET(CashFlow!$B$35,0,ROW($A15)-ROW($A$9),1,1)</f>
        <v>0</v>
      </c>
      <c r="D15" s="110">
        <f t="shared" ca="1" si="3"/>
        <v>197396.76448910063</v>
      </c>
      <c r="E15" s="110">
        <f t="shared" ca="1" si="0"/>
        <v>76212.274563177853</v>
      </c>
      <c r="F15" s="110">
        <f t="shared" ca="1" si="1"/>
        <v>121184.48992592278</v>
      </c>
      <c r="G15" s="103">
        <f ca="1">IF(ROUND(SUM(B15:C15,-F15),0)=0,0,IF($B$6="Yes",SUM($C$9:C15),SUM(B15:C15,-F15)))</f>
        <v>622349.89605630015</v>
      </c>
      <c r="H15" s="114"/>
      <c r="I15" s="114"/>
      <c r="J15" s="114"/>
      <c r="K15" s="114"/>
    </row>
    <row r="16" spans="1:11" s="81" customFormat="1" ht="16.149999999999999" customHeight="1" x14ac:dyDescent="0.25">
      <c r="A16" s="112">
        <v>7</v>
      </c>
      <c r="B16" s="113">
        <f t="shared" ca="1" si="2"/>
        <v>622349.89605630015</v>
      </c>
      <c r="C16" s="113">
        <f ca="1">OFFSET(CashFlow!$B$35,0,ROW($A16)-ROW($A$9),1,1)</f>
        <v>0</v>
      </c>
      <c r="D16" s="110">
        <f t="shared" ca="1" si="3"/>
        <v>197396.76448910063</v>
      </c>
      <c r="E16" s="110">
        <f t="shared" ca="1" si="0"/>
        <v>63790.864345770759</v>
      </c>
      <c r="F16" s="110">
        <f t="shared" ca="1" si="1"/>
        <v>133605.90014332987</v>
      </c>
      <c r="G16" s="103">
        <f ca="1">IF(ROUND(SUM(B16:C16,-F16),0)=0,0,IF($B$6="Yes",SUM($C$9:C16),SUM(B16:C16,-F16)))</f>
        <v>488743.99591297028</v>
      </c>
      <c r="H16" s="114"/>
      <c r="I16" s="114"/>
      <c r="J16" s="114"/>
      <c r="K16" s="114"/>
    </row>
    <row r="17" spans="1:11" s="81" customFormat="1" ht="16.149999999999999" customHeight="1" x14ac:dyDescent="0.25">
      <c r="A17" s="112">
        <v>8</v>
      </c>
      <c r="B17" s="113">
        <f t="shared" ca="1" si="2"/>
        <v>488743.99591297028</v>
      </c>
      <c r="C17" s="113">
        <f ca="1">OFFSET(CashFlow!$B$35,0,ROW($A17)-ROW($A$9),1,1)</f>
        <v>0</v>
      </c>
      <c r="D17" s="110">
        <f t="shared" ca="1" si="3"/>
        <v>197396.76448910063</v>
      </c>
      <c r="E17" s="110">
        <f t="shared" ca="1" si="0"/>
        <v>50096.259581079452</v>
      </c>
      <c r="F17" s="110">
        <f t="shared" ca="1" si="1"/>
        <v>147300.50490802119</v>
      </c>
      <c r="G17" s="103">
        <f ca="1">IF(ROUND(SUM(B17:C17,-F17),0)=0,0,IF($B$6="Yes",SUM($C$9:C17),SUM(B17:C17,-F17)))</f>
        <v>341443.49100494909</v>
      </c>
      <c r="H17" s="114"/>
      <c r="I17" s="114"/>
      <c r="J17" s="114"/>
      <c r="K17" s="114"/>
    </row>
    <row r="18" spans="1:11" s="81" customFormat="1" ht="16.149999999999999" customHeight="1" x14ac:dyDescent="0.25">
      <c r="A18" s="112">
        <v>9</v>
      </c>
      <c r="B18" s="113">
        <f t="shared" ca="1" si="2"/>
        <v>341443.49100494909</v>
      </c>
      <c r="C18" s="113">
        <f ca="1">OFFSET(CashFlow!$B$35,0,ROW($A18)-ROW($A$9),1,1)</f>
        <v>0</v>
      </c>
      <c r="D18" s="110">
        <f t="shared" ca="1" si="3"/>
        <v>197396.76448910063</v>
      </c>
      <c r="E18" s="110">
        <f t="shared" ca="1" si="0"/>
        <v>34997.957828007282</v>
      </c>
      <c r="F18" s="110">
        <f t="shared" ca="1" si="1"/>
        <v>162398.80666109335</v>
      </c>
      <c r="G18" s="103">
        <f ca="1">IF(ROUND(SUM(B18:C18,-F18),0)=0,0,IF($B$6="Yes",SUM($C$9:C18),SUM(B18:C18,-F18)))</f>
        <v>179044.68434385574</v>
      </c>
      <c r="H18" s="114"/>
      <c r="I18" s="114"/>
      <c r="J18" s="114"/>
      <c r="K18" s="114"/>
    </row>
    <row r="19" spans="1:11" s="81" customFormat="1" ht="16.149999999999999" customHeight="1" x14ac:dyDescent="0.25">
      <c r="A19" s="112">
        <v>10</v>
      </c>
      <c r="B19" s="113">
        <f t="shared" ca="1" si="2"/>
        <v>179044.68434385574</v>
      </c>
      <c r="C19" s="113">
        <f ca="1">OFFSET(CashFlow!$B$35,0,ROW($A19)-ROW($A$9),1,1)</f>
        <v>0</v>
      </c>
      <c r="D19" s="110">
        <f t="shared" ca="1" si="3"/>
        <v>197396.76448910063</v>
      </c>
      <c r="E19" s="110">
        <f t="shared" ca="1" si="0"/>
        <v>18352.080145245211</v>
      </c>
      <c r="F19" s="110">
        <f t="shared" ca="1" si="1"/>
        <v>179044.68434385542</v>
      </c>
      <c r="G19" s="103">
        <f ca="1">IF(ROUND(SUM(B19:C19,-F19),0)=0,0,IF($B$6="Yes",SUM($C$9:C19),SUM(B19:C19,-F19)))</f>
        <v>0</v>
      </c>
      <c r="H19" s="114"/>
      <c r="I19" s="114"/>
      <c r="J19" s="114"/>
      <c r="K19" s="114"/>
    </row>
    <row r="20" spans="1:11" s="81" customFormat="1" ht="16.149999999999999" customHeight="1" x14ac:dyDescent="0.25">
      <c r="A20" s="112">
        <v>11</v>
      </c>
      <c r="B20" s="113">
        <f t="shared" ca="1" si="2"/>
        <v>0</v>
      </c>
      <c r="C20" s="113">
        <f ca="1">OFFSET(CashFlow!$B$35,0,ROW($A20)-ROW($A$9),1,1)</f>
        <v>0</v>
      </c>
      <c r="D20" s="110">
        <f t="shared" ca="1" si="3"/>
        <v>0</v>
      </c>
      <c r="E20" s="110">
        <f t="shared" ca="1" si="0"/>
        <v>0</v>
      </c>
      <c r="F20" s="110">
        <f t="shared" ca="1" si="1"/>
        <v>0</v>
      </c>
      <c r="G20" s="103">
        <f ca="1">IF(ROUND(SUM(B20:C20,-F20),0)=0,0,IF($B$6="Yes",SUM($C$9:C20),SUM(B20:C20,-F20)))</f>
        <v>0</v>
      </c>
      <c r="H20" s="114"/>
      <c r="I20" s="114"/>
      <c r="J20" s="114"/>
      <c r="K20" s="114"/>
    </row>
    <row r="21" spans="1:11" ht="16.149999999999999" customHeight="1" x14ac:dyDescent="0.25">
      <c r="A21" s="112">
        <v>12</v>
      </c>
      <c r="B21" s="113">
        <f t="shared" ca="1" si="2"/>
        <v>0</v>
      </c>
      <c r="C21" s="113">
        <f ca="1">OFFSET(CashFlow!$B$35,0,ROW($A21)-ROW($A$9),1,1)</f>
        <v>0</v>
      </c>
      <c r="D21" s="110">
        <f t="shared" ca="1" si="3"/>
        <v>0</v>
      </c>
      <c r="E21" s="110">
        <f t="shared" ca="1" si="0"/>
        <v>0</v>
      </c>
      <c r="F21" s="110">
        <f t="shared" ca="1" si="1"/>
        <v>0</v>
      </c>
      <c r="G21" s="103">
        <f ca="1">IF(ROUND(SUM(B21:C21,-F21),0)=0,0,IF($B$6="Yes",SUM($C$9:C21),SUM(B21:C21,-F21)))</f>
        <v>0</v>
      </c>
    </row>
    <row r="22" spans="1:11" ht="16.149999999999999" customHeight="1" x14ac:dyDescent="0.25">
      <c r="A22" s="112">
        <v>13</v>
      </c>
      <c r="B22" s="113">
        <f t="shared" ca="1" si="2"/>
        <v>0</v>
      </c>
      <c r="C22" s="113">
        <f ca="1">OFFSET(CashFlow!$B$35,0,ROW($A22)-ROW($A$9),1,1)</f>
        <v>0</v>
      </c>
      <c r="D22" s="110">
        <f t="shared" ca="1" si="3"/>
        <v>0</v>
      </c>
      <c r="E22" s="110">
        <f t="shared" ca="1" si="0"/>
        <v>0</v>
      </c>
      <c r="F22" s="110">
        <f t="shared" ca="1" si="1"/>
        <v>0</v>
      </c>
      <c r="G22" s="103">
        <f ca="1">IF(ROUND(SUM(B22:C22,-F22),0)=0,0,IF($B$6="Yes",SUM($C$9:C22),SUM(B22:C22,-F22)))</f>
        <v>0</v>
      </c>
    </row>
    <row r="23" spans="1:11" ht="16.149999999999999" customHeight="1" x14ac:dyDescent="0.25">
      <c r="A23" s="112">
        <v>14</v>
      </c>
      <c r="B23" s="113">
        <f t="shared" ca="1" si="2"/>
        <v>0</v>
      </c>
      <c r="C23" s="113">
        <f ca="1">OFFSET(CashFlow!$B$35,0,ROW($A23)-ROW($A$9),1,1)</f>
        <v>0</v>
      </c>
      <c r="D23" s="110">
        <f t="shared" ca="1" si="3"/>
        <v>0</v>
      </c>
      <c r="E23" s="110">
        <f t="shared" ca="1" si="0"/>
        <v>0</v>
      </c>
      <c r="F23" s="110">
        <f t="shared" ca="1" si="1"/>
        <v>0</v>
      </c>
      <c r="G23" s="103">
        <f ca="1">IF(ROUND(SUM(B23:C23,-F23),0)=0,0,IF($B$6="Yes",SUM($C$9:C23),SUM(B23:C23,-F23)))</f>
        <v>0</v>
      </c>
    </row>
    <row r="24" spans="1:11" s="65" customFormat="1" ht="16.149999999999999" customHeight="1" x14ac:dyDescent="0.25">
      <c r="A24" s="112">
        <v>15</v>
      </c>
      <c r="B24" s="113">
        <f t="shared" ca="1" si="2"/>
        <v>0</v>
      </c>
      <c r="C24" s="113">
        <f ca="1">OFFSET(CashFlow!$B$35,0,ROW($A24)-ROW($A$9),1,1)</f>
        <v>0</v>
      </c>
      <c r="D24" s="110">
        <f t="shared" ca="1" si="3"/>
        <v>0</v>
      </c>
      <c r="E24" s="110">
        <f t="shared" ca="1" si="0"/>
        <v>0</v>
      </c>
      <c r="F24" s="110">
        <f t="shared" ca="1" si="1"/>
        <v>0</v>
      </c>
      <c r="G24" s="103">
        <f ca="1">IF(ROUND(SUM(B24:C24,-F24),0)=0,0,IF($B$6="Yes",SUM($C$9:C24),SUM(B24:C24,-F24)))</f>
        <v>0</v>
      </c>
      <c r="H24" s="115"/>
      <c r="I24" s="115"/>
      <c r="J24" s="115"/>
      <c r="K24" s="115"/>
    </row>
  </sheetData>
  <sheetProtection formatCells="0" formatColumns="0" formatRows="0"/>
  <phoneticPr fontId="3" type="noConversion"/>
  <printOptions horizontalCentered="1"/>
  <pageMargins left="0.59055118110236227" right="0.59055118110236227" top="0.59055118110236227" bottom="0.59055118110236227" header="0.39370078740157483" footer="0.39370078740157483"/>
  <pageSetup paperSize="9" scale="94" orientation="portrait"/>
  <headerFooter alignWithMargins="0">
    <oddFooter>&amp;C&amp;9Page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24"/>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97" customWidth="1"/>
    <col min="2" max="7" width="13.7109375" style="17" customWidth="1"/>
    <col min="8" max="8" width="2.7109375" style="96" customWidth="1"/>
    <col min="9" max="11" width="15.7109375" style="96" customWidth="1"/>
    <col min="12" max="16" width="15.7109375" style="12" customWidth="1"/>
    <col min="17" max="16384" width="9.140625" style="12"/>
  </cols>
  <sheetData>
    <row r="1" spans="1:11" ht="16.149999999999999" customHeight="1" x14ac:dyDescent="0.25">
      <c r="A1" s="116" t="str">
        <f>IF(ISBLANK(Assumptions!$C$4),"Example Limited",Assumptions!$C$4)</f>
        <v>Example (Pty) Limited</v>
      </c>
      <c r="B1" s="19"/>
      <c r="C1" s="19"/>
      <c r="D1" s="19"/>
      <c r="G1" s="95"/>
    </row>
    <row r="2" spans="1:11" ht="16.149999999999999" customHeight="1" x14ac:dyDescent="0.25">
      <c r="A2" s="7" t="s">
        <v>195</v>
      </c>
      <c r="B2" s="19"/>
      <c r="C2" s="19"/>
      <c r="D2" s="19"/>
      <c r="G2" s="95"/>
    </row>
    <row r="4" spans="1:11" ht="16.149999999999999" customHeight="1" x14ac:dyDescent="0.25">
      <c r="A4" s="97" t="s">
        <v>36</v>
      </c>
      <c r="B4" s="98">
        <f>Assumptions!$D$75</f>
        <v>9.2499999999999999E-2</v>
      </c>
      <c r="C4" s="99"/>
      <c r="D4" s="99"/>
    </row>
    <row r="5" spans="1:11" ht="16.149999999999999" customHeight="1" x14ac:dyDescent="0.25">
      <c r="A5" s="100" t="s">
        <v>42</v>
      </c>
      <c r="B5" s="101">
        <f>Assumptions!$D$76</f>
        <v>8</v>
      </c>
      <c r="C5" s="20"/>
      <c r="D5" s="20"/>
    </row>
    <row r="6" spans="1:11" ht="16.149999999999999" customHeight="1" x14ac:dyDescent="0.25">
      <c r="A6" s="100" t="s">
        <v>43</v>
      </c>
      <c r="B6" s="102" t="str">
        <f>Assumptions!$D$77</f>
        <v>No</v>
      </c>
      <c r="C6" s="103"/>
      <c r="D6" s="103"/>
    </row>
    <row r="7" spans="1:11" ht="16.149999999999999" customHeight="1" x14ac:dyDescent="0.25">
      <c r="A7" s="8" t="s">
        <v>59</v>
      </c>
    </row>
    <row r="8" spans="1:11" s="107" customFormat="1" ht="25.5" x14ac:dyDescent="0.25">
      <c r="A8" s="104" t="s">
        <v>45</v>
      </c>
      <c r="B8" s="105" t="s">
        <v>46</v>
      </c>
      <c r="C8" s="105" t="s">
        <v>259</v>
      </c>
      <c r="D8" s="105" t="s">
        <v>64</v>
      </c>
      <c r="E8" s="105" t="s">
        <v>260</v>
      </c>
      <c r="F8" s="105" t="s">
        <v>60</v>
      </c>
      <c r="G8" s="105" t="s">
        <v>47</v>
      </c>
      <c r="H8" s="106"/>
      <c r="I8" s="106"/>
      <c r="J8" s="106"/>
      <c r="K8" s="106"/>
    </row>
    <row r="9" spans="1:11" s="2" customFormat="1" ht="16.149999999999999" customHeight="1" x14ac:dyDescent="0.25">
      <c r="A9" s="108">
        <v>0</v>
      </c>
      <c r="B9" s="109">
        <v>0</v>
      </c>
      <c r="C9" s="109">
        <f ca="1">-SUMIF(Assumptions!$A$79:$C$102,"LT2",Assumptions!$C$79:$C$102)</f>
        <v>500000</v>
      </c>
      <c r="D9" s="109">
        <v>0</v>
      </c>
      <c r="E9" s="103">
        <v>0</v>
      </c>
      <c r="F9" s="110">
        <f>IF($B$6="Yes",0,D9-E9)</f>
        <v>0</v>
      </c>
      <c r="G9" s="103">
        <f ca="1">IF(ROUND(SUM(B9:C9,-F9),0)=0,0,IF($B$6="Yes",SUM($C$9:C9),SUM(B9:C9,-F9)))</f>
        <v>500000</v>
      </c>
      <c r="H9" s="111"/>
      <c r="I9" s="111"/>
      <c r="J9" s="111"/>
      <c r="K9" s="111"/>
    </row>
    <row r="10" spans="1:11" s="81" customFormat="1" ht="16.149999999999999" customHeight="1" x14ac:dyDescent="0.25">
      <c r="A10" s="112">
        <v>1</v>
      </c>
      <c r="B10" s="113">
        <f ca="1">G9</f>
        <v>500000</v>
      </c>
      <c r="C10" s="113">
        <f ca="1">OFFSET(CashFlow!$B$36,0,ROW($A10)-ROW($A$9),1,1)</f>
        <v>100000</v>
      </c>
      <c r="D10" s="110">
        <f ca="1">IF($B$6="Yes",0,IF(ROW(C10)-ROW($C$9)&gt;$B$5,-PMT($B$4,$B$5,SUM(OFFSET(C10,0,0,-$B$5,1)),0,0),-PMT($B$4,$B$5,SUM(OFFSET(C10,0,0,ROW($C$8)-ROW(C10),1)),0,0)))</f>
        <v>109413.94517714377</v>
      </c>
      <c r="E10" s="110">
        <f t="shared" ref="E10:E24" ca="1" si="0">(G9+C10)*$B$4</f>
        <v>55500</v>
      </c>
      <c r="F10" s="110">
        <f t="shared" ref="F10:F24" ca="1" si="1">IF($B$6="Yes",0,D10-E10)</f>
        <v>53913.945177143774</v>
      </c>
      <c r="G10" s="103">
        <f ca="1">IF(ROUND(SUM(B10:C10,-F10),0)=0,0,IF($B$6="Yes",SUM($C$9:C10),SUM(B10:C10,-F10)))</f>
        <v>546086.05482285621</v>
      </c>
      <c r="H10" s="114"/>
      <c r="I10" s="111"/>
      <c r="J10" s="114"/>
      <c r="K10" s="114"/>
    </row>
    <row r="11" spans="1:11" s="81" customFormat="1" ht="16.149999999999999" customHeight="1" x14ac:dyDescent="0.25">
      <c r="A11" s="112">
        <v>2</v>
      </c>
      <c r="B11" s="113">
        <f t="shared" ref="B11:B24" ca="1" si="2">G10</f>
        <v>546086.05482285621</v>
      </c>
      <c r="C11" s="113">
        <f ca="1">OFFSET(CashFlow!$B$36,0,ROW($A11)-ROW($A$9),1,1)</f>
        <v>0</v>
      </c>
      <c r="D11" s="110">
        <f t="shared" ref="D11:D24" ca="1" si="3">IF($B$6="Yes",0,IF(ROW(C11)-ROW($C$9)&gt;$B$5,-PMT($B$4,$B$5,SUM(OFFSET(C11,0,0,-$B$5,1)),0,0),-PMT($B$4,$B$5,SUM(OFFSET(C11,0,0,ROW($C$8)-ROW(C11),1)),0,0)))</f>
        <v>109413.94517714377</v>
      </c>
      <c r="E11" s="110">
        <f t="shared" ca="1" si="0"/>
        <v>50512.960071114197</v>
      </c>
      <c r="F11" s="110">
        <f t="shared" ca="1" si="1"/>
        <v>58900.985106029577</v>
      </c>
      <c r="G11" s="103">
        <f ca="1">IF(ROUND(SUM(B11:C11,-F11),0)=0,0,IF($B$6="Yes",SUM($C$9:C11),SUM(B11:C11,-F11)))</f>
        <v>487185.06971682666</v>
      </c>
      <c r="H11" s="114"/>
      <c r="I11" s="114"/>
      <c r="J11" s="114"/>
      <c r="K11" s="114"/>
    </row>
    <row r="12" spans="1:11" s="81" customFormat="1" ht="16.149999999999999" customHeight="1" x14ac:dyDescent="0.25">
      <c r="A12" s="112">
        <v>3</v>
      </c>
      <c r="B12" s="113">
        <f t="shared" ca="1" si="2"/>
        <v>487185.06971682666</v>
      </c>
      <c r="C12" s="113">
        <f ca="1">OFFSET(CashFlow!$B$36,0,ROW($A12)-ROW($A$9),1,1)</f>
        <v>0</v>
      </c>
      <c r="D12" s="110">
        <f t="shared" ca="1" si="3"/>
        <v>109413.94517714377</v>
      </c>
      <c r="E12" s="110">
        <f t="shared" ca="1" si="0"/>
        <v>45064.618948806463</v>
      </c>
      <c r="F12" s="110">
        <f t="shared" ca="1" si="1"/>
        <v>64349.326228337311</v>
      </c>
      <c r="G12" s="103">
        <f ca="1">IF(ROUND(SUM(B12:C12,-F12),0)=0,0,IF($B$6="Yes",SUM($C$9:C12),SUM(B12:C12,-F12)))</f>
        <v>422835.74348848936</v>
      </c>
      <c r="H12" s="114"/>
      <c r="I12" s="114"/>
      <c r="J12" s="114"/>
      <c r="K12" s="114"/>
    </row>
    <row r="13" spans="1:11" s="81" customFormat="1" ht="16.149999999999999" customHeight="1" x14ac:dyDescent="0.25">
      <c r="A13" s="112">
        <v>4</v>
      </c>
      <c r="B13" s="113">
        <f t="shared" ca="1" si="2"/>
        <v>422835.74348848936</v>
      </c>
      <c r="C13" s="113">
        <f ca="1">OFFSET(CashFlow!$B$36,0,ROW($A13)-ROW($A$9),1,1)</f>
        <v>0</v>
      </c>
      <c r="D13" s="110">
        <f t="shared" ca="1" si="3"/>
        <v>109413.94517714377</v>
      </c>
      <c r="E13" s="110">
        <f t="shared" ca="1" si="0"/>
        <v>39112.306272685266</v>
      </c>
      <c r="F13" s="110">
        <f t="shared" ca="1" si="1"/>
        <v>70301.638904458508</v>
      </c>
      <c r="G13" s="103">
        <f ca="1">IF(ROUND(SUM(B13:C13,-F13),0)=0,0,IF($B$6="Yes",SUM($C$9:C13),SUM(B13:C13,-F13)))</f>
        <v>352534.10458403087</v>
      </c>
      <c r="H13" s="114"/>
      <c r="I13" s="114"/>
      <c r="J13" s="114"/>
      <c r="K13" s="114"/>
    </row>
    <row r="14" spans="1:11" s="81" customFormat="1" ht="16.149999999999999" customHeight="1" x14ac:dyDescent="0.25">
      <c r="A14" s="112">
        <v>5</v>
      </c>
      <c r="B14" s="113">
        <f t="shared" ca="1" si="2"/>
        <v>352534.10458403087</v>
      </c>
      <c r="C14" s="113">
        <f ca="1">OFFSET(CashFlow!$B$36,0,ROW($A14)-ROW($A$9),1,1)</f>
        <v>0</v>
      </c>
      <c r="D14" s="110">
        <f t="shared" ca="1" si="3"/>
        <v>109413.94517714377</v>
      </c>
      <c r="E14" s="110">
        <f t="shared" ca="1" si="0"/>
        <v>32609.404674022855</v>
      </c>
      <c r="F14" s="110">
        <f t="shared" ca="1" si="1"/>
        <v>76804.540503120923</v>
      </c>
      <c r="G14" s="103">
        <f ca="1">IF(ROUND(SUM(B14:C14,-F14),0)=0,0,IF($B$6="Yes",SUM($C$9:C14),SUM(B14:C14,-F14)))</f>
        <v>275729.56408090994</v>
      </c>
      <c r="H14" s="114"/>
      <c r="I14" s="114"/>
      <c r="J14" s="114"/>
      <c r="K14" s="114"/>
    </row>
    <row r="15" spans="1:11" s="81" customFormat="1" ht="16.149999999999999" customHeight="1" x14ac:dyDescent="0.25">
      <c r="A15" s="112">
        <v>6</v>
      </c>
      <c r="B15" s="113">
        <f t="shared" ca="1" si="2"/>
        <v>275729.56408090994</v>
      </c>
      <c r="C15" s="113">
        <f ca="1">OFFSET(CashFlow!$B$36,0,ROW($A15)-ROW($A$9),1,1)</f>
        <v>0</v>
      </c>
      <c r="D15" s="110">
        <f t="shared" ca="1" si="3"/>
        <v>109413.94517714377</v>
      </c>
      <c r="E15" s="110">
        <f t="shared" ca="1" si="0"/>
        <v>25504.984677484168</v>
      </c>
      <c r="F15" s="110">
        <f t="shared" ca="1" si="1"/>
        <v>83908.960499659603</v>
      </c>
      <c r="G15" s="103">
        <f ca="1">IF(ROUND(SUM(B15:C15,-F15),0)=0,0,IF($B$6="Yes",SUM($C$9:C15),SUM(B15:C15,-F15)))</f>
        <v>191820.60358125035</v>
      </c>
      <c r="H15" s="114"/>
      <c r="I15" s="114"/>
      <c r="J15" s="114"/>
      <c r="K15" s="114"/>
    </row>
    <row r="16" spans="1:11" s="81" customFormat="1" ht="16.149999999999999" customHeight="1" x14ac:dyDescent="0.25">
      <c r="A16" s="112">
        <v>7</v>
      </c>
      <c r="B16" s="113">
        <f t="shared" ca="1" si="2"/>
        <v>191820.60358125035</v>
      </c>
      <c r="C16" s="113">
        <f ca="1">OFFSET(CashFlow!$B$36,0,ROW($A16)-ROW($A$9),1,1)</f>
        <v>0</v>
      </c>
      <c r="D16" s="110">
        <f t="shared" ca="1" si="3"/>
        <v>109413.94517714377</v>
      </c>
      <c r="E16" s="110">
        <f t="shared" ca="1" si="0"/>
        <v>17743.405831265656</v>
      </c>
      <c r="F16" s="110">
        <f t="shared" ca="1" si="1"/>
        <v>91670.539345878118</v>
      </c>
      <c r="G16" s="103">
        <f ca="1">IF(ROUND(SUM(B16:C16,-F16),0)=0,0,IF($B$6="Yes",SUM($C$9:C16),SUM(B16:C16,-F16)))</f>
        <v>100150.06423537224</v>
      </c>
      <c r="H16" s="114"/>
      <c r="I16" s="114"/>
      <c r="J16" s="114"/>
      <c r="K16" s="114"/>
    </row>
    <row r="17" spans="1:11" s="81" customFormat="1" ht="16.149999999999999" customHeight="1" x14ac:dyDescent="0.25">
      <c r="A17" s="112">
        <v>8</v>
      </c>
      <c r="B17" s="113">
        <f t="shared" ca="1" si="2"/>
        <v>100150.06423537224</v>
      </c>
      <c r="C17" s="113">
        <f ca="1">OFFSET(CashFlow!$B$36,0,ROW($A17)-ROW($A$9),1,1)</f>
        <v>0</v>
      </c>
      <c r="D17" s="110">
        <f t="shared" ca="1" si="3"/>
        <v>109413.94517714377</v>
      </c>
      <c r="E17" s="110">
        <f t="shared" ca="1" si="0"/>
        <v>9263.8809417719312</v>
      </c>
      <c r="F17" s="110">
        <f t="shared" ca="1" si="1"/>
        <v>100150.06423537184</v>
      </c>
      <c r="G17" s="103">
        <f ca="1">IF(ROUND(SUM(B17:C17,-F17),0)=0,0,IF($B$6="Yes",SUM($C$9:C17),SUM(B17:C17,-F17)))</f>
        <v>0</v>
      </c>
      <c r="H17" s="114"/>
      <c r="I17" s="114"/>
      <c r="J17" s="114"/>
      <c r="K17" s="114"/>
    </row>
    <row r="18" spans="1:11" s="81" customFormat="1" ht="16.149999999999999" customHeight="1" x14ac:dyDescent="0.25">
      <c r="A18" s="112">
        <v>9</v>
      </c>
      <c r="B18" s="113">
        <f t="shared" ca="1" si="2"/>
        <v>0</v>
      </c>
      <c r="C18" s="113">
        <f ca="1">OFFSET(CashFlow!$B$36,0,ROW($A18)-ROW($A$9),1,1)</f>
        <v>0</v>
      </c>
      <c r="D18" s="110">
        <f t="shared" ca="1" si="3"/>
        <v>0</v>
      </c>
      <c r="E18" s="110">
        <f t="shared" ca="1" si="0"/>
        <v>0</v>
      </c>
      <c r="F18" s="110">
        <f t="shared" ca="1" si="1"/>
        <v>0</v>
      </c>
      <c r="G18" s="103">
        <f ca="1">IF(ROUND(SUM(B18:C18,-F18),0)=0,0,IF($B$6="Yes",SUM($C$9:C18),SUM(B18:C18,-F18)))</f>
        <v>0</v>
      </c>
      <c r="H18" s="114"/>
      <c r="I18" s="114"/>
      <c r="J18" s="114"/>
      <c r="K18" s="114"/>
    </row>
    <row r="19" spans="1:11" s="81" customFormat="1" ht="16.149999999999999" customHeight="1" x14ac:dyDescent="0.25">
      <c r="A19" s="112">
        <v>10</v>
      </c>
      <c r="B19" s="113">
        <f t="shared" ca="1" si="2"/>
        <v>0</v>
      </c>
      <c r="C19" s="113">
        <f ca="1">OFFSET(CashFlow!$B$36,0,ROW($A19)-ROW($A$9),1,1)</f>
        <v>0</v>
      </c>
      <c r="D19" s="110">
        <f t="shared" ca="1" si="3"/>
        <v>0</v>
      </c>
      <c r="E19" s="110">
        <f t="shared" ca="1" si="0"/>
        <v>0</v>
      </c>
      <c r="F19" s="110">
        <f t="shared" ca="1" si="1"/>
        <v>0</v>
      </c>
      <c r="G19" s="103">
        <f ca="1">IF(ROUND(SUM(B19:C19,-F19),0)=0,0,IF($B$6="Yes",SUM($C$9:C19),SUM(B19:C19,-F19)))</f>
        <v>0</v>
      </c>
      <c r="H19" s="114"/>
      <c r="I19" s="114"/>
      <c r="J19" s="114"/>
      <c r="K19" s="114"/>
    </row>
    <row r="20" spans="1:11" s="81" customFormat="1" ht="16.149999999999999" customHeight="1" x14ac:dyDescent="0.25">
      <c r="A20" s="112">
        <v>11</v>
      </c>
      <c r="B20" s="113">
        <f t="shared" ca="1" si="2"/>
        <v>0</v>
      </c>
      <c r="C20" s="113">
        <f ca="1">OFFSET(CashFlow!$B$36,0,ROW($A20)-ROW($A$9),1,1)</f>
        <v>0</v>
      </c>
      <c r="D20" s="110">
        <f t="shared" ca="1" si="3"/>
        <v>0</v>
      </c>
      <c r="E20" s="110">
        <f t="shared" ca="1" si="0"/>
        <v>0</v>
      </c>
      <c r="F20" s="110">
        <f t="shared" ca="1" si="1"/>
        <v>0</v>
      </c>
      <c r="G20" s="103">
        <f ca="1">IF(ROUND(SUM(B20:C20,-F20),0)=0,0,IF($B$6="Yes",SUM($C$9:C20),SUM(B20:C20,-F20)))</f>
        <v>0</v>
      </c>
      <c r="H20" s="114"/>
      <c r="I20" s="114"/>
      <c r="J20" s="114"/>
      <c r="K20" s="114"/>
    </row>
    <row r="21" spans="1:11" ht="16.149999999999999" customHeight="1" x14ac:dyDescent="0.25">
      <c r="A21" s="112">
        <v>12</v>
      </c>
      <c r="B21" s="113">
        <f t="shared" ca="1" si="2"/>
        <v>0</v>
      </c>
      <c r="C21" s="113">
        <f ca="1">OFFSET(CashFlow!$B$36,0,ROW($A21)-ROW($A$9),1,1)</f>
        <v>0</v>
      </c>
      <c r="D21" s="110">
        <f t="shared" ca="1" si="3"/>
        <v>0</v>
      </c>
      <c r="E21" s="110">
        <f t="shared" ca="1" si="0"/>
        <v>0</v>
      </c>
      <c r="F21" s="110">
        <f t="shared" ca="1" si="1"/>
        <v>0</v>
      </c>
      <c r="G21" s="103">
        <f ca="1">IF(ROUND(SUM(B21:C21,-F21),0)=0,0,IF($B$6="Yes",SUM($C$9:C21),SUM(B21:C21,-F21)))</f>
        <v>0</v>
      </c>
    </row>
    <row r="22" spans="1:11" ht="16.149999999999999" customHeight="1" x14ac:dyDescent="0.25">
      <c r="A22" s="112">
        <v>13</v>
      </c>
      <c r="B22" s="113">
        <f t="shared" ca="1" si="2"/>
        <v>0</v>
      </c>
      <c r="C22" s="113">
        <f ca="1">OFFSET(CashFlow!$B$36,0,ROW($A22)-ROW($A$9),1,1)</f>
        <v>0</v>
      </c>
      <c r="D22" s="110">
        <f t="shared" ca="1" si="3"/>
        <v>0</v>
      </c>
      <c r="E22" s="110">
        <f t="shared" ca="1" si="0"/>
        <v>0</v>
      </c>
      <c r="F22" s="110">
        <f t="shared" ca="1" si="1"/>
        <v>0</v>
      </c>
      <c r="G22" s="103">
        <f ca="1">IF(ROUND(SUM(B22:C22,-F22),0)=0,0,IF($B$6="Yes",SUM($C$9:C22),SUM(B22:C22,-F22)))</f>
        <v>0</v>
      </c>
    </row>
    <row r="23" spans="1:11" ht="16.149999999999999" customHeight="1" x14ac:dyDescent="0.25">
      <c r="A23" s="112">
        <v>14</v>
      </c>
      <c r="B23" s="113">
        <f t="shared" ca="1" si="2"/>
        <v>0</v>
      </c>
      <c r="C23" s="113">
        <f ca="1">OFFSET(CashFlow!$B$36,0,ROW($A23)-ROW($A$9),1,1)</f>
        <v>0</v>
      </c>
      <c r="D23" s="110">
        <f t="shared" ca="1" si="3"/>
        <v>0</v>
      </c>
      <c r="E23" s="110">
        <f t="shared" ca="1" si="0"/>
        <v>0</v>
      </c>
      <c r="F23" s="110">
        <f t="shared" ca="1" si="1"/>
        <v>0</v>
      </c>
      <c r="G23" s="103">
        <f ca="1">IF(ROUND(SUM(B23:C23,-F23),0)=0,0,IF($B$6="Yes",SUM($C$9:C23),SUM(B23:C23,-F23)))</f>
        <v>0</v>
      </c>
    </row>
    <row r="24" spans="1:11" s="65" customFormat="1" ht="16.149999999999999" customHeight="1" x14ac:dyDescent="0.25">
      <c r="A24" s="112">
        <v>15</v>
      </c>
      <c r="B24" s="113">
        <f t="shared" ca="1" si="2"/>
        <v>0</v>
      </c>
      <c r="C24" s="113">
        <f ca="1">OFFSET(CashFlow!$B$36,0,ROW($A24)-ROW($A$9),1,1)</f>
        <v>0</v>
      </c>
      <c r="D24" s="110">
        <f t="shared" ca="1" si="3"/>
        <v>0</v>
      </c>
      <c r="E24" s="110">
        <f t="shared" ca="1" si="0"/>
        <v>0</v>
      </c>
      <c r="F24" s="110">
        <f t="shared" ca="1" si="1"/>
        <v>0</v>
      </c>
      <c r="G24" s="103">
        <f ca="1">IF(ROUND(SUM(B24:C24,-F24),0)=0,0,IF($B$6="Yes",SUM($C$9:C24),SUM(B24:C24,-F24)))</f>
        <v>0</v>
      </c>
      <c r="H24" s="115"/>
      <c r="I24" s="115"/>
      <c r="J24" s="115"/>
      <c r="K24" s="115"/>
    </row>
  </sheetData>
  <sheetProtection formatCells="0" formatColumns="0" formatRows="0"/>
  <printOptions horizontalCentered="1"/>
  <pageMargins left="0.59055118110236227" right="0.59055118110236227" top="0.59055118110236227" bottom="0.59055118110236227" header="0.39370078740157483" footer="0.39370078740157483"/>
  <pageSetup paperSize="9" scale="94" orientation="portrait"/>
  <headerFooter alignWithMargins="0">
    <oddFooter>&amp;C&amp;9Page &amp;P of &amp;N</oddFooter>
  </headerFooter>
  <drawing r:id="rId1"/>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Info</vt:lpstr>
      <vt:lpstr>CashFlow</vt:lpstr>
      <vt:lpstr>BalanceSheet!Print_Area</vt:lpstr>
      <vt:lpstr>CashFlow!Print_Area</vt:lpstr>
      <vt:lpstr>IncState!Print_Area</vt:lpstr>
      <vt:lpstr>Instructions!Print_Area</vt:lpstr>
      <vt:lpstr>Assumptions!Print_Titles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Forecast Template - Excel Skills</dc:title>
  <dc:subject>Cash Flow Forecast</dc:subject>
  <dc:creator>Excel Skills International</dc:creator>
  <cp:keywords>cash flow template, annual</cp:keywords>
  <cp:lastModifiedBy>cloudconvert_20</cp:lastModifiedBy>
  <cp:lastPrinted>2020-09-25T13:57:02Z</cp:lastPrinted>
  <dcterms:created xsi:type="dcterms:W3CDTF">2009-07-26T08:36:26Z</dcterms:created>
  <dcterms:modified xsi:type="dcterms:W3CDTF">2024-01-30T16:21:18Z</dcterms:modified>
  <cp:category>Excel 2007+</cp:category>
  <cp:contentStatus>Version 4.0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fa6405f1-c782-4b7f-9d11-5f0689b5f8a3</vt:lpwstr>
  </property>
</Properties>
</file>