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a6cef04916cf436e" Type="http://schemas.microsoft.com/office/2007/relationships/ui/extensibility" Target="customUI/customUI14.xml"/><Relationship Id="R188abaf47a79450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cloudconvert\server\files\tasks\4392bc00-2366-413f-a61f-7831e696a5f0\"/>
    </mc:Choice>
  </mc:AlternateContent>
  <xr:revisionPtr revIDLastSave="0" documentId="8_{0728AB2A-FDC5-497B-A64B-D956AF921DDF}" xr6:coauthVersionLast="47" xr6:coauthVersionMax="47" xr10:uidLastSave="{00000000-0000-0000-0000-000000000000}"/>
  <bookViews>
    <workbookView xWindow="1950" yWindow="1950" windowWidth="11520" windowHeight="7875" tabRatio="794" xr2:uid="{00000000-000D-0000-FFFF-FFFF00000000}"/>
  </bookViews>
  <sheets>
    <sheet name="Info" sheetId="10" r:id="rId1"/>
    <sheet name="Trial" sheetId="9" state="veryHidden" r:id="rId2"/>
    <sheet name="Instructions" sheetId="4" state="veryHidden" r:id="rId3"/>
    <sheet name="Assumptions" sheetId="2" state="veryHidden" r:id="rId4"/>
    <sheet name="IncState" sheetId="1" state="veryHidden" r:id="rId5"/>
    <sheet name="CashFlow" sheetId="11" state="veryHidden" r:id="rId6"/>
    <sheet name="BalanceSheet" sheetId="6" state="veryHidden" r:id="rId7"/>
    <sheet name="Loans1" sheetId="7" state="veryHidden" r:id="rId8"/>
    <sheet name="Loans2" sheetId="12" state="veryHidden" r:id="rId9"/>
    <sheet name="Loans3" sheetId="13" state="veryHidden" r:id="rId10"/>
    <sheet name="Leases" sheetId="14" state="veryHidden" r:id="rId11"/>
  </sheets>
  <definedNames>
    <definedName name="_xlnm.Print_Area" localSheetId="3">Assumptions!$B$1:$H$94</definedName>
    <definedName name="_xlnm.Print_Area" localSheetId="6">BalanceSheet!$B$1:$AP$50</definedName>
    <definedName name="_xlnm.Print_Area" localSheetId="5">CashFlow!$B$1:$AO$46</definedName>
    <definedName name="_xlnm.Print_Area" localSheetId="4">IncState!$B$1:$AO$67</definedName>
    <definedName name="_xlnm.Print_Area" localSheetId="2">Instructions!$A$1:$A$360</definedName>
    <definedName name="_xlnm.Print_Titles" localSheetId="3">Assumptions!$1:$3</definedName>
    <definedName name="_xlnm.Print_Titles" localSheetId="6">BalanceSheet!$B:$B,BalanceSheet!$1:$4</definedName>
    <definedName name="_xlnm.Print_Titles" localSheetId="5">CashFlow!$B:$B,CashFlow!$1:$4</definedName>
    <definedName name="_xlnm.Print_Titles" localSheetId="4">IncState!$B:$B,IncState!$1:$4</definedName>
    <definedName name="_xlnm.Print_Titles" localSheetId="2">Instructions!$1:$4</definedName>
    <definedName name="_xlnm.Print_Titles" localSheetId="10">Leases!$1:$8</definedName>
    <definedName name="_xlnm.Print_Titles" localSheetId="7">Loans1!$1:$8</definedName>
    <definedName name="_xlnm.Print_Titles" localSheetId="8">Loans2!$1:$8</definedName>
    <definedName name="_xlnm.Print_Titles" localSheetId="9">Loans3!$1:$8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4" l="1"/>
  <c r="A1" i="13"/>
  <c r="A1" i="12"/>
  <c r="A1" i="7"/>
  <c r="B1" i="6"/>
  <c r="B1" i="11"/>
  <c r="B1" i="1"/>
  <c r="B1" i="2"/>
  <c r="D98" i="2" l="1"/>
  <c r="D99" i="2" s="1"/>
  <c r="AO74" i="6" l="1"/>
  <c r="AN74" i="6"/>
  <c r="AM74" i="6"/>
  <c r="AL74" i="6"/>
  <c r="AK74" i="6"/>
  <c r="AJ74" i="6"/>
  <c r="AI74" i="6"/>
  <c r="AH74" i="6"/>
  <c r="AG74" i="6"/>
  <c r="AF74" i="6"/>
  <c r="AE74" i="6"/>
  <c r="AD74" i="6"/>
  <c r="AB74" i="6"/>
  <c r="AA74" i="6"/>
  <c r="Z74" i="6"/>
  <c r="Y74" i="6"/>
  <c r="X74" i="6"/>
  <c r="W74" i="6"/>
  <c r="V74" i="6"/>
  <c r="U74" i="6"/>
  <c r="T74" i="6"/>
  <c r="S74" i="6"/>
  <c r="R74" i="6"/>
  <c r="Q74" i="6"/>
  <c r="O74" i="6"/>
  <c r="N74" i="6"/>
  <c r="M74" i="6"/>
  <c r="L74" i="6"/>
  <c r="K74" i="6"/>
  <c r="J74" i="6"/>
  <c r="I74" i="6"/>
  <c r="H74" i="6"/>
  <c r="G74" i="6"/>
  <c r="F74" i="6"/>
  <c r="E74" i="6"/>
  <c r="D74" i="6"/>
  <c r="C38" i="6"/>
  <c r="C79" i="6" s="1"/>
  <c r="AO17" i="1" l="1"/>
  <c r="AB17" i="1"/>
  <c r="O17" i="1"/>
  <c r="AN41" i="1" l="1"/>
  <c r="AM41" i="1"/>
  <c r="AL41" i="1"/>
  <c r="AK41" i="1"/>
  <c r="AJ41" i="1"/>
  <c r="AI41" i="1"/>
  <c r="AH41" i="1"/>
  <c r="AG41" i="1"/>
  <c r="AF41" i="1"/>
  <c r="AE41" i="1"/>
  <c r="AD41" i="1"/>
  <c r="AC41" i="1"/>
  <c r="AA41" i="1"/>
  <c r="Z41" i="1"/>
  <c r="Y41" i="1"/>
  <c r="X41" i="1"/>
  <c r="W41" i="1"/>
  <c r="V41" i="1"/>
  <c r="U41" i="1"/>
  <c r="T41" i="1"/>
  <c r="S41" i="1"/>
  <c r="R41" i="1"/>
  <c r="Q41" i="1"/>
  <c r="P41" i="1"/>
  <c r="N41" i="1"/>
  <c r="M41" i="1"/>
  <c r="L41" i="1"/>
  <c r="K41" i="1"/>
  <c r="J41" i="1"/>
  <c r="I41" i="1"/>
  <c r="H41" i="1"/>
  <c r="G41" i="1"/>
  <c r="F41" i="1"/>
  <c r="E41" i="1"/>
  <c r="D41" i="1"/>
  <c r="C36" i="6" l="1"/>
  <c r="AO69" i="6" l="1"/>
  <c r="AN69" i="6"/>
  <c r="AM69" i="6"/>
  <c r="AL69" i="6"/>
  <c r="AK69" i="6"/>
  <c r="AJ69" i="6"/>
  <c r="AI69" i="6"/>
  <c r="AH69" i="6"/>
  <c r="AG69" i="6"/>
  <c r="AF69" i="6"/>
  <c r="AE69" i="6"/>
  <c r="AD69" i="6"/>
  <c r="AB69" i="6"/>
  <c r="AA69" i="6"/>
  <c r="Z69" i="6"/>
  <c r="Y69" i="6"/>
  <c r="X69" i="6"/>
  <c r="W69" i="6"/>
  <c r="V69" i="6"/>
  <c r="U69" i="6"/>
  <c r="T69" i="6"/>
  <c r="S69" i="6"/>
  <c r="R69" i="6"/>
  <c r="Q69" i="6"/>
  <c r="O69" i="6"/>
  <c r="N69" i="6"/>
  <c r="M69" i="6"/>
  <c r="L69" i="6"/>
  <c r="K69" i="6"/>
  <c r="J69" i="6"/>
  <c r="I69" i="6"/>
  <c r="H69" i="6"/>
  <c r="G69" i="6"/>
  <c r="F69" i="6"/>
  <c r="E69" i="6"/>
  <c r="D69" i="6"/>
  <c r="D49" i="2"/>
  <c r="D58" i="2"/>
  <c r="D64" i="2"/>
  <c r="AO56" i="6"/>
  <c r="AO62" i="6"/>
  <c r="C57" i="6" l="1"/>
  <c r="C55" i="6"/>
  <c r="C4" i="6" l="1"/>
  <c r="C76" i="6" l="1"/>
  <c r="C75" i="6"/>
  <c r="C70" i="6"/>
  <c r="C65" i="6"/>
  <c r="C60" i="6"/>
  <c r="C53" i="6"/>
  <c r="C35" i="6"/>
  <c r="C41" i="1"/>
  <c r="AN45" i="1"/>
  <c r="AM45" i="1"/>
  <c r="AL45" i="1"/>
  <c r="AK45" i="1"/>
  <c r="AJ45" i="1"/>
  <c r="AI45" i="1"/>
  <c r="AH45" i="1"/>
  <c r="AG45" i="1"/>
  <c r="AF45" i="1"/>
  <c r="AE45" i="1"/>
  <c r="AD45" i="1"/>
  <c r="AC45" i="1"/>
  <c r="AA45" i="1"/>
  <c r="Z45" i="1"/>
  <c r="Y45" i="1"/>
  <c r="X45" i="1"/>
  <c r="W45" i="1"/>
  <c r="V45" i="1"/>
  <c r="U45" i="1"/>
  <c r="T45" i="1"/>
  <c r="S45" i="1"/>
  <c r="R45" i="1"/>
  <c r="Q45" i="1"/>
  <c r="P45" i="1"/>
  <c r="N45" i="1"/>
  <c r="M45" i="1"/>
  <c r="L45" i="1"/>
  <c r="K45" i="1"/>
  <c r="J45" i="1"/>
  <c r="I45" i="1"/>
  <c r="H45" i="1"/>
  <c r="G45" i="1"/>
  <c r="F45" i="1"/>
  <c r="E45" i="1"/>
  <c r="D45" i="1"/>
  <c r="C45" i="1"/>
  <c r="AO44" i="1"/>
  <c r="AB44" i="1"/>
  <c r="O44" i="1"/>
  <c r="AN7" i="1"/>
  <c r="AM7" i="1"/>
  <c r="AL7" i="1"/>
  <c r="AK7" i="1"/>
  <c r="AJ7" i="1"/>
  <c r="AI7" i="1"/>
  <c r="AH7" i="1"/>
  <c r="AG7" i="1"/>
  <c r="AF7" i="1"/>
  <c r="AE7" i="1"/>
  <c r="AD7" i="1"/>
  <c r="AC7" i="1"/>
  <c r="AA7" i="1"/>
  <c r="Z7" i="1"/>
  <c r="Y7" i="1"/>
  <c r="X7" i="1"/>
  <c r="W7" i="1"/>
  <c r="V7" i="1"/>
  <c r="U7" i="1"/>
  <c r="T7" i="1"/>
  <c r="S7" i="1"/>
  <c r="R7" i="1"/>
  <c r="Q7" i="1"/>
  <c r="P7" i="1"/>
  <c r="N7" i="1"/>
  <c r="M7" i="1"/>
  <c r="L7" i="1"/>
  <c r="K7" i="1"/>
  <c r="J7" i="1"/>
  <c r="I7" i="1"/>
  <c r="H7" i="1"/>
  <c r="G7" i="1"/>
  <c r="F7" i="1"/>
  <c r="E7" i="1"/>
  <c r="D7" i="1"/>
  <c r="C7" i="1"/>
  <c r="AN12" i="1"/>
  <c r="AN9" i="1" s="1"/>
  <c r="AM12" i="1"/>
  <c r="AM9" i="1" s="1"/>
  <c r="AL12" i="1"/>
  <c r="AL9" i="1" s="1"/>
  <c r="AK12" i="1"/>
  <c r="AK9" i="1" s="1"/>
  <c r="AJ12" i="1"/>
  <c r="AJ9" i="1" s="1"/>
  <c r="AI12" i="1"/>
  <c r="AI9" i="1" s="1"/>
  <c r="AH12" i="1"/>
  <c r="AH9" i="1" s="1"/>
  <c r="AG12" i="1"/>
  <c r="AG9" i="1" s="1"/>
  <c r="AF12" i="1"/>
  <c r="AF9" i="1" s="1"/>
  <c r="AE12" i="1"/>
  <c r="AE9" i="1" s="1"/>
  <c r="AD12" i="1"/>
  <c r="AD9" i="1" s="1"/>
  <c r="AC12" i="1"/>
  <c r="AC9" i="1" s="1"/>
  <c r="AN11" i="1"/>
  <c r="AN13" i="1" s="1"/>
  <c r="AM11" i="1"/>
  <c r="AM13" i="1" s="1"/>
  <c r="AL11" i="1"/>
  <c r="AL13" i="1" s="1"/>
  <c r="AK11" i="1"/>
  <c r="AJ11" i="1"/>
  <c r="AI11" i="1"/>
  <c r="AI13" i="1" s="1"/>
  <c r="AH11" i="1"/>
  <c r="AH13" i="1" s="1"/>
  <c r="AG11" i="1"/>
  <c r="AG13" i="1" s="1"/>
  <c r="AF11" i="1"/>
  <c r="AF13" i="1" s="1"/>
  <c r="AE11" i="1"/>
  <c r="AE13" i="1" s="1"/>
  <c r="AD11" i="1"/>
  <c r="AD13" i="1" s="1"/>
  <c r="AC11" i="1"/>
  <c r="AA12" i="1"/>
  <c r="AA9" i="1" s="1"/>
  <c r="Z12" i="1"/>
  <c r="Z9" i="1" s="1"/>
  <c r="Y12" i="1"/>
  <c r="Y9" i="1" s="1"/>
  <c r="X12" i="1"/>
  <c r="X9" i="1" s="1"/>
  <c r="W12" i="1"/>
  <c r="W9" i="1" s="1"/>
  <c r="V12" i="1"/>
  <c r="V9" i="1" s="1"/>
  <c r="U12" i="1"/>
  <c r="U9" i="1" s="1"/>
  <c r="T12" i="1"/>
  <c r="T9" i="1" s="1"/>
  <c r="S12" i="1"/>
  <c r="S9" i="1" s="1"/>
  <c r="R12" i="1"/>
  <c r="R9" i="1" s="1"/>
  <c r="Q12" i="1"/>
  <c r="Q9" i="1" s="1"/>
  <c r="P12" i="1"/>
  <c r="AA11" i="1"/>
  <c r="AA13" i="1" s="1"/>
  <c r="Z11" i="1"/>
  <c r="Y11" i="1"/>
  <c r="Y13" i="1" s="1"/>
  <c r="X11" i="1"/>
  <c r="W11" i="1"/>
  <c r="V11" i="1"/>
  <c r="U11" i="1"/>
  <c r="U13" i="1" s="1"/>
  <c r="T11" i="1"/>
  <c r="T13" i="1" s="1"/>
  <c r="S11" i="1"/>
  <c r="S13" i="1" s="1"/>
  <c r="R11" i="1"/>
  <c r="R13" i="1" s="1"/>
  <c r="Q11" i="1"/>
  <c r="Q8" i="1" s="1"/>
  <c r="P11" i="1"/>
  <c r="N12" i="1"/>
  <c r="N9" i="1" s="1"/>
  <c r="M12" i="1"/>
  <c r="M9" i="1" s="1"/>
  <c r="L12" i="1"/>
  <c r="L9" i="1" s="1"/>
  <c r="K12" i="1"/>
  <c r="K9" i="1" s="1"/>
  <c r="J12" i="1"/>
  <c r="J9" i="1" s="1"/>
  <c r="I12" i="1"/>
  <c r="I9" i="1" s="1"/>
  <c r="H12" i="1"/>
  <c r="H9" i="1" s="1"/>
  <c r="G12" i="1"/>
  <c r="G9" i="1" s="1"/>
  <c r="F12" i="1"/>
  <c r="F9" i="1" s="1"/>
  <c r="E12" i="1"/>
  <c r="E9" i="1" s="1"/>
  <c r="D12" i="1"/>
  <c r="D9" i="1" s="1"/>
  <c r="C12" i="1"/>
  <c r="C9" i="1" s="1"/>
  <c r="N11" i="1"/>
  <c r="N13" i="1" s="1"/>
  <c r="M11" i="1"/>
  <c r="M13" i="1" s="1"/>
  <c r="L11" i="1"/>
  <c r="L13" i="1" s="1"/>
  <c r="K11" i="1"/>
  <c r="J11" i="1"/>
  <c r="I11" i="1"/>
  <c r="I13" i="1" s="1"/>
  <c r="H11" i="1"/>
  <c r="H13" i="1" s="1"/>
  <c r="G11" i="1"/>
  <c r="G13" i="1" s="1"/>
  <c r="F11" i="1"/>
  <c r="F13" i="1" s="1"/>
  <c r="E11" i="1"/>
  <c r="E13" i="1" s="1"/>
  <c r="D11" i="1"/>
  <c r="D13" i="1" s="1"/>
  <c r="C11" i="1"/>
  <c r="AO6" i="1"/>
  <c r="AO5" i="1"/>
  <c r="AB6" i="1"/>
  <c r="AB5" i="1"/>
  <c r="O6" i="1"/>
  <c r="O5" i="1"/>
  <c r="J13" i="1" l="1"/>
  <c r="J16" i="1" s="1"/>
  <c r="W13" i="1"/>
  <c r="W16" i="1" s="1"/>
  <c r="AJ13" i="1"/>
  <c r="AJ16" i="1" s="1"/>
  <c r="C13" i="1"/>
  <c r="C16" i="1" s="1"/>
  <c r="K13" i="1"/>
  <c r="K16" i="1" s="1"/>
  <c r="P13" i="1"/>
  <c r="P16" i="1" s="1"/>
  <c r="X13" i="1"/>
  <c r="X16" i="1" s="1"/>
  <c r="AC13" i="1"/>
  <c r="AC16" i="1" s="1"/>
  <c r="AK13" i="1"/>
  <c r="AK16" i="1" s="1"/>
  <c r="C81" i="6"/>
  <c r="C80" i="6" s="1"/>
  <c r="AO72" i="6"/>
  <c r="Z13" i="1"/>
  <c r="Z16" i="1" s="1"/>
  <c r="V13" i="1"/>
  <c r="V16" i="1" s="1"/>
  <c r="C72" i="6"/>
  <c r="S8" i="1"/>
  <c r="S10" i="1" s="1"/>
  <c r="T54" i="6" s="1"/>
  <c r="W8" i="1"/>
  <c r="W10" i="1" s="1"/>
  <c r="X54" i="6" s="1"/>
  <c r="AB12" i="1"/>
  <c r="AB15" i="1" s="1"/>
  <c r="AO9" i="1"/>
  <c r="AA8" i="1"/>
  <c r="AA10" i="1" s="1"/>
  <c r="AB54" i="6" s="1"/>
  <c r="P9" i="1"/>
  <c r="AB9" i="1" s="1"/>
  <c r="AO12" i="1"/>
  <c r="AO15" i="1" s="1"/>
  <c r="Q10" i="1"/>
  <c r="R54" i="6" s="1"/>
  <c r="O9" i="1"/>
  <c r="O12" i="1"/>
  <c r="O15" i="1" s="1"/>
  <c r="AD8" i="1"/>
  <c r="AD10" i="1" s="1"/>
  <c r="AE54" i="6" s="1"/>
  <c r="AE8" i="1"/>
  <c r="AE10" i="1" s="1"/>
  <c r="AF54" i="6" s="1"/>
  <c r="AI8" i="1"/>
  <c r="AI10" i="1" s="1"/>
  <c r="AJ54" i="6" s="1"/>
  <c r="AM8" i="1"/>
  <c r="AM10" i="1" s="1"/>
  <c r="AN54" i="6" s="1"/>
  <c r="AL8" i="1"/>
  <c r="AL10" i="1" s="1"/>
  <c r="AM54" i="6" s="1"/>
  <c r="AO7" i="1"/>
  <c r="AF8" i="1"/>
  <c r="AF10" i="1" s="1"/>
  <c r="AG54" i="6" s="1"/>
  <c r="AJ8" i="1"/>
  <c r="AJ10" i="1" s="1"/>
  <c r="AK54" i="6" s="1"/>
  <c r="AN8" i="1"/>
  <c r="AH8" i="1"/>
  <c r="AH10" i="1" s="1"/>
  <c r="AI54" i="6" s="1"/>
  <c r="AC8" i="1"/>
  <c r="AG8" i="1"/>
  <c r="AG10" i="1" s="1"/>
  <c r="AH54" i="6" s="1"/>
  <c r="AK8" i="1"/>
  <c r="AK10" i="1" s="1"/>
  <c r="AL54" i="6" s="1"/>
  <c r="AB7" i="1"/>
  <c r="P8" i="1"/>
  <c r="T8" i="1"/>
  <c r="T10" i="1" s="1"/>
  <c r="U54" i="6" s="1"/>
  <c r="X8" i="1"/>
  <c r="X10" i="1" s="1"/>
  <c r="Y54" i="6" s="1"/>
  <c r="U8" i="1"/>
  <c r="U10" i="1" s="1"/>
  <c r="V54" i="6" s="1"/>
  <c r="Y8" i="1"/>
  <c r="Y10" i="1" s="1"/>
  <c r="Z54" i="6" s="1"/>
  <c r="AB11" i="1"/>
  <c r="AB14" i="1" s="1"/>
  <c r="R8" i="1"/>
  <c r="R10" i="1" s="1"/>
  <c r="S54" i="6" s="1"/>
  <c r="V8" i="1"/>
  <c r="V10" i="1" s="1"/>
  <c r="W54" i="6" s="1"/>
  <c r="Z8" i="1"/>
  <c r="Z10" i="1" s="1"/>
  <c r="AA54" i="6" s="1"/>
  <c r="O7" i="1"/>
  <c r="D8" i="1"/>
  <c r="D10" i="1" s="1"/>
  <c r="E54" i="6" s="1"/>
  <c r="H8" i="1"/>
  <c r="H10" i="1" s="1"/>
  <c r="I54" i="6" s="1"/>
  <c r="L8" i="1"/>
  <c r="L10" i="1" s="1"/>
  <c r="M54" i="6" s="1"/>
  <c r="E8" i="1"/>
  <c r="E10" i="1" s="1"/>
  <c r="F54" i="6" s="1"/>
  <c r="I8" i="1"/>
  <c r="I10" i="1" s="1"/>
  <c r="J54" i="6" s="1"/>
  <c r="M8" i="1"/>
  <c r="M10" i="1" s="1"/>
  <c r="N54" i="6" s="1"/>
  <c r="F8" i="1"/>
  <c r="F10" i="1" s="1"/>
  <c r="G54" i="6" s="1"/>
  <c r="J8" i="1"/>
  <c r="J10" i="1" s="1"/>
  <c r="K54" i="6" s="1"/>
  <c r="N8" i="1"/>
  <c r="N10" i="1" s="1"/>
  <c r="O54" i="6" s="1"/>
  <c r="C8" i="1"/>
  <c r="C10" i="1" s="1"/>
  <c r="D54" i="6" s="1"/>
  <c r="G8" i="1"/>
  <c r="G10" i="1" s="1"/>
  <c r="H54" i="6" s="1"/>
  <c r="K8" i="1"/>
  <c r="K10" i="1" s="1"/>
  <c r="L54" i="6" s="1"/>
  <c r="AE16" i="1"/>
  <c r="AI16" i="1"/>
  <c r="AM16" i="1"/>
  <c r="AF16" i="1"/>
  <c r="AN16" i="1"/>
  <c r="AO11" i="1"/>
  <c r="AG16" i="1"/>
  <c r="T16" i="1"/>
  <c r="U16" i="1"/>
  <c r="Y16" i="1"/>
  <c r="Q13" i="1"/>
  <c r="Q16" i="1" s="1"/>
  <c r="S16" i="1"/>
  <c r="AA16" i="1"/>
  <c r="M16" i="1"/>
  <c r="L16" i="1"/>
  <c r="I16" i="1"/>
  <c r="H16" i="1"/>
  <c r="G16" i="1"/>
  <c r="E16" i="1"/>
  <c r="D16" i="1"/>
  <c r="O11" i="1"/>
  <c r="F16" i="1"/>
  <c r="N16" i="1"/>
  <c r="R16" i="1"/>
  <c r="AD16" i="1"/>
  <c r="AH16" i="1"/>
  <c r="AL16" i="1"/>
  <c r="AN10" i="1" l="1"/>
  <c r="AO54" i="6" s="1"/>
  <c r="AB13" i="1"/>
  <c r="AC10" i="1"/>
  <c r="AD54" i="6" s="1"/>
  <c r="AO8" i="1"/>
  <c r="AO10" i="1" s="1"/>
  <c r="P10" i="1"/>
  <c r="Q54" i="6" s="1"/>
  <c r="AB8" i="1"/>
  <c r="AB10" i="1" s="1"/>
  <c r="O8" i="1"/>
  <c r="O10" i="1" s="1"/>
  <c r="AO13" i="1"/>
  <c r="AO14" i="1"/>
  <c r="O13" i="1"/>
  <c r="O14" i="1"/>
  <c r="C9" i="14"/>
  <c r="C9" i="13"/>
  <c r="C9" i="12"/>
  <c r="C9" i="7"/>
  <c r="B6" i="14"/>
  <c r="B5" i="14"/>
  <c r="B4" i="14"/>
  <c r="B6" i="13"/>
  <c r="F9" i="13" s="1"/>
  <c r="B5" i="13"/>
  <c r="B4" i="13"/>
  <c r="B6" i="12"/>
  <c r="F9" i="12" s="1"/>
  <c r="B5" i="12"/>
  <c r="B4" i="12"/>
  <c r="B6" i="7"/>
  <c r="A9" i="14"/>
  <c r="A10" i="14" s="1"/>
  <c r="A9" i="13"/>
  <c r="A10" i="13" s="1"/>
  <c r="A9" i="12"/>
  <c r="A10" i="12" s="1"/>
  <c r="A11" i="12" s="1"/>
  <c r="AO38" i="11"/>
  <c r="AO37" i="11"/>
  <c r="AO36" i="11"/>
  <c r="AO35" i="11"/>
  <c r="AB38" i="11"/>
  <c r="AB37" i="11"/>
  <c r="AB36" i="11"/>
  <c r="O38" i="11"/>
  <c r="O37" i="11"/>
  <c r="O36" i="11"/>
  <c r="AO12" i="11"/>
  <c r="AB12" i="11"/>
  <c r="O12" i="11"/>
  <c r="AO21" i="11"/>
  <c r="AO17" i="11"/>
  <c r="AO16" i="11"/>
  <c r="AB21" i="11"/>
  <c r="AB17" i="11"/>
  <c r="AB16" i="11"/>
  <c r="O21" i="11"/>
  <c r="O17" i="11"/>
  <c r="O16" i="11"/>
  <c r="AP57" i="6"/>
  <c r="AO57" i="6"/>
  <c r="AN57" i="6"/>
  <c r="AM57" i="6"/>
  <c r="AL57" i="6"/>
  <c r="AK57" i="6"/>
  <c r="AJ57" i="6"/>
  <c r="AI57" i="6"/>
  <c r="AH57" i="6"/>
  <c r="AG57" i="6"/>
  <c r="AF57" i="6"/>
  <c r="AE57" i="6"/>
  <c r="AD57" i="6"/>
  <c r="AB57" i="6"/>
  <c r="AA57" i="6"/>
  <c r="Z57" i="6"/>
  <c r="Y57" i="6"/>
  <c r="X57" i="6"/>
  <c r="W57" i="6"/>
  <c r="V57" i="6"/>
  <c r="U57" i="6"/>
  <c r="T57" i="6"/>
  <c r="S57" i="6"/>
  <c r="R57" i="6"/>
  <c r="Q57" i="6"/>
  <c r="O57" i="6"/>
  <c r="N57" i="6"/>
  <c r="M57" i="6"/>
  <c r="L57" i="6"/>
  <c r="K57" i="6"/>
  <c r="J57" i="6"/>
  <c r="I57" i="6"/>
  <c r="H57" i="6"/>
  <c r="G57" i="6"/>
  <c r="F57" i="6"/>
  <c r="E57" i="6"/>
  <c r="AP55" i="6"/>
  <c r="AO55" i="6"/>
  <c r="AN55" i="6"/>
  <c r="AM55" i="6"/>
  <c r="AL55" i="6"/>
  <c r="AK55" i="6"/>
  <c r="AJ55" i="6"/>
  <c r="AI55" i="6"/>
  <c r="AH55" i="6"/>
  <c r="AG55" i="6"/>
  <c r="AF55" i="6"/>
  <c r="AE55" i="6"/>
  <c r="AD55" i="6"/>
  <c r="AB55" i="6"/>
  <c r="AA55" i="6"/>
  <c r="Z55" i="6"/>
  <c r="Y55" i="6"/>
  <c r="X55" i="6"/>
  <c r="W55" i="6"/>
  <c r="V55" i="6"/>
  <c r="U55" i="6"/>
  <c r="T55" i="6"/>
  <c r="S55" i="6"/>
  <c r="R55" i="6"/>
  <c r="Q55" i="6"/>
  <c r="O55" i="6"/>
  <c r="N55" i="6"/>
  <c r="M55" i="6"/>
  <c r="L55" i="6"/>
  <c r="K55" i="6"/>
  <c r="J55" i="6"/>
  <c r="I55" i="6"/>
  <c r="H55" i="6"/>
  <c r="G55" i="6"/>
  <c r="F55" i="6"/>
  <c r="E55" i="6"/>
  <c r="AO53" i="6"/>
  <c r="AN53" i="6"/>
  <c r="AM53" i="6"/>
  <c r="AL53" i="6"/>
  <c r="AK53" i="6"/>
  <c r="AJ53" i="6"/>
  <c r="AI53" i="6"/>
  <c r="AH53" i="6"/>
  <c r="AG53" i="6"/>
  <c r="AF53" i="6"/>
  <c r="AE53" i="6"/>
  <c r="AD53" i="6"/>
  <c r="AB53" i="6"/>
  <c r="AA53" i="6"/>
  <c r="Z53" i="6"/>
  <c r="Y53" i="6"/>
  <c r="X53" i="6"/>
  <c r="W53" i="6"/>
  <c r="V53" i="6"/>
  <c r="U53" i="6"/>
  <c r="T53" i="6"/>
  <c r="S53" i="6"/>
  <c r="R53" i="6"/>
  <c r="Q53" i="6"/>
  <c r="O53" i="6"/>
  <c r="N53" i="6"/>
  <c r="M53" i="6"/>
  <c r="L53" i="6"/>
  <c r="K53" i="6"/>
  <c r="J53" i="6"/>
  <c r="I53" i="6"/>
  <c r="H53" i="6"/>
  <c r="G53" i="6"/>
  <c r="F53" i="6"/>
  <c r="E53" i="6"/>
  <c r="D57" i="6"/>
  <c r="D55" i="6"/>
  <c r="D53" i="6"/>
  <c r="AO48" i="1"/>
  <c r="AB48" i="1"/>
  <c r="O48" i="1"/>
  <c r="AN11" i="11"/>
  <c r="AN10" i="11"/>
  <c r="AO16" i="1" l="1"/>
  <c r="O16" i="1"/>
  <c r="AB16" i="1"/>
  <c r="G9" i="13"/>
  <c r="B10" i="13" s="1"/>
  <c r="A12" i="12"/>
  <c r="A13" i="12" s="1"/>
  <c r="G9" i="12"/>
  <c r="B10" i="12" s="1"/>
  <c r="A11" i="14"/>
  <c r="F9" i="14"/>
  <c r="G9" i="14" s="1"/>
  <c r="A11" i="13"/>
  <c r="AN49" i="1"/>
  <c r="AN50" i="1" s="1"/>
  <c r="AM49" i="1"/>
  <c r="AM50" i="1" s="1"/>
  <c r="AL49" i="1"/>
  <c r="AL50" i="1" s="1"/>
  <c r="AK49" i="1"/>
  <c r="AK50" i="1" s="1"/>
  <c r="AJ49" i="1"/>
  <c r="AJ50" i="1" s="1"/>
  <c r="AI49" i="1"/>
  <c r="AI50" i="1" s="1"/>
  <c r="AH49" i="1"/>
  <c r="AH50" i="1" s="1"/>
  <c r="AG49" i="1"/>
  <c r="AG50" i="1" s="1"/>
  <c r="AF49" i="1"/>
  <c r="AF50" i="1" s="1"/>
  <c r="AE49" i="1"/>
  <c r="AE50" i="1" s="1"/>
  <c r="AD49" i="1"/>
  <c r="AD50" i="1" s="1"/>
  <c r="AC49" i="1"/>
  <c r="AC50" i="1" s="1"/>
  <c r="AA49" i="1"/>
  <c r="AA50" i="1" s="1"/>
  <c r="Z49" i="1"/>
  <c r="Z50" i="1" s="1"/>
  <c r="Y49" i="1"/>
  <c r="Y50" i="1" s="1"/>
  <c r="X49" i="1"/>
  <c r="X50" i="1" s="1"/>
  <c r="W49" i="1"/>
  <c r="W50" i="1" s="1"/>
  <c r="V49" i="1"/>
  <c r="V50" i="1" s="1"/>
  <c r="U49" i="1"/>
  <c r="U50" i="1" s="1"/>
  <c r="T49" i="1"/>
  <c r="T50" i="1" s="1"/>
  <c r="S49" i="1"/>
  <c r="S50" i="1" s="1"/>
  <c r="R49" i="1"/>
  <c r="R50" i="1" s="1"/>
  <c r="Q49" i="1"/>
  <c r="Q50" i="1" s="1"/>
  <c r="P49" i="1"/>
  <c r="P50" i="1" s="1"/>
  <c r="N49" i="1"/>
  <c r="N50" i="1" s="1"/>
  <c r="M49" i="1"/>
  <c r="M50" i="1" s="1"/>
  <c r="L49" i="1"/>
  <c r="L50" i="1" s="1"/>
  <c r="K49" i="1"/>
  <c r="K50" i="1" s="1"/>
  <c r="J49" i="1"/>
  <c r="J50" i="1" s="1"/>
  <c r="I49" i="1"/>
  <c r="I50" i="1" s="1"/>
  <c r="H49" i="1"/>
  <c r="H50" i="1" s="1"/>
  <c r="G49" i="1"/>
  <c r="G50" i="1" s="1"/>
  <c r="F49" i="1"/>
  <c r="F50" i="1" s="1"/>
  <c r="E49" i="1"/>
  <c r="E50" i="1" s="1"/>
  <c r="D49" i="1"/>
  <c r="D50" i="1" s="1"/>
  <c r="C49" i="1"/>
  <c r="C50" i="1" s="1"/>
  <c r="AN31" i="11"/>
  <c r="AM31" i="11"/>
  <c r="AL31" i="11"/>
  <c r="AK31" i="11"/>
  <c r="AJ31" i="11"/>
  <c r="AI31" i="11"/>
  <c r="AH31" i="11"/>
  <c r="AG31" i="11"/>
  <c r="AF31" i="11"/>
  <c r="AE31" i="11"/>
  <c r="AD31" i="11"/>
  <c r="AC31" i="11"/>
  <c r="AA31" i="11"/>
  <c r="Z31" i="11"/>
  <c r="Y31" i="11"/>
  <c r="X31" i="11"/>
  <c r="W31" i="11"/>
  <c r="V31" i="11"/>
  <c r="U31" i="11"/>
  <c r="T31" i="11"/>
  <c r="S31" i="11"/>
  <c r="R31" i="11"/>
  <c r="Q31" i="11"/>
  <c r="P31" i="11"/>
  <c r="N31" i="11"/>
  <c r="M31" i="11"/>
  <c r="L31" i="11"/>
  <c r="K31" i="11"/>
  <c r="J31" i="11"/>
  <c r="I31" i="11"/>
  <c r="H31" i="11"/>
  <c r="G31" i="11"/>
  <c r="F31" i="11"/>
  <c r="E31" i="11"/>
  <c r="D31" i="11"/>
  <c r="C31" i="11"/>
  <c r="AO30" i="11"/>
  <c r="AB30" i="11"/>
  <c r="O30" i="11"/>
  <c r="AO29" i="11"/>
  <c r="AB29" i="11"/>
  <c r="O29" i="11"/>
  <c r="C14" i="6"/>
  <c r="D14" i="6" s="1"/>
  <c r="E14" i="6" s="1"/>
  <c r="F14" i="6" s="1"/>
  <c r="G14" i="6" s="1"/>
  <c r="H14" i="6" s="1"/>
  <c r="I14" i="6" s="1"/>
  <c r="J14" i="6" s="1"/>
  <c r="K14" i="6" s="1"/>
  <c r="L14" i="6" s="1"/>
  <c r="M14" i="6" s="1"/>
  <c r="N14" i="6" s="1"/>
  <c r="O14" i="6" s="1"/>
  <c r="P14" i="6" s="1"/>
  <c r="Q14" i="6" s="1"/>
  <c r="R14" i="6" s="1"/>
  <c r="S14" i="6" s="1"/>
  <c r="T14" i="6" s="1"/>
  <c r="U14" i="6" s="1"/>
  <c r="V14" i="6" s="1"/>
  <c r="W14" i="6" s="1"/>
  <c r="X14" i="6" s="1"/>
  <c r="Y14" i="6" s="1"/>
  <c r="Z14" i="6" s="1"/>
  <c r="AA14" i="6" s="1"/>
  <c r="AB14" i="6" s="1"/>
  <c r="AC14" i="6" s="1"/>
  <c r="AD14" i="6" s="1"/>
  <c r="AE14" i="6" s="1"/>
  <c r="AF14" i="6" s="1"/>
  <c r="AG14" i="6" s="1"/>
  <c r="AH14" i="6" s="1"/>
  <c r="AI14" i="6" s="1"/>
  <c r="AJ14" i="6" s="1"/>
  <c r="AK14" i="6" s="1"/>
  <c r="AL14" i="6" s="1"/>
  <c r="AM14" i="6" s="1"/>
  <c r="AN14" i="6" s="1"/>
  <c r="AO14" i="6" s="1"/>
  <c r="AP14" i="6" s="1"/>
  <c r="AO58" i="6" l="1"/>
  <c r="AO63" i="6"/>
  <c r="B10" i="14"/>
  <c r="A12" i="14"/>
  <c r="A12" i="13"/>
  <c r="A14" i="12"/>
  <c r="C34" i="6"/>
  <c r="C63" i="6" s="1"/>
  <c r="C62" i="6" l="1"/>
  <c r="A13" i="14"/>
  <c r="A13" i="13"/>
  <c r="A15" i="12"/>
  <c r="C39" i="6"/>
  <c r="D39" i="6" s="1"/>
  <c r="E39" i="6" s="1"/>
  <c r="F39" i="6" s="1"/>
  <c r="G39" i="6" s="1"/>
  <c r="H39" i="6" s="1"/>
  <c r="I39" i="6" s="1"/>
  <c r="J39" i="6" s="1"/>
  <c r="K39" i="6" s="1"/>
  <c r="L39" i="6" s="1"/>
  <c r="M39" i="6" s="1"/>
  <c r="N39" i="6" s="1"/>
  <c r="O39" i="6" s="1"/>
  <c r="P39" i="6" s="1"/>
  <c r="Q39" i="6" s="1"/>
  <c r="R39" i="6" s="1"/>
  <c r="S39" i="6" s="1"/>
  <c r="T39" i="6" s="1"/>
  <c r="U39" i="6" s="1"/>
  <c r="V39" i="6" s="1"/>
  <c r="W39" i="6" s="1"/>
  <c r="X39" i="6" s="1"/>
  <c r="Y39" i="6" s="1"/>
  <c r="Z39" i="6" s="1"/>
  <c r="AA39" i="6" s="1"/>
  <c r="AB39" i="6" s="1"/>
  <c r="AC39" i="6" s="1"/>
  <c r="AD39" i="6" s="1"/>
  <c r="AE39" i="6" s="1"/>
  <c r="AF39" i="6" s="1"/>
  <c r="AG39" i="6" s="1"/>
  <c r="AH39" i="6" s="1"/>
  <c r="AI39" i="6" s="1"/>
  <c r="AJ39" i="6" s="1"/>
  <c r="AK39" i="6" s="1"/>
  <c r="AL39" i="6" s="1"/>
  <c r="AM39" i="6" s="1"/>
  <c r="AN39" i="6" s="1"/>
  <c r="AO39" i="6" s="1"/>
  <c r="AP39" i="6" s="1"/>
  <c r="C37" i="6"/>
  <c r="C67" i="6" s="1"/>
  <c r="D36" i="6"/>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AI36" i="6" s="1"/>
  <c r="AJ36" i="6" s="1"/>
  <c r="AK36" i="6" s="1"/>
  <c r="AL36" i="6" s="1"/>
  <c r="AM36" i="6" s="1"/>
  <c r="AN36" i="6" s="1"/>
  <c r="AO36" i="6" s="1"/>
  <c r="AP36" i="6" s="1"/>
  <c r="C33" i="6"/>
  <c r="C32" i="6"/>
  <c r="C29" i="6"/>
  <c r="C28" i="6"/>
  <c r="C27" i="6"/>
  <c r="C26" i="6"/>
  <c r="C23" i="6"/>
  <c r="C22" i="6"/>
  <c r="C21" i="6"/>
  <c r="C16" i="6"/>
  <c r="C15" i="6"/>
  <c r="D15" i="6" s="1"/>
  <c r="E15" i="6" s="1"/>
  <c r="F15" i="6" s="1"/>
  <c r="G15" i="6" s="1"/>
  <c r="H15" i="6" s="1"/>
  <c r="I15" i="6" s="1"/>
  <c r="J15" i="6" s="1"/>
  <c r="K15" i="6" s="1"/>
  <c r="L15" i="6" s="1"/>
  <c r="M15" i="6" s="1"/>
  <c r="N15" i="6" s="1"/>
  <c r="O15" i="6" s="1"/>
  <c r="P15" i="6" s="1"/>
  <c r="Q15" i="6" s="1"/>
  <c r="R15" i="6" s="1"/>
  <c r="S15" i="6" s="1"/>
  <c r="T15" i="6" s="1"/>
  <c r="U15" i="6" s="1"/>
  <c r="V15" i="6" s="1"/>
  <c r="W15" i="6" s="1"/>
  <c r="X15" i="6" s="1"/>
  <c r="Y15" i="6" s="1"/>
  <c r="Z15" i="6" s="1"/>
  <c r="AA15" i="6" s="1"/>
  <c r="AB15" i="6" s="1"/>
  <c r="AC15" i="6" s="1"/>
  <c r="AD15" i="6" s="1"/>
  <c r="AE15" i="6" s="1"/>
  <c r="AF15" i="6" s="1"/>
  <c r="AG15" i="6" s="1"/>
  <c r="AH15" i="6" s="1"/>
  <c r="AI15" i="6" s="1"/>
  <c r="AJ15" i="6" s="1"/>
  <c r="AK15" i="6" s="1"/>
  <c r="AL15" i="6" s="1"/>
  <c r="AM15" i="6" s="1"/>
  <c r="AN15" i="6" s="1"/>
  <c r="AO15" i="6" s="1"/>
  <c r="AP15" i="6" s="1"/>
  <c r="C13" i="6"/>
  <c r="C12" i="6"/>
  <c r="C9" i="6"/>
  <c r="D9" i="6" s="1"/>
  <c r="E9" i="6" s="1"/>
  <c r="F9" i="6" s="1"/>
  <c r="G9" i="6" s="1"/>
  <c r="H9" i="6" s="1"/>
  <c r="I9" i="6" s="1"/>
  <c r="J9" i="6" s="1"/>
  <c r="K9" i="6" s="1"/>
  <c r="L9" i="6" s="1"/>
  <c r="M9" i="6" s="1"/>
  <c r="N9" i="6" s="1"/>
  <c r="O9" i="6" s="1"/>
  <c r="P9" i="6" s="1"/>
  <c r="Q9" i="6" s="1"/>
  <c r="R9" i="6" s="1"/>
  <c r="S9" i="6" s="1"/>
  <c r="T9" i="6" s="1"/>
  <c r="U9" i="6" s="1"/>
  <c r="V9" i="6" s="1"/>
  <c r="W9" i="6" s="1"/>
  <c r="X9" i="6" s="1"/>
  <c r="Y9" i="6" s="1"/>
  <c r="Z9" i="6" s="1"/>
  <c r="AA9" i="6" s="1"/>
  <c r="AB9" i="6" s="1"/>
  <c r="AC9" i="6" s="1"/>
  <c r="AD9" i="6" s="1"/>
  <c r="AE9" i="6" s="1"/>
  <c r="AF9" i="6" s="1"/>
  <c r="AG9" i="6" s="1"/>
  <c r="AH9" i="6" s="1"/>
  <c r="AI9" i="6" s="1"/>
  <c r="AJ9" i="6" s="1"/>
  <c r="AK9" i="6" s="1"/>
  <c r="AL9" i="6" s="1"/>
  <c r="AM9" i="6" s="1"/>
  <c r="AN9" i="6" s="1"/>
  <c r="AO9" i="6" s="1"/>
  <c r="AP9" i="6" s="1"/>
  <c r="C8" i="6"/>
  <c r="C7" i="6"/>
  <c r="D72" i="2"/>
  <c r="D85" i="2"/>
  <c r="D84" i="2"/>
  <c r="D83" i="2"/>
  <c r="D86" i="2"/>
  <c r="C45" i="11" l="1"/>
  <c r="O45" i="11" s="1"/>
  <c r="D22" i="6"/>
  <c r="E22" i="6" s="1"/>
  <c r="F22" i="6" s="1"/>
  <c r="G22" i="6" s="1"/>
  <c r="H22" i="6" s="1"/>
  <c r="I22" i="6" s="1"/>
  <c r="J22" i="6" s="1"/>
  <c r="K22" i="6" s="1"/>
  <c r="L22" i="6" s="1"/>
  <c r="M22" i="6" s="1"/>
  <c r="N22" i="6" s="1"/>
  <c r="O22" i="6" s="1"/>
  <c r="A14" i="14"/>
  <c r="A14" i="13"/>
  <c r="A16" i="12"/>
  <c r="C40" i="6"/>
  <c r="C30" i="6"/>
  <c r="C24" i="6"/>
  <c r="C17" i="6"/>
  <c r="C10" i="6"/>
  <c r="A9" i="7"/>
  <c r="A10" i="7" s="1"/>
  <c r="D4" i="6"/>
  <c r="C4" i="11"/>
  <c r="C4" i="1"/>
  <c r="AO28" i="11"/>
  <c r="AO31" i="11" s="1"/>
  <c r="AB28" i="11"/>
  <c r="AB31" i="11" s="1"/>
  <c r="O28" i="11"/>
  <c r="O31" i="11" s="1"/>
  <c r="AO47" i="1"/>
  <c r="AO49" i="1" s="1"/>
  <c r="AB47" i="1"/>
  <c r="AB49" i="1" s="1"/>
  <c r="O47" i="1"/>
  <c r="O49" i="1" s="1"/>
  <c r="AB35" i="11"/>
  <c r="O35" i="11"/>
  <c r="AO33" i="11"/>
  <c r="AB33" i="11"/>
  <c r="O33" i="11"/>
  <c r="B5" i="7"/>
  <c r="B4" i="7"/>
  <c r="O34" i="1"/>
  <c r="AO19" i="1"/>
  <c r="AO20" i="1"/>
  <c r="AO21" i="1"/>
  <c r="AO22" i="1"/>
  <c r="AO23" i="1"/>
  <c r="AO24" i="1"/>
  <c r="AO25" i="1"/>
  <c r="AO26" i="1"/>
  <c r="AO27" i="1"/>
  <c r="AO28" i="1"/>
  <c r="AO29" i="1"/>
  <c r="AO30" i="1"/>
  <c r="AO31" i="1"/>
  <c r="AO32" i="1"/>
  <c r="AO33" i="1"/>
  <c r="AO34" i="1"/>
  <c r="AO35" i="1"/>
  <c r="AO43" i="1"/>
  <c r="AO45" i="1" s="1"/>
  <c r="AO36" i="1"/>
  <c r="AO37" i="1"/>
  <c r="AO38" i="1"/>
  <c r="AO39" i="1"/>
  <c r="AO40" i="1"/>
  <c r="AB19" i="1"/>
  <c r="AB20" i="1"/>
  <c r="AB21" i="1"/>
  <c r="AB22" i="1"/>
  <c r="AB23" i="1"/>
  <c r="AB24" i="1"/>
  <c r="AB25" i="1"/>
  <c r="AB26" i="1"/>
  <c r="AB27" i="1"/>
  <c r="AB28" i="1"/>
  <c r="AB29" i="1"/>
  <c r="AB30" i="1"/>
  <c r="AB31" i="1"/>
  <c r="AB32" i="1"/>
  <c r="AB33" i="1"/>
  <c r="AB34" i="1"/>
  <c r="AB35" i="1"/>
  <c r="AB43" i="1"/>
  <c r="AB45" i="1" s="1"/>
  <c r="AB36" i="1"/>
  <c r="AB37" i="1"/>
  <c r="AB38" i="1"/>
  <c r="AB39" i="1"/>
  <c r="AB40" i="1"/>
  <c r="O19" i="1"/>
  <c r="O20" i="1"/>
  <c r="O21" i="1"/>
  <c r="O22" i="1"/>
  <c r="O23" i="1"/>
  <c r="O24" i="1"/>
  <c r="O25" i="1"/>
  <c r="O26" i="1"/>
  <c r="O27" i="1"/>
  <c r="O28" i="1"/>
  <c r="O29" i="1"/>
  <c r="O30" i="1"/>
  <c r="O31" i="1"/>
  <c r="O32" i="1"/>
  <c r="O33" i="1"/>
  <c r="O35" i="1"/>
  <c r="O43" i="1"/>
  <c r="O45" i="1" s="1"/>
  <c r="O36" i="1"/>
  <c r="O37" i="1"/>
  <c r="O38" i="1"/>
  <c r="O39" i="1"/>
  <c r="O40" i="1"/>
  <c r="D21" i="6"/>
  <c r="E21" i="6" s="1"/>
  <c r="F21" i="6" s="1"/>
  <c r="G21" i="6" s="1"/>
  <c r="H21" i="6" s="1"/>
  <c r="I21" i="6" s="1"/>
  <c r="J21" i="6" s="1"/>
  <c r="K21" i="6" s="1"/>
  <c r="L21" i="6" s="1"/>
  <c r="M21" i="6" s="1"/>
  <c r="N21" i="6" s="1"/>
  <c r="O21" i="6" s="1"/>
  <c r="D75" i="6" l="1"/>
  <c r="D76" i="6"/>
  <c r="D70" i="6"/>
  <c r="O41" i="1"/>
  <c r="O50" i="1" s="1"/>
  <c r="AO41" i="1"/>
  <c r="AO50" i="1" s="1"/>
  <c r="AB41" i="1"/>
  <c r="AB50" i="1" s="1"/>
  <c r="D60" i="6"/>
  <c r="D65" i="6"/>
  <c r="AN56" i="6"/>
  <c r="AN62" i="6"/>
  <c r="D43" i="6"/>
  <c r="D12" i="6" s="1"/>
  <c r="C10" i="14"/>
  <c r="C10" i="13"/>
  <c r="D4" i="11"/>
  <c r="E4" i="11" s="1"/>
  <c r="F4" i="11" s="1"/>
  <c r="G4" i="11" s="1"/>
  <c r="H4" i="11" s="1"/>
  <c r="I4" i="11" s="1"/>
  <c r="J4" i="11" s="1"/>
  <c r="K4" i="11" s="1"/>
  <c r="L4" i="11" s="1"/>
  <c r="M4" i="11" s="1"/>
  <c r="N4" i="11" s="1"/>
  <c r="P4" i="11" s="1"/>
  <c r="Q4" i="11" s="1"/>
  <c r="R4" i="11" s="1"/>
  <c r="S4" i="11" s="1"/>
  <c r="T4" i="11" s="1"/>
  <c r="U4" i="11" s="1"/>
  <c r="V4" i="11" s="1"/>
  <c r="W4" i="11" s="1"/>
  <c r="X4" i="11" s="1"/>
  <c r="Y4" i="11" s="1"/>
  <c r="Z4" i="11" s="1"/>
  <c r="AA4" i="11" s="1"/>
  <c r="AC4" i="11" s="1"/>
  <c r="AD4" i="11" s="1"/>
  <c r="AE4" i="11" s="1"/>
  <c r="AF4" i="11" s="1"/>
  <c r="AG4" i="11" s="1"/>
  <c r="AH4" i="11" s="1"/>
  <c r="AI4" i="11" s="1"/>
  <c r="AJ4" i="11" s="1"/>
  <c r="AK4" i="11" s="1"/>
  <c r="AL4" i="11" s="1"/>
  <c r="AM4" i="11" s="1"/>
  <c r="AN4" i="11" s="1"/>
  <c r="AO4" i="11" s="1"/>
  <c r="C10" i="12"/>
  <c r="A11" i="7"/>
  <c r="A12" i="7" s="1"/>
  <c r="C10" i="7"/>
  <c r="A15" i="14"/>
  <c r="A15" i="13"/>
  <c r="A17" i="12"/>
  <c r="P22" i="6"/>
  <c r="Q22" i="6" s="1"/>
  <c r="R22" i="6" s="1"/>
  <c r="S22" i="6" s="1"/>
  <c r="T22" i="6" s="1"/>
  <c r="U22" i="6" s="1"/>
  <c r="V22" i="6" s="1"/>
  <c r="W22" i="6" s="1"/>
  <c r="X22" i="6" s="1"/>
  <c r="Y22" i="6" s="1"/>
  <c r="Z22" i="6" s="1"/>
  <c r="AA22" i="6" s="1"/>
  <c r="AB22" i="6" s="1"/>
  <c r="D4" i="1"/>
  <c r="C41" i="6"/>
  <c r="C18" i="6"/>
  <c r="E4" i="6"/>
  <c r="F9" i="7"/>
  <c r="G9" i="7" s="1"/>
  <c r="E75" i="6" l="1"/>
  <c r="E76" i="6"/>
  <c r="E81" i="6" s="1"/>
  <c r="E70" i="6"/>
  <c r="C61" i="6"/>
  <c r="D61" i="6" s="1"/>
  <c r="C71" i="6"/>
  <c r="D71" i="6" s="1"/>
  <c r="E60" i="6"/>
  <c r="E65" i="6"/>
  <c r="AM56" i="6"/>
  <c r="AM62" i="6"/>
  <c r="C15" i="14"/>
  <c r="C12" i="14"/>
  <c r="C15" i="13"/>
  <c r="C11" i="14"/>
  <c r="D11" i="14" s="1"/>
  <c r="C12" i="7"/>
  <c r="C13" i="14"/>
  <c r="C14" i="14"/>
  <c r="C12" i="13"/>
  <c r="C11" i="13"/>
  <c r="C13" i="13"/>
  <c r="C14" i="13"/>
  <c r="C17" i="12"/>
  <c r="C12" i="12"/>
  <c r="C13" i="12"/>
  <c r="C15" i="12"/>
  <c r="C11" i="12"/>
  <c r="D11" i="12" s="1"/>
  <c r="AB4" i="11"/>
  <c r="O4" i="11"/>
  <c r="C11" i="7"/>
  <c r="D11" i="7" s="1"/>
  <c r="C14" i="12"/>
  <c r="C16" i="12"/>
  <c r="A16" i="14"/>
  <c r="C16" i="14" s="1"/>
  <c r="D10" i="14"/>
  <c r="E10" i="14"/>
  <c r="C55" i="1" s="1"/>
  <c r="A16" i="13"/>
  <c r="C16" i="13" s="1"/>
  <c r="E4" i="1"/>
  <c r="E10" i="13"/>
  <c r="C54" i="1" s="1"/>
  <c r="D10" i="13"/>
  <c r="E10" i="12"/>
  <c r="C53" i="1" s="1"/>
  <c r="D10" i="12"/>
  <c r="A18" i="12"/>
  <c r="C18" i="12" s="1"/>
  <c r="AC22" i="6"/>
  <c r="AD22" i="6" s="1"/>
  <c r="AE22" i="6" s="1"/>
  <c r="AF22" i="6" s="1"/>
  <c r="AG22" i="6" s="1"/>
  <c r="AH22" i="6" s="1"/>
  <c r="AI22" i="6" s="1"/>
  <c r="AJ22" i="6" s="1"/>
  <c r="AK22" i="6" s="1"/>
  <c r="AL22" i="6" s="1"/>
  <c r="AM22" i="6" s="1"/>
  <c r="AN22" i="6" s="1"/>
  <c r="AO22" i="6" s="1"/>
  <c r="C42" i="6"/>
  <c r="E43" i="6"/>
  <c r="F4" i="6"/>
  <c r="D10" i="7"/>
  <c r="A13" i="7"/>
  <c r="C13" i="7" s="1"/>
  <c r="B10" i="7"/>
  <c r="E10" i="7"/>
  <c r="E12" i="6" l="1"/>
  <c r="E47" i="6" s="1"/>
  <c r="F76" i="6"/>
  <c r="F81" i="6" s="1"/>
  <c r="F75" i="6"/>
  <c r="E61" i="6"/>
  <c r="E71" i="6"/>
  <c r="F70" i="6"/>
  <c r="F71" i="6" s="1"/>
  <c r="C14" i="11"/>
  <c r="D47" i="6"/>
  <c r="F60" i="6"/>
  <c r="F65" i="6"/>
  <c r="AL56" i="6"/>
  <c r="AL62" i="6"/>
  <c r="F4" i="1"/>
  <c r="C52" i="1"/>
  <c r="F10" i="14"/>
  <c r="C42" i="11" s="1"/>
  <c r="F10" i="13"/>
  <c r="C41" i="11" s="1"/>
  <c r="D12" i="12"/>
  <c r="A17" i="14"/>
  <c r="C17" i="14" s="1"/>
  <c r="A17" i="13"/>
  <c r="C17" i="13" s="1"/>
  <c r="D12" i="7"/>
  <c r="D11" i="13"/>
  <c r="F10" i="12"/>
  <c r="C40" i="11" s="1"/>
  <c r="A19" i="12"/>
  <c r="C19" i="12" s="1"/>
  <c r="AP22" i="6"/>
  <c r="G4" i="6"/>
  <c r="F43" i="6"/>
  <c r="F12" i="6" s="1"/>
  <c r="F10" i="7"/>
  <c r="A14" i="7"/>
  <c r="C14" i="7" s="1"/>
  <c r="G76" i="6" l="1"/>
  <c r="G81" i="6" s="1"/>
  <c r="G75" i="6"/>
  <c r="F61" i="6"/>
  <c r="G70" i="6"/>
  <c r="G71" i="6" s="1"/>
  <c r="AK56" i="6"/>
  <c r="G60" i="6"/>
  <c r="G65" i="6"/>
  <c r="AK62" i="6"/>
  <c r="C56" i="1"/>
  <c r="G4" i="1"/>
  <c r="F47" i="6"/>
  <c r="C39" i="11"/>
  <c r="D26" i="6" s="1"/>
  <c r="G10" i="14"/>
  <c r="E11" i="14" s="1"/>
  <c r="D55" i="1" s="1"/>
  <c r="G10" i="13"/>
  <c r="E11" i="13" s="1"/>
  <c r="D54" i="1" s="1"/>
  <c r="D28" i="6"/>
  <c r="G10" i="12"/>
  <c r="B11" i="12" s="1"/>
  <c r="A18" i="14"/>
  <c r="C18" i="14" s="1"/>
  <c r="D14" i="14"/>
  <c r="D13" i="14"/>
  <c r="D12" i="14"/>
  <c r="D16" i="14"/>
  <c r="D15" i="14"/>
  <c r="D14" i="12"/>
  <c r="D15" i="12"/>
  <c r="D16" i="13"/>
  <c r="D13" i="13"/>
  <c r="D14" i="13"/>
  <c r="D15" i="13"/>
  <c r="D12" i="13"/>
  <c r="D16" i="12"/>
  <c r="D13" i="12"/>
  <c r="D17" i="12"/>
  <c r="A18" i="13"/>
  <c r="C18" i="13" s="1"/>
  <c r="D18" i="12"/>
  <c r="A20" i="12"/>
  <c r="C20" i="12" s="1"/>
  <c r="D14" i="11"/>
  <c r="H4" i="6"/>
  <c r="G43" i="6"/>
  <c r="A15" i="7"/>
  <c r="C15" i="7" s="1"/>
  <c r="D14" i="7"/>
  <c r="G10" i="7"/>
  <c r="D13" i="7"/>
  <c r="G12" i="6" l="1"/>
  <c r="G47" i="6" s="1"/>
  <c r="G61" i="6"/>
  <c r="H75" i="6"/>
  <c r="H76" i="6"/>
  <c r="H81" i="6" s="1"/>
  <c r="H70" i="6"/>
  <c r="H71" i="6" s="1"/>
  <c r="C7" i="11"/>
  <c r="C24" i="11" s="1"/>
  <c r="C65" i="1"/>
  <c r="C57" i="1"/>
  <c r="H60" i="6"/>
  <c r="H65" i="6"/>
  <c r="AJ56" i="6"/>
  <c r="AJ62" i="6"/>
  <c r="H4" i="1"/>
  <c r="F11" i="14"/>
  <c r="D42" i="11" s="1"/>
  <c r="F11" i="13"/>
  <c r="D41" i="11" s="1"/>
  <c r="B11" i="14"/>
  <c r="B11" i="13"/>
  <c r="E11" i="12"/>
  <c r="D53" i="1" s="1"/>
  <c r="D29" i="6"/>
  <c r="D27" i="6"/>
  <c r="A19" i="14"/>
  <c r="C19" i="14" s="1"/>
  <c r="D17" i="14"/>
  <c r="D17" i="13"/>
  <c r="A19" i="13"/>
  <c r="C19" i="13" s="1"/>
  <c r="D19" i="12"/>
  <c r="A21" i="12"/>
  <c r="C21" i="12" s="1"/>
  <c r="E14" i="11"/>
  <c r="I4" i="6"/>
  <c r="H43" i="6"/>
  <c r="H12" i="6" s="1"/>
  <c r="A16" i="7"/>
  <c r="C16" i="7" s="1"/>
  <c r="E11" i="7"/>
  <c r="B11" i="7"/>
  <c r="H61" i="6" l="1"/>
  <c r="I76" i="6"/>
  <c r="I81" i="6" s="1"/>
  <c r="I75" i="6"/>
  <c r="I70" i="6"/>
  <c r="I71" i="6" s="1"/>
  <c r="C58" i="1"/>
  <c r="C8" i="11" s="1"/>
  <c r="I60" i="6"/>
  <c r="I65" i="6"/>
  <c r="I4" i="1"/>
  <c r="H47" i="6"/>
  <c r="G11" i="14"/>
  <c r="B12" i="14" s="1"/>
  <c r="D52" i="1"/>
  <c r="G11" i="13"/>
  <c r="B12" i="13" s="1"/>
  <c r="F11" i="12"/>
  <c r="D30" i="6"/>
  <c r="D18" i="14"/>
  <c r="A20" i="14"/>
  <c r="C20" i="14" s="1"/>
  <c r="D18" i="13"/>
  <c r="D19" i="13"/>
  <c r="A20" i="13"/>
  <c r="C20" i="13" s="1"/>
  <c r="D20" i="12"/>
  <c r="A22" i="12"/>
  <c r="C22" i="12" s="1"/>
  <c r="F14" i="11"/>
  <c r="J4" i="6"/>
  <c r="I43" i="6"/>
  <c r="I12" i="6" s="1"/>
  <c r="F11" i="7"/>
  <c r="A17" i="7"/>
  <c r="C17" i="7" s="1"/>
  <c r="D16" i="7"/>
  <c r="D15" i="7"/>
  <c r="I61" i="6" l="1"/>
  <c r="J76" i="6"/>
  <c r="J75" i="6"/>
  <c r="J70" i="6"/>
  <c r="J71" i="6" s="1"/>
  <c r="D67" i="6"/>
  <c r="C59" i="1"/>
  <c r="D77" i="6" s="1"/>
  <c r="J60" i="6"/>
  <c r="J61" i="6" s="1"/>
  <c r="J65" i="6"/>
  <c r="J4" i="1"/>
  <c r="I47" i="6"/>
  <c r="E12" i="14"/>
  <c r="E55" i="1" s="1"/>
  <c r="G11" i="12"/>
  <c r="B12" i="12" s="1"/>
  <c r="D40" i="11"/>
  <c r="D39" i="11"/>
  <c r="E28" i="6"/>
  <c r="E12" i="13"/>
  <c r="D56" i="1"/>
  <c r="D65" i="1" s="1"/>
  <c r="D19" i="14"/>
  <c r="A21" i="14"/>
  <c r="C21" i="14" s="1"/>
  <c r="D20" i="14"/>
  <c r="A21" i="13"/>
  <c r="C21" i="13" s="1"/>
  <c r="D21" i="12"/>
  <c r="A23" i="12"/>
  <c r="C23" i="12" s="1"/>
  <c r="G14" i="11"/>
  <c r="K4" i="6"/>
  <c r="J43" i="6"/>
  <c r="A18" i="7"/>
  <c r="C18" i="7" s="1"/>
  <c r="D17" i="7"/>
  <c r="G11" i="7"/>
  <c r="J12" i="6" l="1"/>
  <c r="J47" i="6" s="1"/>
  <c r="K76" i="6"/>
  <c r="K81" i="6" s="1"/>
  <c r="K75" i="6"/>
  <c r="D78" i="6"/>
  <c r="D79" i="6" s="1"/>
  <c r="C6" i="11"/>
  <c r="K70" i="6"/>
  <c r="K71" i="6" s="1"/>
  <c r="AN63" i="6"/>
  <c r="C62" i="1"/>
  <c r="AN58" i="6"/>
  <c r="K60" i="6"/>
  <c r="K61" i="6" s="1"/>
  <c r="K65" i="6"/>
  <c r="K4" i="1"/>
  <c r="L4" i="1" s="1"/>
  <c r="M4" i="1" s="1"/>
  <c r="N4" i="1" s="1"/>
  <c r="F12" i="14"/>
  <c r="E42" i="11" s="1"/>
  <c r="D57" i="1"/>
  <c r="D7" i="11"/>
  <c r="D24" i="11" s="1"/>
  <c r="E12" i="12"/>
  <c r="E53" i="1" s="1"/>
  <c r="F12" i="13"/>
  <c r="E41" i="11" s="1"/>
  <c r="E54" i="1"/>
  <c r="E26" i="6"/>
  <c r="E27" i="6"/>
  <c r="A22" i="14"/>
  <c r="C22" i="14" s="1"/>
  <c r="A22" i="13"/>
  <c r="C22" i="13" s="1"/>
  <c r="D20" i="13"/>
  <c r="D22" i="12"/>
  <c r="A24" i="12"/>
  <c r="C24" i="12" s="1"/>
  <c r="E29" i="6"/>
  <c r="H14" i="11"/>
  <c r="K43" i="6"/>
  <c r="K12" i="6" s="1"/>
  <c r="L4" i="6"/>
  <c r="A19" i="7"/>
  <c r="C19" i="7" s="1"/>
  <c r="E12" i="7"/>
  <c r="B12" i="7"/>
  <c r="D81" i="6" l="1"/>
  <c r="D80" i="6" s="1"/>
  <c r="L75" i="6"/>
  <c r="L76" i="6"/>
  <c r="L81" i="6" s="1"/>
  <c r="L70" i="6"/>
  <c r="L71" i="6" s="1"/>
  <c r="D58" i="1"/>
  <c r="L60" i="6"/>
  <c r="L61" i="6" s="1"/>
  <c r="L65" i="6"/>
  <c r="O4" i="1"/>
  <c r="P4" i="1"/>
  <c r="Q4" i="1" s="1"/>
  <c r="R4" i="1" s="1"/>
  <c r="S4" i="1" s="1"/>
  <c r="T4" i="1" s="1"/>
  <c r="U4" i="1" s="1"/>
  <c r="V4" i="1" s="1"/>
  <c r="W4" i="1" s="1"/>
  <c r="X4" i="1" s="1"/>
  <c r="Y4" i="1" s="1"/>
  <c r="Z4" i="1" s="1"/>
  <c r="AA4" i="1" s="1"/>
  <c r="K47" i="6"/>
  <c r="F12" i="12"/>
  <c r="E40" i="11" s="1"/>
  <c r="G12" i="14"/>
  <c r="E13" i="14" s="1"/>
  <c r="F55" i="1" s="1"/>
  <c r="G12" i="13"/>
  <c r="E13" i="13" s="1"/>
  <c r="F13" i="13" s="1"/>
  <c r="F41" i="11" s="1"/>
  <c r="E52" i="1"/>
  <c r="E30" i="6"/>
  <c r="D21" i="14"/>
  <c r="A23" i="14"/>
  <c r="C23" i="14" s="1"/>
  <c r="D21" i="13"/>
  <c r="A23" i="13"/>
  <c r="C23" i="13" s="1"/>
  <c r="D23" i="12"/>
  <c r="A25" i="12"/>
  <c r="C25" i="12" s="1"/>
  <c r="I14" i="11"/>
  <c r="M4" i="6"/>
  <c r="L43" i="6"/>
  <c r="F12" i="7"/>
  <c r="D18" i="7"/>
  <c r="A20" i="7"/>
  <c r="C20" i="7" s="1"/>
  <c r="L12" i="6" l="1"/>
  <c r="L47" i="6" s="1"/>
  <c r="M75" i="6"/>
  <c r="M76" i="6"/>
  <c r="M81" i="6" s="1"/>
  <c r="M70" i="6"/>
  <c r="M71" i="6" s="1"/>
  <c r="E67" i="6"/>
  <c r="D59" i="1"/>
  <c r="E77" i="6" s="1"/>
  <c r="D8" i="11"/>
  <c r="M60" i="6"/>
  <c r="M61" i="6" s="1"/>
  <c r="M65" i="6"/>
  <c r="AB4" i="1"/>
  <c r="AC4" i="1"/>
  <c r="AD4" i="1" s="1"/>
  <c r="AE4" i="1" s="1"/>
  <c r="AF4" i="1" s="1"/>
  <c r="AG4" i="1" s="1"/>
  <c r="AH4" i="1" s="1"/>
  <c r="AI4" i="1" s="1"/>
  <c r="AJ4" i="1" s="1"/>
  <c r="AK4" i="1" s="1"/>
  <c r="AL4" i="1" s="1"/>
  <c r="AM4" i="1" s="1"/>
  <c r="AN4" i="1" s="1"/>
  <c r="AO4" i="1" s="1"/>
  <c r="G12" i="12"/>
  <c r="B13" i="12" s="1"/>
  <c r="F13" i="14"/>
  <c r="F42" i="11" s="1"/>
  <c r="B13" i="14"/>
  <c r="B13" i="13"/>
  <c r="G13" i="13" s="1"/>
  <c r="B14" i="13" s="1"/>
  <c r="F54" i="1"/>
  <c r="E39" i="11"/>
  <c r="E56" i="1"/>
  <c r="E65" i="1" s="1"/>
  <c r="A24" i="14"/>
  <c r="C24" i="14" s="1"/>
  <c r="D22" i="14"/>
  <c r="A24" i="13"/>
  <c r="C24" i="13" s="1"/>
  <c r="D22" i="13"/>
  <c r="D24" i="12"/>
  <c r="A26" i="12"/>
  <c r="C26" i="12" s="1"/>
  <c r="J14" i="11"/>
  <c r="P21" i="6"/>
  <c r="Q21" i="6" s="1"/>
  <c r="R21" i="6" s="1"/>
  <c r="S21" i="6" s="1"/>
  <c r="T21" i="6" s="1"/>
  <c r="U21" i="6" s="1"/>
  <c r="V21" i="6" s="1"/>
  <c r="W21" i="6" s="1"/>
  <c r="X21" i="6" s="1"/>
  <c r="Y21" i="6" s="1"/>
  <c r="Z21" i="6" s="1"/>
  <c r="AA21" i="6" s="1"/>
  <c r="AB21" i="6" s="1"/>
  <c r="M43" i="6"/>
  <c r="M12" i="6" s="1"/>
  <c r="N4" i="6"/>
  <c r="A21" i="7"/>
  <c r="C21" i="7" s="1"/>
  <c r="G12" i="7"/>
  <c r="D19" i="7"/>
  <c r="N76" i="6" l="1"/>
  <c r="N81" i="6" s="1"/>
  <c r="N75" i="6"/>
  <c r="E78" i="6"/>
  <c r="E79" i="6" s="1"/>
  <c r="E80" i="6" s="1"/>
  <c r="N70" i="6"/>
  <c r="N71" i="6" s="1"/>
  <c r="D62" i="1"/>
  <c r="D6" i="11"/>
  <c r="N60" i="6"/>
  <c r="N61" i="6" s="1"/>
  <c r="N65" i="6"/>
  <c r="AD56" i="6"/>
  <c r="AF56" i="6"/>
  <c r="AG56" i="6"/>
  <c r="AI56" i="6"/>
  <c r="AH56" i="6"/>
  <c r="AE56" i="6"/>
  <c r="AB56" i="6"/>
  <c r="Q56" i="6"/>
  <c r="W56" i="6"/>
  <c r="X56" i="6"/>
  <c r="T56" i="6"/>
  <c r="S56" i="6"/>
  <c r="V56" i="6"/>
  <c r="R56" i="6"/>
  <c r="Z56" i="6"/>
  <c r="U56" i="6"/>
  <c r="AA56" i="6"/>
  <c r="Y56" i="6"/>
  <c r="D56" i="6"/>
  <c r="D13" i="6" s="1"/>
  <c r="O56" i="6"/>
  <c r="L56" i="6"/>
  <c r="L13" i="6" s="1"/>
  <c r="I56" i="6"/>
  <c r="I13" i="6" s="1"/>
  <c r="J56" i="6"/>
  <c r="J13" i="6" s="1"/>
  <c r="N56" i="6"/>
  <c r="H56" i="6"/>
  <c r="H13" i="6" s="1"/>
  <c r="M56" i="6"/>
  <c r="M13" i="6" s="1"/>
  <c r="G56" i="6"/>
  <c r="G13" i="6" s="1"/>
  <c r="K56" i="6"/>
  <c r="K13" i="6" s="1"/>
  <c r="E56" i="6"/>
  <c r="E13" i="6" s="1"/>
  <c r="F56" i="6"/>
  <c r="F13" i="6" s="1"/>
  <c r="AI62" i="6"/>
  <c r="AF62" i="6"/>
  <c r="AE62" i="6"/>
  <c r="AH62" i="6"/>
  <c r="AD62" i="6"/>
  <c r="AG62" i="6"/>
  <c r="AB62" i="6"/>
  <c r="W62" i="6"/>
  <c r="AA62" i="6"/>
  <c r="Y62" i="6"/>
  <c r="S62" i="6"/>
  <c r="Q62" i="6"/>
  <c r="X62" i="6"/>
  <c r="V62" i="6"/>
  <c r="U62" i="6"/>
  <c r="R62" i="6"/>
  <c r="Z62" i="6"/>
  <c r="T62" i="6"/>
  <c r="D62" i="6"/>
  <c r="I62" i="6"/>
  <c r="J62" i="6"/>
  <c r="O62" i="6"/>
  <c r="F62" i="6"/>
  <c r="G62" i="6"/>
  <c r="M62" i="6"/>
  <c r="K62" i="6"/>
  <c r="E62" i="6"/>
  <c r="H62" i="6"/>
  <c r="L62" i="6"/>
  <c r="N62" i="6"/>
  <c r="M47" i="6"/>
  <c r="E13" i="12"/>
  <c r="F53" i="1" s="1"/>
  <c r="G13" i="14"/>
  <c r="B14" i="14" s="1"/>
  <c r="E57" i="1"/>
  <c r="E7" i="11"/>
  <c r="E24" i="11" s="1"/>
  <c r="E14" i="13"/>
  <c r="F14" i="13" s="1"/>
  <c r="G14" i="13" s="1"/>
  <c r="E15" i="13" s="1"/>
  <c r="F28" i="6"/>
  <c r="F26" i="6"/>
  <c r="F27" i="6"/>
  <c r="D23" i="14"/>
  <c r="A25" i="14"/>
  <c r="C25" i="14" s="1"/>
  <c r="A25" i="13"/>
  <c r="C25" i="13" s="1"/>
  <c r="D23" i="13"/>
  <c r="A27" i="12"/>
  <c r="C27" i="12" s="1"/>
  <c r="D25" i="12"/>
  <c r="F29" i="6"/>
  <c r="K14" i="11"/>
  <c r="O4" i="6"/>
  <c r="N43" i="6"/>
  <c r="N12" i="6" s="1"/>
  <c r="A22" i="7"/>
  <c r="C22" i="7" s="1"/>
  <c r="E13" i="7"/>
  <c r="B13" i="7"/>
  <c r="D20" i="7"/>
  <c r="N13" i="6" l="1"/>
  <c r="N48" i="6" s="1"/>
  <c r="O76" i="6"/>
  <c r="O81" i="6" s="1"/>
  <c r="O75" i="6"/>
  <c r="O70" i="6"/>
  <c r="O71" i="6" s="1"/>
  <c r="E58" i="1"/>
  <c r="E8" i="11" s="1"/>
  <c r="M48" i="6"/>
  <c r="K48" i="6"/>
  <c r="H48" i="6"/>
  <c r="I48" i="6"/>
  <c r="O60" i="6"/>
  <c r="O61" i="6" s="1"/>
  <c r="O65" i="6"/>
  <c r="J48" i="6"/>
  <c r="L48" i="6"/>
  <c r="G48" i="6"/>
  <c r="N47" i="6"/>
  <c r="F13" i="12"/>
  <c r="F40" i="11" s="1"/>
  <c r="E14" i="14"/>
  <c r="G55" i="1" s="1"/>
  <c r="G54" i="1"/>
  <c r="G41" i="11"/>
  <c r="F15" i="13"/>
  <c r="H41" i="11" s="1"/>
  <c r="H54" i="1"/>
  <c r="F52" i="1"/>
  <c r="B15" i="13"/>
  <c r="F30" i="6"/>
  <c r="D24" i="14"/>
  <c r="A26" i="14"/>
  <c r="C26" i="14" s="1"/>
  <c r="D24" i="13"/>
  <c r="A26" i="13"/>
  <c r="C26" i="13" s="1"/>
  <c r="D26" i="12"/>
  <c r="A28" i="12"/>
  <c r="C28" i="12" s="1"/>
  <c r="L14" i="11"/>
  <c r="P4" i="6"/>
  <c r="O43" i="6"/>
  <c r="P43" i="6" s="1"/>
  <c r="Q4" i="6"/>
  <c r="F13" i="7"/>
  <c r="D21" i="7"/>
  <c r="A23" i="7"/>
  <c r="C23" i="7" s="1"/>
  <c r="O13" i="6" l="1"/>
  <c r="O48" i="6" s="1"/>
  <c r="P48" i="6" s="1"/>
  <c r="O12" i="6"/>
  <c r="Q75" i="6"/>
  <c r="Q76" i="6"/>
  <c r="F67" i="6"/>
  <c r="E59" i="1"/>
  <c r="F77" i="6" s="1"/>
  <c r="Q70" i="6"/>
  <c r="Q71" i="6" s="1"/>
  <c r="H15" i="11"/>
  <c r="Q60" i="6"/>
  <c r="Q61" i="6" s="1"/>
  <c r="Q65" i="6"/>
  <c r="L15" i="11"/>
  <c r="I15" i="11"/>
  <c r="J15" i="11"/>
  <c r="K15" i="11"/>
  <c r="G15" i="11"/>
  <c r="G13" i="12"/>
  <c r="E14" i="12" s="1"/>
  <c r="G53" i="1" s="1"/>
  <c r="F14" i="14"/>
  <c r="G42" i="11" s="1"/>
  <c r="G15" i="13"/>
  <c r="E16" i="13" s="1"/>
  <c r="I54" i="1" s="1"/>
  <c r="F39" i="11"/>
  <c r="F56" i="1"/>
  <c r="F65" i="1" s="1"/>
  <c r="G28" i="6"/>
  <c r="D25" i="14"/>
  <c r="A27" i="14"/>
  <c r="C27" i="14" s="1"/>
  <c r="A27" i="13"/>
  <c r="C27" i="13" s="1"/>
  <c r="D25" i="13"/>
  <c r="D27" i="12"/>
  <c r="A29" i="12"/>
  <c r="C29" i="12" s="1"/>
  <c r="M15" i="11"/>
  <c r="M14" i="11"/>
  <c r="R4" i="6"/>
  <c r="Q43" i="6"/>
  <c r="Q13" i="6" s="1"/>
  <c r="G13" i="7"/>
  <c r="A24" i="7"/>
  <c r="C24" i="7" s="1"/>
  <c r="D22" i="7"/>
  <c r="Q12" i="6" l="1"/>
  <c r="Q47" i="6" s="1"/>
  <c r="R75" i="6"/>
  <c r="R76" i="6"/>
  <c r="R81" i="6" s="1"/>
  <c r="F78" i="6"/>
  <c r="F79" i="6" s="1"/>
  <c r="F80" i="6" s="1"/>
  <c r="E62" i="1"/>
  <c r="E6" i="11"/>
  <c r="R70" i="6"/>
  <c r="R71" i="6" s="1"/>
  <c r="N15" i="11"/>
  <c r="N14" i="11"/>
  <c r="O14" i="11" s="1"/>
  <c r="O47" i="6"/>
  <c r="P47" i="6" s="1"/>
  <c r="R60" i="6"/>
  <c r="R61" i="6" s="1"/>
  <c r="R65" i="6"/>
  <c r="B14" i="12"/>
  <c r="F14" i="12"/>
  <c r="G40" i="11" s="1"/>
  <c r="G14" i="14"/>
  <c r="F57" i="1"/>
  <c r="F7" i="11"/>
  <c r="F24" i="11" s="1"/>
  <c r="B16" i="13"/>
  <c r="F16" i="13"/>
  <c r="I41" i="11" s="1"/>
  <c r="G26" i="6"/>
  <c r="G27" i="6"/>
  <c r="A28" i="14"/>
  <c r="C28" i="14" s="1"/>
  <c r="D26" i="14"/>
  <c r="A28" i="13"/>
  <c r="C28" i="13" s="1"/>
  <c r="D26" i="13"/>
  <c r="D28" i="12"/>
  <c r="A30" i="12"/>
  <c r="C30" i="12" s="1"/>
  <c r="G29" i="6"/>
  <c r="P12" i="6"/>
  <c r="Q48" i="6"/>
  <c r="P13" i="6"/>
  <c r="R43" i="6"/>
  <c r="R13" i="6" s="1"/>
  <c r="S4" i="6"/>
  <c r="O22" i="11"/>
  <c r="D23" i="7"/>
  <c r="E14" i="7"/>
  <c r="B14" i="7"/>
  <c r="A25" i="7"/>
  <c r="C25" i="7" s="1"/>
  <c r="R12" i="6" l="1"/>
  <c r="R47" i="6" s="1"/>
  <c r="S76" i="6"/>
  <c r="S81" i="6" s="1"/>
  <c r="S75" i="6"/>
  <c r="F58" i="1"/>
  <c r="G67" i="6" s="1"/>
  <c r="S70" i="6"/>
  <c r="S71" i="6" s="1"/>
  <c r="S60" i="6"/>
  <c r="S61" i="6" s="1"/>
  <c r="S65" i="6"/>
  <c r="G14" i="12"/>
  <c r="E15" i="12" s="1"/>
  <c r="F15" i="12" s="1"/>
  <c r="H40" i="11" s="1"/>
  <c r="E15" i="14"/>
  <c r="B15" i="14"/>
  <c r="G52" i="1"/>
  <c r="G16" i="13"/>
  <c r="G30" i="6"/>
  <c r="D27" i="14"/>
  <c r="A29" i="14"/>
  <c r="C29" i="14" s="1"/>
  <c r="A29" i="13"/>
  <c r="C29" i="13" s="1"/>
  <c r="D27" i="13"/>
  <c r="A31" i="12"/>
  <c r="C31" i="12" s="1"/>
  <c r="D29" i="12"/>
  <c r="P15" i="11"/>
  <c r="P14" i="11"/>
  <c r="R48" i="6"/>
  <c r="T4" i="6"/>
  <c r="S43" i="6"/>
  <c r="S12" i="6" s="1"/>
  <c r="D24" i="7"/>
  <c r="A26" i="7"/>
  <c r="C26" i="7" s="1"/>
  <c r="F14" i="7"/>
  <c r="S13" i="6" l="1"/>
  <c r="S48" i="6" s="1"/>
  <c r="T76" i="6"/>
  <c r="T81" i="6" s="1"/>
  <c r="T75" i="6"/>
  <c r="F8" i="11"/>
  <c r="F59" i="1"/>
  <c r="G77" i="6" s="1"/>
  <c r="T70" i="6"/>
  <c r="T71" i="6" s="1"/>
  <c r="T60" i="6"/>
  <c r="T61" i="6" s="1"/>
  <c r="T65" i="6"/>
  <c r="S47" i="6"/>
  <c r="H53" i="1"/>
  <c r="B15" i="12"/>
  <c r="G15" i="12" s="1"/>
  <c r="B16" i="12" s="1"/>
  <c r="H55" i="1"/>
  <c r="F15" i="14"/>
  <c r="G56" i="1"/>
  <c r="G65" i="1" s="1"/>
  <c r="G39" i="11"/>
  <c r="E17" i="13"/>
  <c r="J54" i="1" s="1"/>
  <c r="B17" i="13"/>
  <c r="H28" i="6"/>
  <c r="D28" i="14"/>
  <c r="A30" i="14"/>
  <c r="C30" i="14" s="1"/>
  <c r="D28" i="13"/>
  <c r="A30" i="13"/>
  <c r="C30" i="13" s="1"/>
  <c r="D30" i="12"/>
  <c r="A32" i="12"/>
  <c r="C32" i="12" s="1"/>
  <c r="Q15" i="11"/>
  <c r="Q14" i="11"/>
  <c r="U4" i="6"/>
  <c r="T43" i="6"/>
  <c r="T13" i="6" s="1"/>
  <c r="G14" i="7"/>
  <c r="D25" i="7"/>
  <c r="A27" i="7"/>
  <c r="C27" i="7" s="1"/>
  <c r="T12" i="6" l="1"/>
  <c r="T47" i="6" s="1"/>
  <c r="U75" i="6"/>
  <c r="U76" i="6"/>
  <c r="U81" i="6" s="1"/>
  <c r="G78" i="6"/>
  <c r="G79" i="6" s="1"/>
  <c r="G80" i="6" s="1"/>
  <c r="F62" i="1"/>
  <c r="F6" i="11"/>
  <c r="U70" i="6"/>
  <c r="U71" i="6" s="1"/>
  <c r="U60" i="6"/>
  <c r="U61" i="6" s="1"/>
  <c r="U65" i="6"/>
  <c r="E16" i="12"/>
  <c r="I53" i="1" s="1"/>
  <c r="H42" i="11"/>
  <c r="G15" i="14"/>
  <c r="G57" i="1"/>
  <c r="G7" i="11"/>
  <c r="G24" i="11" s="1"/>
  <c r="F17" i="13"/>
  <c r="J41" i="11" s="1"/>
  <c r="H26" i="6"/>
  <c r="H27" i="6"/>
  <c r="D29" i="14"/>
  <c r="A31" i="14"/>
  <c r="C31" i="14" s="1"/>
  <c r="D29" i="13"/>
  <c r="A31" i="13"/>
  <c r="C31" i="13" s="1"/>
  <c r="A33" i="12"/>
  <c r="C33" i="12" s="1"/>
  <c r="D31" i="12"/>
  <c r="H29" i="6"/>
  <c r="R15" i="11"/>
  <c r="R14" i="11"/>
  <c r="T48" i="6"/>
  <c r="V4" i="6"/>
  <c r="U43" i="6"/>
  <c r="U12" i="6" s="1"/>
  <c r="E15" i="7"/>
  <c r="B15" i="7"/>
  <c r="A28" i="7"/>
  <c r="C28" i="7" s="1"/>
  <c r="D26" i="7"/>
  <c r="U13" i="6" l="1"/>
  <c r="U48" i="6" s="1"/>
  <c r="V76" i="6"/>
  <c r="V81" i="6" s="1"/>
  <c r="V75" i="6"/>
  <c r="G58" i="1"/>
  <c r="G8" i="11" s="1"/>
  <c r="V70" i="6"/>
  <c r="V71" i="6" s="1"/>
  <c r="V60" i="6"/>
  <c r="V61" i="6" s="1"/>
  <c r="V65" i="6"/>
  <c r="U47" i="6"/>
  <c r="F16" i="12"/>
  <c r="I40" i="11" s="1"/>
  <c r="B16" i="14"/>
  <c r="E16" i="14"/>
  <c r="H52" i="1"/>
  <c r="H56" i="1" s="1"/>
  <c r="H65" i="1" s="1"/>
  <c r="G17" i="13"/>
  <c r="H30" i="6"/>
  <c r="A32" i="14"/>
  <c r="C32" i="14" s="1"/>
  <c r="D30" i="14"/>
  <c r="A32" i="13"/>
  <c r="C32" i="13" s="1"/>
  <c r="D30" i="13"/>
  <c r="D32" i="12"/>
  <c r="A34" i="12"/>
  <c r="C34" i="12" s="1"/>
  <c r="S15" i="11"/>
  <c r="S14" i="11"/>
  <c r="V43" i="6"/>
  <c r="V12" i="6" s="1"/>
  <c r="W4" i="6"/>
  <c r="D27" i="7"/>
  <c r="F15" i="7"/>
  <c r="A29" i="7"/>
  <c r="C29" i="7" s="1"/>
  <c r="V13" i="6" l="1"/>
  <c r="V48" i="6" s="1"/>
  <c r="W76" i="6"/>
  <c r="W75" i="6"/>
  <c r="H67" i="6"/>
  <c r="G59" i="1"/>
  <c r="H77" i="6" s="1"/>
  <c r="W65" i="6"/>
  <c r="W70" i="6"/>
  <c r="W71" i="6" s="1"/>
  <c r="W60" i="6"/>
  <c r="W61" i="6" s="1"/>
  <c r="V47" i="6"/>
  <c r="G16" i="12"/>
  <c r="E17" i="12" s="1"/>
  <c r="J53" i="1" s="1"/>
  <c r="I55" i="1"/>
  <c r="F16" i="14"/>
  <c r="H57" i="1"/>
  <c r="H58" i="1" s="1"/>
  <c r="H7" i="11"/>
  <c r="H24" i="11" s="1"/>
  <c r="H39" i="11"/>
  <c r="I27" i="6"/>
  <c r="B18" i="13"/>
  <c r="E18" i="13"/>
  <c r="K54" i="1" s="1"/>
  <c r="I28" i="6"/>
  <c r="D31" i="14"/>
  <c r="A33" i="14"/>
  <c r="C33" i="14" s="1"/>
  <c r="D31" i="13"/>
  <c r="A33" i="13"/>
  <c r="C33" i="13" s="1"/>
  <c r="A35" i="12"/>
  <c r="C35" i="12" s="1"/>
  <c r="D33" i="12"/>
  <c r="T15" i="11"/>
  <c r="T14" i="11"/>
  <c r="W43" i="6"/>
  <c r="W13" i="6" s="1"/>
  <c r="X4" i="6"/>
  <c r="D28" i="7"/>
  <c r="G15" i="7"/>
  <c r="A30" i="7"/>
  <c r="C30" i="7" s="1"/>
  <c r="W12" i="6" l="1"/>
  <c r="W47" i="6" s="1"/>
  <c r="X76" i="6"/>
  <c r="X81" i="6" s="1"/>
  <c r="X75" i="6"/>
  <c r="H78" i="6"/>
  <c r="H79" i="6" s="1"/>
  <c r="H80" i="6" s="1"/>
  <c r="G6" i="11"/>
  <c r="G62" i="1"/>
  <c r="X70" i="6"/>
  <c r="X71" i="6" s="1"/>
  <c r="H59" i="1"/>
  <c r="I77" i="6" s="1"/>
  <c r="I67" i="6"/>
  <c r="X60" i="6"/>
  <c r="X61" i="6" s="1"/>
  <c r="X65" i="6"/>
  <c r="F17" i="12"/>
  <c r="J40" i="11" s="1"/>
  <c r="B17" i="12"/>
  <c r="I42" i="11"/>
  <c r="G16" i="14"/>
  <c r="H8" i="11"/>
  <c r="F18" i="13"/>
  <c r="K41" i="11" s="1"/>
  <c r="I26" i="6"/>
  <c r="D32" i="14"/>
  <c r="A34" i="14"/>
  <c r="C34" i="14" s="1"/>
  <c r="D32" i="13"/>
  <c r="A34" i="13"/>
  <c r="C34" i="13" s="1"/>
  <c r="D34" i="12"/>
  <c r="A36" i="12"/>
  <c r="C36" i="12" s="1"/>
  <c r="I29" i="6"/>
  <c r="U15" i="11"/>
  <c r="U14" i="11"/>
  <c r="W48" i="6"/>
  <c r="Y4" i="6"/>
  <c r="X43" i="6"/>
  <c r="X12" i="6" s="1"/>
  <c r="D29" i="7"/>
  <c r="E16" i="7"/>
  <c r="B16" i="7"/>
  <c r="A31" i="7"/>
  <c r="C31" i="7" s="1"/>
  <c r="X13" i="6" l="1"/>
  <c r="X48" i="6" s="1"/>
  <c r="Y75" i="6"/>
  <c r="Y76" i="6"/>
  <c r="Y81" i="6" s="1"/>
  <c r="I78" i="6"/>
  <c r="I79" i="6" s="1"/>
  <c r="I80" i="6" s="1"/>
  <c r="Y70" i="6"/>
  <c r="Y71" i="6" s="1"/>
  <c r="Y60" i="6"/>
  <c r="Y61" i="6" s="1"/>
  <c r="Y65" i="6"/>
  <c r="X47" i="6"/>
  <c r="G17" i="12"/>
  <c r="E18" i="12" s="1"/>
  <c r="K53" i="1" s="1"/>
  <c r="E17" i="14"/>
  <c r="B17" i="14"/>
  <c r="I52" i="1"/>
  <c r="I30" i="6"/>
  <c r="G18" i="13"/>
  <c r="A35" i="14"/>
  <c r="C35" i="14" s="1"/>
  <c r="D33" i="14"/>
  <c r="D33" i="13"/>
  <c r="A35" i="13"/>
  <c r="C35" i="13" s="1"/>
  <c r="D35" i="12"/>
  <c r="A37" i="12"/>
  <c r="C37" i="12" s="1"/>
  <c r="H62" i="1"/>
  <c r="V15" i="11"/>
  <c r="V14" i="11"/>
  <c r="H6" i="11"/>
  <c r="Y43" i="6"/>
  <c r="Y13" i="6" s="1"/>
  <c r="Z4" i="6"/>
  <c r="D30" i="7"/>
  <c r="F16" i="7"/>
  <c r="A32" i="7"/>
  <c r="C32" i="7" s="1"/>
  <c r="Y12" i="6" l="1"/>
  <c r="Y47" i="6" s="1"/>
  <c r="Z75" i="6"/>
  <c r="Z76" i="6"/>
  <c r="Z81" i="6" s="1"/>
  <c r="Z70" i="6"/>
  <c r="Z71" i="6" s="1"/>
  <c r="Z60" i="6"/>
  <c r="Z61" i="6" s="1"/>
  <c r="Z65" i="6"/>
  <c r="F18" i="12"/>
  <c r="K40" i="11" s="1"/>
  <c r="B18" i="12"/>
  <c r="J55" i="1"/>
  <c r="F17" i="14"/>
  <c r="I39" i="11"/>
  <c r="J27" i="6"/>
  <c r="B19" i="13"/>
  <c r="E19" i="13"/>
  <c r="L54" i="1" s="1"/>
  <c r="I56" i="1"/>
  <c r="I65" i="1" s="1"/>
  <c r="J28" i="6"/>
  <c r="A36" i="14"/>
  <c r="C36" i="14" s="1"/>
  <c r="D34" i="14"/>
  <c r="D34" i="13"/>
  <c r="A36" i="13"/>
  <c r="C36" i="13" s="1"/>
  <c r="D36" i="12"/>
  <c r="A38" i="12"/>
  <c r="C38" i="12" s="1"/>
  <c r="W15" i="11"/>
  <c r="W14" i="11"/>
  <c r="Y48" i="6"/>
  <c r="AA4" i="6"/>
  <c r="Z43" i="6"/>
  <c r="Z12" i="6" s="1"/>
  <c r="A33" i="7"/>
  <c r="C33" i="7" s="1"/>
  <c r="D31" i="7"/>
  <c r="G16" i="7"/>
  <c r="Z13" i="6" l="1"/>
  <c r="Z48" i="6" s="1"/>
  <c r="AA76" i="6"/>
  <c r="AA81" i="6" s="1"/>
  <c r="AA75" i="6"/>
  <c r="AA70" i="6"/>
  <c r="AA71" i="6" s="1"/>
  <c r="AA60" i="6"/>
  <c r="AA61" i="6" s="1"/>
  <c r="AA65" i="6"/>
  <c r="Z47" i="6"/>
  <c r="G18" i="12"/>
  <c r="B19" i="12" s="1"/>
  <c r="J42" i="11"/>
  <c r="G17" i="14"/>
  <c r="I57" i="1"/>
  <c r="I58" i="1" s="1"/>
  <c r="I7" i="11"/>
  <c r="I24" i="11" s="1"/>
  <c r="F19" i="13"/>
  <c r="L41" i="11" s="1"/>
  <c r="J26" i="6"/>
  <c r="D35" i="14"/>
  <c r="A37" i="14"/>
  <c r="C37" i="14" s="1"/>
  <c r="A37" i="13"/>
  <c r="C37" i="13" s="1"/>
  <c r="D35" i="13"/>
  <c r="D37" i="12"/>
  <c r="A39" i="12"/>
  <c r="C39" i="12" s="1"/>
  <c r="J29" i="6"/>
  <c r="X15" i="11"/>
  <c r="X14" i="11"/>
  <c r="AC21" i="6"/>
  <c r="AD21" i="6" s="1"/>
  <c r="AE21" i="6" s="1"/>
  <c r="AF21" i="6" s="1"/>
  <c r="AG21" i="6" s="1"/>
  <c r="AH21" i="6" s="1"/>
  <c r="AI21" i="6" s="1"/>
  <c r="AJ21" i="6" s="1"/>
  <c r="AK21" i="6" s="1"/>
  <c r="AL21" i="6" s="1"/>
  <c r="AM21" i="6" s="1"/>
  <c r="AN21" i="6" s="1"/>
  <c r="AO21" i="6" s="1"/>
  <c r="AB4" i="6"/>
  <c r="AA43" i="6"/>
  <c r="AA12" i="6" s="1"/>
  <c r="D32" i="7"/>
  <c r="E17" i="7"/>
  <c r="B17" i="7"/>
  <c r="A34" i="7"/>
  <c r="C34" i="7" s="1"/>
  <c r="AA13" i="6" l="1"/>
  <c r="AA48" i="6" s="1"/>
  <c r="AB76" i="6"/>
  <c r="AB81" i="6" s="1"/>
  <c r="AB75" i="6"/>
  <c r="AB70" i="6"/>
  <c r="AB71" i="6" s="1"/>
  <c r="I59" i="1"/>
  <c r="J77" i="6" s="1"/>
  <c r="J67" i="6"/>
  <c r="AB60" i="6"/>
  <c r="AB61" i="6" s="1"/>
  <c r="AB65" i="6"/>
  <c r="AA47" i="6"/>
  <c r="E19" i="12"/>
  <c r="L53" i="1" s="1"/>
  <c r="AC4" i="6"/>
  <c r="E18" i="14"/>
  <c r="B18" i="14"/>
  <c r="I8" i="11"/>
  <c r="J52" i="1"/>
  <c r="J56" i="1" s="1"/>
  <c r="J65" i="1" s="1"/>
  <c r="G19" i="13"/>
  <c r="J30" i="6"/>
  <c r="D36" i="14"/>
  <c r="A38" i="14"/>
  <c r="C38" i="14" s="1"/>
  <c r="D36" i="13"/>
  <c r="A38" i="13"/>
  <c r="C38" i="13" s="1"/>
  <c r="D38" i="12"/>
  <c r="A40" i="12"/>
  <c r="C40" i="12" s="1"/>
  <c r="Y15" i="11"/>
  <c r="Y14" i="11"/>
  <c r="AD4" i="6"/>
  <c r="AB43" i="6"/>
  <c r="AB13" i="6" s="1"/>
  <c r="D33" i="7"/>
  <c r="F17" i="7"/>
  <c r="A35" i="7"/>
  <c r="C35" i="7" s="1"/>
  <c r="AB12" i="6" l="1"/>
  <c r="AD75" i="6"/>
  <c r="AD76" i="6"/>
  <c r="J78" i="6"/>
  <c r="J79" i="6" s="1"/>
  <c r="AD70" i="6"/>
  <c r="AD71" i="6" s="1"/>
  <c r="I62" i="1"/>
  <c r="AC43" i="6"/>
  <c r="I6" i="11"/>
  <c r="AD60" i="6"/>
  <c r="AD61" i="6" s="1"/>
  <c r="AD65" i="6"/>
  <c r="F19" i="12"/>
  <c r="G19" i="12" s="1"/>
  <c r="B20" i="12" s="1"/>
  <c r="K55" i="1"/>
  <c r="F18" i="14"/>
  <c r="J57" i="1"/>
  <c r="J58" i="1" s="1"/>
  <c r="J7" i="11"/>
  <c r="J24" i="11" s="1"/>
  <c r="J39" i="11"/>
  <c r="K28" i="6"/>
  <c r="E20" i="13"/>
  <c r="M54" i="1" s="1"/>
  <c r="B20" i="13"/>
  <c r="K27" i="6"/>
  <c r="D37" i="14"/>
  <c r="A39" i="14"/>
  <c r="C39" i="14" s="1"/>
  <c r="A39" i="13"/>
  <c r="C39" i="13" s="1"/>
  <c r="D37" i="13"/>
  <c r="D39" i="12"/>
  <c r="A41" i="12"/>
  <c r="C41" i="12" s="1"/>
  <c r="Z15" i="11"/>
  <c r="Z14" i="11"/>
  <c r="AB48" i="6"/>
  <c r="AC48" i="6" s="1"/>
  <c r="AE4" i="6"/>
  <c r="AD43" i="6"/>
  <c r="AD13" i="6" s="1"/>
  <c r="A36" i="7"/>
  <c r="C36" i="7" s="1"/>
  <c r="G17" i="7"/>
  <c r="D34" i="7"/>
  <c r="J81" i="6" l="1"/>
  <c r="J80" i="6" s="1"/>
  <c r="AD12" i="6"/>
  <c r="AD47" i="6" s="1"/>
  <c r="D38" i="6"/>
  <c r="AE75" i="6"/>
  <c r="AE76" i="6"/>
  <c r="AE81" i="6" s="1"/>
  <c r="AE70" i="6"/>
  <c r="AE71" i="6" s="1"/>
  <c r="AA15" i="11"/>
  <c r="AB15" i="11" s="1"/>
  <c r="AA14" i="11"/>
  <c r="AB14" i="11" s="1"/>
  <c r="AB47" i="6"/>
  <c r="AC47" i="6" s="1"/>
  <c r="J59" i="1"/>
  <c r="K77" i="6" s="1"/>
  <c r="K67" i="6"/>
  <c r="AE60" i="6"/>
  <c r="AE61" i="6" s="1"/>
  <c r="AE65" i="6"/>
  <c r="E20" i="12"/>
  <c r="M53" i="1" s="1"/>
  <c r="L40" i="11"/>
  <c r="K42" i="11"/>
  <c r="G18" i="14"/>
  <c r="F20" i="13"/>
  <c r="M41" i="11" s="1"/>
  <c r="K26" i="6"/>
  <c r="D38" i="14"/>
  <c r="A40" i="14"/>
  <c r="C40" i="14" s="1"/>
  <c r="A40" i="13"/>
  <c r="C40" i="13" s="1"/>
  <c r="D38" i="13"/>
  <c r="A42" i="12"/>
  <c r="C42" i="12" s="1"/>
  <c r="D40" i="12"/>
  <c r="K29" i="6"/>
  <c r="AC12" i="6"/>
  <c r="AD48" i="6"/>
  <c r="AC13" i="6"/>
  <c r="AE43" i="6"/>
  <c r="AE13" i="6" s="1"/>
  <c r="AF4" i="6"/>
  <c r="AB22" i="11"/>
  <c r="A37" i="7"/>
  <c r="C37" i="7" s="1"/>
  <c r="E18" i="7"/>
  <c r="B18" i="7"/>
  <c r="D35" i="7"/>
  <c r="J8" i="11"/>
  <c r="AE12" i="6" l="1"/>
  <c r="AE47" i="6" s="1"/>
  <c r="AF76" i="6"/>
  <c r="AF81" i="6" s="1"/>
  <c r="AF75" i="6"/>
  <c r="K78" i="6"/>
  <c r="K79" i="6" s="1"/>
  <c r="K80" i="6" s="1"/>
  <c r="AF70" i="6"/>
  <c r="AF71" i="6" s="1"/>
  <c r="J6" i="11"/>
  <c r="J62" i="1"/>
  <c r="AF60" i="6"/>
  <c r="AF61" i="6" s="1"/>
  <c r="AF65" i="6"/>
  <c r="F20" i="12"/>
  <c r="G20" i="12" s="1"/>
  <c r="B19" i="14"/>
  <c r="E19" i="14"/>
  <c r="K52" i="1"/>
  <c r="K30" i="6"/>
  <c r="G20" i="13"/>
  <c r="A41" i="14"/>
  <c r="C41" i="14" s="1"/>
  <c r="D39" i="14"/>
  <c r="D39" i="13"/>
  <c r="A41" i="13"/>
  <c r="C41" i="13" s="1"/>
  <c r="A43" i="12"/>
  <c r="C43" i="12" s="1"/>
  <c r="D41" i="12"/>
  <c r="AC15" i="11"/>
  <c r="AC14" i="11"/>
  <c r="AE48" i="6"/>
  <c r="AF43" i="6"/>
  <c r="AF12" i="6" s="1"/>
  <c r="AG4" i="6"/>
  <c r="F18" i="7"/>
  <c r="D36" i="7"/>
  <c r="A38" i="7"/>
  <c r="C38" i="7" s="1"/>
  <c r="AF13" i="6" l="1"/>
  <c r="AF48" i="6" s="1"/>
  <c r="AG76" i="6"/>
  <c r="AG81" i="6" s="1"/>
  <c r="AG75" i="6"/>
  <c r="AG70" i="6"/>
  <c r="AG71" i="6" s="1"/>
  <c r="AD15" i="11"/>
  <c r="AG60" i="6"/>
  <c r="AG61" i="6" s="1"/>
  <c r="AG65" i="6"/>
  <c r="M40" i="11"/>
  <c r="L55" i="1"/>
  <c r="F19" i="14"/>
  <c r="E21" i="12"/>
  <c r="B21" i="12"/>
  <c r="K39" i="11"/>
  <c r="L28" i="6"/>
  <c r="E21" i="13"/>
  <c r="B21" i="13"/>
  <c r="K56" i="1"/>
  <c r="K65" i="1" s="1"/>
  <c r="L27" i="6"/>
  <c r="D40" i="14"/>
  <c r="A42" i="14"/>
  <c r="C42" i="14" s="1"/>
  <c r="A42" i="13"/>
  <c r="C42" i="13" s="1"/>
  <c r="D40" i="13"/>
  <c r="D42" i="12"/>
  <c r="A44" i="12"/>
  <c r="C44" i="12" s="1"/>
  <c r="AD14" i="11"/>
  <c r="AH4" i="6"/>
  <c r="AG43" i="6"/>
  <c r="AG13" i="6" s="1"/>
  <c r="A39" i="7"/>
  <c r="C39" i="7" s="1"/>
  <c r="G18" i="7"/>
  <c r="D37" i="7"/>
  <c r="AG12" i="6" l="1"/>
  <c r="AG47" i="6" s="1"/>
  <c r="AH75" i="6"/>
  <c r="AH76" i="6"/>
  <c r="AH81" i="6" s="1"/>
  <c r="AG48" i="6"/>
  <c r="AH70" i="6"/>
  <c r="AH71" i="6" s="1"/>
  <c r="AE14" i="11"/>
  <c r="AF47" i="6"/>
  <c r="AH60" i="6"/>
  <c r="AH61" i="6" s="1"/>
  <c r="AH65" i="6"/>
  <c r="L42" i="11"/>
  <c r="G19" i="14"/>
  <c r="K57" i="1"/>
  <c r="K58" i="1" s="1"/>
  <c r="K7" i="11"/>
  <c r="K24" i="11" s="1"/>
  <c r="F21" i="12"/>
  <c r="N53" i="1"/>
  <c r="F21" i="13"/>
  <c r="N41" i="11" s="1"/>
  <c r="N54" i="1"/>
  <c r="L26" i="6"/>
  <c r="D41" i="14"/>
  <c r="A43" i="14"/>
  <c r="C43" i="14" s="1"/>
  <c r="D41" i="13"/>
  <c r="A43" i="13"/>
  <c r="C43" i="13" s="1"/>
  <c r="A45" i="12"/>
  <c r="C45" i="12" s="1"/>
  <c r="D43" i="12"/>
  <c r="L29" i="6"/>
  <c r="AE15" i="11"/>
  <c r="AI4" i="6"/>
  <c r="AH43" i="6"/>
  <c r="AH13" i="6" s="1"/>
  <c r="D38" i="7"/>
  <c r="E19" i="7"/>
  <c r="B19" i="7"/>
  <c r="A40" i="7"/>
  <c r="C40" i="7" s="1"/>
  <c r="AH12" i="6" l="1"/>
  <c r="AH47" i="6" s="1"/>
  <c r="AI76" i="6"/>
  <c r="AI81" i="6" s="1"/>
  <c r="AI75" i="6"/>
  <c r="AI70" i="6"/>
  <c r="AI71" i="6" s="1"/>
  <c r="K59" i="1"/>
  <c r="L77" i="6" s="1"/>
  <c r="L67" i="6"/>
  <c r="AI60" i="6"/>
  <c r="AI61" i="6" s="1"/>
  <c r="AI65" i="6"/>
  <c r="E20" i="14"/>
  <c r="B20" i="14"/>
  <c r="K8" i="11"/>
  <c r="G21" i="13"/>
  <c r="E22" i="13" s="1"/>
  <c r="P54" i="1" s="1"/>
  <c r="N40" i="11"/>
  <c r="G21" i="12"/>
  <c r="L52" i="1"/>
  <c r="L56" i="1" s="1"/>
  <c r="L65" i="1" s="1"/>
  <c r="L30" i="6"/>
  <c r="D42" i="14"/>
  <c r="A44" i="14"/>
  <c r="C44" i="14" s="1"/>
  <c r="A44" i="13"/>
  <c r="C44" i="13" s="1"/>
  <c r="D42" i="13"/>
  <c r="D44" i="12"/>
  <c r="A46" i="12"/>
  <c r="C46" i="12" s="1"/>
  <c r="AF15" i="11"/>
  <c r="AF14" i="11"/>
  <c r="AH48" i="6"/>
  <c r="AJ4" i="6"/>
  <c r="AI43" i="6"/>
  <c r="AI12" i="6" s="1"/>
  <c r="F19" i="7"/>
  <c r="A41" i="7"/>
  <c r="C41" i="7" s="1"/>
  <c r="D39" i="7"/>
  <c r="AI13" i="6" l="1"/>
  <c r="AI48" i="6" s="1"/>
  <c r="AJ76" i="6"/>
  <c r="AJ75" i="6"/>
  <c r="L78" i="6"/>
  <c r="L79" i="6" s="1"/>
  <c r="L80" i="6" s="1"/>
  <c r="K62" i="1"/>
  <c r="AJ70" i="6"/>
  <c r="AJ71" i="6" s="1"/>
  <c r="K6" i="11"/>
  <c r="AJ60" i="6"/>
  <c r="AJ61" i="6" s="1"/>
  <c r="AJ65" i="6"/>
  <c r="AI47" i="6"/>
  <c r="M55" i="1"/>
  <c r="F20" i="14"/>
  <c r="B22" i="13"/>
  <c r="L57" i="1"/>
  <c r="L58" i="1" s="1"/>
  <c r="L7" i="11"/>
  <c r="L24" i="11" s="1"/>
  <c r="F22" i="13"/>
  <c r="P41" i="11" s="1"/>
  <c r="B22" i="12"/>
  <c r="E22" i="12"/>
  <c r="L39" i="11"/>
  <c r="M26" i="6" s="1"/>
  <c r="M28" i="6"/>
  <c r="M27" i="6"/>
  <c r="D43" i="14"/>
  <c r="A45" i="14"/>
  <c r="C45" i="14" s="1"/>
  <c r="A45" i="13"/>
  <c r="C45" i="13" s="1"/>
  <c r="D43" i="13"/>
  <c r="A47" i="12"/>
  <c r="C47" i="12" s="1"/>
  <c r="D45" i="12"/>
  <c r="AG15" i="11"/>
  <c r="AG14" i="11"/>
  <c r="AK4" i="6"/>
  <c r="AJ43" i="6"/>
  <c r="AJ13" i="6" s="1"/>
  <c r="A42" i="7"/>
  <c r="C42" i="7" s="1"/>
  <c r="G19" i="7"/>
  <c r="D40" i="7"/>
  <c r="AJ12" i="6" l="1"/>
  <c r="AJ47" i="6" s="1"/>
  <c r="AK76" i="6"/>
  <c r="AK81" i="6" s="1"/>
  <c r="AK75" i="6"/>
  <c r="F38" i="6"/>
  <c r="AK70" i="6"/>
  <c r="AK71" i="6" s="1"/>
  <c r="L59" i="1"/>
  <c r="M77" i="6" s="1"/>
  <c r="M67" i="6"/>
  <c r="AK60" i="6"/>
  <c r="AK61" i="6" s="1"/>
  <c r="AK65" i="6"/>
  <c r="M42" i="11"/>
  <c r="G20" i="14"/>
  <c r="G22" i="13"/>
  <c r="E23" i="13" s="1"/>
  <c r="Q54" i="1" s="1"/>
  <c r="P53" i="1"/>
  <c r="F22" i="12"/>
  <c r="D44" i="14"/>
  <c r="A46" i="14"/>
  <c r="C46" i="14" s="1"/>
  <c r="D44" i="13"/>
  <c r="A46" i="13"/>
  <c r="C46" i="13" s="1"/>
  <c r="A48" i="12"/>
  <c r="C48" i="12" s="1"/>
  <c r="D46" i="12"/>
  <c r="M29" i="6"/>
  <c r="M30" i="6" s="1"/>
  <c r="AH15" i="11"/>
  <c r="AH14" i="11"/>
  <c r="AJ48" i="6"/>
  <c r="AK43" i="6"/>
  <c r="AK13" i="6" s="1"/>
  <c r="AL4" i="6"/>
  <c r="A43" i="7"/>
  <c r="C43" i="7" s="1"/>
  <c r="E20" i="7"/>
  <c r="B20" i="7"/>
  <c r="L8" i="11"/>
  <c r="D41" i="7"/>
  <c r="AL12" i="6" l="1"/>
  <c r="AK12" i="6"/>
  <c r="AK47" i="6" s="1"/>
  <c r="AL75" i="6"/>
  <c r="AL76" i="6"/>
  <c r="AL81" i="6" s="1"/>
  <c r="M78" i="6"/>
  <c r="M79" i="6" s="1"/>
  <c r="M80" i="6" s="1"/>
  <c r="AL65" i="6"/>
  <c r="AL70" i="6"/>
  <c r="AL71" i="6" s="1"/>
  <c r="L62" i="1"/>
  <c r="L6" i="11"/>
  <c r="AL60" i="6"/>
  <c r="AL61" i="6" s="1"/>
  <c r="B21" i="14"/>
  <c r="E21" i="14"/>
  <c r="B23" i="13"/>
  <c r="G22" i="12"/>
  <c r="P40" i="11"/>
  <c r="M52" i="1"/>
  <c r="M56" i="1" s="1"/>
  <c r="M65" i="1" s="1"/>
  <c r="F23" i="13"/>
  <c r="Q41" i="11" s="1"/>
  <c r="D45" i="14"/>
  <c r="A47" i="14"/>
  <c r="C47" i="14" s="1"/>
  <c r="A47" i="13"/>
  <c r="C47" i="13" s="1"/>
  <c r="D45" i="13"/>
  <c r="D47" i="12"/>
  <c r="A49" i="12"/>
  <c r="C49" i="12" s="1"/>
  <c r="AI15" i="11"/>
  <c r="AI14" i="11"/>
  <c r="AK48" i="6"/>
  <c r="AM4" i="6"/>
  <c r="AL43" i="6"/>
  <c r="AL13" i="6" s="1"/>
  <c r="F20" i="7"/>
  <c r="A44" i="7"/>
  <c r="C44" i="7" s="1"/>
  <c r="D42" i="7"/>
  <c r="G38" i="6" l="1"/>
  <c r="AM76" i="6"/>
  <c r="AM81" i="6" s="1"/>
  <c r="AM75" i="6"/>
  <c r="AM70" i="6"/>
  <c r="AM71" i="6" s="1"/>
  <c r="AL47" i="6"/>
  <c r="AM60" i="6"/>
  <c r="AM61" i="6" s="1"/>
  <c r="AM65" i="6"/>
  <c r="F21" i="14"/>
  <c r="N55" i="1"/>
  <c r="M57" i="1"/>
  <c r="M58" i="1" s="1"/>
  <c r="M7" i="11"/>
  <c r="M24" i="11" s="1"/>
  <c r="B23" i="12"/>
  <c r="E23" i="12"/>
  <c r="M39" i="11"/>
  <c r="N28" i="6"/>
  <c r="N27" i="6"/>
  <c r="G23" i="13"/>
  <c r="A48" i="14"/>
  <c r="C48" i="14" s="1"/>
  <c r="D46" i="14"/>
  <c r="D46" i="13"/>
  <c r="A48" i="13"/>
  <c r="C48" i="13" s="1"/>
  <c r="D48" i="12"/>
  <c r="A50" i="12"/>
  <c r="C50" i="12" s="1"/>
  <c r="AJ15" i="11"/>
  <c r="AJ14" i="11"/>
  <c r="AL48" i="6"/>
  <c r="AM43" i="6"/>
  <c r="AM12" i="6" s="1"/>
  <c r="AN4" i="6"/>
  <c r="G20" i="7"/>
  <c r="A45" i="7"/>
  <c r="C45" i="7" s="1"/>
  <c r="D43" i="7"/>
  <c r="AM13" i="6" l="1"/>
  <c r="AM48" i="6" s="1"/>
  <c r="AN76" i="6"/>
  <c r="AN81" i="6" s="1"/>
  <c r="AN75" i="6"/>
  <c r="AN70" i="6"/>
  <c r="AN71" i="6" s="1"/>
  <c r="M59" i="1"/>
  <c r="N77" i="6" s="1"/>
  <c r="N67" i="6"/>
  <c r="AN60" i="6"/>
  <c r="AN61" i="6" s="1"/>
  <c r="AN65" i="6"/>
  <c r="AM47" i="6"/>
  <c r="G21" i="14"/>
  <c r="N42" i="11"/>
  <c r="Q53" i="1"/>
  <c r="F23" i="12"/>
  <c r="N26" i="6"/>
  <c r="B24" i="13"/>
  <c r="E24" i="13"/>
  <c r="R54" i="1" s="1"/>
  <c r="D47" i="14"/>
  <c r="A49" i="14"/>
  <c r="C49" i="14" s="1"/>
  <c r="D47" i="13"/>
  <c r="A49" i="13"/>
  <c r="C49" i="13" s="1"/>
  <c r="A51" i="12"/>
  <c r="C51" i="12" s="1"/>
  <c r="D49" i="12"/>
  <c r="N29" i="6"/>
  <c r="AK15" i="11"/>
  <c r="AK14" i="11"/>
  <c r="AP21" i="6"/>
  <c r="AO4" i="6"/>
  <c r="AN43" i="6"/>
  <c r="AN33" i="6" s="1"/>
  <c r="A46" i="7"/>
  <c r="C46" i="7" s="1"/>
  <c r="E21" i="7"/>
  <c r="B21" i="7"/>
  <c r="M8" i="11"/>
  <c r="D44" i="7"/>
  <c r="AN13" i="6" l="1"/>
  <c r="AN48" i="6" s="1"/>
  <c r="AN12" i="6"/>
  <c r="AN47" i="6" s="1"/>
  <c r="AO76" i="6"/>
  <c r="AO81" i="6" s="1"/>
  <c r="AO75" i="6"/>
  <c r="N78" i="6"/>
  <c r="N79" i="6" s="1"/>
  <c r="N80" i="6" s="1"/>
  <c r="AO70" i="6"/>
  <c r="AO71" i="6" s="1"/>
  <c r="AN49" i="6"/>
  <c r="M62" i="1"/>
  <c r="M6" i="11"/>
  <c r="AO60" i="6"/>
  <c r="AO61" i="6" s="1"/>
  <c r="AO34" i="6" s="1"/>
  <c r="AO65" i="6"/>
  <c r="B22" i="14"/>
  <c r="E22" i="14"/>
  <c r="G23" i="12"/>
  <c r="Q40" i="11"/>
  <c r="N52" i="1"/>
  <c r="O53" i="1"/>
  <c r="O54" i="1"/>
  <c r="O55" i="1"/>
  <c r="F24" i="13"/>
  <c r="R41" i="11" s="1"/>
  <c r="D48" i="14"/>
  <c r="A50" i="14"/>
  <c r="C50" i="14" s="1"/>
  <c r="D48" i="13"/>
  <c r="A50" i="13"/>
  <c r="C50" i="13" s="1"/>
  <c r="D50" i="12"/>
  <c r="A52" i="12"/>
  <c r="C52" i="12" s="1"/>
  <c r="AL15" i="11"/>
  <c r="AL14" i="11"/>
  <c r="AP4" i="6"/>
  <c r="N30" i="6"/>
  <c r="AO43" i="6"/>
  <c r="AP43" i="6" s="1"/>
  <c r="F21" i="7"/>
  <c r="D45" i="7"/>
  <c r="A47" i="7"/>
  <c r="C47" i="7" s="1"/>
  <c r="AO33" i="6" l="1"/>
  <c r="AO13" i="6"/>
  <c r="AO48" i="6" s="1"/>
  <c r="AP48" i="6" s="1"/>
  <c r="AO12" i="6"/>
  <c r="C66" i="6"/>
  <c r="D66" i="6" s="1"/>
  <c r="D48" i="6"/>
  <c r="F48" i="6"/>
  <c r="E48" i="6"/>
  <c r="P55" i="1"/>
  <c r="F22" i="14"/>
  <c r="B24" i="12"/>
  <c r="E24" i="12"/>
  <c r="N56" i="1"/>
  <c r="N65" i="1" s="1"/>
  <c r="N39" i="11"/>
  <c r="O39" i="11" s="1"/>
  <c r="O42" i="11"/>
  <c r="G24" i="13"/>
  <c r="D49" i="14"/>
  <c r="A51" i="14"/>
  <c r="C51" i="14" s="1"/>
  <c r="A51" i="13"/>
  <c r="C51" i="13" s="1"/>
  <c r="D49" i="13"/>
  <c r="A53" i="12"/>
  <c r="C53" i="12" s="1"/>
  <c r="D51" i="12"/>
  <c r="AM15" i="11"/>
  <c r="AM14" i="11"/>
  <c r="A48" i="7"/>
  <c r="C48" i="7" s="1"/>
  <c r="G21" i="7"/>
  <c r="O29" i="6"/>
  <c r="P29" i="6" s="1"/>
  <c r="D46" i="7"/>
  <c r="O52" i="1"/>
  <c r="E66" i="6" l="1"/>
  <c r="D37" i="6"/>
  <c r="C25" i="11" s="1"/>
  <c r="AN18" i="11"/>
  <c r="AO49" i="6"/>
  <c r="AP49" i="6" s="1"/>
  <c r="AN15" i="11"/>
  <c r="AO15" i="11" s="1"/>
  <c r="AP12" i="6"/>
  <c r="AO47" i="6"/>
  <c r="AP47" i="6" s="1"/>
  <c r="E15" i="11"/>
  <c r="F15" i="11"/>
  <c r="C15" i="11"/>
  <c r="D15" i="11"/>
  <c r="P42" i="11"/>
  <c r="G22" i="14"/>
  <c r="N57" i="1"/>
  <c r="N58" i="1" s="1"/>
  <c r="N7" i="11"/>
  <c r="N24" i="11" s="1"/>
  <c r="O24" i="11" s="1"/>
  <c r="R53" i="1"/>
  <c r="F24" i="12"/>
  <c r="O26" i="6"/>
  <c r="P26" i="6" s="1"/>
  <c r="O40" i="11"/>
  <c r="O27" i="6"/>
  <c r="P27" i="6" s="1"/>
  <c r="O41" i="11"/>
  <c r="O28" i="6"/>
  <c r="P28" i="6" s="1"/>
  <c r="E25" i="13"/>
  <c r="S54" i="1" s="1"/>
  <c r="B25" i="13"/>
  <c r="O56" i="1"/>
  <c r="D50" i="14"/>
  <c r="A52" i="14"/>
  <c r="C52" i="14" s="1"/>
  <c r="A52" i="13"/>
  <c r="C52" i="13" s="1"/>
  <c r="D50" i="13"/>
  <c r="A54" i="12"/>
  <c r="C54" i="12" s="1"/>
  <c r="D52" i="12"/>
  <c r="AN14" i="11"/>
  <c r="AO14" i="11" s="1"/>
  <c r="AP33" i="6"/>
  <c r="AP13" i="6"/>
  <c r="AO22" i="11"/>
  <c r="B22" i="7"/>
  <c r="E22" i="7"/>
  <c r="A49" i="7"/>
  <c r="C49" i="7" s="1"/>
  <c r="D47" i="7"/>
  <c r="F66" i="6" l="1"/>
  <c r="E37" i="6"/>
  <c r="D25" i="11" s="1"/>
  <c r="O57" i="1"/>
  <c r="O65" i="1"/>
  <c r="N59" i="1"/>
  <c r="O77" i="6" s="1"/>
  <c r="O67" i="6"/>
  <c r="O15" i="11"/>
  <c r="E23" i="14"/>
  <c r="B23" i="14"/>
  <c r="O7" i="11"/>
  <c r="O58" i="1"/>
  <c r="N8" i="11"/>
  <c r="O8" i="11" s="1"/>
  <c r="R40" i="11"/>
  <c r="G24" i="12"/>
  <c r="P52" i="1"/>
  <c r="F25" i="13"/>
  <c r="S41" i="11" s="1"/>
  <c r="D51" i="14"/>
  <c r="A53" i="14"/>
  <c r="C53" i="14" s="1"/>
  <c r="D51" i="13"/>
  <c r="A53" i="13"/>
  <c r="C53" i="13" s="1"/>
  <c r="A55" i="12"/>
  <c r="C55" i="12" s="1"/>
  <c r="D53" i="12"/>
  <c r="O30" i="6"/>
  <c r="P30" i="6"/>
  <c r="F22" i="7"/>
  <c r="A50" i="7"/>
  <c r="C50" i="7" s="1"/>
  <c r="D48" i="7"/>
  <c r="O78" i="6" l="1"/>
  <c r="O79" i="6" s="1"/>
  <c r="O80" i="6" s="1"/>
  <c r="N6" i="11"/>
  <c r="O6" i="11" s="1"/>
  <c r="G66" i="6"/>
  <c r="F37" i="6"/>
  <c r="E25" i="11" s="1"/>
  <c r="N62" i="1"/>
  <c r="O59" i="1"/>
  <c r="Q55" i="1"/>
  <c r="F23" i="14"/>
  <c r="E25" i="12"/>
  <c r="B25" i="12"/>
  <c r="P56" i="1"/>
  <c r="P65" i="1" s="1"/>
  <c r="P39" i="11"/>
  <c r="G25" i="13"/>
  <c r="Q28" i="6"/>
  <c r="D52" i="14"/>
  <c r="A54" i="14"/>
  <c r="C54" i="14" s="1"/>
  <c r="A54" i="13"/>
  <c r="C54" i="13" s="1"/>
  <c r="D52" i="13"/>
  <c r="D54" i="12"/>
  <c r="A56" i="12"/>
  <c r="C56" i="12" s="1"/>
  <c r="A51" i="7"/>
  <c r="C51" i="7" s="1"/>
  <c r="D49" i="7"/>
  <c r="G22" i="7"/>
  <c r="I38" i="6" l="1"/>
  <c r="J38" i="6"/>
  <c r="O62" i="1"/>
  <c r="H66" i="6"/>
  <c r="G37" i="6"/>
  <c r="F25" i="11" s="1"/>
  <c r="Q42" i="11"/>
  <c r="G23" i="14"/>
  <c r="P57" i="1"/>
  <c r="P7" i="11"/>
  <c r="P24" i="11" s="1"/>
  <c r="S53" i="1"/>
  <c r="F25" i="12"/>
  <c r="B26" i="13"/>
  <c r="E26" i="13"/>
  <c r="T54" i="1" s="1"/>
  <c r="Q26" i="6"/>
  <c r="Q27" i="6"/>
  <c r="D53" i="14"/>
  <c r="A55" i="14"/>
  <c r="C55" i="14" s="1"/>
  <c r="D53" i="13"/>
  <c r="A55" i="13"/>
  <c r="C55" i="13" s="1"/>
  <c r="D55" i="12"/>
  <c r="A57" i="12"/>
  <c r="C57" i="12" s="1"/>
  <c r="Q29" i="6"/>
  <c r="A52" i="7"/>
  <c r="C52" i="7" s="1"/>
  <c r="B23" i="7"/>
  <c r="E23" i="7"/>
  <c r="D50" i="7"/>
  <c r="I66" i="6" l="1"/>
  <c r="H37" i="6"/>
  <c r="G25" i="11" s="1"/>
  <c r="P58" i="1"/>
  <c r="Q67" i="6" s="1"/>
  <c r="B24" i="14"/>
  <c r="E24" i="14"/>
  <c r="S40" i="11"/>
  <c r="G25" i="12"/>
  <c r="Q52" i="1"/>
  <c r="F26" i="13"/>
  <c r="T41" i="11" s="1"/>
  <c r="Q30" i="6"/>
  <c r="D54" i="14"/>
  <c r="A56" i="14"/>
  <c r="C56" i="14" s="1"/>
  <c r="A56" i="13"/>
  <c r="C56" i="13" s="1"/>
  <c r="D54" i="13"/>
  <c r="D56" i="12"/>
  <c r="A58" i="12"/>
  <c r="C58" i="12" s="1"/>
  <c r="D51" i="7"/>
  <c r="A53" i="7"/>
  <c r="C53" i="7" s="1"/>
  <c r="F23" i="7"/>
  <c r="I37" i="6" l="1"/>
  <c r="H25" i="11" s="1"/>
  <c r="J66" i="6"/>
  <c r="P59" i="1"/>
  <c r="Q77" i="6" s="1"/>
  <c r="P8" i="11"/>
  <c r="R55" i="1"/>
  <c r="F24" i="14"/>
  <c r="B26" i="12"/>
  <c r="E26" i="12"/>
  <c r="Q39" i="11"/>
  <c r="G26" i="13"/>
  <c r="Q56" i="1"/>
  <c r="Q65" i="1" s="1"/>
  <c r="R28" i="6"/>
  <c r="D55" i="14"/>
  <c r="A57" i="14"/>
  <c r="C57" i="14" s="1"/>
  <c r="A57" i="13"/>
  <c r="C57" i="13" s="1"/>
  <c r="D55" i="13"/>
  <c r="A59" i="12"/>
  <c r="C59" i="12" s="1"/>
  <c r="D57" i="12"/>
  <c r="D52" i="7"/>
  <c r="A54" i="7"/>
  <c r="C54" i="7" s="1"/>
  <c r="G23" i="7"/>
  <c r="Q78" i="6" l="1"/>
  <c r="Q79" i="6" s="1"/>
  <c r="K66" i="6"/>
  <c r="J37" i="6"/>
  <c r="I25" i="11" s="1"/>
  <c r="P6" i="11"/>
  <c r="P62" i="1"/>
  <c r="R42" i="11"/>
  <c r="G24" i="14"/>
  <c r="Q57" i="1"/>
  <c r="Q7" i="11"/>
  <c r="Q24" i="11" s="1"/>
  <c r="F26" i="12"/>
  <c r="T53" i="1"/>
  <c r="B27" i="13"/>
  <c r="E27" i="13"/>
  <c r="U54" i="1" s="1"/>
  <c r="R26" i="6"/>
  <c r="R27" i="6"/>
  <c r="D56" i="14"/>
  <c r="A58" i="14"/>
  <c r="C58" i="14" s="1"/>
  <c r="D56" i="13"/>
  <c r="A58" i="13"/>
  <c r="C58" i="13" s="1"/>
  <c r="D58" i="12"/>
  <c r="A60" i="12"/>
  <c r="C60" i="12" s="1"/>
  <c r="R29" i="6"/>
  <c r="D53" i="7"/>
  <c r="A55" i="7"/>
  <c r="C55" i="7" s="1"/>
  <c r="B24" i="7"/>
  <c r="E24" i="7"/>
  <c r="Q81" i="6" l="1"/>
  <c r="Q80" i="6" s="1"/>
  <c r="L66" i="6"/>
  <c r="K37" i="6"/>
  <c r="J25" i="11" s="1"/>
  <c r="Q58" i="1"/>
  <c r="R67" i="6" s="1"/>
  <c r="E25" i="14"/>
  <c r="B25" i="14"/>
  <c r="T40" i="11"/>
  <c r="G26" i="12"/>
  <c r="R52" i="1"/>
  <c r="F27" i="13"/>
  <c r="U41" i="11" s="1"/>
  <c r="R30" i="6"/>
  <c r="A59" i="14"/>
  <c r="C59" i="14" s="1"/>
  <c r="D57" i="14"/>
  <c r="D57" i="13"/>
  <c r="A59" i="13"/>
  <c r="C59" i="13" s="1"/>
  <c r="A61" i="12"/>
  <c r="C61" i="12" s="1"/>
  <c r="D59" i="12"/>
  <c r="F24" i="7"/>
  <c r="D54" i="7"/>
  <c r="A56" i="7"/>
  <c r="C56" i="7" s="1"/>
  <c r="M66" i="6" l="1"/>
  <c r="L37" i="6"/>
  <c r="K25" i="11" s="1"/>
  <c r="Q8" i="11"/>
  <c r="Q59" i="1"/>
  <c r="R77" i="6" s="1"/>
  <c r="S55" i="1"/>
  <c r="F25" i="14"/>
  <c r="E27" i="12"/>
  <c r="B27" i="12"/>
  <c r="R39" i="11"/>
  <c r="G27" i="13"/>
  <c r="R56" i="1"/>
  <c r="R65" i="1" s="1"/>
  <c r="A60" i="14"/>
  <c r="C60" i="14" s="1"/>
  <c r="D58" i="14"/>
  <c r="A60" i="13"/>
  <c r="C60" i="13" s="1"/>
  <c r="D58" i="13"/>
  <c r="A62" i="12"/>
  <c r="C62" i="12" s="1"/>
  <c r="D60" i="12"/>
  <c r="D55" i="7"/>
  <c r="G24" i="7"/>
  <c r="A57" i="7"/>
  <c r="C57" i="7" s="1"/>
  <c r="R78" i="6" l="1"/>
  <c r="R79" i="6" s="1"/>
  <c r="R80" i="6" s="1"/>
  <c r="N66" i="6"/>
  <c r="M37" i="6"/>
  <c r="L25" i="11" s="1"/>
  <c r="Q6" i="11"/>
  <c r="Q62" i="1"/>
  <c r="S42" i="11"/>
  <c r="G25" i="14"/>
  <c r="R57" i="1"/>
  <c r="R7" i="11"/>
  <c r="R24" i="11" s="1"/>
  <c r="U53" i="1"/>
  <c r="F27" i="12"/>
  <c r="S28" i="6"/>
  <c r="E28" i="13"/>
  <c r="V54" i="1" s="1"/>
  <c r="B28" i="13"/>
  <c r="S26" i="6"/>
  <c r="S27" i="6"/>
  <c r="D59" i="14"/>
  <c r="A61" i="14"/>
  <c r="C61" i="14" s="1"/>
  <c r="A61" i="13"/>
  <c r="C61" i="13" s="1"/>
  <c r="D59" i="13"/>
  <c r="A63" i="12"/>
  <c r="C63" i="12" s="1"/>
  <c r="D61" i="12"/>
  <c r="S29" i="6"/>
  <c r="D56" i="7"/>
  <c r="A58" i="7"/>
  <c r="C58" i="7" s="1"/>
  <c r="B25" i="7"/>
  <c r="E25" i="7"/>
  <c r="N37" i="6" l="1"/>
  <c r="M25" i="11" s="1"/>
  <c r="O66" i="6"/>
  <c r="R58" i="1"/>
  <c r="S67" i="6" s="1"/>
  <c r="B26" i="14"/>
  <c r="E26" i="14"/>
  <c r="U40" i="11"/>
  <c r="G27" i="12"/>
  <c r="S52" i="1"/>
  <c r="F28" i="13"/>
  <c r="V41" i="11" s="1"/>
  <c r="S30" i="6"/>
  <c r="D60" i="14"/>
  <c r="A62" i="14"/>
  <c r="C62" i="14" s="1"/>
  <c r="D60" i="13"/>
  <c r="A62" i="13"/>
  <c r="C62" i="13" s="1"/>
  <c r="D62" i="12"/>
  <c r="A64" i="12"/>
  <c r="C64" i="12" s="1"/>
  <c r="D57" i="7"/>
  <c r="F25" i="7"/>
  <c r="A59" i="7"/>
  <c r="C59" i="7" s="1"/>
  <c r="L38" i="6" l="1"/>
  <c r="Q66" i="6"/>
  <c r="O37" i="6"/>
  <c r="R59" i="1"/>
  <c r="S77" i="6" s="1"/>
  <c r="R8" i="11"/>
  <c r="T55" i="1"/>
  <c r="F26" i="14"/>
  <c r="B28" i="12"/>
  <c r="E28" i="12"/>
  <c r="S39" i="11"/>
  <c r="T28" i="6"/>
  <c r="G28" i="13"/>
  <c r="S56" i="1"/>
  <c r="S65" i="1" s="1"/>
  <c r="D61" i="14"/>
  <c r="A63" i="14"/>
  <c r="C63" i="14" s="1"/>
  <c r="D61" i="13"/>
  <c r="A63" i="13"/>
  <c r="C63" i="13" s="1"/>
  <c r="D63" i="12"/>
  <c r="A65" i="12"/>
  <c r="C65" i="12" s="1"/>
  <c r="A60" i="7"/>
  <c r="C60" i="7" s="1"/>
  <c r="G25" i="7"/>
  <c r="D58" i="7"/>
  <c r="S78" i="6" l="1"/>
  <c r="S79" i="6" s="1"/>
  <c r="S80" i="6" s="1"/>
  <c r="Q37" i="6"/>
  <c r="P25" i="11" s="1"/>
  <c r="R66" i="6"/>
  <c r="P37" i="6"/>
  <c r="N25" i="11"/>
  <c r="O25" i="11" s="1"/>
  <c r="R6" i="11"/>
  <c r="R62" i="1"/>
  <c r="T42" i="11"/>
  <c r="G26" i="14"/>
  <c r="S57" i="1"/>
  <c r="S7" i="11"/>
  <c r="S24" i="11" s="1"/>
  <c r="F28" i="12"/>
  <c r="V53" i="1"/>
  <c r="B29" i="13"/>
  <c r="E29" i="13"/>
  <c r="W54" i="1" s="1"/>
  <c r="T26" i="6"/>
  <c r="T27" i="6"/>
  <c r="A64" i="14"/>
  <c r="C64" i="14" s="1"/>
  <c r="D62" i="14"/>
  <c r="D62" i="13"/>
  <c r="A64" i="13"/>
  <c r="C64" i="13" s="1"/>
  <c r="D64" i="12"/>
  <c r="A66" i="12"/>
  <c r="C66" i="12" s="1"/>
  <c r="T29" i="6"/>
  <c r="B26" i="7"/>
  <c r="E26" i="7"/>
  <c r="A61" i="7"/>
  <c r="C61" i="7" s="1"/>
  <c r="D59" i="7"/>
  <c r="R37" i="6" l="1"/>
  <c r="Q25" i="11" s="1"/>
  <c r="S66" i="6"/>
  <c r="M38" i="6"/>
  <c r="S58" i="1"/>
  <c r="T67" i="6" s="1"/>
  <c r="B27" i="14"/>
  <c r="E27" i="14"/>
  <c r="G28" i="12"/>
  <c r="V40" i="11"/>
  <c r="T52" i="1"/>
  <c r="T56" i="1" s="1"/>
  <c r="T65" i="1" s="1"/>
  <c r="F29" i="13"/>
  <c r="W41" i="11" s="1"/>
  <c r="T30" i="6"/>
  <c r="D63" i="14"/>
  <c r="A65" i="14"/>
  <c r="C65" i="14" s="1"/>
  <c r="A65" i="13"/>
  <c r="C65" i="13" s="1"/>
  <c r="D63" i="13"/>
  <c r="D65" i="12"/>
  <c r="A67" i="12"/>
  <c r="C67" i="12" s="1"/>
  <c r="D60" i="7"/>
  <c r="F26" i="7"/>
  <c r="A62" i="7"/>
  <c r="C62" i="7" s="1"/>
  <c r="T66" i="6" l="1"/>
  <c r="U66" i="6" s="1"/>
  <c r="V66" i="6" s="1"/>
  <c r="W66" i="6" s="1"/>
  <c r="X66" i="6" s="1"/>
  <c r="Y66" i="6" s="1"/>
  <c r="Z66" i="6" s="1"/>
  <c r="AA66" i="6" s="1"/>
  <c r="AB66" i="6" s="1"/>
  <c r="AD66" i="6" s="1"/>
  <c r="AE66" i="6" s="1"/>
  <c r="AF66" i="6" s="1"/>
  <c r="AG66" i="6" s="1"/>
  <c r="AH66" i="6" s="1"/>
  <c r="AI66" i="6" s="1"/>
  <c r="AJ66" i="6" s="1"/>
  <c r="AK66" i="6" s="1"/>
  <c r="AL66" i="6" s="1"/>
  <c r="AM66" i="6" s="1"/>
  <c r="AN66" i="6" s="1"/>
  <c r="AO66" i="6" s="1"/>
  <c r="S37" i="6"/>
  <c r="R25" i="11" s="1"/>
  <c r="S59" i="1"/>
  <c r="T77" i="6" s="1"/>
  <c r="S8" i="11"/>
  <c r="U55" i="1"/>
  <c r="F27" i="14"/>
  <c r="T57" i="1"/>
  <c r="T58" i="1" s="1"/>
  <c r="T7" i="11"/>
  <c r="B29" i="12"/>
  <c r="E29" i="12"/>
  <c r="T39" i="11"/>
  <c r="G29" i="13"/>
  <c r="U28" i="6"/>
  <c r="D64" i="14"/>
  <c r="A66" i="14"/>
  <c r="C66" i="14" s="1"/>
  <c r="D64" i="13"/>
  <c r="A66" i="13"/>
  <c r="C66" i="13" s="1"/>
  <c r="D66" i="12"/>
  <c r="A68" i="12"/>
  <c r="C68" i="12" s="1"/>
  <c r="D61" i="7"/>
  <c r="G26" i="7"/>
  <c r="A63" i="7"/>
  <c r="C63" i="7" s="1"/>
  <c r="T78" i="6" l="1"/>
  <c r="T79" i="6" s="1"/>
  <c r="T80" i="6" s="1"/>
  <c r="T37" i="6"/>
  <c r="S25" i="11" s="1"/>
  <c r="S62" i="1"/>
  <c r="S6" i="11"/>
  <c r="T59" i="1"/>
  <c r="U77" i="6" s="1"/>
  <c r="U67" i="6"/>
  <c r="U37" i="6" s="1"/>
  <c r="U42" i="11"/>
  <c r="G27" i="14"/>
  <c r="W53" i="1"/>
  <c r="F29" i="12"/>
  <c r="E30" i="13"/>
  <c r="X54" i="1" s="1"/>
  <c r="B30" i="13"/>
  <c r="U26" i="6"/>
  <c r="U27" i="6"/>
  <c r="A67" i="14"/>
  <c r="C67" i="14" s="1"/>
  <c r="D65" i="14"/>
  <c r="D65" i="13"/>
  <c r="A67" i="13"/>
  <c r="C67" i="13" s="1"/>
  <c r="D67" i="12"/>
  <c r="A69" i="12"/>
  <c r="C69" i="12" s="1"/>
  <c r="U29" i="6"/>
  <c r="T8" i="11"/>
  <c r="D62" i="7"/>
  <c r="B27" i="7"/>
  <c r="E27" i="7"/>
  <c r="A64" i="7"/>
  <c r="C64" i="7" s="1"/>
  <c r="T24" i="11"/>
  <c r="U78" i="6" l="1"/>
  <c r="U79" i="6" s="1"/>
  <c r="U80" i="6" s="1"/>
  <c r="B28" i="14"/>
  <c r="E28" i="14"/>
  <c r="W40" i="11"/>
  <c r="G29" i="12"/>
  <c r="U52" i="1"/>
  <c r="F30" i="13"/>
  <c r="X41" i="11" s="1"/>
  <c r="U30" i="6"/>
  <c r="A68" i="14"/>
  <c r="C68" i="14" s="1"/>
  <c r="D66" i="14"/>
  <c r="D66" i="13"/>
  <c r="A68" i="13"/>
  <c r="C68" i="13" s="1"/>
  <c r="A70" i="12"/>
  <c r="C70" i="12" s="1"/>
  <c r="D68" i="12"/>
  <c r="T25" i="11"/>
  <c r="A65" i="7"/>
  <c r="C65" i="7" s="1"/>
  <c r="T62" i="1"/>
  <c r="T6" i="11"/>
  <c r="F27" i="7"/>
  <c r="D63" i="7"/>
  <c r="V55" i="1" l="1"/>
  <c r="F28" i="14"/>
  <c r="B30" i="12"/>
  <c r="E30" i="12"/>
  <c r="U39" i="11"/>
  <c r="U56" i="1"/>
  <c r="U65" i="1" s="1"/>
  <c r="G30" i="13"/>
  <c r="V28" i="6"/>
  <c r="V27" i="6"/>
  <c r="D67" i="14"/>
  <c r="A69" i="14"/>
  <c r="C69" i="14" s="1"/>
  <c r="A69" i="13"/>
  <c r="C69" i="13" s="1"/>
  <c r="D67" i="13"/>
  <c r="D69" i="12"/>
  <c r="A71" i="12"/>
  <c r="C71" i="12" s="1"/>
  <c r="G27" i="7"/>
  <c r="D64" i="7"/>
  <c r="A66" i="7"/>
  <c r="C66" i="7" s="1"/>
  <c r="V42" i="11" l="1"/>
  <c r="G28" i="14"/>
  <c r="U57" i="1"/>
  <c r="U58" i="1" s="1"/>
  <c r="U7" i="11"/>
  <c r="U24" i="11" s="1"/>
  <c r="X53" i="1"/>
  <c r="F30" i="12"/>
  <c r="E31" i="13"/>
  <c r="Y54" i="1" s="1"/>
  <c r="B31" i="13"/>
  <c r="V26" i="6"/>
  <c r="D68" i="14"/>
  <c r="A70" i="14"/>
  <c r="C70" i="14" s="1"/>
  <c r="A70" i="13"/>
  <c r="C70" i="13" s="1"/>
  <c r="D68" i="13"/>
  <c r="A72" i="12"/>
  <c r="C72" i="12" s="1"/>
  <c r="D70" i="12"/>
  <c r="V29" i="6"/>
  <c r="D65" i="7"/>
  <c r="B28" i="7"/>
  <c r="E28" i="7"/>
  <c r="A67" i="7"/>
  <c r="C67" i="7" s="1"/>
  <c r="U8" i="11" l="1"/>
  <c r="V67" i="6"/>
  <c r="V37" i="6" s="1"/>
  <c r="B29" i="14"/>
  <c r="E29" i="14"/>
  <c r="U59" i="1"/>
  <c r="V77" i="6" s="1"/>
  <c r="G30" i="12"/>
  <c r="X40" i="11"/>
  <c r="V52" i="1"/>
  <c r="V56" i="1" s="1"/>
  <c r="V65" i="1" s="1"/>
  <c r="F31" i="13"/>
  <c r="Y41" i="11" s="1"/>
  <c r="D69" i="14"/>
  <c r="A71" i="14"/>
  <c r="C71" i="14" s="1"/>
  <c r="D69" i="13"/>
  <c r="A71" i="13"/>
  <c r="C71" i="13" s="1"/>
  <c r="D71" i="12"/>
  <c r="A73" i="12"/>
  <c r="C73" i="12" s="1"/>
  <c r="V30" i="6"/>
  <c r="D66" i="7"/>
  <c r="A68" i="7"/>
  <c r="C68" i="7" s="1"/>
  <c r="F28" i="7"/>
  <c r="V78" i="6" l="1"/>
  <c r="V79" i="6" s="1"/>
  <c r="V80" i="6" s="1"/>
  <c r="U62" i="1"/>
  <c r="W55" i="1"/>
  <c r="F29" i="14"/>
  <c r="U6" i="11"/>
  <c r="U25" i="11"/>
  <c r="V57" i="1"/>
  <c r="V58" i="1" s="1"/>
  <c r="V7" i="11"/>
  <c r="V24" i="11" s="1"/>
  <c r="B31" i="12"/>
  <c r="E31" i="12"/>
  <c r="V39" i="11"/>
  <c r="W28" i="6"/>
  <c r="G31" i="13"/>
  <c r="W27" i="6"/>
  <c r="A72" i="14"/>
  <c r="C72" i="14" s="1"/>
  <c r="D70" i="14"/>
  <c r="D70" i="13"/>
  <c r="A72" i="13"/>
  <c r="C72" i="13" s="1"/>
  <c r="A74" i="12"/>
  <c r="C74" i="12" s="1"/>
  <c r="D72" i="12"/>
  <c r="G28" i="7"/>
  <c r="A69" i="7"/>
  <c r="C69" i="7" s="1"/>
  <c r="D67" i="7"/>
  <c r="V59" i="1" l="1"/>
  <c r="W77" i="6" s="1"/>
  <c r="W78" i="6" s="1"/>
  <c r="W79" i="6" s="1"/>
  <c r="W67" i="6"/>
  <c r="W42" i="11"/>
  <c r="G29" i="14"/>
  <c r="Y53" i="1"/>
  <c r="F31" i="12"/>
  <c r="B32" i="13"/>
  <c r="E32" i="13"/>
  <c r="Z54" i="1" s="1"/>
  <c r="W26" i="6"/>
  <c r="D71" i="14"/>
  <c r="A73" i="14"/>
  <c r="C73" i="14" s="1"/>
  <c r="A73" i="13"/>
  <c r="C73" i="13" s="1"/>
  <c r="D71" i="13"/>
  <c r="D73" i="12"/>
  <c r="A75" i="12"/>
  <c r="C75" i="12" s="1"/>
  <c r="W29" i="6"/>
  <c r="V8" i="11"/>
  <c r="A70" i="7"/>
  <c r="C70" i="7" s="1"/>
  <c r="D68" i="7"/>
  <c r="B29" i="7"/>
  <c r="E29" i="7"/>
  <c r="W81" i="6" l="1"/>
  <c r="W80" i="6" s="1"/>
  <c r="W37" i="6"/>
  <c r="V25" i="11" s="1"/>
  <c r="B30" i="14"/>
  <c r="E30" i="14"/>
  <c r="Y40" i="11"/>
  <c r="G31" i="12"/>
  <c r="W52" i="1"/>
  <c r="W56" i="1" s="1"/>
  <c r="W65" i="1" s="1"/>
  <c r="F32" i="13"/>
  <c r="Z41" i="11" s="1"/>
  <c r="D72" i="14"/>
  <c r="A74" i="14"/>
  <c r="C74" i="14" s="1"/>
  <c r="D72" i="13"/>
  <c r="A74" i="13"/>
  <c r="C74" i="13" s="1"/>
  <c r="D74" i="12"/>
  <c r="A76" i="12"/>
  <c r="C76" i="12" s="1"/>
  <c r="W30" i="6"/>
  <c r="F29" i="7"/>
  <c r="V62" i="1"/>
  <c r="V6" i="11"/>
  <c r="D69" i="7"/>
  <c r="A71" i="7"/>
  <c r="C71" i="7" s="1"/>
  <c r="X55" i="1" l="1"/>
  <c r="F30" i="14"/>
  <c r="W57" i="1"/>
  <c r="W58" i="1" s="1"/>
  <c r="W7" i="11"/>
  <c r="W24" i="11" s="1"/>
  <c r="B32" i="12"/>
  <c r="E32" i="12"/>
  <c r="W39" i="11"/>
  <c r="X28" i="6"/>
  <c r="G32" i="13"/>
  <c r="X27" i="6"/>
  <c r="A75" i="14"/>
  <c r="C75" i="14" s="1"/>
  <c r="D73" i="14"/>
  <c r="D73" i="13"/>
  <c r="A75" i="13"/>
  <c r="C75" i="13" s="1"/>
  <c r="D75" i="12"/>
  <c r="A77" i="12"/>
  <c r="C77" i="12" s="1"/>
  <c r="A72" i="7"/>
  <c r="C72" i="7" s="1"/>
  <c r="D70" i="7"/>
  <c r="G29" i="7"/>
  <c r="W59" i="1" l="1"/>
  <c r="X77" i="6" s="1"/>
  <c r="X78" i="6" s="1"/>
  <c r="X79" i="6" s="1"/>
  <c r="X80" i="6" s="1"/>
  <c r="X67" i="6"/>
  <c r="X42" i="11"/>
  <c r="G30" i="14"/>
  <c r="F32" i="12"/>
  <c r="Z53" i="1"/>
  <c r="B33" i="13"/>
  <c r="E33" i="13"/>
  <c r="X26" i="6"/>
  <c r="D74" i="14"/>
  <c r="A76" i="14"/>
  <c r="C76" i="14" s="1"/>
  <c r="D74" i="13"/>
  <c r="A76" i="13"/>
  <c r="C76" i="13" s="1"/>
  <c r="A78" i="12"/>
  <c r="C78" i="12" s="1"/>
  <c r="D76" i="12"/>
  <c r="X29" i="6"/>
  <c r="W8" i="11"/>
  <c r="A73" i="7"/>
  <c r="C73" i="7" s="1"/>
  <c r="B30" i="7"/>
  <c r="E30" i="7"/>
  <c r="D71" i="7"/>
  <c r="W62" i="1" l="1"/>
  <c r="X37" i="6"/>
  <c r="W25" i="11" s="1"/>
  <c r="W6" i="11"/>
  <c r="B31" i="14"/>
  <c r="E31" i="14"/>
  <c r="Z40" i="11"/>
  <c r="G32" i="12"/>
  <c r="F33" i="13"/>
  <c r="AA41" i="11" s="1"/>
  <c r="AA54" i="1"/>
  <c r="X52" i="1"/>
  <c r="X56" i="1" s="1"/>
  <c r="X65" i="1" s="1"/>
  <c r="X30" i="6"/>
  <c r="D75" i="14"/>
  <c r="A77" i="14"/>
  <c r="C77" i="14" s="1"/>
  <c r="D75" i="13"/>
  <c r="A77" i="13"/>
  <c r="C77" i="13" s="1"/>
  <c r="D77" i="12"/>
  <c r="A79" i="12"/>
  <c r="C79" i="12" s="1"/>
  <c r="A74" i="7"/>
  <c r="C74" i="7" s="1"/>
  <c r="F30" i="7"/>
  <c r="D72" i="7"/>
  <c r="Y55" i="1" l="1"/>
  <c r="F31" i="14"/>
  <c r="X57" i="1"/>
  <c r="X58" i="1" s="1"/>
  <c r="X7" i="11"/>
  <c r="X24" i="11" s="1"/>
  <c r="E33" i="12"/>
  <c r="B33" i="12"/>
  <c r="G33" i="13"/>
  <c r="B34" i="13" s="1"/>
  <c r="Y28" i="6"/>
  <c r="Y27" i="6"/>
  <c r="X39" i="11"/>
  <c r="D76" i="14"/>
  <c r="A78" i="14"/>
  <c r="C78" i="14" s="1"/>
  <c r="D76" i="13"/>
  <c r="A78" i="13"/>
  <c r="C78" i="13" s="1"/>
  <c r="A80" i="12"/>
  <c r="C80" i="12" s="1"/>
  <c r="D78" i="12"/>
  <c r="G30" i="7"/>
  <c r="D73" i="7"/>
  <c r="A75" i="7"/>
  <c r="C75" i="7" s="1"/>
  <c r="X59" i="1" l="1"/>
  <c r="Y77" i="6" s="1"/>
  <c r="Y78" i="6" s="1"/>
  <c r="Y79" i="6" s="1"/>
  <c r="Y80" i="6" s="1"/>
  <c r="Y67" i="6"/>
  <c r="Y42" i="11"/>
  <c r="G31" i="14"/>
  <c r="E34" i="13"/>
  <c r="F34" i="13" s="1"/>
  <c r="AC41" i="11" s="1"/>
  <c r="F33" i="12"/>
  <c r="AA53" i="1"/>
  <c r="Y26" i="6"/>
  <c r="A79" i="14"/>
  <c r="C79" i="14" s="1"/>
  <c r="D77" i="14"/>
  <c r="A79" i="13"/>
  <c r="C79" i="13" s="1"/>
  <c r="D77" i="13"/>
  <c r="A81" i="12"/>
  <c r="C81" i="12" s="1"/>
  <c r="D79" i="12"/>
  <c r="Y29" i="6"/>
  <c r="A76" i="7"/>
  <c r="C76" i="7" s="1"/>
  <c r="D74" i="7"/>
  <c r="X8" i="11"/>
  <c r="B31" i="7"/>
  <c r="E31" i="7"/>
  <c r="S38" i="6" l="1"/>
  <c r="Y37" i="6"/>
  <c r="X25" i="11" s="1"/>
  <c r="E32" i="14"/>
  <c r="B32" i="14"/>
  <c r="AC54" i="1"/>
  <c r="AA40" i="11"/>
  <c r="G33" i="12"/>
  <c r="G34" i="13"/>
  <c r="B35" i="13" s="1"/>
  <c r="Y52" i="1"/>
  <c r="Y56" i="1" s="1"/>
  <c r="Y65" i="1" s="1"/>
  <c r="Y30" i="6"/>
  <c r="D78" i="14"/>
  <c r="A80" i="14"/>
  <c r="C80" i="14" s="1"/>
  <c r="A80" i="13"/>
  <c r="C80" i="13" s="1"/>
  <c r="D78" i="13"/>
  <c r="D80" i="12"/>
  <c r="A82" i="12"/>
  <c r="C82" i="12" s="1"/>
  <c r="D75" i="7"/>
  <c r="X62" i="1"/>
  <c r="X6" i="11"/>
  <c r="F31" i="7"/>
  <c r="A77" i="7"/>
  <c r="C77" i="7" s="1"/>
  <c r="Z55" i="1" l="1"/>
  <c r="F32" i="14"/>
  <c r="Y57" i="1"/>
  <c r="Y58" i="1" s="1"/>
  <c r="Y7" i="11"/>
  <c r="Y24" i="11" s="1"/>
  <c r="E35" i="13"/>
  <c r="AD54" i="1" s="1"/>
  <c r="B34" i="12"/>
  <c r="E34" i="12"/>
  <c r="Y39" i="11"/>
  <c r="Z26" i="6" s="1"/>
  <c r="Z28" i="6"/>
  <c r="Z27" i="6"/>
  <c r="D79" i="14"/>
  <c r="A81" i="14"/>
  <c r="C81" i="14" s="1"/>
  <c r="A81" i="13"/>
  <c r="C81" i="13" s="1"/>
  <c r="D79" i="13"/>
  <c r="A83" i="12"/>
  <c r="C83" i="12" s="1"/>
  <c r="D81" i="12"/>
  <c r="G31" i="7"/>
  <c r="A78" i="7"/>
  <c r="C78" i="7" s="1"/>
  <c r="D76" i="7"/>
  <c r="Y59" i="1" l="1"/>
  <c r="Z77" i="6" s="1"/>
  <c r="Z78" i="6" s="1"/>
  <c r="Z79" i="6" s="1"/>
  <c r="Z80" i="6" s="1"/>
  <c r="Z67" i="6"/>
  <c r="Z37" i="6" s="1"/>
  <c r="Z42" i="11"/>
  <c r="G32" i="14"/>
  <c r="F35" i="13"/>
  <c r="AD41" i="11" s="1"/>
  <c r="AC53" i="1"/>
  <c r="F34" i="12"/>
  <c r="D80" i="14"/>
  <c r="A82" i="14"/>
  <c r="C82" i="14" s="1"/>
  <c r="A82" i="13"/>
  <c r="C82" i="13" s="1"/>
  <c r="D80" i="13"/>
  <c r="D82" i="12"/>
  <c r="A84" i="12"/>
  <c r="C84" i="12" s="1"/>
  <c r="Z29" i="6"/>
  <c r="Z30" i="6" s="1"/>
  <c r="D77" i="7"/>
  <c r="A79" i="7"/>
  <c r="C79" i="7" s="1"/>
  <c r="Y8" i="11"/>
  <c r="B32" i="7"/>
  <c r="E32" i="7"/>
  <c r="T38" i="6" l="1"/>
  <c r="Y62" i="1"/>
  <c r="Y6" i="11"/>
  <c r="E33" i="14"/>
  <c r="B33" i="14"/>
  <c r="G35" i="13"/>
  <c r="E36" i="13" s="1"/>
  <c r="AE54" i="1" s="1"/>
  <c r="G34" i="12"/>
  <c r="AC40" i="11"/>
  <c r="Z52" i="1"/>
  <c r="Z56" i="1" s="1"/>
  <c r="Z65" i="1" s="1"/>
  <c r="A83" i="14"/>
  <c r="C83" i="14" s="1"/>
  <c r="D81" i="14"/>
  <c r="D81" i="13"/>
  <c r="A83" i="13"/>
  <c r="C83" i="13" s="1"/>
  <c r="D83" i="12"/>
  <c r="A85" i="12"/>
  <c r="C85" i="12" s="1"/>
  <c r="A80" i="7"/>
  <c r="C80" i="7" s="1"/>
  <c r="Y25" i="11"/>
  <c r="F32" i="7"/>
  <c r="D78" i="7"/>
  <c r="F33" i="14" l="1"/>
  <c r="AA55" i="1"/>
  <c r="B36" i="13"/>
  <c r="Z57" i="1"/>
  <c r="Z58" i="1" s="1"/>
  <c r="Z7" i="11"/>
  <c r="Z24" i="11" s="1"/>
  <c r="E35" i="12"/>
  <c r="B35" i="12"/>
  <c r="Z39" i="11"/>
  <c r="AA26" i="6" s="1"/>
  <c r="AA27" i="6"/>
  <c r="AA28" i="6"/>
  <c r="F36" i="13"/>
  <c r="AE41" i="11" s="1"/>
  <c r="D82" i="14"/>
  <c r="A84" i="14"/>
  <c r="C84" i="14" s="1"/>
  <c r="D82" i="13"/>
  <c r="A84" i="13"/>
  <c r="C84" i="13" s="1"/>
  <c r="A86" i="12"/>
  <c r="C86" i="12" s="1"/>
  <c r="D84" i="12"/>
  <c r="A81" i="7"/>
  <c r="C81" i="7" s="1"/>
  <c r="G32" i="7"/>
  <c r="D79" i="7"/>
  <c r="Z59" i="1" l="1"/>
  <c r="AA77" i="6" s="1"/>
  <c r="AA78" i="6" s="1"/>
  <c r="AA79" i="6" s="1"/>
  <c r="AA80" i="6" s="1"/>
  <c r="AA67" i="6"/>
  <c r="AA37" i="6" s="1"/>
  <c r="AA42" i="11"/>
  <c r="G33" i="14"/>
  <c r="AD53" i="1"/>
  <c r="F35" i="12"/>
  <c r="G36" i="13"/>
  <c r="D83" i="14"/>
  <c r="A85" i="14"/>
  <c r="C85" i="14" s="1"/>
  <c r="D83" i="13"/>
  <c r="A85" i="13"/>
  <c r="C85" i="13" s="1"/>
  <c r="A87" i="12"/>
  <c r="C87" i="12" s="1"/>
  <c r="D85" i="12"/>
  <c r="AA29" i="6"/>
  <c r="AA30" i="6" s="1"/>
  <c r="D80" i="7"/>
  <c r="B33" i="7"/>
  <c r="E33" i="7"/>
  <c r="A82" i="7"/>
  <c r="C82" i="7" s="1"/>
  <c r="Z8" i="11"/>
  <c r="U38" i="6" l="1"/>
  <c r="B34" i="14"/>
  <c r="E34" i="14"/>
  <c r="AD40" i="11"/>
  <c r="G35" i="12"/>
  <c r="AA52" i="1"/>
  <c r="AB53" i="1"/>
  <c r="AB54" i="1"/>
  <c r="AB55" i="1"/>
  <c r="E37" i="13"/>
  <c r="AF54" i="1" s="1"/>
  <c r="B37" i="13"/>
  <c r="D84" i="14"/>
  <c r="A86" i="14"/>
  <c r="C86" i="14" s="1"/>
  <c r="D84" i="13"/>
  <c r="A86" i="13"/>
  <c r="C86" i="13" s="1"/>
  <c r="D86" i="12"/>
  <c r="A88" i="12"/>
  <c r="C88" i="12" s="1"/>
  <c r="D81" i="7"/>
  <c r="Z62" i="1"/>
  <c r="Z6" i="11"/>
  <c r="A83" i="7"/>
  <c r="C83" i="7" s="1"/>
  <c r="Z25" i="11"/>
  <c r="F33" i="7"/>
  <c r="AC55" i="1" l="1"/>
  <c r="F34" i="14"/>
  <c r="B36" i="12"/>
  <c r="E36" i="12"/>
  <c r="AA56" i="1"/>
  <c r="AA65" i="1" s="1"/>
  <c r="AA39" i="11"/>
  <c r="AB39" i="11" s="1"/>
  <c r="AB42" i="11"/>
  <c r="F37" i="13"/>
  <c r="AF41" i="11" s="1"/>
  <c r="D85" i="14"/>
  <c r="A87" i="14"/>
  <c r="C87" i="14" s="1"/>
  <c r="A87" i="13"/>
  <c r="C87" i="13" s="1"/>
  <c r="D85" i="13"/>
  <c r="A89" i="12"/>
  <c r="C89" i="12" s="1"/>
  <c r="D87" i="12"/>
  <c r="AB52" i="1"/>
  <c r="D82" i="7"/>
  <c r="G33" i="7"/>
  <c r="A84" i="7"/>
  <c r="C84" i="7" s="1"/>
  <c r="AC42" i="11" l="1"/>
  <c r="G34" i="14"/>
  <c r="AA57" i="1"/>
  <c r="AA58" i="1" s="1"/>
  <c r="AA7" i="11"/>
  <c r="AB7" i="11" s="1"/>
  <c r="AE53" i="1"/>
  <c r="F36" i="12"/>
  <c r="AB26" i="6"/>
  <c r="AB41" i="11"/>
  <c r="AB28" i="6"/>
  <c r="AC28" i="6" s="1"/>
  <c r="AB40" i="11"/>
  <c r="AB27" i="6"/>
  <c r="AC27" i="6" s="1"/>
  <c r="G37" i="13"/>
  <c r="AB56" i="1"/>
  <c r="A88" i="14"/>
  <c r="C88" i="14" s="1"/>
  <c r="D86" i="14"/>
  <c r="D86" i="13"/>
  <c r="A88" i="13"/>
  <c r="C88" i="13" s="1"/>
  <c r="A90" i="12"/>
  <c r="C90" i="12" s="1"/>
  <c r="D88" i="12"/>
  <c r="AB29" i="6"/>
  <c r="AC29" i="6" s="1"/>
  <c r="A85" i="7"/>
  <c r="C85" i="7" s="1"/>
  <c r="D83" i="7"/>
  <c r="E34" i="7"/>
  <c r="B34" i="7"/>
  <c r="AB57" i="1" l="1"/>
  <c r="AB65" i="1"/>
  <c r="AB67" i="6"/>
  <c r="AB37" i="6" s="1"/>
  <c r="AC37" i="6" s="1"/>
  <c r="B35" i="14"/>
  <c r="E35" i="14"/>
  <c r="AA24" i="11"/>
  <c r="AB24" i="11" s="1"/>
  <c r="AA8" i="11"/>
  <c r="AB8" i="11" s="1"/>
  <c r="AB58" i="1"/>
  <c r="AA59" i="1"/>
  <c r="AB77" i="6" s="1"/>
  <c r="AB78" i="6" s="1"/>
  <c r="AB79" i="6" s="1"/>
  <c r="AB80" i="6" s="1"/>
  <c r="G36" i="12"/>
  <c r="AE40" i="11"/>
  <c r="AC52" i="1"/>
  <c r="E38" i="13"/>
  <c r="AG54" i="1" s="1"/>
  <c r="B38" i="13"/>
  <c r="D87" i="14"/>
  <c r="A89" i="14"/>
  <c r="C89" i="14" s="1"/>
  <c r="D87" i="13"/>
  <c r="A89" i="13"/>
  <c r="C89" i="13" s="1"/>
  <c r="D89" i="12"/>
  <c r="A91" i="12"/>
  <c r="C91" i="12" s="1"/>
  <c r="AB30" i="6"/>
  <c r="AC26" i="6"/>
  <c r="D84" i="7"/>
  <c r="F34" i="7"/>
  <c r="A86" i="7"/>
  <c r="C86" i="7" s="1"/>
  <c r="AB59" i="1" l="1"/>
  <c r="AB62" i="1" s="1"/>
  <c r="AD55" i="1"/>
  <c r="F35" i="14"/>
  <c r="AA25" i="11"/>
  <c r="AB25" i="11" s="1"/>
  <c r="AA62" i="1"/>
  <c r="AA6" i="11"/>
  <c r="AB6" i="11" s="1"/>
  <c r="B37" i="12"/>
  <c r="E37" i="12"/>
  <c r="AC56" i="1"/>
  <c r="AC65" i="1" s="1"/>
  <c r="AC39" i="11"/>
  <c r="F38" i="13"/>
  <c r="AG41" i="11" s="1"/>
  <c r="D88" i="14"/>
  <c r="A90" i="14"/>
  <c r="C90" i="14" s="1"/>
  <c r="D88" i="13"/>
  <c r="A90" i="13"/>
  <c r="C90" i="13" s="1"/>
  <c r="D90" i="12"/>
  <c r="A92" i="12"/>
  <c r="C92" i="12" s="1"/>
  <c r="AC30" i="6"/>
  <c r="D85" i="7"/>
  <c r="G34" i="7"/>
  <c r="A87" i="7"/>
  <c r="C87" i="7" s="1"/>
  <c r="AD42" i="11" l="1"/>
  <c r="G35" i="14"/>
  <c r="AC57" i="1"/>
  <c r="AC7" i="11"/>
  <c r="AC24" i="11" s="1"/>
  <c r="AF53" i="1"/>
  <c r="F37" i="12"/>
  <c r="AD28" i="6"/>
  <c r="G38" i="13"/>
  <c r="AD26" i="6"/>
  <c r="AD27" i="6"/>
  <c r="A91" i="14"/>
  <c r="C91" i="14" s="1"/>
  <c r="D89" i="14"/>
  <c r="D89" i="13"/>
  <c r="A91" i="13"/>
  <c r="C91" i="13" s="1"/>
  <c r="D91" i="12"/>
  <c r="A93" i="12"/>
  <c r="C93" i="12" s="1"/>
  <c r="AD29" i="6"/>
  <c r="D86" i="7"/>
  <c r="A88" i="7"/>
  <c r="C88" i="7" s="1"/>
  <c r="E35" i="7"/>
  <c r="B35" i="7"/>
  <c r="AC58" i="1" l="1"/>
  <c r="AD67" i="6" s="1"/>
  <c r="E36" i="14"/>
  <c r="B36" i="14"/>
  <c r="AF40" i="11"/>
  <c r="G37" i="12"/>
  <c r="AD52" i="1"/>
  <c r="E39" i="13"/>
  <c r="AH54" i="1" s="1"/>
  <c r="B39" i="13"/>
  <c r="AD30" i="6"/>
  <c r="A92" i="14"/>
  <c r="C92" i="14" s="1"/>
  <c r="D90" i="14"/>
  <c r="D90" i="13"/>
  <c r="A92" i="13"/>
  <c r="C92" i="13" s="1"/>
  <c r="D92" i="12"/>
  <c r="A94" i="12"/>
  <c r="C94" i="12" s="1"/>
  <c r="F35" i="7"/>
  <c r="D87" i="7"/>
  <c r="A89" i="7"/>
  <c r="C89" i="7" s="1"/>
  <c r="AC59" i="1" l="1"/>
  <c r="AD77" i="6" s="1"/>
  <c r="AC8" i="11"/>
  <c r="AD37" i="6"/>
  <c r="AE55" i="1"/>
  <c r="F36" i="14"/>
  <c r="E38" i="12"/>
  <c r="B38" i="12"/>
  <c r="AD39" i="11"/>
  <c r="AE28" i="6"/>
  <c r="F39" i="13"/>
  <c r="AH41" i="11" s="1"/>
  <c r="AD56" i="1"/>
  <c r="AD65" i="1" s="1"/>
  <c r="D91" i="14"/>
  <c r="A93" i="14"/>
  <c r="C93" i="14" s="1"/>
  <c r="D91" i="13"/>
  <c r="A93" i="13"/>
  <c r="C93" i="13" s="1"/>
  <c r="D93" i="12"/>
  <c r="A95" i="12"/>
  <c r="C95" i="12" s="1"/>
  <c r="A90" i="7"/>
  <c r="C90" i="7" s="1"/>
  <c r="G35" i="7"/>
  <c r="D88" i="7"/>
  <c r="AD78" i="6" l="1"/>
  <c r="AD79" i="6" s="1"/>
  <c r="AC62" i="1"/>
  <c r="AC6" i="11"/>
  <c r="AC25" i="11"/>
  <c r="AE42" i="11"/>
  <c r="G36" i="14"/>
  <c r="AD57" i="1"/>
  <c r="AD7" i="11"/>
  <c r="AD24" i="11" s="1"/>
  <c r="AG53" i="1"/>
  <c r="F38" i="12"/>
  <c r="G39" i="13"/>
  <c r="AE26" i="6"/>
  <c r="AE27" i="6"/>
  <c r="D92" i="14"/>
  <c r="A94" i="14"/>
  <c r="C94" i="14" s="1"/>
  <c r="A94" i="13"/>
  <c r="C94" i="13" s="1"/>
  <c r="D92" i="13"/>
  <c r="A96" i="12"/>
  <c r="C96" i="12" s="1"/>
  <c r="D94" i="12"/>
  <c r="AE29" i="6"/>
  <c r="E36" i="7"/>
  <c r="B36" i="7"/>
  <c r="D89" i="7"/>
  <c r="A91" i="7"/>
  <c r="C91" i="7" s="1"/>
  <c r="AD81" i="6" l="1"/>
  <c r="AD80" i="6" s="1"/>
  <c r="AD58" i="1"/>
  <c r="AE67" i="6" s="1"/>
  <c r="AE37" i="6" s="1"/>
  <c r="E37" i="14"/>
  <c r="B37" i="14"/>
  <c r="G38" i="12"/>
  <c r="AG40" i="11"/>
  <c r="AE52" i="1"/>
  <c r="B40" i="13"/>
  <c r="E40" i="13"/>
  <c r="AI54" i="1" s="1"/>
  <c r="AE30" i="6"/>
  <c r="D93" i="14"/>
  <c r="A95" i="14"/>
  <c r="C95" i="14" s="1"/>
  <c r="D93" i="13"/>
  <c r="A95" i="13"/>
  <c r="C95" i="13" s="1"/>
  <c r="A97" i="12"/>
  <c r="C97" i="12" s="1"/>
  <c r="D95" i="12"/>
  <c r="D90" i="7"/>
  <c r="F36" i="7"/>
  <c r="A92" i="7"/>
  <c r="C92" i="7" s="1"/>
  <c r="AD59" i="1" l="1"/>
  <c r="AE77" i="6" s="1"/>
  <c r="AD8" i="11"/>
  <c r="AD25" i="11" s="1"/>
  <c r="AF55" i="1"/>
  <c r="F37" i="14"/>
  <c r="E39" i="12"/>
  <c r="B39" i="12"/>
  <c r="AE39" i="11"/>
  <c r="F40" i="13"/>
  <c r="AI41" i="11" s="1"/>
  <c r="AE56" i="1"/>
  <c r="AE65" i="1" s="1"/>
  <c r="AF28" i="6"/>
  <c r="A96" i="14"/>
  <c r="C96" i="14" s="1"/>
  <c r="D94" i="14"/>
  <c r="D94" i="13"/>
  <c r="A96" i="13"/>
  <c r="C96" i="13" s="1"/>
  <c r="D96" i="12"/>
  <c r="A98" i="12"/>
  <c r="C98" i="12" s="1"/>
  <c r="A93" i="7"/>
  <c r="C93" i="7" s="1"/>
  <c r="G36" i="7"/>
  <c r="D91" i="7"/>
  <c r="AE78" i="6" l="1"/>
  <c r="AE79" i="6" s="1"/>
  <c r="AE80" i="6" s="1"/>
  <c r="AD62" i="1"/>
  <c r="AD6" i="11"/>
  <c r="AF42" i="11"/>
  <c r="G37" i="14"/>
  <c r="AE57" i="1"/>
  <c r="AE7" i="11"/>
  <c r="AE24" i="11" s="1"/>
  <c r="AH53" i="1"/>
  <c r="F39" i="12"/>
  <c r="G40" i="13"/>
  <c r="AF26" i="6"/>
  <c r="AF27" i="6"/>
  <c r="A97" i="14"/>
  <c r="C97" i="14" s="1"/>
  <c r="D95" i="14"/>
  <c r="D95" i="13"/>
  <c r="A97" i="13"/>
  <c r="C97" i="13" s="1"/>
  <c r="D97" i="12"/>
  <c r="A99" i="12"/>
  <c r="C99" i="12" s="1"/>
  <c r="AF29" i="6"/>
  <c r="D92" i="7"/>
  <c r="A94" i="7"/>
  <c r="C94" i="7" s="1"/>
  <c r="E37" i="7"/>
  <c r="B37" i="7"/>
  <c r="AE58" i="1" l="1"/>
  <c r="AE8" i="11" s="1"/>
  <c r="E38" i="14"/>
  <c r="B38" i="14"/>
  <c r="AH40" i="11"/>
  <c r="G39" i="12"/>
  <c r="AF52" i="1"/>
  <c r="E41" i="13"/>
  <c r="AJ54" i="1" s="1"/>
  <c r="B41" i="13"/>
  <c r="AF30" i="6"/>
  <c r="D96" i="14"/>
  <c r="A98" i="14"/>
  <c r="C98" i="14" s="1"/>
  <c r="A98" i="13"/>
  <c r="C98" i="13" s="1"/>
  <c r="D96" i="13"/>
  <c r="D98" i="12"/>
  <c r="A100" i="12"/>
  <c r="C100" i="12" s="1"/>
  <c r="F37" i="7"/>
  <c r="A95" i="7"/>
  <c r="C95" i="7" s="1"/>
  <c r="D93" i="7"/>
  <c r="Y38" i="6" l="1"/>
  <c r="AE59" i="1"/>
  <c r="AF77" i="6" s="1"/>
  <c r="AF67" i="6"/>
  <c r="AF37" i="6" s="1"/>
  <c r="AE25" i="11" s="1"/>
  <c r="AG55" i="1"/>
  <c r="F38" i="14"/>
  <c r="B40" i="12"/>
  <c r="E40" i="12"/>
  <c r="AF39" i="11"/>
  <c r="AG28" i="6"/>
  <c r="AF56" i="1"/>
  <c r="AF65" i="1" s="1"/>
  <c r="F41" i="13"/>
  <c r="AJ41" i="11" s="1"/>
  <c r="A99" i="14"/>
  <c r="C99" i="14" s="1"/>
  <c r="D97" i="14"/>
  <c r="A99" i="13"/>
  <c r="C99" i="13" s="1"/>
  <c r="D97" i="13"/>
  <c r="A101" i="12"/>
  <c r="C101" i="12" s="1"/>
  <c r="D99" i="12"/>
  <c r="D94" i="7"/>
  <c r="A96" i="7"/>
  <c r="C96" i="7" s="1"/>
  <c r="G37" i="7"/>
  <c r="AF78" i="6" l="1"/>
  <c r="AF79" i="6" s="1"/>
  <c r="AF80" i="6" s="1"/>
  <c r="AE62" i="1"/>
  <c r="AE6" i="11"/>
  <c r="AG42" i="11"/>
  <c r="G38" i="14"/>
  <c r="AF57" i="1"/>
  <c r="AF58" i="1" s="1"/>
  <c r="AF7" i="11"/>
  <c r="AF24" i="11" s="1"/>
  <c r="F40" i="12"/>
  <c r="AI53" i="1"/>
  <c r="G41" i="13"/>
  <c r="AG26" i="6"/>
  <c r="AG27" i="6"/>
  <c r="D98" i="14"/>
  <c r="A100" i="14"/>
  <c r="C100" i="14" s="1"/>
  <c r="A100" i="13"/>
  <c r="C100" i="13" s="1"/>
  <c r="D98" i="13"/>
  <c r="A102" i="12"/>
  <c r="C102" i="12" s="1"/>
  <c r="D100" i="12"/>
  <c r="AG29" i="6"/>
  <c r="D95" i="7"/>
  <c r="E38" i="7"/>
  <c r="B38" i="7"/>
  <c r="A97" i="7"/>
  <c r="C97" i="7" s="1"/>
  <c r="Z38" i="6" l="1"/>
  <c r="AF59" i="1"/>
  <c r="AG77" i="6" s="1"/>
  <c r="AG67" i="6"/>
  <c r="AG37" i="6" s="1"/>
  <c r="E39" i="14"/>
  <c r="B39" i="14"/>
  <c r="AF8" i="11"/>
  <c r="AI40" i="11"/>
  <c r="G40" i="12"/>
  <c r="AG52" i="1"/>
  <c r="E42" i="13"/>
  <c r="AK54" i="1" s="1"/>
  <c r="B42" i="13"/>
  <c r="AG30" i="6"/>
  <c r="D99" i="14"/>
  <c r="A101" i="14"/>
  <c r="C101" i="14" s="1"/>
  <c r="D99" i="13"/>
  <c r="A101" i="13"/>
  <c r="C101" i="13" s="1"/>
  <c r="D101" i="12"/>
  <c r="A103" i="12"/>
  <c r="C103" i="12" s="1"/>
  <c r="D96" i="7"/>
  <c r="A98" i="7"/>
  <c r="C98" i="7" s="1"/>
  <c r="F38" i="7"/>
  <c r="AG78" i="6" l="1"/>
  <c r="AG79" i="6" s="1"/>
  <c r="AG80" i="6" s="1"/>
  <c r="AF6" i="11"/>
  <c r="AF62" i="1"/>
  <c r="AH55" i="1"/>
  <c r="F39" i="14"/>
  <c r="AF25" i="11"/>
  <c r="B41" i="12"/>
  <c r="E41" i="12"/>
  <c r="AG39" i="11"/>
  <c r="AH28" i="6"/>
  <c r="AG56" i="1"/>
  <c r="AG65" i="1" s="1"/>
  <c r="F42" i="13"/>
  <c r="AK41" i="11" s="1"/>
  <c r="D100" i="14"/>
  <c r="A102" i="14"/>
  <c r="C102" i="14" s="1"/>
  <c r="D100" i="13"/>
  <c r="A102" i="13"/>
  <c r="C102" i="13" s="1"/>
  <c r="D102" i="12"/>
  <c r="A104" i="12"/>
  <c r="C104" i="12" s="1"/>
  <c r="A99" i="7"/>
  <c r="C99" i="7" s="1"/>
  <c r="G38" i="7"/>
  <c r="D97" i="7"/>
  <c r="AH42" i="11" l="1"/>
  <c r="G39" i="14"/>
  <c r="AG57" i="1"/>
  <c r="AG58" i="1" s="1"/>
  <c r="AG7" i="11"/>
  <c r="AG24" i="11" s="1"/>
  <c r="AJ53" i="1"/>
  <c r="F41" i="12"/>
  <c r="G42" i="13"/>
  <c r="AH26" i="6"/>
  <c r="AH27" i="6"/>
  <c r="A103" i="14"/>
  <c r="C103" i="14" s="1"/>
  <c r="D101" i="14"/>
  <c r="D101" i="13"/>
  <c r="A103" i="13"/>
  <c r="C103" i="13" s="1"/>
  <c r="D103" i="12"/>
  <c r="A105" i="12"/>
  <c r="C105" i="12" s="1"/>
  <c r="AH29" i="6"/>
  <c r="E39" i="7"/>
  <c r="B39" i="7"/>
  <c r="A100" i="7"/>
  <c r="C100" i="7" s="1"/>
  <c r="D98" i="7"/>
  <c r="AG59" i="1" l="1"/>
  <c r="AH77" i="6" s="1"/>
  <c r="AH67" i="6"/>
  <c r="AH37" i="6" s="1"/>
  <c r="E40" i="14"/>
  <c r="B40" i="14"/>
  <c r="AG8" i="11"/>
  <c r="G41" i="12"/>
  <c r="AJ40" i="11"/>
  <c r="AH52" i="1"/>
  <c r="E43" i="13"/>
  <c r="AL54" i="1" s="1"/>
  <c r="B43" i="13"/>
  <c r="AH30" i="6"/>
  <c r="D102" i="14"/>
  <c r="A104" i="14"/>
  <c r="C104" i="14" s="1"/>
  <c r="D102" i="13"/>
  <c r="A104" i="13"/>
  <c r="C104" i="13" s="1"/>
  <c r="D104" i="12"/>
  <c r="A106" i="12"/>
  <c r="C106" i="12" s="1"/>
  <c r="A101" i="7"/>
  <c r="C101" i="7" s="1"/>
  <c r="F39" i="7"/>
  <c r="D99" i="7"/>
  <c r="AH78" i="6" l="1"/>
  <c r="AH79" i="6" s="1"/>
  <c r="AH80" i="6" s="1"/>
  <c r="AG6" i="11"/>
  <c r="AG62" i="1"/>
  <c r="AI55" i="1"/>
  <c r="F40" i="14"/>
  <c r="AG25" i="11"/>
  <c r="E42" i="12"/>
  <c r="B42" i="12"/>
  <c r="AH39" i="11"/>
  <c r="AI28" i="6"/>
  <c r="F43" i="13"/>
  <c r="AL41" i="11" s="1"/>
  <c r="AH56" i="1"/>
  <c r="AH65" i="1" s="1"/>
  <c r="AI27" i="6"/>
  <c r="A105" i="14"/>
  <c r="C105" i="14" s="1"/>
  <c r="D103" i="14"/>
  <c r="D103" i="13"/>
  <c r="A105" i="13"/>
  <c r="C105" i="13" s="1"/>
  <c r="D105" i="12"/>
  <c r="A107" i="12"/>
  <c r="C107" i="12" s="1"/>
  <c r="A102" i="7"/>
  <c r="C102" i="7" s="1"/>
  <c r="D100" i="7"/>
  <c r="G39" i="7"/>
  <c r="AB38" i="6" l="1"/>
  <c r="AC38" i="6" s="1"/>
  <c r="AI42" i="11"/>
  <c r="G40" i="14"/>
  <c r="AH57" i="1"/>
  <c r="AH58" i="1" s="1"/>
  <c r="AH7" i="11"/>
  <c r="AH24" i="11" s="1"/>
  <c r="AK53" i="1"/>
  <c r="F42" i="12"/>
  <c r="G43" i="13"/>
  <c r="AI26" i="6"/>
  <c r="D104" i="14"/>
  <c r="A106" i="14"/>
  <c r="C106" i="14" s="1"/>
  <c r="A106" i="13"/>
  <c r="C106" i="13" s="1"/>
  <c r="D104" i="13"/>
  <c r="D107" i="12"/>
  <c r="A108" i="12"/>
  <c r="C108" i="12" s="1"/>
  <c r="D106" i="12"/>
  <c r="AI29" i="6"/>
  <c r="E40" i="7"/>
  <c r="B40" i="7"/>
  <c r="A103" i="7"/>
  <c r="C103" i="7" s="1"/>
  <c r="D101" i="7"/>
  <c r="AH8" i="11" l="1"/>
  <c r="AI67" i="6"/>
  <c r="AI37" i="6" s="1"/>
  <c r="E41" i="14"/>
  <c r="B41" i="14"/>
  <c r="AH59" i="1"/>
  <c r="AI77" i="6" s="1"/>
  <c r="AI78" i="6" s="1"/>
  <c r="AI79" i="6" s="1"/>
  <c r="AI80" i="6" s="1"/>
  <c r="AK40" i="11"/>
  <c r="G42" i="12"/>
  <c r="AI52" i="1"/>
  <c r="AI30" i="6"/>
  <c r="E44" i="13"/>
  <c r="AM54" i="1" s="1"/>
  <c r="B44" i="13"/>
  <c r="A107" i="14"/>
  <c r="C107" i="14" s="1"/>
  <c r="D105" i="14"/>
  <c r="A107" i="13"/>
  <c r="C107" i="13" s="1"/>
  <c r="D105" i="13"/>
  <c r="A109" i="12"/>
  <c r="C109" i="12" s="1"/>
  <c r="D102" i="7"/>
  <c r="F40" i="7"/>
  <c r="A104" i="7"/>
  <c r="C104" i="7" s="1"/>
  <c r="AJ55" i="1" l="1"/>
  <c r="F41" i="14"/>
  <c r="AH62" i="1"/>
  <c r="AH6" i="11"/>
  <c r="AH25" i="11"/>
  <c r="B43" i="12"/>
  <c r="E43" i="12"/>
  <c r="AI39" i="11"/>
  <c r="F44" i="13"/>
  <c r="AM41" i="11" s="1"/>
  <c r="AI56" i="1"/>
  <c r="AI65" i="1" s="1"/>
  <c r="AJ28" i="6"/>
  <c r="AJ27" i="6"/>
  <c r="D107" i="14"/>
  <c r="A108" i="14"/>
  <c r="C108" i="14" s="1"/>
  <c r="D106" i="14"/>
  <c r="A108" i="13"/>
  <c r="C108" i="13" s="1"/>
  <c r="D107" i="13"/>
  <c r="D106" i="13"/>
  <c r="D108" i="12"/>
  <c r="A110" i="12"/>
  <c r="C110" i="12" s="1"/>
  <c r="D109" i="12"/>
  <c r="D103" i="7"/>
  <c r="G40" i="7"/>
  <c r="A105" i="7"/>
  <c r="C105" i="7" s="1"/>
  <c r="G41" i="14" l="1"/>
  <c r="AJ42" i="11"/>
  <c r="AI57" i="1"/>
  <c r="AI58" i="1" s="1"/>
  <c r="AI7" i="11"/>
  <c r="AI24" i="11" s="1"/>
  <c r="F43" i="12"/>
  <c r="AL53" i="1"/>
  <c r="G44" i="13"/>
  <c r="AJ26" i="6"/>
  <c r="A109" i="14"/>
  <c r="C109" i="14" s="1"/>
  <c r="A109" i="13"/>
  <c r="C109" i="13" s="1"/>
  <c r="A111" i="12"/>
  <c r="C111" i="12" s="1"/>
  <c r="D110" i="12"/>
  <c r="AJ29" i="6"/>
  <c r="D104" i="7"/>
  <c r="E41" i="7"/>
  <c r="B41" i="7"/>
  <c r="A106" i="7"/>
  <c r="C106" i="7" s="1"/>
  <c r="AI59" i="1" l="1"/>
  <c r="AJ77" i="6" s="1"/>
  <c r="AJ78" i="6" s="1"/>
  <c r="AJ79" i="6" s="1"/>
  <c r="AJ67" i="6"/>
  <c r="AI8" i="11"/>
  <c r="B42" i="14"/>
  <c r="E42" i="14"/>
  <c r="G43" i="12"/>
  <c r="AL40" i="11"/>
  <c r="AJ52" i="1"/>
  <c r="AJ56" i="1" s="1"/>
  <c r="AJ65" i="1" s="1"/>
  <c r="E45" i="13"/>
  <c r="B45" i="13"/>
  <c r="AJ30" i="6"/>
  <c r="A110" i="14"/>
  <c r="C110" i="14" s="1"/>
  <c r="D108" i="14"/>
  <c r="A110" i="13"/>
  <c r="C110" i="13" s="1"/>
  <c r="D108" i="13"/>
  <c r="D111" i="12"/>
  <c r="A112" i="12"/>
  <c r="C112" i="12" s="1"/>
  <c r="A107" i="7"/>
  <c r="C107" i="7" s="1"/>
  <c r="D105" i="7"/>
  <c r="F41" i="7"/>
  <c r="AI62" i="1" l="1"/>
  <c r="AJ81" i="6"/>
  <c r="AJ80" i="6" s="1"/>
  <c r="AD38" i="6"/>
  <c r="AI6" i="11"/>
  <c r="AJ37" i="6"/>
  <c r="AI25" i="11" s="1"/>
  <c r="AK55" i="1"/>
  <c r="F42" i="14"/>
  <c r="AJ57" i="1"/>
  <c r="AJ58" i="1" s="1"/>
  <c r="AJ7" i="11"/>
  <c r="AJ24" i="11" s="1"/>
  <c r="E44" i="12"/>
  <c r="B44" i="12"/>
  <c r="F45" i="13"/>
  <c r="AN41" i="11" s="1"/>
  <c r="AN54" i="1"/>
  <c r="AJ39" i="11"/>
  <c r="AK26" i="6" s="1"/>
  <c r="AK28" i="6"/>
  <c r="AK27" i="6"/>
  <c r="D110" i="14"/>
  <c r="A111" i="14"/>
  <c r="C111" i="14" s="1"/>
  <c r="D109" i="14"/>
  <c r="D109" i="13"/>
  <c r="A111" i="13"/>
  <c r="C111" i="13" s="1"/>
  <c r="A113" i="12"/>
  <c r="C113" i="12" s="1"/>
  <c r="D112" i="12"/>
  <c r="D106" i="7"/>
  <c r="A108" i="7"/>
  <c r="C108" i="7" s="1"/>
  <c r="G41" i="7"/>
  <c r="AJ59" i="1" l="1"/>
  <c r="AK77" i="6" s="1"/>
  <c r="AK78" i="6" s="1"/>
  <c r="AK79" i="6" s="1"/>
  <c r="AK80" i="6" s="1"/>
  <c r="AK67" i="6"/>
  <c r="AK42" i="11"/>
  <c r="G42" i="14"/>
  <c r="G45" i="13"/>
  <c r="E46" i="13" s="1"/>
  <c r="F46" i="13" s="1"/>
  <c r="F44" i="12"/>
  <c r="AM53" i="1"/>
  <c r="D111" i="14"/>
  <c r="A112" i="14"/>
  <c r="C112" i="14" s="1"/>
  <c r="D110" i="13"/>
  <c r="D111" i="13"/>
  <c r="A112" i="13"/>
  <c r="C112" i="13" s="1"/>
  <c r="A114" i="12"/>
  <c r="C114" i="12" s="1"/>
  <c r="D113" i="12"/>
  <c r="AK29" i="6"/>
  <c r="AK30" i="6" s="1"/>
  <c r="D107" i="7"/>
  <c r="E42" i="7"/>
  <c r="B42" i="7"/>
  <c r="AJ8" i="11"/>
  <c r="A109" i="7"/>
  <c r="C109" i="7" s="1"/>
  <c r="AJ62" i="1" l="1"/>
  <c r="AJ6" i="11"/>
  <c r="AK37" i="6"/>
  <c r="AJ25" i="11" s="1"/>
  <c r="E43" i="14"/>
  <c r="B43" i="14"/>
  <c r="B46" i="13"/>
  <c r="G46" i="13" s="1"/>
  <c r="G44" i="12"/>
  <c r="AM40" i="11"/>
  <c r="AK52" i="1"/>
  <c r="AK56" i="1" s="1"/>
  <c r="AK65" i="1" s="1"/>
  <c r="A113" i="14"/>
  <c r="C113" i="14" s="1"/>
  <c r="D112" i="14"/>
  <c r="D112" i="13"/>
  <c r="A113" i="13"/>
  <c r="C113" i="13" s="1"/>
  <c r="A115" i="12"/>
  <c r="C115" i="12" s="1"/>
  <c r="D114" i="12"/>
  <c r="D108" i="7"/>
  <c r="F42" i="7"/>
  <c r="A110" i="7"/>
  <c r="C110" i="7" s="1"/>
  <c r="AL55" i="1" l="1"/>
  <c r="F43" i="14"/>
  <c r="E47" i="13"/>
  <c r="F47" i="13" s="1"/>
  <c r="B47" i="13"/>
  <c r="AK57" i="1"/>
  <c r="AK58" i="1" s="1"/>
  <c r="AK7" i="11"/>
  <c r="AK24" i="11" s="1"/>
  <c r="B45" i="12"/>
  <c r="E45" i="12"/>
  <c r="AK39" i="11"/>
  <c r="AL26" i="6" s="1"/>
  <c r="AL28" i="6"/>
  <c r="AL27" i="6"/>
  <c r="A114" i="14"/>
  <c r="C114" i="14" s="1"/>
  <c r="D113" i="14"/>
  <c r="A114" i="13"/>
  <c r="C114" i="13" s="1"/>
  <c r="D113" i="13"/>
  <c r="D115" i="12"/>
  <c r="A116" i="12"/>
  <c r="C116" i="12" s="1"/>
  <c r="G42" i="7"/>
  <c r="A111" i="7"/>
  <c r="C111" i="7" s="1"/>
  <c r="D109" i="7"/>
  <c r="AK59" i="1" l="1"/>
  <c r="AL77" i="6" s="1"/>
  <c r="AL78" i="6" s="1"/>
  <c r="AL79" i="6" s="1"/>
  <c r="AL80" i="6" s="1"/>
  <c r="AL67" i="6"/>
  <c r="AL42" i="11"/>
  <c r="G43" i="14"/>
  <c r="G47" i="13"/>
  <c r="AN53" i="1"/>
  <c r="F45" i="12"/>
  <c r="A115" i="14"/>
  <c r="C115" i="14" s="1"/>
  <c r="D114" i="14"/>
  <c r="A115" i="13"/>
  <c r="C115" i="13" s="1"/>
  <c r="D114" i="13"/>
  <c r="A117" i="12"/>
  <c r="C117" i="12" s="1"/>
  <c r="D116" i="12"/>
  <c r="AL29" i="6"/>
  <c r="AL30" i="6" s="1"/>
  <c r="AK8" i="11"/>
  <c r="E43" i="7"/>
  <c r="B43" i="7"/>
  <c r="A112" i="7"/>
  <c r="C112" i="7" s="1"/>
  <c r="D110" i="7"/>
  <c r="AF38" i="6" l="1"/>
  <c r="AL37" i="6"/>
  <c r="AK25" i="11" s="1"/>
  <c r="E44" i="14"/>
  <c r="B44" i="14"/>
  <c r="B48" i="13"/>
  <c r="E48" i="13"/>
  <c r="F48" i="13" s="1"/>
  <c r="G45" i="12"/>
  <c r="AN40" i="11"/>
  <c r="AL52" i="1"/>
  <c r="AL56" i="1" s="1"/>
  <c r="AL65" i="1" s="1"/>
  <c r="D115" i="14"/>
  <c r="A116" i="14"/>
  <c r="C116" i="14" s="1"/>
  <c r="A116" i="13"/>
  <c r="C116" i="13" s="1"/>
  <c r="D115" i="13"/>
  <c r="A118" i="12"/>
  <c r="C118" i="12" s="1"/>
  <c r="D117" i="12"/>
  <c r="AK62" i="1"/>
  <c r="AK6" i="11"/>
  <c r="D111" i="7"/>
  <c r="F43" i="7"/>
  <c r="A113" i="7"/>
  <c r="C113" i="7" s="1"/>
  <c r="D112" i="7"/>
  <c r="AM55" i="1" l="1"/>
  <c r="F44" i="14"/>
  <c r="G48" i="13"/>
  <c r="AL57" i="1"/>
  <c r="AL58" i="1" s="1"/>
  <c r="AL7" i="11"/>
  <c r="AL24" i="11" s="1"/>
  <c r="B46" i="12"/>
  <c r="E46" i="12"/>
  <c r="F46" i="12" s="1"/>
  <c r="AL39" i="11"/>
  <c r="AM26" i="6" s="1"/>
  <c r="AM27" i="6"/>
  <c r="AM28" i="6"/>
  <c r="A117" i="14"/>
  <c r="C117" i="14" s="1"/>
  <c r="D116" i="14"/>
  <c r="D116" i="13"/>
  <c r="A117" i="13"/>
  <c r="C117" i="13" s="1"/>
  <c r="A119" i="12"/>
  <c r="C119" i="12" s="1"/>
  <c r="D118" i="12"/>
  <c r="A114" i="7"/>
  <c r="C114" i="7" s="1"/>
  <c r="D113" i="7"/>
  <c r="G43" i="7"/>
  <c r="AL59" i="1" l="1"/>
  <c r="AM77" i="6" s="1"/>
  <c r="AM78" i="6" s="1"/>
  <c r="AM79" i="6" s="1"/>
  <c r="AM80" i="6" s="1"/>
  <c r="AM67" i="6"/>
  <c r="AM37" i="6" s="1"/>
  <c r="G44" i="14"/>
  <c r="AM42" i="11"/>
  <c r="B49" i="13"/>
  <c r="E49" i="13"/>
  <c r="F49" i="13" s="1"/>
  <c r="G46" i="12"/>
  <c r="B47" i="12" s="1"/>
  <c r="D117" i="14"/>
  <c r="A118" i="14"/>
  <c r="C118" i="14" s="1"/>
  <c r="A118" i="13"/>
  <c r="C118" i="13" s="1"/>
  <c r="D117" i="13"/>
  <c r="A120" i="12"/>
  <c r="C120" i="12" s="1"/>
  <c r="D119" i="12"/>
  <c r="AM29" i="6"/>
  <c r="AL8" i="11"/>
  <c r="A115" i="7"/>
  <c r="C115" i="7" s="1"/>
  <c r="D114" i="7"/>
  <c r="E44" i="7"/>
  <c r="B44" i="7"/>
  <c r="AG38" i="6" l="1"/>
  <c r="B45" i="14"/>
  <c r="E45" i="14"/>
  <c r="G49" i="13"/>
  <c r="E50" i="13" s="1"/>
  <c r="F50" i="13" s="1"/>
  <c r="E47" i="12"/>
  <c r="F47" i="12" s="1"/>
  <c r="G47" i="12" s="1"/>
  <c r="E48" i="12" s="1"/>
  <c r="F48" i="12" s="1"/>
  <c r="AM52" i="1"/>
  <c r="AM56" i="1" s="1"/>
  <c r="AM65" i="1" s="1"/>
  <c r="A119" i="14"/>
  <c r="C119" i="14" s="1"/>
  <c r="D118" i="14"/>
  <c r="A119" i="13"/>
  <c r="C119" i="13" s="1"/>
  <c r="D118" i="13"/>
  <c r="A121" i="12"/>
  <c r="C121" i="12" s="1"/>
  <c r="D120" i="12"/>
  <c r="AM30" i="6"/>
  <c r="AL25" i="11"/>
  <c r="F44" i="7"/>
  <c r="AL62" i="1"/>
  <c r="AL6" i="11"/>
  <c r="D115" i="7"/>
  <c r="A116" i="7"/>
  <c r="C116" i="7" s="1"/>
  <c r="AN55" i="1" l="1"/>
  <c r="F45" i="14"/>
  <c r="B50" i="13"/>
  <c r="G50" i="13" s="1"/>
  <c r="AM57" i="1"/>
  <c r="AM58" i="1" s="1"/>
  <c r="AM7" i="11"/>
  <c r="AM24" i="11" s="1"/>
  <c r="B48" i="12"/>
  <c r="G48" i="12" s="1"/>
  <c r="B49" i="12" s="1"/>
  <c r="AM39" i="11"/>
  <c r="AN27" i="6"/>
  <c r="AN28" i="6"/>
  <c r="A120" i="14"/>
  <c r="C120" i="14" s="1"/>
  <c r="D119" i="14"/>
  <c r="A120" i="13"/>
  <c r="C120" i="13" s="1"/>
  <c r="D119" i="13"/>
  <c r="D121" i="12"/>
  <c r="A122" i="12"/>
  <c r="C122" i="12" s="1"/>
  <c r="G44" i="7"/>
  <c r="A117" i="7"/>
  <c r="C117" i="7" s="1"/>
  <c r="D116" i="7"/>
  <c r="AM59" i="1" l="1"/>
  <c r="AN77" i="6" s="1"/>
  <c r="AN78" i="6" s="1"/>
  <c r="AN79" i="6" s="1"/>
  <c r="AN80" i="6" s="1"/>
  <c r="AN67" i="6"/>
  <c r="AN37" i="6" s="1"/>
  <c r="AN42" i="11"/>
  <c r="G45" i="14"/>
  <c r="B51" i="13"/>
  <c r="E51" i="13"/>
  <c r="F51" i="13" s="1"/>
  <c r="E49" i="12"/>
  <c r="F49" i="12" s="1"/>
  <c r="G49" i="12" s="1"/>
  <c r="AN26" i="6"/>
  <c r="A121" i="14"/>
  <c r="C121" i="14" s="1"/>
  <c r="D120" i="14"/>
  <c r="D120" i="13"/>
  <c r="A121" i="13"/>
  <c r="C121" i="13" s="1"/>
  <c r="A123" i="12"/>
  <c r="C123" i="12" s="1"/>
  <c r="D122" i="12"/>
  <c r="AN29" i="6"/>
  <c r="A118" i="7"/>
  <c r="C118" i="7" s="1"/>
  <c r="D117" i="7"/>
  <c r="E45" i="7"/>
  <c r="B45" i="7"/>
  <c r="AM8" i="11"/>
  <c r="AM62" i="1" l="1"/>
  <c r="AM6" i="11"/>
  <c r="B46" i="14"/>
  <c r="E46" i="14"/>
  <c r="F46" i="14" s="1"/>
  <c r="G51" i="13"/>
  <c r="B50" i="12"/>
  <c r="E50" i="12"/>
  <c r="F50" i="12" s="1"/>
  <c r="AN52" i="1"/>
  <c r="AN56" i="1" s="1"/>
  <c r="AN65" i="1" s="1"/>
  <c r="AO54" i="1"/>
  <c r="AO55" i="1"/>
  <c r="AO53" i="1"/>
  <c r="D121" i="14"/>
  <c r="A122" i="14"/>
  <c r="C122" i="14" s="1"/>
  <c r="D121" i="13"/>
  <c r="A122" i="13"/>
  <c r="C122" i="13" s="1"/>
  <c r="A124" i="12"/>
  <c r="C124" i="12" s="1"/>
  <c r="D123" i="12"/>
  <c r="AN30" i="6"/>
  <c r="F45" i="7"/>
  <c r="AM25" i="11"/>
  <c r="A119" i="7"/>
  <c r="C119" i="7" s="1"/>
  <c r="D118" i="7"/>
  <c r="G46" i="14" l="1"/>
  <c r="E47" i="14" s="1"/>
  <c r="F47" i="14" s="1"/>
  <c r="E52" i="13"/>
  <c r="F52" i="13" s="1"/>
  <c r="B52" i="13"/>
  <c r="AN57" i="1"/>
  <c r="AN58" i="1" s="1"/>
  <c r="AN7" i="11"/>
  <c r="G50" i="12"/>
  <c r="AN39" i="11"/>
  <c r="AO39" i="11" s="1"/>
  <c r="AO42" i="11"/>
  <c r="A123" i="14"/>
  <c r="C123" i="14" s="1"/>
  <c r="D122" i="14"/>
  <c r="A123" i="13"/>
  <c r="C123" i="13" s="1"/>
  <c r="D122" i="13"/>
  <c r="A125" i="12"/>
  <c r="C125" i="12" s="1"/>
  <c r="D124" i="12"/>
  <c r="D119" i="7"/>
  <c r="A120" i="7"/>
  <c r="C120" i="7" s="1"/>
  <c r="AO52" i="1"/>
  <c r="G45" i="7"/>
  <c r="AN59" i="1" l="1"/>
  <c r="AO77" i="6" s="1"/>
  <c r="AO78" i="6" s="1"/>
  <c r="AO79" i="6" s="1"/>
  <c r="AO80" i="6" s="1"/>
  <c r="AO67" i="6"/>
  <c r="AO37" i="6" s="1"/>
  <c r="B47" i="14"/>
  <c r="G47" i="14" s="1"/>
  <c r="G52" i="13"/>
  <c r="B53" i="13" s="1"/>
  <c r="B51" i="12"/>
  <c r="E51" i="12"/>
  <c r="F51" i="12" s="1"/>
  <c r="AO26" i="6"/>
  <c r="AP26" i="6" s="1"/>
  <c r="AO40" i="11"/>
  <c r="AO27" i="6"/>
  <c r="AP27" i="6" s="1"/>
  <c r="AO41" i="11"/>
  <c r="AO28" i="6"/>
  <c r="AP28" i="6" s="1"/>
  <c r="AO56" i="1"/>
  <c r="A124" i="14"/>
  <c r="C124" i="14" s="1"/>
  <c r="D123" i="14"/>
  <c r="A124" i="13"/>
  <c r="C124" i="13" s="1"/>
  <c r="D123" i="13"/>
  <c r="D125" i="12"/>
  <c r="A126" i="12"/>
  <c r="C126" i="12" s="1"/>
  <c r="AO29" i="6"/>
  <c r="AP29" i="6" s="1"/>
  <c r="B46" i="7"/>
  <c r="E46" i="7"/>
  <c r="F46" i="7" s="1"/>
  <c r="AN8" i="11"/>
  <c r="AO58" i="1"/>
  <c r="AN24" i="11"/>
  <c r="AO24" i="11" s="1"/>
  <c r="AO7" i="11"/>
  <c r="A121" i="7"/>
  <c r="C121" i="7" s="1"/>
  <c r="D120" i="7"/>
  <c r="AL38" i="6" l="1"/>
  <c r="AJ38" i="6"/>
  <c r="AO38" i="6"/>
  <c r="AP38" i="6" s="1"/>
  <c r="AM38" i="6"/>
  <c r="AI38" i="6"/>
  <c r="AO57" i="1"/>
  <c r="AO59" i="1" s="1"/>
  <c r="AO65" i="1"/>
  <c r="AN6" i="11"/>
  <c r="AO6" i="11" s="1"/>
  <c r="AN62" i="1"/>
  <c r="E48" i="14"/>
  <c r="F48" i="14" s="1"/>
  <c r="B48" i="14"/>
  <c r="G51" i="12"/>
  <c r="E52" i="12" s="1"/>
  <c r="F52" i="12" s="1"/>
  <c r="E53" i="13"/>
  <c r="F53" i="13" s="1"/>
  <c r="G53" i="13" s="1"/>
  <c r="B54" i="13" s="1"/>
  <c r="AP37" i="6"/>
  <c r="D124" i="14"/>
  <c r="A125" i="14"/>
  <c r="C125" i="14" s="1"/>
  <c r="A125" i="13"/>
  <c r="C125" i="13" s="1"/>
  <c r="D124" i="13"/>
  <c r="A127" i="12"/>
  <c r="C127" i="12" s="1"/>
  <c r="D126" i="12"/>
  <c r="AO30" i="6"/>
  <c r="AP30" i="6"/>
  <c r="G46" i="7"/>
  <c r="E47" i="7" s="1"/>
  <c r="F47" i="7" s="1"/>
  <c r="A122" i="7"/>
  <c r="C122" i="7" s="1"/>
  <c r="D121" i="7"/>
  <c r="AO8" i="11"/>
  <c r="AN25" i="11"/>
  <c r="AK72" i="6" l="1"/>
  <c r="AF72" i="6"/>
  <c r="AN72" i="6"/>
  <c r="AH72" i="6"/>
  <c r="AE72" i="6"/>
  <c r="AG72" i="6"/>
  <c r="AD72" i="6"/>
  <c r="AI72" i="6"/>
  <c r="AL72" i="6"/>
  <c r="AM72" i="6"/>
  <c r="AJ72" i="6"/>
  <c r="AB72" i="6"/>
  <c r="Q72" i="6"/>
  <c r="R72" i="6"/>
  <c r="Z72" i="6"/>
  <c r="T72" i="6"/>
  <c r="U72" i="6"/>
  <c r="Y72" i="6"/>
  <c r="V72" i="6"/>
  <c r="W72" i="6"/>
  <c r="X72" i="6"/>
  <c r="AA72" i="6"/>
  <c r="S72" i="6"/>
  <c r="D72" i="6"/>
  <c r="D35" i="6" s="1"/>
  <c r="O72" i="6"/>
  <c r="H72" i="6"/>
  <c r="E72" i="6"/>
  <c r="N72" i="6"/>
  <c r="K72" i="6"/>
  <c r="J72" i="6"/>
  <c r="I72" i="6"/>
  <c r="M72" i="6"/>
  <c r="F72" i="6"/>
  <c r="G72" i="6"/>
  <c r="L72" i="6"/>
  <c r="AD63" i="6"/>
  <c r="AH63" i="6"/>
  <c r="AL63" i="6"/>
  <c r="AJ63" i="6"/>
  <c r="AK63" i="6"/>
  <c r="AE63" i="6"/>
  <c r="AI63" i="6"/>
  <c r="AG63" i="6"/>
  <c r="AM63" i="6"/>
  <c r="AF63" i="6"/>
  <c r="AF34" i="6" s="1"/>
  <c r="AB63" i="6"/>
  <c r="V63" i="6"/>
  <c r="Q63" i="6"/>
  <c r="Z63" i="6"/>
  <c r="U63" i="6"/>
  <c r="U34" i="6" s="1"/>
  <c r="R63" i="6"/>
  <c r="S63" i="6"/>
  <c r="S34" i="6" s="1"/>
  <c r="W63" i="6"/>
  <c r="W34" i="6" s="1"/>
  <c r="Y63" i="6"/>
  <c r="Y34" i="6" s="1"/>
  <c r="AA63" i="6"/>
  <c r="AA34" i="6" s="1"/>
  <c r="X63" i="6"/>
  <c r="T63" i="6"/>
  <c r="D63" i="6"/>
  <c r="D34" i="6" s="1"/>
  <c r="O63" i="6"/>
  <c r="L63" i="6"/>
  <c r="F63" i="6"/>
  <c r="J63" i="6"/>
  <c r="J34" i="6" s="1"/>
  <c r="M63" i="6"/>
  <c r="G63" i="6"/>
  <c r="K63" i="6"/>
  <c r="N63" i="6"/>
  <c r="N34" i="6" s="1"/>
  <c r="H63" i="6"/>
  <c r="E63" i="6"/>
  <c r="I63" i="6"/>
  <c r="AH58" i="6"/>
  <c r="AH33" i="6" s="1"/>
  <c r="AE58" i="6"/>
  <c r="AE33" i="6" s="1"/>
  <c r="AD58" i="6"/>
  <c r="AD33" i="6" s="1"/>
  <c r="AG58" i="6"/>
  <c r="AG33" i="6" s="1"/>
  <c r="AK58" i="6"/>
  <c r="AK33" i="6" s="1"/>
  <c r="AI58" i="6"/>
  <c r="AI33" i="6" s="1"/>
  <c r="AF58" i="6"/>
  <c r="AF33" i="6" s="1"/>
  <c r="AL58" i="6"/>
  <c r="AL33" i="6" s="1"/>
  <c r="AM58" i="6"/>
  <c r="AM33" i="6" s="1"/>
  <c r="AJ58" i="6"/>
  <c r="AJ33" i="6" s="1"/>
  <c r="AB58" i="6"/>
  <c r="AB33" i="6" s="1"/>
  <c r="V58" i="6"/>
  <c r="V33" i="6" s="1"/>
  <c r="AA58" i="6"/>
  <c r="AA33" i="6" s="1"/>
  <c r="Z58" i="6"/>
  <c r="Z33" i="6" s="1"/>
  <c r="Y58" i="6"/>
  <c r="Y33" i="6" s="1"/>
  <c r="S58" i="6"/>
  <c r="S33" i="6" s="1"/>
  <c r="X58" i="6"/>
  <c r="X33" i="6" s="1"/>
  <c r="U58" i="6"/>
  <c r="U33" i="6" s="1"/>
  <c r="Q58" i="6"/>
  <c r="Q33" i="6" s="1"/>
  <c r="T58" i="6"/>
  <c r="T33" i="6" s="1"/>
  <c r="W58" i="6"/>
  <c r="W33" i="6" s="1"/>
  <c r="R58" i="6"/>
  <c r="R33" i="6" s="1"/>
  <c r="F58" i="6"/>
  <c r="F33" i="6" s="1"/>
  <c r="O58" i="6"/>
  <c r="O33" i="6" s="1"/>
  <c r="D58" i="6"/>
  <c r="D33" i="6" s="1"/>
  <c r="E58" i="6"/>
  <c r="E33" i="6" s="1"/>
  <c r="L58" i="6"/>
  <c r="L33" i="6" s="1"/>
  <c r="H58" i="6"/>
  <c r="H33" i="6" s="1"/>
  <c r="N58" i="6"/>
  <c r="N33" i="6" s="1"/>
  <c r="M58" i="6"/>
  <c r="M33" i="6" s="1"/>
  <c r="I58" i="6"/>
  <c r="I33" i="6" s="1"/>
  <c r="K58" i="6"/>
  <c r="K33" i="6" s="1"/>
  <c r="J58" i="6"/>
  <c r="J33" i="6" s="1"/>
  <c r="G58" i="6"/>
  <c r="G33" i="6" s="1"/>
  <c r="AO62" i="1"/>
  <c r="G48" i="14"/>
  <c r="E49" i="14" s="1"/>
  <c r="F49" i="14" s="1"/>
  <c r="B52" i="12"/>
  <c r="G52" i="12" s="1"/>
  <c r="E53" i="12" s="1"/>
  <c r="F53" i="12" s="1"/>
  <c r="E54" i="13"/>
  <c r="F54" i="13" s="1"/>
  <c r="G54" i="13" s="1"/>
  <c r="D125" i="14"/>
  <c r="A126" i="14"/>
  <c r="C126" i="14" s="1"/>
  <c r="D125" i="13"/>
  <c r="A126" i="13"/>
  <c r="C126" i="13" s="1"/>
  <c r="A128" i="12"/>
  <c r="C128" i="12" s="1"/>
  <c r="D127" i="12"/>
  <c r="B47" i="7"/>
  <c r="G47" i="7" s="1"/>
  <c r="E48" i="7" s="1"/>
  <c r="F48" i="7" s="1"/>
  <c r="A123" i="7"/>
  <c r="C123" i="7" s="1"/>
  <c r="D122" i="7"/>
  <c r="AO25" i="11"/>
  <c r="AK34" i="6" l="1"/>
  <c r="E34" i="6"/>
  <c r="K34" i="6"/>
  <c r="AI34" i="6"/>
  <c r="M34" i="6"/>
  <c r="R34" i="6"/>
  <c r="T34" i="6"/>
  <c r="AE34" i="6"/>
  <c r="G34" i="6"/>
  <c r="X34" i="6"/>
  <c r="L34" i="6"/>
  <c r="Q34" i="6"/>
  <c r="AM34" i="6"/>
  <c r="AN34" i="6"/>
  <c r="AD34" i="6"/>
  <c r="H34" i="6"/>
  <c r="AJ34" i="6"/>
  <c r="AL34" i="6"/>
  <c r="F34" i="6"/>
  <c r="AH34" i="6"/>
  <c r="I34" i="6"/>
  <c r="O34" i="6"/>
  <c r="V34" i="6"/>
  <c r="AG34" i="6"/>
  <c r="AB34" i="6"/>
  <c r="Z34" i="6"/>
  <c r="AD49" i="6"/>
  <c r="Q49" i="6"/>
  <c r="Q35" i="6"/>
  <c r="I49" i="6"/>
  <c r="L49" i="6"/>
  <c r="F49" i="6"/>
  <c r="G49" i="6"/>
  <c r="M49" i="6"/>
  <c r="E49" i="6"/>
  <c r="J49" i="6"/>
  <c r="N49" i="6"/>
  <c r="K49" i="6"/>
  <c r="H49" i="6"/>
  <c r="O49" i="6"/>
  <c r="P49" i="6" s="1"/>
  <c r="AH35" i="6"/>
  <c r="AI35" i="6"/>
  <c r="AJ35" i="6"/>
  <c r="AN35" i="6"/>
  <c r="AO35" i="6"/>
  <c r="AD35" i="6"/>
  <c r="AE35" i="6"/>
  <c r="AF35" i="6"/>
  <c r="AG35" i="6"/>
  <c r="AK35" i="6"/>
  <c r="AL35" i="6"/>
  <c r="AM35" i="6"/>
  <c r="AA35" i="6"/>
  <c r="AB35" i="6"/>
  <c r="R35" i="6"/>
  <c r="S35" i="6"/>
  <c r="T35" i="6"/>
  <c r="X35" i="6"/>
  <c r="Y35" i="6"/>
  <c r="Z35" i="6"/>
  <c r="U35" i="6"/>
  <c r="V35" i="6"/>
  <c r="W35" i="6"/>
  <c r="N35" i="6"/>
  <c r="O35" i="6"/>
  <c r="F35" i="6"/>
  <c r="E35" i="6"/>
  <c r="D20" i="11" s="1"/>
  <c r="G35" i="6"/>
  <c r="H35" i="6"/>
  <c r="I35" i="6"/>
  <c r="J35" i="6"/>
  <c r="K35" i="6"/>
  <c r="L35" i="6"/>
  <c r="M35" i="6"/>
  <c r="C20" i="11"/>
  <c r="AP34" i="6"/>
  <c r="C19" i="11"/>
  <c r="B49" i="14"/>
  <c r="G49" i="14" s="1"/>
  <c r="B50" i="14" s="1"/>
  <c r="B55" i="13"/>
  <c r="E55" i="13"/>
  <c r="F55" i="13" s="1"/>
  <c r="B53" i="12"/>
  <c r="G53" i="12" s="1"/>
  <c r="E54" i="12" s="1"/>
  <c r="F54" i="12" s="1"/>
  <c r="A127" i="14"/>
  <c r="C127" i="14" s="1"/>
  <c r="D126" i="14"/>
  <c r="A127" i="13"/>
  <c r="C127" i="13" s="1"/>
  <c r="D126" i="13"/>
  <c r="A129" i="12"/>
  <c r="C129" i="12" s="1"/>
  <c r="D128" i="12"/>
  <c r="B48" i="7"/>
  <c r="G48" i="7" s="1"/>
  <c r="D123" i="7"/>
  <c r="A124" i="7"/>
  <c r="C124" i="7" s="1"/>
  <c r="T20" i="11" l="1"/>
  <c r="Q20" i="11"/>
  <c r="AH18" i="11"/>
  <c r="X18" i="11"/>
  <c r="T18" i="11"/>
  <c r="Q18" i="11"/>
  <c r="AD18" i="11"/>
  <c r="G18" i="11"/>
  <c r="AI18" i="11"/>
  <c r="Y18" i="11"/>
  <c r="AL18" i="11"/>
  <c r="AM18" i="11"/>
  <c r="AE18" i="11"/>
  <c r="AJ18" i="11"/>
  <c r="P33" i="6"/>
  <c r="P18" i="11" s="1"/>
  <c r="AE49" i="6"/>
  <c r="AJ49" i="6"/>
  <c r="AM49" i="6"/>
  <c r="AF49" i="6"/>
  <c r="AK49" i="6"/>
  <c r="AK18" i="11"/>
  <c r="AF18" i="11"/>
  <c r="AG18" i="11"/>
  <c r="AI49" i="6"/>
  <c r="AL49" i="6"/>
  <c r="AG49" i="6"/>
  <c r="AH49" i="6"/>
  <c r="AA18" i="11"/>
  <c r="AC33" i="6"/>
  <c r="AC18" i="11" s="1"/>
  <c r="Z18" i="11"/>
  <c r="V18" i="11"/>
  <c r="F18" i="11"/>
  <c r="Z49" i="6"/>
  <c r="R49" i="6"/>
  <c r="AB49" i="6"/>
  <c r="AC49" i="6" s="1"/>
  <c r="AA49" i="6"/>
  <c r="W49" i="6"/>
  <c r="U18" i="11"/>
  <c r="R18" i="11"/>
  <c r="W18" i="11"/>
  <c r="S18" i="11"/>
  <c r="U49" i="6"/>
  <c r="V49" i="6"/>
  <c r="Y49" i="6"/>
  <c r="S49" i="6"/>
  <c r="X49" i="6"/>
  <c r="T49" i="6"/>
  <c r="I18" i="11"/>
  <c r="L18" i="11"/>
  <c r="H18" i="11"/>
  <c r="J18" i="11"/>
  <c r="M18" i="11"/>
  <c r="E18" i="11"/>
  <c r="N18" i="11"/>
  <c r="K18" i="11"/>
  <c r="V20" i="11"/>
  <c r="X20" i="11"/>
  <c r="AI20" i="11"/>
  <c r="AF20" i="11"/>
  <c r="L20" i="11"/>
  <c r="H20" i="11"/>
  <c r="U20" i="11"/>
  <c r="AJ20" i="11"/>
  <c r="AH20" i="11"/>
  <c r="J20" i="11"/>
  <c r="F20" i="11"/>
  <c r="Y20" i="11"/>
  <c r="R20" i="11"/>
  <c r="AL20" i="11"/>
  <c r="AE20" i="11"/>
  <c r="AM20" i="11"/>
  <c r="AK20" i="11"/>
  <c r="AD20" i="11"/>
  <c r="AN20" i="11"/>
  <c r="AP35" i="6"/>
  <c r="AG20" i="11"/>
  <c r="E20" i="11"/>
  <c r="W20" i="11"/>
  <c r="AC35" i="6"/>
  <c r="AC20" i="11" s="1"/>
  <c r="AA20" i="11"/>
  <c r="K20" i="11"/>
  <c r="G20" i="11"/>
  <c r="S20" i="11"/>
  <c r="Z20" i="11"/>
  <c r="I20" i="11"/>
  <c r="P35" i="6"/>
  <c r="P20" i="11" s="1"/>
  <c r="N20" i="11"/>
  <c r="M20" i="11"/>
  <c r="AN19" i="11"/>
  <c r="AI19" i="11"/>
  <c r="K19" i="11"/>
  <c r="V19" i="11"/>
  <c r="H19" i="11"/>
  <c r="D19" i="11"/>
  <c r="S19" i="11"/>
  <c r="Y19" i="11"/>
  <c r="AD19" i="11"/>
  <c r="AF19" i="11"/>
  <c r="L19" i="11"/>
  <c r="F19" i="11"/>
  <c r="Q19" i="11"/>
  <c r="U19" i="11"/>
  <c r="AJ19" i="11"/>
  <c r="AH19" i="11"/>
  <c r="AL19" i="11"/>
  <c r="AM19" i="11"/>
  <c r="AE19" i="11"/>
  <c r="Z19" i="11"/>
  <c r="AG19" i="11"/>
  <c r="AK19" i="11"/>
  <c r="I19" i="11"/>
  <c r="AA19" i="11"/>
  <c r="AC34" i="6"/>
  <c r="AC19" i="11" s="1"/>
  <c r="E19" i="11"/>
  <c r="T19" i="11"/>
  <c r="R19" i="11"/>
  <c r="W19" i="11"/>
  <c r="X19" i="11"/>
  <c r="J19" i="11"/>
  <c r="N19" i="11"/>
  <c r="P34" i="6"/>
  <c r="P19" i="11" s="1"/>
  <c r="G19" i="11"/>
  <c r="M19" i="11"/>
  <c r="E50" i="14"/>
  <c r="F50" i="14" s="1"/>
  <c r="G50" i="14" s="1"/>
  <c r="G55" i="13"/>
  <c r="B56" i="13" s="1"/>
  <c r="B54" i="12"/>
  <c r="G54" i="12" s="1"/>
  <c r="B55" i="12" s="1"/>
  <c r="A128" i="14"/>
  <c r="C128" i="14" s="1"/>
  <c r="D127" i="14"/>
  <c r="A128" i="13"/>
  <c r="C128" i="13" s="1"/>
  <c r="D127" i="13"/>
  <c r="D129" i="12"/>
  <c r="A130" i="12"/>
  <c r="C130" i="12" s="1"/>
  <c r="A125" i="7"/>
  <c r="C125" i="7" s="1"/>
  <c r="D124" i="7"/>
  <c r="E49" i="7"/>
  <c r="F49" i="7" s="1"/>
  <c r="B49" i="7"/>
  <c r="AB18" i="11" l="1"/>
  <c r="AO18" i="11"/>
  <c r="AN23" i="11"/>
  <c r="AN26" i="11" s="1"/>
  <c r="O20" i="11"/>
  <c r="AO20" i="11"/>
  <c r="AB20" i="11"/>
  <c r="AB19" i="11"/>
  <c r="AO19" i="11"/>
  <c r="O19" i="11"/>
  <c r="E51" i="14"/>
  <c r="F51" i="14" s="1"/>
  <c r="B51" i="14"/>
  <c r="E56" i="13"/>
  <c r="F56" i="13" s="1"/>
  <c r="G56" i="13" s="1"/>
  <c r="E57" i="13" s="1"/>
  <c r="F57" i="13" s="1"/>
  <c r="E55" i="12"/>
  <c r="F55" i="12" s="1"/>
  <c r="G55" i="12" s="1"/>
  <c r="B56" i="12" s="1"/>
  <c r="A129" i="14"/>
  <c r="C129" i="14" s="1"/>
  <c r="D128" i="14"/>
  <c r="D128" i="13"/>
  <c r="A129" i="13"/>
  <c r="C129" i="13" s="1"/>
  <c r="A131" i="12"/>
  <c r="C131" i="12" s="1"/>
  <c r="D130" i="12"/>
  <c r="G49" i="7"/>
  <c r="A126" i="7"/>
  <c r="C126" i="7" s="1"/>
  <c r="D125" i="7"/>
  <c r="G51" i="14" l="1"/>
  <c r="B52" i="14" s="1"/>
  <c r="B57" i="13"/>
  <c r="G57" i="13" s="1"/>
  <c r="E56" i="12"/>
  <c r="F56" i="12" s="1"/>
  <c r="G56" i="12" s="1"/>
  <c r="E57" i="12" s="1"/>
  <c r="F57" i="12" s="1"/>
  <c r="D129" i="14"/>
  <c r="A130" i="14"/>
  <c r="C130" i="14" s="1"/>
  <c r="D129" i="13"/>
  <c r="A130" i="13"/>
  <c r="C130" i="13" s="1"/>
  <c r="A132" i="12"/>
  <c r="C132" i="12" s="1"/>
  <c r="D131" i="12"/>
  <c r="E50" i="7"/>
  <c r="F50" i="7" s="1"/>
  <c r="B50" i="7"/>
  <c r="A127" i="7"/>
  <c r="C127" i="7" s="1"/>
  <c r="D126" i="7"/>
  <c r="E52" i="14" l="1"/>
  <c r="F52" i="14" s="1"/>
  <c r="G52" i="14" s="1"/>
  <c r="B53" i="14" s="1"/>
  <c r="B58" i="13"/>
  <c r="E58" i="13"/>
  <c r="F58" i="13" s="1"/>
  <c r="B57" i="12"/>
  <c r="G57" i="12" s="1"/>
  <c r="B58" i="12" s="1"/>
  <c r="A131" i="14"/>
  <c r="C131" i="14" s="1"/>
  <c r="D130" i="14"/>
  <c r="A131" i="13"/>
  <c r="C131" i="13" s="1"/>
  <c r="D130" i="13"/>
  <c r="A133" i="12"/>
  <c r="C133" i="12" s="1"/>
  <c r="D132" i="12"/>
  <c r="D127" i="7"/>
  <c r="A128" i="7"/>
  <c r="C128" i="7" s="1"/>
  <c r="G50" i="7"/>
  <c r="E53" i="14" l="1"/>
  <c r="F53" i="14" s="1"/>
  <c r="G53" i="14" s="1"/>
  <c r="B54" i="14" s="1"/>
  <c r="G58" i="13"/>
  <c r="E59" i="13" s="1"/>
  <c r="F59" i="13" s="1"/>
  <c r="E58" i="12"/>
  <c r="F58" i="12" s="1"/>
  <c r="G58" i="12" s="1"/>
  <c r="B59" i="12" s="1"/>
  <c r="A132" i="14"/>
  <c r="C132" i="14" s="1"/>
  <c r="D131" i="14"/>
  <c r="A132" i="13"/>
  <c r="C132" i="13" s="1"/>
  <c r="D131" i="13"/>
  <c r="D133" i="12"/>
  <c r="A134" i="12"/>
  <c r="C134" i="12" s="1"/>
  <c r="E51" i="7"/>
  <c r="F51" i="7" s="1"/>
  <c r="B51" i="7"/>
  <c r="D128" i="7"/>
  <c r="A129" i="7"/>
  <c r="C129" i="7" s="1"/>
  <c r="E54" i="14" l="1"/>
  <c r="F54" i="14" s="1"/>
  <c r="G54" i="14" s="1"/>
  <c r="E55" i="14" s="1"/>
  <c r="F55" i="14" s="1"/>
  <c r="B59" i="13"/>
  <c r="G59" i="13" s="1"/>
  <c r="E60" i="13" s="1"/>
  <c r="F60" i="13" s="1"/>
  <c r="E59" i="12"/>
  <c r="F59" i="12" s="1"/>
  <c r="G59" i="12" s="1"/>
  <c r="D132" i="14"/>
  <c r="A133" i="14"/>
  <c r="C133" i="14" s="1"/>
  <c r="A133" i="13"/>
  <c r="C133" i="13" s="1"/>
  <c r="D132" i="13"/>
  <c r="A135" i="12"/>
  <c r="C135" i="12" s="1"/>
  <c r="D134" i="12"/>
  <c r="G51" i="7"/>
  <c r="E52" i="7" s="1"/>
  <c r="F52" i="7" s="1"/>
  <c r="A130" i="7"/>
  <c r="C130" i="7" s="1"/>
  <c r="D129" i="7"/>
  <c r="B55" i="14" l="1"/>
  <c r="G55" i="14" s="1"/>
  <c r="E56" i="14" s="1"/>
  <c r="F56" i="14" s="1"/>
  <c r="B60" i="13"/>
  <c r="G60" i="13" s="1"/>
  <c r="B60" i="12"/>
  <c r="E60" i="12"/>
  <c r="F60" i="12" s="1"/>
  <c r="D133" i="14"/>
  <c r="A134" i="14"/>
  <c r="C134" i="14" s="1"/>
  <c r="D133" i="13"/>
  <c r="A134" i="13"/>
  <c r="C134" i="13" s="1"/>
  <c r="A136" i="12"/>
  <c r="C136" i="12" s="1"/>
  <c r="D135" i="12"/>
  <c r="B52" i="7"/>
  <c r="G52" i="7" s="1"/>
  <c r="D130" i="7"/>
  <c r="A131" i="7"/>
  <c r="C131" i="7" s="1"/>
  <c r="B56" i="14" l="1"/>
  <c r="G56" i="14" s="1"/>
  <c r="E61" i="13"/>
  <c r="F61" i="13" s="1"/>
  <c r="B61" i="13"/>
  <c r="G60" i="12"/>
  <c r="E61" i="12" s="1"/>
  <c r="F61" i="12" s="1"/>
  <c r="A135" i="14"/>
  <c r="C135" i="14" s="1"/>
  <c r="D134" i="14"/>
  <c r="A135" i="13"/>
  <c r="C135" i="13" s="1"/>
  <c r="D134" i="13"/>
  <c r="A137" i="12"/>
  <c r="C137" i="12" s="1"/>
  <c r="D136" i="12"/>
  <c r="E53" i="7"/>
  <c r="F53" i="7" s="1"/>
  <c r="B53" i="7"/>
  <c r="A132" i="7"/>
  <c r="C132" i="7" s="1"/>
  <c r="D131" i="7"/>
  <c r="B57" i="14" l="1"/>
  <c r="E57" i="14"/>
  <c r="F57" i="14" s="1"/>
  <c r="G61" i="13"/>
  <c r="B62" i="13" s="1"/>
  <c r="B61" i="12"/>
  <c r="G61" i="12" s="1"/>
  <c r="A136" i="14"/>
  <c r="C136" i="14" s="1"/>
  <c r="D135" i="14"/>
  <c r="A136" i="13"/>
  <c r="C136" i="13" s="1"/>
  <c r="D135" i="13"/>
  <c r="D137" i="12"/>
  <c r="A138" i="12"/>
  <c r="C138" i="12" s="1"/>
  <c r="G53" i="7"/>
  <c r="B54" i="7" s="1"/>
  <c r="A133" i="7"/>
  <c r="C133" i="7" s="1"/>
  <c r="D132" i="7"/>
  <c r="G57" i="14" l="1"/>
  <c r="B58" i="14" s="1"/>
  <c r="E62" i="13"/>
  <c r="F62" i="13" s="1"/>
  <c r="G62" i="13" s="1"/>
  <c r="B62" i="12"/>
  <c r="E62" i="12"/>
  <c r="F62" i="12" s="1"/>
  <c r="A137" i="14"/>
  <c r="C137" i="14" s="1"/>
  <c r="D136" i="14"/>
  <c r="D136" i="13"/>
  <c r="A137" i="13"/>
  <c r="C137" i="13" s="1"/>
  <c r="A139" i="12"/>
  <c r="C139" i="12" s="1"/>
  <c r="D138" i="12"/>
  <c r="E54" i="7"/>
  <c r="F54" i="7" s="1"/>
  <c r="G54" i="7" s="1"/>
  <c r="E55" i="7" s="1"/>
  <c r="F55" i="7" s="1"/>
  <c r="D133" i="7"/>
  <c r="A134" i="7"/>
  <c r="C134" i="7" s="1"/>
  <c r="E58" i="14" l="1"/>
  <c r="F58" i="14" s="1"/>
  <c r="G58" i="14" s="1"/>
  <c r="B59" i="14" s="1"/>
  <c r="E63" i="13"/>
  <c r="F63" i="13" s="1"/>
  <c r="B63" i="13"/>
  <c r="G62" i="12"/>
  <c r="D137" i="14"/>
  <c r="A138" i="14"/>
  <c r="C138" i="14" s="1"/>
  <c r="D137" i="13"/>
  <c r="A138" i="13"/>
  <c r="C138" i="13" s="1"/>
  <c r="A140" i="12"/>
  <c r="C140" i="12" s="1"/>
  <c r="D139" i="12"/>
  <c r="B55" i="7"/>
  <c r="G55" i="7" s="1"/>
  <c r="E56" i="7" s="1"/>
  <c r="F56" i="7" s="1"/>
  <c r="D134" i="7"/>
  <c r="A135" i="7"/>
  <c r="C135" i="7" s="1"/>
  <c r="E59" i="14" l="1"/>
  <c r="F59" i="14" s="1"/>
  <c r="G59" i="14" s="1"/>
  <c r="E60" i="14" s="1"/>
  <c r="F60" i="14" s="1"/>
  <c r="G63" i="13"/>
  <c r="B64" i="13" s="1"/>
  <c r="B63" i="12"/>
  <c r="E63" i="12"/>
  <c r="F63" i="12" s="1"/>
  <c r="A139" i="14"/>
  <c r="C139" i="14" s="1"/>
  <c r="D138" i="14"/>
  <c r="A139" i="13"/>
  <c r="C139" i="13" s="1"/>
  <c r="D138" i="13"/>
  <c r="A141" i="12"/>
  <c r="C141" i="12" s="1"/>
  <c r="D140" i="12"/>
  <c r="B56" i="7"/>
  <c r="G56" i="7" s="1"/>
  <c r="E57" i="7" s="1"/>
  <c r="F57" i="7" s="1"/>
  <c r="D135" i="7"/>
  <c r="A136" i="7"/>
  <c r="C136" i="7" s="1"/>
  <c r="B60" i="14" l="1"/>
  <c r="G60" i="14" s="1"/>
  <c r="B61" i="14" s="1"/>
  <c r="E64" i="13"/>
  <c r="F64" i="13" s="1"/>
  <c r="G64" i="13" s="1"/>
  <c r="B65" i="13" s="1"/>
  <c r="G63" i="12"/>
  <c r="B64" i="12" s="1"/>
  <c r="A140" i="14"/>
  <c r="C140" i="14" s="1"/>
  <c r="D139" i="14"/>
  <c r="A140" i="13"/>
  <c r="C140" i="13" s="1"/>
  <c r="D139" i="13"/>
  <c r="D141" i="12"/>
  <c r="A142" i="12"/>
  <c r="C142" i="12" s="1"/>
  <c r="B57" i="7"/>
  <c r="G57" i="7" s="1"/>
  <c r="B58" i="7" s="1"/>
  <c r="A137" i="7"/>
  <c r="C137" i="7" s="1"/>
  <c r="D136" i="7"/>
  <c r="E61" i="14" l="1"/>
  <c r="F61" i="14" s="1"/>
  <c r="G61" i="14" s="1"/>
  <c r="B62" i="14" s="1"/>
  <c r="E65" i="13"/>
  <c r="F65" i="13" s="1"/>
  <c r="G65" i="13" s="1"/>
  <c r="E66" i="13" s="1"/>
  <c r="F66" i="13" s="1"/>
  <c r="E64" i="12"/>
  <c r="F64" i="12" s="1"/>
  <c r="G64" i="12" s="1"/>
  <c r="D140" i="14"/>
  <c r="A141" i="14"/>
  <c r="C141" i="14" s="1"/>
  <c r="A141" i="13"/>
  <c r="C141" i="13" s="1"/>
  <c r="D140" i="13"/>
  <c r="A143" i="12"/>
  <c r="C143" i="12" s="1"/>
  <c r="D142" i="12"/>
  <c r="E58" i="7"/>
  <c r="F58" i="7" s="1"/>
  <c r="G58" i="7" s="1"/>
  <c r="E59" i="7" s="1"/>
  <c r="F59" i="7" s="1"/>
  <c r="D137" i="7"/>
  <c r="A138" i="7"/>
  <c r="C138" i="7" s="1"/>
  <c r="E62" i="14" l="1"/>
  <c r="F62" i="14" s="1"/>
  <c r="G62" i="14" s="1"/>
  <c r="B63" i="14" s="1"/>
  <c r="B66" i="13"/>
  <c r="G66" i="13" s="1"/>
  <c r="B65" i="12"/>
  <c r="E65" i="12"/>
  <c r="F65" i="12" s="1"/>
  <c r="D141" i="14"/>
  <c r="A142" i="14"/>
  <c r="C142" i="14" s="1"/>
  <c r="D141" i="13"/>
  <c r="A142" i="13"/>
  <c r="C142" i="13" s="1"/>
  <c r="A144" i="12"/>
  <c r="C144" i="12" s="1"/>
  <c r="D143" i="12"/>
  <c r="B59" i="7"/>
  <c r="G59" i="7" s="1"/>
  <c r="D138" i="7"/>
  <c r="A139" i="7"/>
  <c r="C139" i="7" s="1"/>
  <c r="E63" i="14" l="1"/>
  <c r="F63" i="14" s="1"/>
  <c r="G63" i="14" s="1"/>
  <c r="E64" i="14" s="1"/>
  <c r="F64" i="14" s="1"/>
  <c r="B67" i="13"/>
  <c r="E67" i="13"/>
  <c r="F67" i="13" s="1"/>
  <c r="G65" i="12"/>
  <c r="B66" i="12" s="1"/>
  <c r="A143" i="14"/>
  <c r="C143" i="14" s="1"/>
  <c r="D142" i="14"/>
  <c r="A143" i="13"/>
  <c r="C143" i="13" s="1"/>
  <c r="D142" i="13"/>
  <c r="A145" i="12"/>
  <c r="C145" i="12" s="1"/>
  <c r="D144" i="12"/>
  <c r="B60" i="7"/>
  <c r="E60" i="7"/>
  <c r="F60" i="7" s="1"/>
  <c r="D139" i="7"/>
  <c r="A140" i="7"/>
  <c r="C140" i="7" s="1"/>
  <c r="B64" i="14" l="1"/>
  <c r="G64" i="14" s="1"/>
  <c r="B65" i="14" s="1"/>
  <c r="G67" i="13"/>
  <c r="B68" i="13" s="1"/>
  <c r="E66" i="12"/>
  <c r="F66" i="12" s="1"/>
  <c r="G66" i="12" s="1"/>
  <c r="B67" i="12" s="1"/>
  <c r="A144" i="14"/>
  <c r="C144" i="14" s="1"/>
  <c r="D143" i="14"/>
  <c r="A144" i="13"/>
  <c r="C144" i="13" s="1"/>
  <c r="D143" i="13"/>
  <c r="D145" i="12"/>
  <c r="A146" i="12"/>
  <c r="C146" i="12" s="1"/>
  <c r="G60" i="7"/>
  <c r="E61" i="7" s="1"/>
  <c r="F61" i="7" s="1"/>
  <c r="A141" i="7"/>
  <c r="C141" i="7" s="1"/>
  <c r="D140" i="7"/>
  <c r="E65" i="14" l="1"/>
  <c r="F65" i="14" s="1"/>
  <c r="G65" i="14" s="1"/>
  <c r="E66" i="14" s="1"/>
  <c r="F66" i="14" s="1"/>
  <c r="E68" i="13"/>
  <c r="F68" i="13" s="1"/>
  <c r="G68" i="13" s="1"/>
  <c r="E69" i="13" s="1"/>
  <c r="F69" i="13" s="1"/>
  <c r="E67" i="12"/>
  <c r="F67" i="12" s="1"/>
  <c r="G67" i="12" s="1"/>
  <c r="B68" i="12" s="1"/>
  <c r="A145" i="14"/>
  <c r="C145" i="14" s="1"/>
  <c r="D144" i="14"/>
  <c r="D144" i="13"/>
  <c r="A145" i="13"/>
  <c r="C145" i="13" s="1"/>
  <c r="A147" i="12"/>
  <c r="C147" i="12" s="1"/>
  <c r="D146" i="12"/>
  <c r="B61" i="7"/>
  <c r="G61" i="7" s="1"/>
  <c r="E62" i="7" s="1"/>
  <c r="F62" i="7" s="1"/>
  <c r="A142" i="7"/>
  <c r="C142" i="7" s="1"/>
  <c r="D141" i="7"/>
  <c r="B66" i="14" l="1"/>
  <c r="G66" i="14" s="1"/>
  <c r="E67" i="14" s="1"/>
  <c r="F67" i="14" s="1"/>
  <c r="B69" i="13"/>
  <c r="G69" i="13" s="1"/>
  <c r="B70" i="13" s="1"/>
  <c r="E68" i="12"/>
  <c r="F68" i="12" s="1"/>
  <c r="G68" i="12" s="1"/>
  <c r="B69" i="12" s="1"/>
  <c r="D145" i="14"/>
  <c r="A146" i="14"/>
  <c r="C146" i="14" s="1"/>
  <c r="D145" i="13"/>
  <c r="A146" i="13"/>
  <c r="C146" i="13" s="1"/>
  <c r="A148" i="12"/>
  <c r="C148" i="12" s="1"/>
  <c r="D147" i="12"/>
  <c r="B62" i="7"/>
  <c r="G62" i="7" s="1"/>
  <c r="D142" i="7"/>
  <c r="A143" i="7"/>
  <c r="C143" i="7" s="1"/>
  <c r="E70" i="13" l="1"/>
  <c r="F70" i="13" s="1"/>
  <c r="G70" i="13" s="1"/>
  <c r="E71" i="13" s="1"/>
  <c r="F71" i="13" s="1"/>
  <c r="B67" i="14"/>
  <c r="G67" i="14" s="1"/>
  <c r="B68" i="14" s="1"/>
  <c r="E69" i="12"/>
  <c r="F69" i="12" s="1"/>
  <c r="G69" i="12" s="1"/>
  <c r="B70" i="12" s="1"/>
  <c r="A147" i="14"/>
  <c r="C147" i="14" s="1"/>
  <c r="D146" i="14"/>
  <c r="A147" i="13"/>
  <c r="C147" i="13" s="1"/>
  <c r="D146" i="13"/>
  <c r="A149" i="12"/>
  <c r="C149" i="12" s="1"/>
  <c r="D148" i="12"/>
  <c r="A144" i="7"/>
  <c r="C144" i="7" s="1"/>
  <c r="D143" i="7"/>
  <c r="E63" i="7"/>
  <c r="F63" i="7" s="1"/>
  <c r="B63" i="7"/>
  <c r="B71" i="13" l="1"/>
  <c r="G71" i="13" s="1"/>
  <c r="E72" i="13" s="1"/>
  <c r="F72" i="13" s="1"/>
  <c r="E68" i="14"/>
  <c r="F68" i="14" s="1"/>
  <c r="G68" i="14" s="1"/>
  <c r="E70" i="12"/>
  <c r="F70" i="12" s="1"/>
  <c r="G70" i="12" s="1"/>
  <c r="B71" i="12" s="1"/>
  <c r="A148" i="14"/>
  <c r="C148" i="14" s="1"/>
  <c r="D147" i="14"/>
  <c r="A148" i="13"/>
  <c r="C148" i="13" s="1"/>
  <c r="D147" i="13"/>
  <c r="D149" i="12"/>
  <c r="A150" i="12"/>
  <c r="C150" i="12" s="1"/>
  <c r="G63" i="7"/>
  <c r="A145" i="7"/>
  <c r="C145" i="7" s="1"/>
  <c r="D144" i="7"/>
  <c r="B72" i="13" l="1"/>
  <c r="G72" i="13" s="1"/>
  <c r="B73" i="13" s="1"/>
  <c r="B69" i="14"/>
  <c r="E69" i="14"/>
  <c r="F69" i="14" s="1"/>
  <c r="E71" i="12"/>
  <c r="F71" i="12" s="1"/>
  <c r="G71" i="12" s="1"/>
  <c r="E72" i="12" s="1"/>
  <c r="F72" i="12" s="1"/>
  <c r="D148" i="14"/>
  <c r="A149" i="14"/>
  <c r="C149" i="14" s="1"/>
  <c r="A149" i="13"/>
  <c r="C149" i="13" s="1"/>
  <c r="D148" i="13"/>
  <c r="A151" i="12"/>
  <c r="C151" i="12" s="1"/>
  <c r="D150" i="12"/>
  <c r="A146" i="7"/>
  <c r="C146" i="7" s="1"/>
  <c r="D145" i="7"/>
  <c r="E64" i="7"/>
  <c r="F64" i="7" s="1"/>
  <c r="B64" i="7"/>
  <c r="G69" i="14" l="1"/>
  <c r="B70" i="14" s="1"/>
  <c r="E73" i="13"/>
  <c r="F73" i="13" s="1"/>
  <c r="G73" i="13" s="1"/>
  <c r="E74" i="13" s="1"/>
  <c r="F74" i="13" s="1"/>
  <c r="B72" i="12"/>
  <c r="G72" i="12" s="1"/>
  <c r="E73" i="12" s="1"/>
  <c r="F73" i="12" s="1"/>
  <c r="D149" i="14"/>
  <c r="A150" i="14"/>
  <c r="C150" i="14" s="1"/>
  <c r="D149" i="13"/>
  <c r="A150" i="13"/>
  <c r="C150" i="13" s="1"/>
  <c r="A152" i="12"/>
  <c r="C152" i="12" s="1"/>
  <c r="D151" i="12"/>
  <c r="G64" i="7"/>
  <c r="E65" i="7" s="1"/>
  <c r="F65" i="7" s="1"/>
  <c r="D146" i="7"/>
  <c r="A147" i="7"/>
  <c r="C147" i="7" s="1"/>
  <c r="E70" i="14" l="1"/>
  <c r="F70" i="14" s="1"/>
  <c r="G70" i="14" s="1"/>
  <c r="B71" i="14" s="1"/>
  <c r="B74" i="13"/>
  <c r="G74" i="13" s="1"/>
  <c r="E75" i="13" s="1"/>
  <c r="F75" i="13" s="1"/>
  <c r="B73" i="12"/>
  <c r="G73" i="12" s="1"/>
  <c r="A151" i="14"/>
  <c r="C151" i="14" s="1"/>
  <c r="D150" i="14"/>
  <c r="A151" i="13"/>
  <c r="C151" i="13" s="1"/>
  <c r="D150" i="13"/>
  <c r="A153" i="12"/>
  <c r="C153" i="12" s="1"/>
  <c r="D152" i="12"/>
  <c r="B65" i="7"/>
  <c r="G65" i="7" s="1"/>
  <c r="D147" i="7"/>
  <c r="A148" i="7"/>
  <c r="C148" i="7" s="1"/>
  <c r="E71" i="14" l="1"/>
  <c r="F71" i="14" s="1"/>
  <c r="G71" i="14" s="1"/>
  <c r="E72" i="14" s="1"/>
  <c r="F72" i="14" s="1"/>
  <c r="B75" i="13"/>
  <c r="G75" i="13" s="1"/>
  <c r="E76" i="13" s="1"/>
  <c r="F76" i="13" s="1"/>
  <c r="E74" i="12"/>
  <c r="F74" i="12" s="1"/>
  <c r="B74" i="12"/>
  <c r="A152" i="14"/>
  <c r="C152" i="14" s="1"/>
  <c r="D151" i="14"/>
  <c r="A152" i="13"/>
  <c r="C152" i="13" s="1"/>
  <c r="D151" i="13"/>
  <c r="D153" i="12"/>
  <c r="A154" i="12"/>
  <c r="C154" i="12" s="1"/>
  <c r="E66" i="7"/>
  <c r="F66" i="7" s="1"/>
  <c r="B66" i="7"/>
  <c r="A149" i="7"/>
  <c r="C149" i="7" s="1"/>
  <c r="D148" i="7"/>
  <c r="B72" i="14" l="1"/>
  <c r="G72" i="14" s="1"/>
  <c r="E73" i="14" s="1"/>
  <c r="F73" i="14" s="1"/>
  <c r="B76" i="13"/>
  <c r="G76" i="13" s="1"/>
  <c r="B77" i="13" s="1"/>
  <c r="G74" i="12"/>
  <c r="A153" i="14"/>
  <c r="C153" i="14" s="1"/>
  <c r="D152" i="14"/>
  <c r="A153" i="13"/>
  <c r="C153" i="13" s="1"/>
  <c r="D152" i="13"/>
  <c r="A155" i="12"/>
  <c r="C155" i="12" s="1"/>
  <c r="D154" i="12"/>
  <c r="G66" i="7"/>
  <c r="B67" i="7" s="1"/>
  <c r="D149" i="7"/>
  <c r="A150" i="7"/>
  <c r="C150" i="7" s="1"/>
  <c r="B73" i="14" l="1"/>
  <c r="G73" i="14" s="1"/>
  <c r="B74" i="14" s="1"/>
  <c r="E77" i="13"/>
  <c r="F77" i="13" s="1"/>
  <c r="G77" i="13" s="1"/>
  <c r="B78" i="13" s="1"/>
  <c r="E75" i="12"/>
  <c r="F75" i="12" s="1"/>
  <c r="B75" i="12"/>
  <c r="D153" i="14"/>
  <c r="A154" i="14"/>
  <c r="C154" i="14" s="1"/>
  <c r="D153" i="13"/>
  <c r="A154" i="13"/>
  <c r="C154" i="13" s="1"/>
  <c r="A156" i="12"/>
  <c r="C156" i="12" s="1"/>
  <c r="D155" i="12"/>
  <c r="E67" i="7"/>
  <c r="F67" i="7" s="1"/>
  <c r="G67" i="7" s="1"/>
  <c r="E68" i="7" s="1"/>
  <c r="F68" i="7" s="1"/>
  <c r="D150" i="7"/>
  <c r="A151" i="7"/>
  <c r="C151" i="7" s="1"/>
  <c r="E78" i="13" l="1"/>
  <c r="F78" i="13" s="1"/>
  <c r="G78" i="13" s="1"/>
  <c r="B79" i="13" s="1"/>
  <c r="E74" i="14"/>
  <c r="F74" i="14" s="1"/>
  <c r="G74" i="14" s="1"/>
  <c r="E75" i="14" s="1"/>
  <c r="F75" i="14" s="1"/>
  <c r="G75" i="12"/>
  <c r="E76" i="12" s="1"/>
  <c r="F76" i="12" s="1"/>
  <c r="A155" i="14"/>
  <c r="C155" i="14" s="1"/>
  <c r="D154" i="14"/>
  <c r="A155" i="13"/>
  <c r="C155" i="13" s="1"/>
  <c r="D154" i="13"/>
  <c r="A157" i="12"/>
  <c r="C157" i="12" s="1"/>
  <c r="D156" i="12"/>
  <c r="B68" i="7"/>
  <c r="G68" i="7" s="1"/>
  <c r="D151" i="7"/>
  <c r="A152" i="7"/>
  <c r="C152" i="7" s="1"/>
  <c r="E79" i="13" l="1"/>
  <c r="F79" i="13" s="1"/>
  <c r="G79" i="13" s="1"/>
  <c r="B80" i="13" s="1"/>
  <c r="B75" i="14"/>
  <c r="G75" i="14" s="1"/>
  <c r="E76" i="14" s="1"/>
  <c r="F76" i="14" s="1"/>
  <c r="B76" i="12"/>
  <c r="G76" i="12" s="1"/>
  <c r="A156" i="14"/>
  <c r="C156" i="14" s="1"/>
  <c r="D155" i="14"/>
  <c r="A156" i="13"/>
  <c r="C156" i="13" s="1"/>
  <c r="D155" i="13"/>
  <c r="D157" i="12"/>
  <c r="A158" i="12"/>
  <c r="C158" i="12" s="1"/>
  <c r="A153" i="7"/>
  <c r="C153" i="7" s="1"/>
  <c r="D152" i="7"/>
  <c r="E69" i="7"/>
  <c r="F69" i="7" s="1"/>
  <c r="B69" i="7"/>
  <c r="E80" i="13" l="1"/>
  <c r="F80" i="13" s="1"/>
  <c r="G80" i="13" s="1"/>
  <c r="E81" i="13" s="1"/>
  <c r="F81" i="13" s="1"/>
  <c r="B76" i="14"/>
  <c r="G76" i="14" s="1"/>
  <c r="E77" i="12"/>
  <c r="F77" i="12" s="1"/>
  <c r="B77" i="12"/>
  <c r="D156" i="14"/>
  <c r="A157" i="14"/>
  <c r="C157" i="14" s="1"/>
  <c r="A157" i="13"/>
  <c r="C157" i="13" s="1"/>
  <c r="D156" i="13"/>
  <c r="A159" i="12"/>
  <c r="C159" i="12" s="1"/>
  <c r="D158" i="12"/>
  <c r="G69" i="7"/>
  <c r="E70" i="7" s="1"/>
  <c r="F70" i="7" s="1"/>
  <c r="A154" i="7"/>
  <c r="C154" i="7" s="1"/>
  <c r="D153" i="7"/>
  <c r="B81" i="13" l="1"/>
  <c r="G81" i="13" s="1"/>
  <c r="B77" i="14"/>
  <c r="E77" i="14"/>
  <c r="F77" i="14" s="1"/>
  <c r="G77" i="12"/>
  <c r="B78" i="12" s="1"/>
  <c r="D157" i="14"/>
  <c r="A158" i="14"/>
  <c r="C158" i="14" s="1"/>
  <c r="D157" i="13"/>
  <c r="A158" i="13"/>
  <c r="C158" i="13" s="1"/>
  <c r="A160" i="12"/>
  <c r="C160" i="12" s="1"/>
  <c r="D159" i="12"/>
  <c r="B70" i="7"/>
  <c r="G70" i="7" s="1"/>
  <c r="D154" i="7"/>
  <c r="A155" i="7"/>
  <c r="C155" i="7" s="1"/>
  <c r="B82" i="13" l="1"/>
  <c r="E82" i="13"/>
  <c r="F82" i="13" s="1"/>
  <c r="G77" i="14"/>
  <c r="E78" i="14" s="1"/>
  <c r="F78" i="14" s="1"/>
  <c r="E78" i="12"/>
  <c r="F78" i="12" s="1"/>
  <c r="G78" i="12" s="1"/>
  <c r="B79" i="12" s="1"/>
  <c r="A159" i="14"/>
  <c r="C159" i="14" s="1"/>
  <c r="D158" i="14"/>
  <c r="A159" i="13"/>
  <c r="C159" i="13" s="1"/>
  <c r="D158" i="13"/>
  <c r="A161" i="12"/>
  <c r="C161" i="12" s="1"/>
  <c r="D160" i="12"/>
  <c r="A156" i="7"/>
  <c r="C156" i="7" s="1"/>
  <c r="D155" i="7"/>
  <c r="E71" i="7"/>
  <c r="F71" i="7" s="1"/>
  <c r="B71" i="7"/>
  <c r="G82" i="13" l="1"/>
  <c r="E83" i="13" s="1"/>
  <c r="F83" i="13" s="1"/>
  <c r="B78" i="14"/>
  <c r="G78" i="14" s="1"/>
  <c r="B79" i="14" s="1"/>
  <c r="E79" i="12"/>
  <c r="F79" i="12" s="1"/>
  <c r="G79" i="12" s="1"/>
  <c r="B80" i="12" s="1"/>
  <c r="A160" i="14"/>
  <c r="C160" i="14" s="1"/>
  <c r="D159" i="14"/>
  <c r="A160" i="13"/>
  <c r="C160" i="13" s="1"/>
  <c r="D159" i="13"/>
  <c r="D161" i="12"/>
  <c r="A162" i="12"/>
  <c r="C162" i="12" s="1"/>
  <c r="G71" i="7"/>
  <c r="A157" i="7"/>
  <c r="C157" i="7" s="1"/>
  <c r="D156" i="7"/>
  <c r="B83" i="13" l="1"/>
  <c r="G83" i="13" s="1"/>
  <c r="E84" i="13" s="1"/>
  <c r="F84" i="13" s="1"/>
  <c r="E79" i="14"/>
  <c r="F79" i="14" s="1"/>
  <c r="G79" i="14" s="1"/>
  <c r="E80" i="14" s="1"/>
  <c r="F80" i="14" s="1"/>
  <c r="E80" i="12"/>
  <c r="F80" i="12" s="1"/>
  <c r="G80" i="12" s="1"/>
  <c r="E81" i="12" s="1"/>
  <c r="F81" i="12" s="1"/>
  <c r="A161" i="14"/>
  <c r="C161" i="14" s="1"/>
  <c r="D160" i="14"/>
  <c r="A161" i="13"/>
  <c r="C161" i="13" s="1"/>
  <c r="D160" i="13"/>
  <c r="A163" i="12"/>
  <c r="C163" i="12" s="1"/>
  <c r="D162" i="12"/>
  <c r="A158" i="7"/>
  <c r="C158" i="7" s="1"/>
  <c r="D157" i="7"/>
  <c r="E72" i="7"/>
  <c r="F72" i="7" s="1"/>
  <c r="B72" i="7"/>
  <c r="B84" i="13" l="1"/>
  <c r="G84" i="13" s="1"/>
  <c r="E85" i="13" s="1"/>
  <c r="F85" i="13" s="1"/>
  <c r="B80" i="14"/>
  <c r="G80" i="14" s="1"/>
  <c r="B81" i="14" s="1"/>
  <c r="B81" i="12"/>
  <c r="G81" i="12" s="1"/>
  <c r="B82" i="12" s="1"/>
  <c r="D161" i="14"/>
  <c r="A162" i="14"/>
  <c r="C162" i="14" s="1"/>
  <c r="D161" i="13"/>
  <c r="A162" i="13"/>
  <c r="C162" i="13" s="1"/>
  <c r="A164" i="12"/>
  <c r="C164" i="12" s="1"/>
  <c r="D163" i="12"/>
  <c r="G72" i="7"/>
  <c r="E73" i="7" s="1"/>
  <c r="F73" i="7" s="1"/>
  <c r="D158" i="7"/>
  <c r="A159" i="7"/>
  <c r="C159" i="7" s="1"/>
  <c r="B85" i="13" l="1"/>
  <c r="G85" i="13" s="1"/>
  <c r="E86" i="13" s="1"/>
  <c r="F86" i="13" s="1"/>
  <c r="E81" i="14"/>
  <c r="F81" i="14" s="1"/>
  <c r="G81" i="14" s="1"/>
  <c r="B82" i="14" s="1"/>
  <c r="E82" i="12"/>
  <c r="F82" i="12" s="1"/>
  <c r="G82" i="12" s="1"/>
  <c r="E83" i="12" s="1"/>
  <c r="F83" i="12" s="1"/>
  <c r="A163" i="14"/>
  <c r="C163" i="14" s="1"/>
  <c r="D162" i="14"/>
  <c r="A163" i="13"/>
  <c r="C163" i="13" s="1"/>
  <c r="D162" i="13"/>
  <c r="A165" i="12"/>
  <c r="C165" i="12" s="1"/>
  <c r="D164" i="12"/>
  <c r="B73" i="7"/>
  <c r="G73" i="7" s="1"/>
  <c r="D159" i="7"/>
  <c r="A160" i="7"/>
  <c r="C160" i="7" s="1"/>
  <c r="E82" i="14" l="1"/>
  <c r="F82" i="14" s="1"/>
  <c r="G82" i="14" s="1"/>
  <c r="B83" i="14" s="1"/>
  <c r="B86" i="13"/>
  <c r="G86" i="13" s="1"/>
  <c r="E87" i="13" s="1"/>
  <c r="F87" i="13" s="1"/>
  <c r="B83" i="12"/>
  <c r="G83" i="12" s="1"/>
  <c r="A164" i="14"/>
  <c r="C164" i="14" s="1"/>
  <c r="D163" i="14"/>
  <c r="A164" i="13"/>
  <c r="C164" i="13" s="1"/>
  <c r="D163" i="13"/>
  <c r="D165" i="12"/>
  <c r="A161" i="7"/>
  <c r="C161" i="7" s="1"/>
  <c r="D160" i="7"/>
  <c r="E74" i="7"/>
  <c r="F74" i="7" s="1"/>
  <c r="B74" i="7"/>
  <c r="B87" i="13" l="1"/>
  <c r="G87" i="13" s="1"/>
  <c r="B88" i="13" s="1"/>
  <c r="E83" i="14"/>
  <c r="F83" i="14" s="1"/>
  <c r="G83" i="14" s="1"/>
  <c r="B84" i="14" s="1"/>
  <c r="E84" i="12"/>
  <c r="F84" i="12" s="1"/>
  <c r="B84" i="12"/>
  <c r="D164" i="14"/>
  <c r="A165" i="14"/>
  <c r="C165" i="14" s="1"/>
  <c r="A165" i="13"/>
  <c r="C165" i="13" s="1"/>
  <c r="D164" i="13"/>
  <c r="G74" i="7"/>
  <c r="D161" i="7"/>
  <c r="A162" i="7"/>
  <c r="C162" i="7" s="1"/>
  <c r="E88" i="13" l="1"/>
  <c r="F88" i="13" s="1"/>
  <c r="G88" i="13" s="1"/>
  <c r="E84" i="14"/>
  <c r="F84" i="14" s="1"/>
  <c r="G84" i="14" s="1"/>
  <c r="E85" i="14" s="1"/>
  <c r="F85" i="14" s="1"/>
  <c r="G84" i="12"/>
  <c r="E85" i="12" s="1"/>
  <c r="F85" i="12" s="1"/>
  <c r="D165" i="13"/>
  <c r="D165" i="14"/>
  <c r="D162" i="7"/>
  <c r="A163" i="7"/>
  <c r="C163" i="7" s="1"/>
  <c r="E75" i="7"/>
  <c r="F75" i="7" s="1"/>
  <c r="B75" i="7"/>
  <c r="E89" i="13" l="1"/>
  <c r="F89" i="13" s="1"/>
  <c r="B89" i="13"/>
  <c r="B85" i="14"/>
  <c r="G85" i="14" s="1"/>
  <c r="B86" i="14" s="1"/>
  <c r="B85" i="12"/>
  <c r="G85" i="12" s="1"/>
  <c r="G75" i="7"/>
  <c r="E76" i="7" s="1"/>
  <c r="F76" i="7" s="1"/>
  <c r="D163" i="7"/>
  <c r="A164" i="7"/>
  <c r="C164" i="7" s="1"/>
  <c r="G89" i="13" l="1"/>
  <c r="E90" i="13" s="1"/>
  <c r="F90" i="13" s="1"/>
  <c r="E86" i="14"/>
  <c r="F86" i="14" s="1"/>
  <c r="G86" i="14" s="1"/>
  <c r="B87" i="14" s="1"/>
  <c r="B86" i="12"/>
  <c r="E86" i="12"/>
  <c r="F86" i="12" s="1"/>
  <c r="B76" i="7"/>
  <c r="G76" i="7" s="1"/>
  <c r="A165" i="7"/>
  <c r="C165" i="7" s="1"/>
  <c r="D164" i="7"/>
  <c r="B90" i="13" l="1"/>
  <c r="G90" i="13" s="1"/>
  <c r="E87" i="14"/>
  <c r="F87" i="14" s="1"/>
  <c r="G87" i="14" s="1"/>
  <c r="G86" i="12"/>
  <c r="D165" i="7"/>
  <c r="E77" i="7"/>
  <c r="F77" i="7" s="1"/>
  <c r="B77" i="7"/>
  <c r="E91" i="13" l="1"/>
  <c r="F91" i="13" s="1"/>
  <c r="B91" i="13"/>
  <c r="B88" i="14"/>
  <c r="E88" i="14"/>
  <c r="F88" i="14" s="1"/>
  <c r="B87" i="12"/>
  <c r="E87" i="12"/>
  <c r="F87" i="12" s="1"/>
  <c r="G77" i="7"/>
  <c r="G91" i="13" l="1"/>
  <c r="G88" i="14"/>
  <c r="E89" i="14" s="1"/>
  <c r="F89" i="14" s="1"/>
  <c r="G87" i="12"/>
  <c r="B88" i="12" s="1"/>
  <c r="E78" i="7"/>
  <c r="F78" i="7" s="1"/>
  <c r="B78" i="7"/>
  <c r="E92" i="13" l="1"/>
  <c r="F92" i="13" s="1"/>
  <c r="B92" i="13"/>
  <c r="B89" i="14"/>
  <c r="G89" i="14" s="1"/>
  <c r="E90" i="14" s="1"/>
  <c r="F90" i="14" s="1"/>
  <c r="E88" i="12"/>
  <c r="F88" i="12" s="1"/>
  <c r="G88" i="12" s="1"/>
  <c r="B89" i="12" s="1"/>
  <c r="G78" i="7"/>
  <c r="E79" i="7" s="1"/>
  <c r="F79" i="7" s="1"/>
  <c r="G92" i="13" l="1"/>
  <c r="B90" i="14"/>
  <c r="G90" i="14" s="1"/>
  <c r="E89" i="12"/>
  <c r="F89" i="12" s="1"/>
  <c r="G89" i="12" s="1"/>
  <c r="E90" i="12" s="1"/>
  <c r="F90" i="12" s="1"/>
  <c r="B79" i="7"/>
  <c r="G79" i="7" s="1"/>
  <c r="E80" i="7" s="1"/>
  <c r="F80" i="7" s="1"/>
  <c r="E93" i="13" l="1"/>
  <c r="F93" i="13" s="1"/>
  <c r="B93" i="13"/>
  <c r="E91" i="14"/>
  <c r="F91" i="14" s="1"/>
  <c r="B91" i="14"/>
  <c r="B90" i="12"/>
  <c r="G90" i="12" s="1"/>
  <c r="E91" i="12" s="1"/>
  <c r="F91" i="12" s="1"/>
  <c r="B80" i="7"/>
  <c r="G80" i="7" s="1"/>
  <c r="B81" i="7" s="1"/>
  <c r="G93" i="13" l="1"/>
  <c r="B94" i="13" s="1"/>
  <c r="G91" i="14"/>
  <c r="B92" i="14" s="1"/>
  <c r="B91" i="12"/>
  <c r="G91" i="12" s="1"/>
  <c r="E81" i="7"/>
  <c r="F81" i="7" s="1"/>
  <c r="G81" i="7" s="1"/>
  <c r="E94" i="13" l="1"/>
  <c r="F94" i="13" s="1"/>
  <c r="G94" i="13" s="1"/>
  <c r="B95" i="13" s="1"/>
  <c r="E92" i="14"/>
  <c r="F92" i="14" s="1"/>
  <c r="G92" i="14" s="1"/>
  <c r="B92" i="12"/>
  <c r="E92" i="12"/>
  <c r="F92" i="12" s="1"/>
  <c r="E82" i="7"/>
  <c r="F82" i="7" s="1"/>
  <c r="B82" i="7"/>
  <c r="E95" i="13" l="1"/>
  <c r="F95" i="13" s="1"/>
  <c r="G95" i="13" s="1"/>
  <c r="E96" i="13" s="1"/>
  <c r="F96" i="13" s="1"/>
  <c r="G92" i="12"/>
  <c r="B93" i="12" s="1"/>
  <c r="B93" i="14"/>
  <c r="E93" i="14"/>
  <c r="F93" i="14" s="1"/>
  <c r="G82" i="7"/>
  <c r="B83" i="7" s="1"/>
  <c r="B96" i="13" l="1"/>
  <c r="G96" i="13" s="1"/>
  <c r="E93" i="12"/>
  <c r="F93" i="12" s="1"/>
  <c r="G93" i="12" s="1"/>
  <c r="B94" i="12" s="1"/>
  <c r="G93" i="14"/>
  <c r="B94" i="14" s="1"/>
  <c r="E83" i="7"/>
  <c r="F83" i="7" s="1"/>
  <c r="G83" i="7" s="1"/>
  <c r="E97" i="13" l="1"/>
  <c r="F97" i="13" s="1"/>
  <c r="B97" i="13"/>
  <c r="E94" i="14"/>
  <c r="F94" i="14" s="1"/>
  <c r="G94" i="14" s="1"/>
  <c r="E95" i="14" s="1"/>
  <c r="F95" i="14" s="1"/>
  <c r="E94" i="12"/>
  <c r="F94" i="12" s="1"/>
  <c r="G94" i="12" s="1"/>
  <c r="E95" i="12" s="1"/>
  <c r="F95" i="12" s="1"/>
  <c r="E84" i="7"/>
  <c r="F84" i="7" s="1"/>
  <c r="B84" i="7"/>
  <c r="G97" i="13" l="1"/>
  <c r="B98" i="13" s="1"/>
  <c r="B95" i="14"/>
  <c r="G95" i="14" s="1"/>
  <c r="B95" i="12"/>
  <c r="G95" i="12" s="1"/>
  <c r="G84" i="7"/>
  <c r="B85" i="7" s="1"/>
  <c r="E98" i="13" l="1"/>
  <c r="F98" i="13" s="1"/>
  <c r="G98" i="13" s="1"/>
  <c r="E99" i="13" s="1"/>
  <c r="F99" i="13" s="1"/>
  <c r="E96" i="14"/>
  <c r="F96" i="14" s="1"/>
  <c r="B96" i="14"/>
  <c r="B96" i="12"/>
  <c r="E96" i="12"/>
  <c r="F96" i="12" s="1"/>
  <c r="E85" i="7"/>
  <c r="F85" i="7" s="1"/>
  <c r="G85" i="7" s="1"/>
  <c r="E86" i="7" s="1"/>
  <c r="F86" i="7" s="1"/>
  <c r="B99" i="13" l="1"/>
  <c r="G99" i="13" s="1"/>
  <c r="G96" i="14"/>
  <c r="G96" i="12"/>
  <c r="E97" i="12" s="1"/>
  <c r="F97" i="12" s="1"/>
  <c r="B86" i="7"/>
  <c r="G86" i="7" s="1"/>
  <c r="E100" i="13" l="1"/>
  <c r="F100" i="13" s="1"/>
  <c r="B100" i="13"/>
  <c r="B97" i="14"/>
  <c r="E97" i="14"/>
  <c r="F97" i="14" s="1"/>
  <c r="B97" i="12"/>
  <c r="G97" i="12" s="1"/>
  <c r="B87" i="7"/>
  <c r="E87" i="7"/>
  <c r="F87" i="7" s="1"/>
  <c r="G100" i="13" l="1"/>
  <c r="B101" i="13" s="1"/>
  <c r="G97" i="14"/>
  <c r="E98" i="14" s="1"/>
  <c r="F98" i="14" s="1"/>
  <c r="B98" i="12"/>
  <c r="E98" i="12"/>
  <c r="F98" i="12" s="1"/>
  <c r="G87" i="7"/>
  <c r="E88" i="7" s="1"/>
  <c r="F88" i="7" s="1"/>
  <c r="E101" i="13" l="1"/>
  <c r="F101" i="13" s="1"/>
  <c r="G101" i="13" s="1"/>
  <c r="B102" i="13" s="1"/>
  <c r="B98" i="14"/>
  <c r="G98" i="14" s="1"/>
  <c r="E99" i="14" s="1"/>
  <c r="F99" i="14" s="1"/>
  <c r="G98" i="12"/>
  <c r="B88" i="7"/>
  <c r="G88" i="7" s="1"/>
  <c r="E89" i="7" s="1"/>
  <c r="F89" i="7" s="1"/>
  <c r="E102" i="13" l="1"/>
  <c r="F102" i="13" s="1"/>
  <c r="G102" i="13" s="1"/>
  <c r="B103" i="13" s="1"/>
  <c r="B99" i="14"/>
  <c r="G99" i="14" s="1"/>
  <c r="E100" i="14" s="1"/>
  <c r="F100" i="14" s="1"/>
  <c r="E99" i="12"/>
  <c r="F99" i="12" s="1"/>
  <c r="B99" i="12"/>
  <c r="B89" i="7"/>
  <c r="G89" i="7" s="1"/>
  <c r="E90" i="7" s="1"/>
  <c r="F90" i="7" s="1"/>
  <c r="E103" i="13" l="1"/>
  <c r="F103" i="13" s="1"/>
  <c r="G103" i="13" s="1"/>
  <c r="B104" i="13" s="1"/>
  <c r="B100" i="14"/>
  <c r="G100" i="14" s="1"/>
  <c r="E101" i="14" s="1"/>
  <c r="F101" i="14" s="1"/>
  <c r="G99" i="12"/>
  <c r="B90" i="7"/>
  <c r="G90" i="7" s="1"/>
  <c r="E91" i="7" s="1"/>
  <c r="F91" i="7" s="1"/>
  <c r="E104" i="13" l="1"/>
  <c r="F104" i="13" s="1"/>
  <c r="G104" i="13" s="1"/>
  <c r="E105" i="13" s="1"/>
  <c r="F105" i="13" s="1"/>
  <c r="B101" i="14"/>
  <c r="G101" i="14" s="1"/>
  <c r="B100" i="12"/>
  <c r="E100" i="12"/>
  <c r="F100" i="12" s="1"/>
  <c r="B91" i="7"/>
  <c r="G91" i="7" s="1"/>
  <c r="E92" i="7" s="1"/>
  <c r="F92" i="7" s="1"/>
  <c r="B105" i="13" l="1"/>
  <c r="G105" i="13" s="1"/>
  <c r="B102" i="14"/>
  <c r="E102" i="14"/>
  <c r="F102" i="14" s="1"/>
  <c r="G100" i="12"/>
  <c r="B101" i="12" s="1"/>
  <c r="B92" i="7"/>
  <c r="G92" i="7" s="1"/>
  <c r="E93" i="7" s="1"/>
  <c r="F93" i="7" s="1"/>
  <c r="E106" i="13" l="1"/>
  <c r="F106" i="13" s="1"/>
  <c r="B106" i="13"/>
  <c r="G102" i="14"/>
  <c r="E103" i="14" s="1"/>
  <c r="F103" i="14" s="1"/>
  <c r="E101" i="12"/>
  <c r="F101" i="12" s="1"/>
  <c r="G101" i="12" s="1"/>
  <c r="B102" i="12" s="1"/>
  <c r="B93" i="7"/>
  <c r="G93" i="7" s="1"/>
  <c r="E94" i="7" s="1"/>
  <c r="F94" i="7" s="1"/>
  <c r="G106" i="13" l="1"/>
  <c r="E107" i="13" s="1"/>
  <c r="F107" i="13" s="1"/>
  <c r="B103" i="14"/>
  <c r="G103" i="14" s="1"/>
  <c r="B104" i="14" s="1"/>
  <c r="E102" i="12"/>
  <c r="F102" i="12" s="1"/>
  <c r="G102" i="12" s="1"/>
  <c r="E103" i="12" s="1"/>
  <c r="F103" i="12" s="1"/>
  <c r="B94" i="7"/>
  <c r="G94" i="7" s="1"/>
  <c r="E95" i="7" s="1"/>
  <c r="F95" i="7" s="1"/>
  <c r="B107" i="13" l="1"/>
  <c r="G107" i="13" s="1"/>
  <c r="E104" i="14"/>
  <c r="F104" i="14" s="1"/>
  <c r="G104" i="14" s="1"/>
  <c r="B105" i="14" s="1"/>
  <c r="B103" i="12"/>
  <c r="G103" i="12" s="1"/>
  <c r="B95" i="7"/>
  <c r="G95" i="7" s="1"/>
  <c r="E96" i="7" s="1"/>
  <c r="F96" i="7" s="1"/>
  <c r="E105" i="14" l="1"/>
  <c r="F105" i="14" s="1"/>
  <c r="G105" i="14" s="1"/>
  <c r="E106" i="14" s="1"/>
  <c r="F106" i="14" s="1"/>
  <c r="E108" i="13"/>
  <c r="F108" i="13" s="1"/>
  <c r="B108" i="13"/>
  <c r="E104" i="12"/>
  <c r="F104" i="12" s="1"/>
  <c r="B104" i="12"/>
  <c r="B96" i="7"/>
  <c r="G96" i="7" s="1"/>
  <c r="E97" i="7" s="1"/>
  <c r="F97" i="7" s="1"/>
  <c r="G108" i="13" l="1"/>
  <c r="B109" i="13" s="1"/>
  <c r="B106" i="14"/>
  <c r="G106" i="14" s="1"/>
  <c r="G104" i="12"/>
  <c r="B105" i="12" s="1"/>
  <c r="B97" i="7"/>
  <c r="G97" i="7" s="1"/>
  <c r="B98" i="7" s="1"/>
  <c r="E109" i="13" l="1"/>
  <c r="F109" i="13" s="1"/>
  <c r="G109" i="13" s="1"/>
  <c r="E110" i="13" s="1"/>
  <c r="F110" i="13" s="1"/>
  <c r="B107" i="14"/>
  <c r="E107" i="14"/>
  <c r="F107" i="14" s="1"/>
  <c r="E105" i="12"/>
  <c r="F105" i="12" s="1"/>
  <c r="G105" i="12" s="1"/>
  <c r="E106" i="12" s="1"/>
  <c r="F106" i="12" s="1"/>
  <c r="E98" i="7"/>
  <c r="F98" i="7" s="1"/>
  <c r="G98" i="7" s="1"/>
  <c r="E99" i="7" s="1"/>
  <c r="F99" i="7" s="1"/>
  <c r="B110" i="13" l="1"/>
  <c r="G110" i="13" s="1"/>
  <c r="E111" i="13" s="1"/>
  <c r="F111" i="13" s="1"/>
  <c r="G107" i="14"/>
  <c r="E108" i="14" s="1"/>
  <c r="F108" i="14" s="1"/>
  <c r="B106" i="12"/>
  <c r="G106" i="12" s="1"/>
  <c r="E107" i="12" s="1"/>
  <c r="F107" i="12" s="1"/>
  <c r="B99" i="7"/>
  <c r="G99" i="7" s="1"/>
  <c r="E100" i="7" s="1"/>
  <c r="F100" i="7" s="1"/>
  <c r="B111" i="13" l="1"/>
  <c r="G111" i="13" s="1"/>
  <c r="B108" i="14"/>
  <c r="G108" i="14" s="1"/>
  <c r="B107" i="12"/>
  <c r="G107" i="12" s="1"/>
  <c r="B100" i="7"/>
  <c r="G100" i="7" s="1"/>
  <c r="E101" i="7" s="1"/>
  <c r="F101" i="7" s="1"/>
  <c r="E112" i="13" l="1"/>
  <c r="F112" i="13" s="1"/>
  <c r="B112" i="13"/>
  <c r="E109" i="14"/>
  <c r="F109" i="14" s="1"/>
  <c r="B109" i="14"/>
  <c r="B108" i="12"/>
  <c r="E108" i="12"/>
  <c r="F108" i="12" s="1"/>
  <c r="B101" i="7"/>
  <c r="G101" i="7" s="1"/>
  <c r="B102" i="7" s="1"/>
  <c r="G112" i="13" l="1"/>
  <c r="B113" i="13" s="1"/>
  <c r="G109" i="14"/>
  <c r="G108" i="12"/>
  <c r="E109" i="12" s="1"/>
  <c r="F109" i="12" s="1"/>
  <c r="E102" i="7"/>
  <c r="F102" i="7" s="1"/>
  <c r="G102" i="7" s="1"/>
  <c r="B103" i="7" s="1"/>
  <c r="E113" i="13" l="1"/>
  <c r="F113" i="13" s="1"/>
  <c r="G113" i="13" s="1"/>
  <c r="B114" i="13" s="1"/>
  <c r="B110" i="14"/>
  <c r="E110" i="14"/>
  <c r="F110" i="14" s="1"/>
  <c r="B109" i="12"/>
  <c r="G109" i="12" s="1"/>
  <c r="B110" i="12" s="1"/>
  <c r="E103" i="7"/>
  <c r="F103" i="7" s="1"/>
  <c r="G103" i="7" s="1"/>
  <c r="B104" i="7" s="1"/>
  <c r="G110" i="14" l="1"/>
  <c r="E111" i="14" s="1"/>
  <c r="F111" i="14" s="1"/>
  <c r="E114" i="13"/>
  <c r="F114" i="13" s="1"/>
  <c r="G114" i="13" s="1"/>
  <c r="B115" i="13" s="1"/>
  <c r="E110" i="12"/>
  <c r="F110" i="12" s="1"/>
  <c r="G110" i="12" s="1"/>
  <c r="E111" i="12" s="1"/>
  <c r="F111" i="12" s="1"/>
  <c r="E104" i="7"/>
  <c r="F104" i="7" s="1"/>
  <c r="G104" i="7" s="1"/>
  <c r="B105" i="7" s="1"/>
  <c r="B111" i="14" l="1"/>
  <c r="G111" i="14" s="1"/>
  <c r="B112" i="14" s="1"/>
  <c r="E115" i="13"/>
  <c r="F115" i="13" s="1"/>
  <c r="G115" i="13" s="1"/>
  <c r="E116" i="13" s="1"/>
  <c r="F116" i="13" s="1"/>
  <c r="B111" i="12"/>
  <c r="G111" i="12" s="1"/>
  <c r="E105" i="7"/>
  <c r="F105" i="7" s="1"/>
  <c r="G105" i="7" s="1"/>
  <c r="B106" i="7" s="1"/>
  <c r="B116" i="13" l="1"/>
  <c r="G116" i="13" s="1"/>
  <c r="E117" i="13" s="1"/>
  <c r="F117" i="13" s="1"/>
  <c r="E112" i="14"/>
  <c r="F112" i="14" s="1"/>
  <c r="G112" i="14" s="1"/>
  <c r="B113" i="14" s="1"/>
  <c r="B112" i="12"/>
  <c r="E112" i="12"/>
  <c r="F112" i="12" s="1"/>
  <c r="E106" i="7"/>
  <c r="F106" i="7" s="1"/>
  <c r="G106" i="7" s="1"/>
  <c r="B107" i="7" s="1"/>
  <c r="B117" i="13" l="1"/>
  <c r="G117" i="13" s="1"/>
  <c r="E118" i="13" s="1"/>
  <c r="F118" i="13" s="1"/>
  <c r="G112" i="12"/>
  <c r="B113" i="12" s="1"/>
  <c r="E113" i="14"/>
  <c r="F113" i="14" s="1"/>
  <c r="G113" i="14" s="1"/>
  <c r="E107" i="7"/>
  <c r="F107" i="7" s="1"/>
  <c r="G107" i="7" s="1"/>
  <c r="B108" i="7" s="1"/>
  <c r="B118" i="13" l="1"/>
  <c r="G118" i="13" s="1"/>
  <c r="B119" i="13" s="1"/>
  <c r="E113" i="12"/>
  <c r="F113" i="12" s="1"/>
  <c r="G113" i="12" s="1"/>
  <c r="B114" i="12" s="1"/>
  <c r="E114" i="14"/>
  <c r="F114" i="14" s="1"/>
  <c r="B114" i="14"/>
  <c r="E108" i="7"/>
  <c r="F108" i="7" s="1"/>
  <c r="G108" i="7" s="1"/>
  <c r="B109" i="7" s="1"/>
  <c r="E119" i="13" l="1"/>
  <c r="F119" i="13" s="1"/>
  <c r="G119" i="13" s="1"/>
  <c r="E114" i="12"/>
  <c r="F114" i="12" s="1"/>
  <c r="G114" i="12" s="1"/>
  <c r="B115" i="12" s="1"/>
  <c r="G114" i="14"/>
  <c r="B115" i="14" s="1"/>
  <c r="E109" i="7"/>
  <c r="F109" i="7" s="1"/>
  <c r="G109" i="7" s="1"/>
  <c r="B110" i="7" s="1"/>
  <c r="E120" i="13" l="1"/>
  <c r="F120" i="13" s="1"/>
  <c r="B120" i="13"/>
  <c r="E115" i="14"/>
  <c r="F115" i="14" s="1"/>
  <c r="G115" i="14" s="1"/>
  <c r="E115" i="12"/>
  <c r="F115" i="12" s="1"/>
  <c r="G115" i="12" s="1"/>
  <c r="B116" i="12" s="1"/>
  <c r="E110" i="7"/>
  <c r="F110" i="7" s="1"/>
  <c r="G110" i="7" s="1"/>
  <c r="B111" i="7" s="1"/>
  <c r="G120" i="13" l="1"/>
  <c r="B121" i="13" s="1"/>
  <c r="E116" i="12"/>
  <c r="F116" i="12" s="1"/>
  <c r="G116" i="12" s="1"/>
  <c r="E117" i="12" s="1"/>
  <c r="F117" i="12" s="1"/>
  <c r="B116" i="14"/>
  <c r="E116" i="14"/>
  <c r="F116" i="14" s="1"/>
  <c r="E111" i="7"/>
  <c r="F111" i="7" s="1"/>
  <c r="G111" i="7" s="1"/>
  <c r="E112" i="7" s="1"/>
  <c r="F112" i="7" s="1"/>
  <c r="E121" i="13" l="1"/>
  <c r="F121" i="13" s="1"/>
  <c r="G121" i="13" s="1"/>
  <c r="B122" i="13" s="1"/>
  <c r="B117" i="12"/>
  <c r="G117" i="12" s="1"/>
  <c r="B118" i="12" s="1"/>
  <c r="G116" i="14"/>
  <c r="E117" i="14" s="1"/>
  <c r="F117" i="14" s="1"/>
  <c r="B112" i="7"/>
  <c r="G112" i="7" s="1"/>
  <c r="E113" i="7" s="1"/>
  <c r="F113" i="7" s="1"/>
  <c r="E122" i="13" l="1"/>
  <c r="F122" i="13" s="1"/>
  <c r="G122" i="13" s="1"/>
  <c r="E123" i="13" s="1"/>
  <c r="F123" i="13" s="1"/>
  <c r="E118" i="12"/>
  <c r="F118" i="12" s="1"/>
  <c r="G118" i="12" s="1"/>
  <c r="B119" i="12" s="1"/>
  <c r="B117" i="14"/>
  <c r="G117" i="14" s="1"/>
  <c r="B118" i="14" s="1"/>
  <c r="B113" i="7"/>
  <c r="G113" i="7" s="1"/>
  <c r="E114" i="7" s="1"/>
  <c r="F114" i="7" s="1"/>
  <c r="B123" i="13" l="1"/>
  <c r="G123" i="13" s="1"/>
  <c r="B124" i="13" s="1"/>
  <c r="E118" i="14"/>
  <c r="F118" i="14" s="1"/>
  <c r="G118" i="14" s="1"/>
  <c r="E119" i="14" s="1"/>
  <c r="F119" i="14" s="1"/>
  <c r="E119" i="12"/>
  <c r="F119" i="12" s="1"/>
  <c r="G119" i="12" s="1"/>
  <c r="B120" i="12" s="1"/>
  <c r="B114" i="7"/>
  <c r="G114" i="7" s="1"/>
  <c r="B115" i="7" s="1"/>
  <c r="E124" i="13" l="1"/>
  <c r="F124" i="13" s="1"/>
  <c r="G124" i="13" s="1"/>
  <c r="E125" i="13" s="1"/>
  <c r="F125" i="13" s="1"/>
  <c r="B119" i="14"/>
  <c r="G119" i="14" s="1"/>
  <c r="B120" i="14" s="1"/>
  <c r="E120" i="12"/>
  <c r="F120" i="12" s="1"/>
  <c r="G120" i="12" s="1"/>
  <c r="E121" i="12" s="1"/>
  <c r="F121" i="12" s="1"/>
  <c r="E115" i="7"/>
  <c r="F115" i="7" s="1"/>
  <c r="G115" i="7" s="1"/>
  <c r="E116" i="7" s="1"/>
  <c r="F116" i="7" s="1"/>
  <c r="B125" i="13" l="1"/>
  <c r="G125" i="13" s="1"/>
  <c r="E126" i="13" s="1"/>
  <c r="F126" i="13" s="1"/>
  <c r="E120" i="14"/>
  <c r="F120" i="14" s="1"/>
  <c r="G120" i="14" s="1"/>
  <c r="B121" i="14" s="1"/>
  <c r="B121" i="12"/>
  <c r="G121" i="12" s="1"/>
  <c r="E122" i="12" s="1"/>
  <c r="F122" i="12" s="1"/>
  <c r="B116" i="7"/>
  <c r="G116" i="7" s="1"/>
  <c r="B117" i="7" s="1"/>
  <c r="B126" i="13" l="1"/>
  <c r="G126" i="13" s="1"/>
  <c r="E121" i="14"/>
  <c r="F121" i="14" s="1"/>
  <c r="G121" i="14" s="1"/>
  <c r="E122" i="14" s="1"/>
  <c r="F122" i="14" s="1"/>
  <c r="B122" i="12"/>
  <c r="G122" i="12" s="1"/>
  <c r="E123" i="12" s="1"/>
  <c r="F123" i="12" s="1"/>
  <c r="E117" i="7"/>
  <c r="F117" i="7" s="1"/>
  <c r="G117" i="7" s="1"/>
  <c r="E118" i="7" s="1"/>
  <c r="F118" i="7" s="1"/>
  <c r="E127" i="13" l="1"/>
  <c r="F127" i="13" s="1"/>
  <c r="B127" i="13"/>
  <c r="B122" i="14"/>
  <c r="G122" i="14" s="1"/>
  <c r="B123" i="12"/>
  <c r="G123" i="12" s="1"/>
  <c r="B118" i="7"/>
  <c r="G118" i="7" s="1"/>
  <c r="B119" i="7" s="1"/>
  <c r="G127" i="13" l="1"/>
  <c r="E128" i="13" s="1"/>
  <c r="F128" i="13" s="1"/>
  <c r="E123" i="14"/>
  <c r="F123" i="14" s="1"/>
  <c r="B123" i="14"/>
  <c r="E124" i="12"/>
  <c r="F124" i="12" s="1"/>
  <c r="B124" i="12"/>
  <c r="E119" i="7"/>
  <c r="F119" i="7" s="1"/>
  <c r="G119" i="7" s="1"/>
  <c r="B120" i="7" s="1"/>
  <c r="B128" i="13" l="1"/>
  <c r="G128" i="13" s="1"/>
  <c r="B129" i="13" s="1"/>
  <c r="G123" i="14"/>
  <c r="E124" i="14" s="1"/>
  <c r="F124" i="14" s="1"/>
  <c r="G124" i="12"/>
  <c r="E120" i="7"/>
  <c r="F120" i="7" s="1"/>
  <c r="G120" i="7" s="1"/>
  <c r="E121" i="7" s="1"/>
  <c r="F121" i="7" s="1"/>
  <c r="E129" i="13" l="1"/>
  <c r="F129" i="13" s="1"/>
  <c r="G129" i="13" s="1"/>
  <c r="E130" i="13" s="1"/>
  <c r="F130" i="13" s="1"/>
  <c r="B124" i="14"/>
  <c r="G124" i="14" s="1"/>
  <c r="E125" i="14" s="1"/>
  <c r="F125" i="14" s="1"/>
  <c r="B125" i="12"/>
  <c r="E125" i="12"/>
  <c r="F125" i="12" s="1"/>
  <c r="B121" i="7"/>
  <c r="G121" i="7" s="1"/>
  <c r="E122" i="7" s="1"/>
  <c r="F122" i="7" s="1"/>
  <c r="B130" i="13" l="1"/>
  <c r="G130" i="13" s="1"/>
  <c r="B131" i="13" s="1"/>
  <c r="B125" i="14"/>
  <c r="G125" i="14" s="1"/>
  <c r="B126" i="14" s="1"/>
  <c r="G125" i="12"/>
  <c r="E126" i="12" s="1"/>
  <c r="F126" i="12" s="1"/>
  <c r="B122" i="7"/>
  <c r="G122" i="7" s="1"/>
  <c r="B123" i="7" s="1"/>
  <c r="E131" i="13" l="1"/>
  <c r="F131" i="13" s="1"/>
  <c r="G131" i="13" s="1"/>
  <c r="B132" i="13" s="1"/>
  <c r="E126" i="14"/>
  <c r="F126" i="14" s="1"/>
  <c r="G126" i="14" s="1"/>
  <c r="B126" i="12"/>
  <c r="G126" i="12" s="1"/>
  <c r="E123" i="7"/>
  <c r="F123" i="7" s="1"/>
  <c r="G123" i="7" s="1"/>
  <c r="B124" i="7" s="1"/>
  <c r="E132" i="13" l="1"/>
  <c r="F132" i="13" s="1"/>
  <c r="G132" i="13" s="1"/>
  <c r="E133" i="13" s="1"/>
  <c r="F133" i="13" s="1"/>
  <c r="E127" i="14"/>
  <c r="F127" i="14" s="1"/>
  <c r="B127" i="14"/>
  <c r="E127" i="12"/>
  <c r="F127" i="12" s="1"/>
  <c r="B127" i="12"/>
  <c r="E124" i="7"/>
  <c r="F124" i="7" s="1"/>
  <c r="G124" i="7" s="1"/>
  <c r="E125" i="7" s="1"/>
  <c r="F125" i="7" s="1"/>
  <c r="B133" i="13" l="1"/>
  <c r="G133" i="13" s="1"/>
  <c r="B134" i="13" s="1"/>
  <c r="G127" i="14"/>
  <c r="B128" i="14" s="1"/>
  <c r="G127" i="12"/>
  <c r="E128" i="12" s="1"/>
  <c r="F128" i="12" s="1"/>
  <c r="B125" i="7"/>
  <c r="G125" i="7" s="1"/>
  <c r="E126" i="7" s="1"/>
  <c r="F126" i="7" s="1"/>
  <c r="E134" i="13" l="1"/>
  <c r="F134" i="13" s="1"/>
  <c r="G134" i="13" s="1"/>
  <c r="E135" i="13" s="1"/>
  <c r="F135" i="13" s="1"/>
  <c r="E128" i="14"/>
  <c r="F128" i="14" s="1"/>
  <c r="G128" i="14" s="1"/>
  <c r="E129" i="14" s="1"/>
  <c r="F129" i="14" s="1"/>
  <c r="B128" i="12"/>
  <c r="G128" i="12" s="1"/>
  <c r="B126" i="7"/>
  <c r="G126" i="7" s="1"/>
  <c r="B127" i="7" s="1"/>
  <c r="B135" i="13" l="1"/>
  <c r="G135" i="13" s="1"/>
  <c r="B129" i="14"/>
  <c r="G129" i="14" s="1"/>
  <c r="B129" i="12"/>
  <c r="E129" i="12"/>
  <c r="F129" i="12" s="1"/>
  <c r="E127" i="7"/>
  <c r="F127" i="7" s="1"/>
  <c r="G127" i="7" s="1"/>
  <c r="B128" i="7" s="1"/>
  <c r="B136" i="13" l="1"/>
  <c r="E136" i="13"/>
  <c r="F136" i="13" s="1"/>
  <c r="E130" i="14"/>
  <c r="F130" i="14" s="1"/>
  <c r="B130" i="14"/>
  <c r="G129" i="12"/>
  <c r="E130" i="12" s="1"/>
  <c r="F130" i="12" s="1"/>
  <c r="E128" i="7"/>
  <c r="F128" i="7" s="1"/>
  <c r="G128" i="7" s="1"/>
  <c r="E129" i="7" s="1"/>
  <c r="F129" i="7" s="1"/>
  <c r="G136" i="13" l="1"/>
  <c r="B137" i="13" s="1"/>
  <c r="G130" i="14"/>
  <c r="B130" i="12"/>
  <c r="G130" i="12" s="1"/>
  <c r="E131" i="12" s="1"/>
  <c r="F131" i="12" s="1"/>
  <c r="B129" i="7"/>
  <c r="G129" i="7" s="1"/>
  <c r="E130" i="7" s="1"/>
  <c r="F130" i="7" s="1"/>
  <c r="E137" i="13" l="1"/>
  <c r="F137" i="13" s="1"/>
  <c r="G137" i="13" s="1"/>
  <c r="B138" i="13" s="1"/>
  <c r="E131" i="14"/>
  <c r="F131" i="14" s="1"/>
  <c r="B131" i="14"/>
  <c r="B131" i="12"/>
  <c r="G131" i="12" s="1"/>
  <c r="B130" i="7"/>
  <c r="G130" i="7" s="1"/>
  <c r="B131" i="7" s="1"/>
  <c r="E138" i="13" l="1"/>
  <c r="F138" i="13" s="1"/>
  <c r="G138" i="13" s="1"/>
  <c r="E139" i="13" s="1"/>
  <c r="F139" i="13" s="1"/>
  <c r="G131" i="14"/>
  <c r="E132" i="12"/>
  <c r="F132" i="12" s="1"/>
  <c r="B132" i="12"/>
  <c r="E131" i="7"/>
  <c r="F131" i="7" s="1"/>
  <c r="G131" i="7" s="1"/>
  <c r="B132" i="7" s="1"/>
  <c r="B139" i="13" l="1"/>
  <c r="G139" i="13" s="1"/>
  <c r="B140" i="13" s="1"/>
  <c r="B132" i="14"/>
  <c r="E132" i="14"/>
  <c r="F132" i="14" s="1"/>
  <c r="G132" i="12"/>
  <c r="B133" i="12" s="1"/>
  <c r="E132" i="7"/>
  <c r="F132" i="7" s="1"/>
  <c r="G132" i="7" s="1"/>
  <c r="E133" i="7" s="1"/>
  <c r="F133" i="7" s="1"/>
  <c r="E140" i="13" l="1"/>
  <c r="F140" i="13" s="1"/>
  <c r="G140" i="13" s="1"/>
  <c r="G132" i="14"/>
  <c r="B133" i="14" s="1"/>
  <c r="E133" i="12"/>
  <c r="F133" i="12" s="1"/>
  <c r="G133" i="12" s="1"/>
  <c r="B134" i="12" s="1"/>
  <c r="B133" i="7"/>
  <c r="G133" i="7" s="1"/>
  <c r="E134" i="7" s="1"/>
  <c r="F134" i="7" s="1"/>
  <c r="E141" i="13" l="1"/>
  <c r="F141" i="13" s="1"/>
  <c r="B141" i="13"/>
  <c r="E133" i="14"/>
  <c r="F133" i="14" s="1"/>
  <c r="G133" i="14" s="1"/>
  <c r="E134" i="14" s="1"/>
  <c r="F134" i="14" s="1"/>
  <c r="E134" i="12"/>
  <c r="F134" i="12" s="1"/>
  <c r="G134" i="12" s="1"/>
  <c r="B134" i="7"/>
  <c r="G134" i="7" s="1"/>
  <c r="B135" i="7" s="1"/>
  <c r="G141" i="13" l="1"/>
  <c r="B134" i="14"/>
  <c r="G134" i="14" s="1"/>
  <c r="B135" i="14" s="1"/>
  <c r="B135" i="12"/>
  <c r="E135" i="12"/>
  <c r="F135" i="12" s="1"/>
  <c r="E135" i="7"/>
  <c r="F135" i="7" s="1"/>
  <c r="G135" i="7" s="1"/>
  <c r="B136" i="7" s="1"/>
  <c r="E142" i="13" l="1"/>
  <c r="F142" i="13" s="1"/>
  <c r="B142" i="13"/>
  <c r="E135" i="14"/>
  <c r="F135" i="14" s="1"/>
  <c r="G135" i="14" s="1"/>
  <c r="E136" i="14" s="1"/>
  <c r="F136" i="14" s="1"/>
  <c r="G135" i="12"/>
  <c r="B136" i="12" s="1"/>
  <c r="E136" i="7"/>
  <c r="F136" i="7" s="1"/>
  <c r="G136" i="7" s="1"/>
  <c r="E137" i="7" s="1"/>
  <c r="F137" i="7" s="1"/>
  <c r="G142" i="13" l="1"/>
  <c r="B136" i="14"/>
  <c r="G136" i="14" s="1"/>
  <c r="E136" i="12"/>
  <c r="F136" i="12" s="1"/>
  <c r="G136" i="12" s="1"/>
  <c r="B137" i="7"/>
  <c r="G137" i="7" s="1"/>
  <c r="E138" i="7" s="1"/>
  <c r="F138" i="7" s="1"/>
  <c r="B143" i="13" l="1"/>
  <c r="E143" i="13"/>
  <c r="F143" i="13" s="1"/>
  <c r="B137" i="14"/>
  <c r="E137" i="14"/>
  <c r="F137" i="14" s="1"/>
  <c r="B137" i="12"/>
  <c r="E137" i="12"/>
  <c r="F137" i="12" s="1"/>
  <c r="B138" i="7"/>
  <c r="G138" i="7" s="1"/>
  <c r="B139" i="7" s="1"/>
  <c r="G143" i="13" l="1"/>
  <c r="G137" i="14"/>
  <c r="E138" i="14" s="1"/>
  <c r="F138" i="14" s="1"/>
  <c r="G137" i="12"/>
  <c r="E138" i="12" s="1"/>
  <c r="F138" i="12" s="1"/>
  <c r="E139" i="7"/>
  <c r="F139" i="7" s="1"/>
  <c r="G139" i="7" s="1"/>
  <c r="B140" i="7" s="1"/>
  <c r="E144" i="13" l="1"/>
  <c r="F144" i="13" s="1"/>
  <c r="B144" i="13"/>
  <c r="B138" i="14"/>
  <c r="G138" i="14" s="1"/>
  <c r="E139" i="14" s="1"/>
  <c r="F139" i="14" s="1"/>
  <c r="B138" i="12"/>
  <c r="G138" i="12" s="1"/>
  <c r="B139" i="12" s="1"/>
  <c r="E140" i="7"/>
  <c r="F140" i="7" s="1"/>
  <c r="G140" i="7" s="1"/>
  <c r="E141" i="7" s="1"/>
  <c r="F141" i="7" s="1"/>
  <c r="B139" i="14" l="1"/>
  <c r="G139" i="14" s="1"/>
  <c r="B140" i="14" s="1"/>
  <c r="G144" i="13"/>
  <c r="E139" i="12"/>
  <c r="F139" i="12" s="1"/>
  <c r="G139" i="12" s="1"/>
  <c r="B141" i="7"/>
  <c r="G141" i="7" s="1"/>
  <c r="E142" i="7" s="1"/>
  <c r="F142" i="7" s="1"/>
  <c r="E145" i="13" l="1"/>
  <c r="F145" i="13" s="1"/>
  <c r="B145" i="13"/>
  <c r="E140" i="14"/>
  <c r="F140" i="14" s="1"/>
  <c r="G140" i="14" s="1"/>
  <c r="E141" i="14" s="1"/>
  <c r="F141" i="14" s="1"/>
  <c r="B140" i="12"/>
  <c r="E140" i="12"/>
  <c r="F140" i="12" s="1"/>
  <c r="B142" i="7"/>
  <c r="G142" i="7" s="1"/>
  <c r="E143" i="7" s="1"/>
  <c r="F143" i="7" s="1"/>
  <c r="G145" i="13" l="1"/>
  <c r="E146" i="13" s="1"/>
  <c r="F146" i="13" s="1"/>
  <c r="B141" i="14"/>
  <c r="G141" i="14" s="1"/>
  <c r="E142" i="14" s="1"/>
  <c r="F142" i="14" s="1"/>
  <c r="G140" i="12"/>
  <c r="B143" i="7"/>
  <c r="G143" i="7" s="1"/>
  <c r="E144" i="7" s="1"/>
  <c r="F144" i="7" s="1"/>
  <c r="B146" i="13" l="1"/>
  <c r="G146" i="13" s="1"/>
  <c r="E147" i="13" s="1"/>
  <c r="F147" i="13" s="1"/>
  <c r="B142" i="14"/>
  <c r="G142" i="14" s="1"/>
  <c r="B141" i="12"/>
  <c r="E141" i="12"/>
  <c r="F141" i="12" s="1"/>
  <c r="B144" i="7"/>
  <c r="G144" i="7" s="1"/>
  <c r="E145" i="7" s="1"/>
  <c r="F145" i="7" s="1"/>
  <c r="B147" i="13" l="1"/>
  <c r="G147" i="13" s="1"/>
  <c r="B148" i="13" s="1"/>
  <c r="B143" i="14"/>
  <c r="E143" i="14"/>
  <c r="F143" i="14" s="1"/>
  <c r="G141" i="12"/>
  <c r="E142" i="12" s="1"/>
  <c r="F142" i="12" s="1"/>
  <c r="B145" i="7"/>
  <c r="G145" i="7" s="1"/>
  <c r="E148" i="13" l="1"/>
  <c r="F148" i="13" s="1"/>
  <c r="G148" i="13" s="1"/>
  <c r="G143" i="14"/>
  <c r="B144" i="14" s="1"/>
  <c r="B142" i="12"/>
  <c r="G142" i="12" s="1"/>
  <c r="E146" i="7"/>
  <c r="F146" i="7" s="1"/>
  <c r="B146" i="7"/>
  <c r="E149" i="13" l="1"/>
  <c r="F149" i="13" s="1"/>
  <c r="B149" i="13"/>
  <c r="E144" i="14"/>
  <c r="F144" i="14" s="1"/>
  <c r="G144" i="14" s="1"/>
  <c r="E145" i="14" s="1"/>
  <c r="F145" i="14" s="1"/>
  <c r="B143" i="12"/>
  <c r="E143" i="12"/>
  <c r="F143" i="12" s="1"/>
  <c r="G146" i="7"/>
  <c r="E147" i="7" s="1"/>
  <c r="F147" i="7" s="1"/>
  <c r="G149" i="13" l="1"/>
  <c r="B145" i="14"/>
  <c r="G145" i="14" s="1"/>
  <c r="E146" i="14" s="1"/>
  <c r="F146" i="14" s="1"/>
  <c r="G143" i="12"/>
  <c r="E144" i="12" s="1"/>
  <c r="F144" i="12" s="1"/>
  <c r="B147" i="7"/>
  <c r="G147" i="7" s="1"/>
  <c r="E148" i="7" s="1"/>
  <c r="F148" i="7" s="1"/>
  <c r="B146" i="14" l="1"/>
  <c r="G146" i="14" s="1"/>
  <c r="B147" i="14" s="1"/>
  <c r="B150" i="13"/>
  <c r="E150" i="13"/>
  <c r="F150" i="13" s="1"/>
  <c r="B144" i="12"/>
  <c r="G144" i="12" s="1"/>
  <c r="E145" i="12" s="1"/>
  <c r="F145" i="12" s="1"/>
  <c r="B148" i="7"/>
  <c r="G148" i="7" s="1"/>
  <c r="E149" i="7" s="1"/>
  <c r="F149" i="7" s="1"/>
  <c r="G150" i="13" l="1"/>
  <c r="E151" i="13" s="1"/>
  <c r="F151" i="13" s="1"/>
  <c r="E147" i="14"/>
  <c r="F147" i="14" s="1"/>
  <c r="G147" i="14" s="1"/>
  <c r="B148" i="14" s="1"/>
  <c r="B145" i="12"/>
  <c r="G145" i="12" s="1"/>
  <c r="E146" i="12" s="1"/>
  <c r="F146" i="12" s="1"/>
  <c r="B149" i="7"/>
  <c r="G149" i="7" s="1"/>
  <c r="E150" i="7" s="1"/>
  <c r="F150" i="7" s="1"/>
  <c r="B151" i="13" l="1"/>
  <c r="G151" i="13" s="1"/>
  <c r="B152" i="13" s="1"/>
  <c r="E148" i="14"/>
  <c r="F148" i="14" s="1"/>
  <c r="G148" i="14" s="1"/>
  <c r="B149" i="14" s="1"/>
  <c r="B146" i="12"/>
  <c r="G146" i="12" s="1"/>
  <c r="E147" i="12" s="1"/>
  <c r="F147" i="12" s="1"/>
  <c r="B150" i="7"/>
  <c r="G150" i="7" s="1"/>
  <c r="E152" i="13" l="1"/>
  <c r="F152" i="13" s="1"/>
  <c r="G152" i="13" s="1"/>
  <c r="E153" i="13" s="1"/>
  <c r="F153" i="13" s="1"/>
  <c r="E149" i="14"/>
  <c r="F149" i="14" s="1"/>
  <c r="G149" i="14" s="1"/>
  <c r="B147" i="12"/>
  <c r="G147" i="12" s="1"/>
  <c r="B148" i="12" s="1"/>
  <c r="E151" i="7"/>
  <c r="F151" i="7" s="1"/>
  <c r="B151" i="7"/>
  <c r="B153" i="13" l="1"/>
  <c r="G153" i="13" s="1"/>
  <c r="E154" i="13" s="1"/>
  <c r="F154" i="13" s="1"/>
  <c r="E150" i="14"/>
  <c r="F150" i="14" s="1"/>
  <c r="B150" i="14"/>
  <c r="E148" i="12"/>
  <c r="F148" i="12" s="1"/>
  <c r="G148" i="12" s="1"/>
  <c r="G151" i="7"/>
  <c r="E152" i="7" s="1"/>
  <c r="F152" i="7" s="1"/>
  <c r="B154" i="13" l="1"/>
  <c r="G154" i="13" s="1"/>
  <c r="B155" i="13" s="1"/>
  <c r="G150" i="14"/>
  <c r="B151" i="14" s="1"/>
  <c r="B149" i="12"/>
  <c r="E149" i="12"/>
  <c r="F149" i="12" s="1"/>
  <c r="B152" i="7"/>
  <c r="G152" i="7" s="1"/>
  <c r="E153" i="7" s="1"/>
  <c r="F153" i="7" s="1"/>
  <c r="E155" i="13" l="1"/>
  <c r="F155" i="13" s="1"/>
  <c r="G155" i="13" s="1"/>
  <c r="B156" i="13" s="1"/>
  <c r="E151" i="14"/>
  <c r="F151" i="14" s="1"/>
  <c r="G151" i="14" s="1"/>
  <c r="B152" i="14" s="1"/>
  <c r="G149" i="12"/>
  <c r="B150" i="12" s="1"/>
  <c r="B153" i="7"/>
  <c r="G153" i="7" s="1"/>
  <c r="E154" i="7" s="1"/>
  <c r="F154" i="7" s="1"/>
  <c r="E156" i="13" l="1"/>
  <c r="F156" i="13" s="1"/>
  <c r="G156" i="13" s="1"/>
  <c r="E157" i="13" s="1"/>
  <c r="F157" i="13" s="1"/>
  <c r="E152" i="14"/>
  <c r="F152" i="14" s="1"/>
  <c r="G152" i="14" s="1"/>
  <c r="B153" i="14" s="1"/>
  <c r="E150" i="12"/>
  <c r="F150" i="12" s="1"/>
  <c r="G150" i="12" s="1"/>
  <c r="B154" i="7"/>
  <c r="G154" i="7" s="1"/>
  <c r="E155" i="7" s="1"/>
  <c r="F155" i="7" s="1"/>
  <c r="B157" i="13" l="1"/>
  <c r="G157" i="13" s="1"/>
  <c r="E153" i="14"/>
  <c r="F153" i="14" s="1"/>
  <c r="G153" i="14" s="1"/>
  <c r="E154" i="14" s="1"/>
  <c r="F154" i="14" s="1"/>
  <c r="B151" i="12"/>
  <c r="E151" i="12"/>
  <c r="F151" i="12" s="1"/>
  <c r="B155" i="7"/>
  <c r="G155" i="7" s="1"/>
  <c r="E156" i="7" s="1"/>
  <c r="F156" i="7" s="1"/>
  <c r="B158" i="13" l="1"/>
  <c r="E158" i="13"/>
  <c r="F158" i="13" s="1"/>
  <c r="B154" i="14"/>
  <c r="G154" i="14" s="1"/>
  <c r="B155" i="14" s="1"/>
  <c r="G151" i="12"/>
  <c r="B152" i="12" s="1"/>
  <c r="B156" i="7"/>
  <c r="G156" i="7" s="1"/>
  <c r="E157" i="7" s="1"/>
  <c r="F157" i="7" s="1"/>
  <c r="G158" i="13" l="1"/>
  <c r="E159" i="13" s="1"/>
  <c r="F159" i="13" s="1"/>
  <c r="E155" i="14"/>
  <c r="F155" i="14" s="1"/>
  <c r="G155" i="14" s="1"/>
  <c r="E156" i="14" s="1"/>
  <c r="F156" i="14" s="1"/>
  <c r="E152" i="12"/>
  <c r="F152" i="12" s="1"/>
  <c r="G152" i="12" s="1"/>
  <c r="B153" i="12" s="1"/>
  <c r="B157" i="7"/>
  <c r="G157" i="7" s="1"/>
  <c r="E158" i="7" s="1"/>
  <c r="F158" i="7" s="1"/>
  <c r="B159" i="13" l="1"/>
  <c r="G159" i="13" s="1"/>
  <c r="E160" i="13" s="1"/>
  <c r="F160" i="13" s="1"/>
  <c r="B156" i="14"/>
  <c r="G156" i="14" s="1"/>
  <c r="E153" i="12"/>
  <c r="F153" i="12" s="1"/>
  <c r="G153" i="12" s="1"/>
  <c r="B154" i="12" s="1"/>
  <c r="B158" i="7"/>
  <c r="G158" i="7" s="1"/>
  <c r="E159" i="7" s="1"/>
  <c r="F159" i="7" s="1"/>
  <c r="B160" i="13" l="1"/>
  <c r="G160" i="13" s="1"/>
  <c r="B161" i="13" s="1"/>
  <c r="E157" i="14"/>
  <c r="F157" i="14" s="1"/>
  <c r="B157" i="14"/>
  <c r="E154" i="12"/>
  <c r="F154" i="12" s="1"/>
  <c r="G154" i="12" s="1"/>
  <c r="B155" i="12" s="1"/>
  <c r="B159" i="7"/>
  <c r="G159" i="7" s="1"/>
  <c r="E160" i="7" s="1"/>
  <c r="F160" i="7" s="1"/>
  <c r="E161" i="13" l="1"/>
  <c r="F161" i="13" s="1"/>
  <c r="G161" i="13" s="1"/>
  <c r="B162" i="13" s="1"/>
  <c r="G157" i="14"/>
  <c r="E155" i="12"/>
  <c r="F155" i="12" s="1"/>
  <c r="G155" i="12" s="1"/>
  <c r="E156" i="12" s="1"/>
  <c r="F156" i="12" s="1"/>
  <c r="B160" i="7"/>
  <c r="G160" i="7" s="1"/>
  <c r="E161" i="7" s="1"/>
  <c r="F161" i="7" s="1"/>
  <c r="E162" i="13" l="1"/>
  <c r="F162" i="13" s="1"/>
  <c r="G162" i="13" s="1"/>
  <c r="B163" i="13" s="1"/>
  <c r="E158" i="14"/>
  <c r="F158" i="14" s="1"/>
  <c r="B158" i="14"/>
  <c r="B156" i="12"/>
  <c r="G156" i="12" s="1"/>
  <c r="E157" i="12" s="1"/>
  <c r="F157" i="12" s="1"/>
  <c r="B161" i="7"/>
  <c r="G161" i="7" s="1"/>
  <c r="E162" i="7" s="1"/>
  <c r="F162" i="7" s="1"/>
  <c r="E163" i="13" l="1"/>
  <c r="F163" i="13" s="1"/>
  <c r="G163" i="13" s="1"/>
  <c r="G158" i="14"/>
  <c r="B157" i="12"/>
  <c r="G157" i="12" s="1"/>
  <c r="E158" i="12" s="1"/>
  <c r="F158" i="12" s="1"/>
  <c r="B162" i="7"/>
  <c r="G162" i="7" s="1"/>
  <c r="E163" i="7" s="1"/>
  <c r="F163" i="7" s="1"/>
  <c r="B164" i="13" l="1"/>
  <c r="E164" i="13"/>
  <c r="F164" i="13" s="1"/>
  <c r="B159" i="14"/>
  <c r="E159" i="14"/>
  <c r="F159" i="14" s="1"/>
  <c r="B158" i="12"/>
  <c r="G158" i="12" s="1"/>
  <c r="E159" i="12" s="1"/>
  <c r="F159" i="12" s="1"/>
  <c r="B163" i="7"/>
  <c r="G163" i="7" s="1"/>
  <c r="E164" i="7" s="1"/>
  <c r="F164" i="7" s="1"/>
  <c r="G164" i="13" l="1"/>
  <c r="B165" i="13" s="1"/>
  <c r="G159" i="14"/>
  <c r="E160" i="14" s="1"/>
  <c r="F160" i="14" s="1"/>
  <c r="B159" i="12"/>
  <c r="G159" i="12" s="1"/>
  <c r="E160" i="12" s="1"/>
  <c r="F160" i="12" s="1"/>
  <c r="B164" i="7"/>
  <c r="G164" i="7" s="1"/>
  <c r="E165" i="7" s="1"/>
  <c r="F165" i="7" s="1"/>
  <c r="E165" i="13" l="1"/>
  <c r="F165" i="13" s="1"/>
  <c r="G165" i="13" s="1"/>
  <c r="B160" i="14"/>
  <c r="G160" i="14" s="1"/>
  <c r="E161" i="14" s="1"/>
  <c r="F161" i="14" s="1"/>
  <c r="B160" i="12"/>
  <c r="G160" i="12" s="1"/>
  <c r="E161" i="12" s="1"/>
  <c r="F161" i="12" s="1"/>
  <c r="B165" i="7"/>
  <c r="G165" i="7" s="1"/>
  <c r="B161" i="14" l="1"/>
  <c r="G161" i="14" s="1"/>
  <c r="E162" i="14" s="1"/>
  <c r="F162" i="14" s="1"/>
  <c r="B161" i="12"/>
  <c r="G161" i="12" s="1"/>
  <c r="E162" i="12" s="1"/>
  <c r="F162" i="12" s="1"/>
  <c r="B162" i="14" l="1"/>
  <c r="G162" i="14" s="1"/>
  <c r="B162" i="12"/>
  <c r="G162" i="12" s="1"/>
  <c r="E163" i="14" l="1"/>
  <c r="F163" i="14" s="1"/>
  <c r="B163" i="14"/>
  <c r="E163" i="12"/>
  <c r="F163" i="12" s="1"/>
  <c r="B163" i="12"/>
  <c r="G163" i="14" l="1"/>
  <c r="E164" i="14" s="1"/>
  <c r="F164" i="14" s="1"/>
  <c r="G163" i="12"/>
  <c r="B164" i="14" l="1"/>
  <c r="G164" i="14" s="1"/>
  <c r="E164" i="12"/>
  <c r="F164" i="12" s="1"/>
  <c r="B164" i="12"/>
  <c r="B165" i="14" l="1"/>
  <c r="E165" i="14"/>
  <c r="F165" i="14" s="1"/>
  <c r="G164" i="12"/>
  <c r="G165" i="14" l="1"/>
  <c r="B165" i="12"/>
  <c r="E165" i="12"/>
  <c r="F165" i="12" s="1"/>
  <c r="G165" i="12" l="1"/>
  <c r="D49" i="6" l="1"/>
  <c r="C18" i="11"/>
  <c r="D18" i="11"/>
  <c r="O18" i="11" l="1"/>
  <c r="E38" i="6"/>
  <c r="H38" i="6" l="1"/>
  <c r="K38" i="6" l="1"/>
  <c r="N38" i="6" l="1"/>
  <c r="O38" i="6" l="1"/>
  <c r="P38" i="6" l="1"/>
  <c r="AN38" i="6"/>
  <c r="Q38" i="6"/>
  <c r="AK38" i="6"/>
  <c r="AH38" i="6"/>
  <c r="AE38" i="6"/>
  <c r="AA38" i="6"/>
  <c r="X38" i="6"/>
  <c r="W38" i="6"/>
  <c r="V38" i="6"/>
  <c r="R38" i="6"/>
  <c r="E60" i="1" l="1"/>
  <c r="C60" i="1"/>
  <c r="E61" i="1" l="1"/>
  <c r="E34" i="11"/>
  <c r="E43" i="11" s="1"/>
  <c r="D60" i="1"/>
  <c r="C34" i="11"/>
  <c r="C61" i="1"/>
  <c r="D23" i="6" s="1"/>
  <c r="D61" i="1" l="1"/>
  <c r="AK10" i="11" s="1"/>
  <c r="D34" i="11"/>
  <c r="D43" i="11" s="1"/>
  <c r="D24" i="6"/>
  <c r="C43" i="11"/>
  <c r="AL10" i="11"/>
  <c r="AM11" i="11"/>
  <c r="F60" i="1"/>
  <c r="AM10" i="11"/>
  <c r="AL11" i="11" l="1"/>
  <c r="AL23" i="11" s="1"/>
  <c r="AL26" i="11" s="1"/>
  <c r="AK11" i="11"/>
  <c r="AK23" i="11" s="1"/>
  <c r="AK26" i="11" s="1"/>
  <c r="E23" i="6"/>
  <c r="E24" i="6" s="1"/>
  <c r="AM23" i="11"/>
  <c r="AM26" i="11" s="1"/>
  <c r="G60" i="1"/>
  <c r="F61" i="1"/>
  <c r="AJ10" i="11" s="1"/>
  <c r="F34" i="11"/>
  <c r="D50" i="6"/>
  <c r="C66" i="1"/>
  <c r="AJ11" i="11" l="1"/>
  <c r="AJ23" i="11" s="1"/>
  <c r="AJ26" i="11" s="1"/>
  <c r="F23" i="6"/>
  <c r="F24" i="6" s="1"/>
  <c r="H60" i="1"/>
  <c r="I60" i="1"/>
  <c r="G61" i="1"/>
  <c r="G34" i="11"/>
  <c r="G43" i="11" s="1"/>
  <c r="D66" i="1"/>
  <c r="E50" i="6"/>
  <c r="F43" i="11"/>
  <c r="G23" i="6" l="1"/>
  <c r="G24" i="6" s="1"/>
  <c r="AI10" i="11"/>
  <c r="AI11" i="11"/>
  <c r="I34" i="11"/>
  <c r="I43" i="11" s="1"/>
  <c r="I61" i="1"/>
  <c r="E66" i="1"/>
  <c r="F50" i="6"/>
  <c r="H61" i="1"/>
  <c r="AH10" i="11" s="1"/>
  <c r="H34" i="11"/>
  <c r="H43" i="11" s="1"/>
  <c r="AG10" i="11" l="1"/>
  <c r="H23" i="6"/>
  <c r="I23" i="6" s="1"/>
  <c r="AG11" i="11"/>
  <c r="AH11" i="11"/>
  <c r="AH23" i="11" s="1"/>
  <c r="AH26" i="11" s="1"/>
  <c r="AI23" i="11"/>
  <c r="AI26" i="11" s="1"/>
  <c r="J60" i="1"/>
  <c r="L60" i="1"/>
  <c r="F66" i="1"/>
  <c r="G50" i="6"/>
  <c r="H24" i="6" l="1"/>
  <c r="H50" i="6" s="1"/>
  <c r="AG23" i="11"/>
  <c r="AG26" i="11" s="1"/>
  <c r="L61" i="1"/>
  <c r="L34" i="11"/>
  <c r="L43" i="11" s="1"/>
  <c r="K60" i="1"/>
  <c r="J61" i="1"/>
  <c r="AF10" i="11" s="1"/>
  <c r="J34" i="11"/>
  <c r="J43" i="11" s="1"/>
  <c r="I24" i="6"/>
  <c r="J23" i="6"/>
  <c r="G66" i="1" l="1"/>
  <c r="M60" i="1"/>
  <c r="K61" i="1"/>
  <c r="AE10" i="11" s="1"/>
  <c r="K34" i="11"/>
  <c r="K43" i="11" s="1"/>
  <c r="AF11" i="11"/>
  <c r="AF23" i="11" s="1"/>
  <c r="AF26" i="11" s="1"/>
  <c r="I50" i="6"/>
  <c r="H66" i="1"/>
  <c r="J24" i="6"/>
  <c r="K23" i="6"/>
  <c r="N60" i="1" l="1"/>
  <c r="O60" i="1" s="1"/>
  <c r="O61" i="1" s="1"/>
  <c r="M34" i="11"/>
  <c r="M61" i="1"/>
  <c r="AC11" i="11" s="1"/>
  <c r="AE11" i="11"/>
  <c r="AE23" i="11" s="1"/>
  <c r="AE26" i="11" s="1"/>
  <c r="AD10" i="11"/>
  <c r="AD11" i="11"/>
  <c r="K24" i="6"/>
  <c r="L23" i="6"/>
  <c r="J50" i="6"/>
  <c r="I66" i="1"/>
  <c r="AC10" i="11" l="1"/>
  <c r="AC23" i="11" s="1"/>
  <c r="AC26" i="11" s="1"/>
  <c r="AD23" i="11"/>
  <c r="AD26" i="11" s="1"/>
  <c r="M43" i="11"/>
  <c r="P60" i="1"/>
  <c r="AO11" i="11"/>
  <c r="N61" i="1"/>
  <c r="AA11" i="11" s="1"/>
  <c r="N34" i="11"/>
  <c r="N43" i="11" s="1"/>
  <c r="L24" i="6"/>
  <c r="M23" i="6"/>
  <c r="K50" i="6"/>
  <c r="J66" i="1"/>
  <c r="AO10" i="11" l="1"/>
  <c r="AO23" i="11" s="1"/>
  <c r="AO26" i="11" s="1"/>
  <c r="AA10" i="11"/>
  <c r="AA23" i="11" s="1"/>
  <c r="AA26" i="11" s="1"/>
  <c r="R60" i="1"/>
  <c r="Q60" i="1"/>
  <c r="S60" i="1"/>
  <c r="S34" i="11" s="1"/>
  <c r="S43" i="11" s="1"/>
  <c r="P34" i="11"/>
  <c r="P43" i="11" s="1"/>
  <c r="P61" i="1"/>
  <c r="Z11" i="11" s="1"/>
  <c r="O34" i="11"/>
  <c r="O43" i="11" s="1"/>
  <c r="K66" i="1"/>
  <c r="L50" i="6"/>
  <c r="M24" i="6"/>
  <c r="N23" i="6"/>
  <c r="S61" i="1" l="1"/>
  <c r="Q61" i="1"/>
  <c r="Q34" i="11"/>
  <c r="Q43" i="11" s="1"/>
  <c r="R34" i="11"/>
  <c r="R43" i="11" s="1"/>
  <c r="R61" i="1"/>
  <c r="N24" i="6"/>
  <c r="O23" i="6"/>
  <c r="M50" i="6"/>
  <c r="L66" i="1"/>
  <c r="T60" i="1" l="1"/>
  <c r="M66" i="1"/>
  <c r="N50" i="6"/>
  <c r="O24" i="6"/>
  <c r="P23" i="6"/>
  <c r="U60" i="1" l="1"/>
  <c r="T34" i="11"/>
  <c r="T43" i="11" s="1"/>
  <c r="T61" i="1"/>
  <c r="N66" i="1"/>
  <c r="O50" i="6"/>
  <c r="P24" i="6"/>
  <c r="Q23" i="6"/>
  <c r="V60" i="1" l="1"/>
  <c r="U34" i="11"/>
  <c r="U43" i="11" s="1"/>
  <c r="U61" i="1"/>
  <c r="Q24" i="6"/>
  <c r="R23" i="6"/>
  <c r="P50" i="6"/>
  <c r="O66" i="1"/>
  <c r="W60" i="1" l="1"/>
  <c r="V61" i="1"/>
  <c r="V34" i="11"/>
  <c r="V43" i="11" s="1"/>
  <c r="R24" i="6"/>
  <c r="S23" i="6"/>
  <c r="Q50" i="6"/>
  <c r="P66" i="1"/>
  <c r="X60" i="1" l="1"/>
  <c r="W61" i="1"/>
  <c r="W34" i="11"/>
  <c r="W43" i="11" s="1"/>
  <c r="S24" i="6"/>
  <c r="T23" i="6"/>
  <c r="Q66" i="1"/>
  <c r="R50" i="6"/>
  <c r="Y60" i="1" l="1"/>
  <c r="X61" i="1"/>
  <c r="X34" i="11"/>
  <c r="X43" i="11" s="1"/>
  <c r="T24" i="6"/>
  <c r="U23" i="6"/>
  <c r="R66" i="1"/>
  <c r="S50" i="6"/>
  <c r="Z60" i="1" l="1"/>
  <c r="Y61" i="1"/>
  <c r="Y34" i="11"/>
  <c r="Y43" i="11" s="1"/>
  <c r="U24" i="6"/>
  <c r="V23" i="6"/>
  <c r="T50" i="6"/>
  <c r="S66" i="1"/>
  <c r="AA60" i="1" l="1"/>
  <c r="Z61" i="1"/>
  <c r="Z34" i="11"/>
  <c r="Z43" i="11" s="1"/>
  <c r="V24" i="6"/>
  <c r="W23" i="6"/>
  <c r="T66" i="1"/>
  <c r="U50" i="6"/>
  <c r="AC60" i="1" l="1"/>
  <c r="AA61" i="1"/>
  <c r="AA34" i="11"/>
  <c r="AB60" i="1"/>
  <c r="AB61" i="1" s="1"/>
  <c r="W24" i="6"/>
  <c r="X23" i="6"/>
  <c r="U66" i="1"/>
  <c r="V50" i="6"/>
  <c r="AD60" i="1" l="1"/>
  <c r="AB34" i="11"/>
  <c r="AB43" i="11" s="1"/>
  <c r="AA43" i="11"/>
  <c r="AA44" i="11" s="1"/>
  <c r="AC61" i="1"/>
  <c r="AC34" i="11"/>
  <c r="AC43" i="11" s="1"/>
  <c r="AC44" i="11" s="1"/>
  <c r="V66" i="1"/>
  <c r="W50" i="6"/>
  <c r="X24" i="6"/>
  <c r="Y23" i="6"/>
  <c r="AD34" i="11" l="1"/>
  <c r="AD43" i="11" s="1"/>
  <c r="AD44" i="11" s="1"/>
  <c r="AD61" i="1"/>
  <c r="AE60" i="1"/>
  <c r="W66" i="1"/>
  <c r="X50" i="6"/>
  <c r="Y24" i="6"/>
  <c r="Z23" i="6"/>
  <c r="AE61" i="1" l="1"/>
  <c r="AE34" i="11"/>
  <c r="AE43" i="11" s="1"/>
  <c r="AE44" i="11" s="1"/>
  <c r="AF60" i="1"/>
  <c r="Z24" i="6"/>
  <c r="AA23" i="6"/>
  <c r="X66" i="1"/>
  <c r="Y50" i="6"/>
  <c r="AG60" i="1" l="1"/>
  <c r="AF34" i="11"/>
  <c r="AF43" i="11" s="1"/>
  <c r="AF44" i="11" s="1"/>
  <c r="AF61" i="1"/>
  <c r="AA24" i="6"/>
  <c r="AB23" i="6"/>
  <c r="Z50" i="6"/>
  <c r="Y66" i="1"/>
  <c r="AH60" i="1" l="1"/>
  <c r="AG34" i="11"/>
  <c r="AG43" i="11" s="1"/>
  <c r="AG44" i="11" s="1"/>
  <c r="AG61" i="1"/>
  <c r="AB24" i="6"/>
  <c r="AC23" i="6"/>
  <c r="AA50" i="6"/>
  <c r="Z66" i="1"/>
  <c r="AI60" i="1" l="1"/>
  <c r="AH61" i="1"/>
  <c r="AH34" i="11"/>
  <c r="AH43" i="11" s="1"/>
  <c r="AH44" i="11" s="1"/>
  <c r="AC24" i="6"/>
  <c r="AD23" i="6"/>
  <c r="AA66" i="1"/>
  <c r="AB50" i="6"/>
  <c r="AJ60" i="1" l="1"/>
  <c r="AI61" i="1"/>
  <c r="AI34" i="11"/>
  <c r="AI43" i="11" s="1"/>
  <c r="AI44" i="11" s="1"/>
  <c r="AD24" i="6"/>
  <c r="AE23" i="6"/>
  <c r="AC50" i="6"/>
  <c r="AB66" i="1"/>
  <c r="AK60" i="1" l="1"/>
  <c r="AJ61" i="1"/>
  <c r="AJ34" i="11"/>
  <c r="AJ43" i="11" s="1"/>
  <c r="AJ44" i="11" s="1"/>
  <c r="AE24" i="6"/>
  <c r="AF23" i="6"/>
  <c r="AD50" i="6"/>
  <c r="AC66" i="1"/>
  <c r="AK61" i="1" l="1"/>
  <c r="AK34" i="11"/>
  <c r="AK43" i="11" s="1"/>
  <c r="AK44" i="11" s="1"/>
  <c r="AL60" i="1"/>
  <c r="AF24" i="6"/>
  <c r="AG23" i="6"/>
  <c r="AE50" i="6"/>
  <c r="AD66" i="1"/>
  <c r="AL61" i="1" l="1"/>
  <c r="D10" i="11" s="1"/>
  <c r="AL34" i="11"/>
  <c r="AL43" i="11" s="1"/>
  <c r="AL44" i="11" s="1"/>
  <c r="AM60" i="1"/>
  <c r="AN60" i="1"/>
  <c r="AG24" i="6"/>
  <c r="AH23" i="6"/>
  <c r="AF50" i="6"/>
  <c r="AE66" i="1"/>
  <c r="W10" i="11"/>
  <c r="L11" i="11"/>
  <c r="J10" i="11"/>
  <c r="F11" i="11"/>
  <c r="R10" i="11"/>
  <c r="L10" i="11"/>
  <c r="Y11" i="11"/>
  <c r="M11" i="11"/>
  <c r="W11" i="11"/>
  <c r="V11" i="11"/>
  <c r="K11" i="11"/>
  <c r="E11" i="11"/>
  <c r="U10" i="11"/>
  <c r="Y10" i="11"/>
  <c r="H10" i="11"/>
  <c r="F10" i="11"/>
  <c r="H11" i="11"/>
  <c r="P10" i="11"/>
  <c r="M10" i="11"/>
  <c r="E10" i="11"/>
  <c r="V10" i="11"/>
  <c r="T10" i="11"/>
  <c r="N11" i="11"/>
  <c r="Z10" i="11"/>
  <c r="Z23" i="11" s="1"/>
  <c r="Z26" i="11" s="1"/>
  <c r="Z44" i="11" s="1"/>
  <c r="Q10" i="11"/>
  <c r="G10" i="11"/>
  <c r="Q11" i="11"/>
  <c r="X10" i="11"/>
  <c r="J11" i="11"/>
  <c r="K10" i="11"/>
  <c r="S11" i="11"/>
  <c r="N10" i="11"/>
  <c r="R11" i="11"/>
  <c r="X11" i="11"/>
  <c r="T11" i="11"/>
  <c r="I11" i="11"/>
  <c r="I10" i="11"/>
  <c r="S10" i="11"/>
  <c r="G11" i="11"/>
  <c r="U11" i="11"/>
  <c r="D11" i="11"/>
  <c r="P11" i="11"/>
  <c r="L23" i="11" l="1"/>
  <c r="L26" i="11" s="1"/>
  <c r="L44" i="11" s="1"/>
  <c r="F23" i="11"/>
  <c r="F26" i="11" s="1"/>
  <c r="F44" i="11" s="1"/>
  <c r="E23" i="11"/>
  <c r="E26" i="11" s="1"/>
  <c r="E44" i="11" s="1"/>
  <c r="V23" i="11"/>
  <c r="V26" i="11" s="1"/>
  <c r="V44" i="11" s="1"/>
  <c r="M23" i="11"/>
  <c r="M26" i="11" s="1"/>
  <c r="M44" i="11" s="1"/>
  <c r="S23" i="11"/>
  <c r="S26" i="11" s="1"/>
  <c r="S44" i="11" s="1"/>
  <c r="K23" i="11"/>
  <c r="K26" i="11" s="1"/>
  <c r="K44" i="11" s="1"/>
  <c r="Y23" i="11"/>
  <c r="Y26" i="11" s="1"/>
  <c r="Y44" i="11" s="1"/>
  <c r="N23" i="11"/>
  <c r="N26" i="11" s="1"/>
  <c r="N44" i="11" s="1"/>
  <c r="AO60" i="1"/>
  <c r="AO61" i="1" s="1"/>
  <c r="AN34" i="11"/>
  <c r="AN43" i="11" s="1"/>
  <c r="AN44" i="11" s="1"/>
  <c r="AN61" i="1"/>
  <c r="AB11" i="11"/>
  <c r="AM61" i="1"/>
  <c r="AM34" i="11"/>
  <c r="G23" i="11"/>
  <c r="G26" i="11" s="1"/>
  <c r="G44" i="11" s="1"/>
  <c r="T23" i="11"/>
  <c r="T26" i="11" s="1"/>
  <c r="T44" i="11" s="1"/>
  <c r="H23" i="11"/>
  <c r="H26" i="11" s="1"/>
  <c r="H44" i="11" s="1"/>
  <c r="AI23" i="6"/>
  <c r="AH24" i="6"/>
  <c r="I23" i="11"/>
  <c r="I26" i="11" s="1"/>
  <c r="I44" i="11" s="1"/>
  <c r="Q23" i="11"/>
  <c r="Q26" i="11" s="1"/>
  <c r="Q44" i="11" s="1"/>
  <c r="P23" i="11"/>
  <c r="P26" i="11" s="1"/>
  <c r="P44" i="11" s="1"/>
  <c r="AB10" i="11"/>
  <c r="J23" i="11"/>
  <c r="J26" i="11" s="1"/>
  <c r="J44" i="11" s="1"/>
  <c r="AG50" i="6"/>
  <c r="AF66" i="1"/>
  <c r="D23" i="11"/>
  <c r="D26" i="11" s="1"/>
  <c r="D44" i="11" s="1"/>
  <c r="X23" i="11"/>
  <c r="X26" i="11" s="1"/>
  <c r="X44" i="11" s="1"/>
  <c r="U23" i="11"/>
  <c r="U26" i="11" s="1"/>
  <c r="U44" i="11" s="1"/>
  <c r="R23" i="11"/>
  <c r="R26" i="11" s="1"/>
  <c r="R44" i="11" s="1"/>
  <c r="W23" i="11"/>
  <c r="W26" i="11" s="1"/>
  <c r="W44" i="11" s="1"/>
  <c r="AB23" i="11" l="1"/>
  <c r="AB26" i="11" s="1"/>
  <c r="AB44" i="11" s="1"/>
  <c r="AM43" i="11"/>
  <c r="AM44" i="11" s="1"/>
  <c r="AO34" i="11"/>
  <c r="AO43" i="11" s="1"/>
  <c r="AO44" i="11" s="1"/>
  <c r="C10" i="11"/>
  <c r="C11" i="11"/>
  <c r="AG66" i="1"/>
  <c r="AH50" i="6"/>
  <c r="AI24" i="6"/>
  <c r="AJ23" i="6"/>
  <c r="D8" i="6" l="1"/>
  <c r="E8" i="6" s="1"/>
  <c r="F8" i="6" s="1"/>
  <c r="G8" i="6" s="1"/>
  <c r="H8" i="6" s="1"/>
  <c r="I8" i="6" s="1"/>
  <c r="J8" i="6" s="1"/>
  <c r="K8" i="6" s="1"/>
  <c r="L8" i="6" s="1"/>
  <c r="M8" i="6" s="1"/>
  <c r="N8" i="6" s="1"/>
  <c r="O8" i="6" s="1"/>
  <c r="P8" i="6" s="1"/>
  <c r="Q8" i="6" s="1"/>
  <c r="R8" i="6" s="1"/>
  <c r="S8" i="6" s="1"/>
  <c r="T8" i="6" s="1"/>
  <c r="U8" i="6" s="1"/>
  <c r="V8" i="6" s="1"/>
  <c r="W8" i="6" s="1"/>
  <c r="X8" i="6" s="1"/>
  <c r="Y8" i="6" s="1"/>
  <c r="Z8" i="6" s="1"/>
  <c r="AA8" i="6" s="1"/>
  <c r="AB8" i="6" s="1"/>
  <c r="AC8" i="6" s="1"/>
  <c r="AD8" i="6" s="1"/>
  <c r="AE8" i="6" s="1"/>
  <c r="AF8" i="6" s="1"/>
  <c r="AG8" i="6" s="1"/>
  <c r="AH8" i="6" s="1"/>
  <c r="AI8" i="6" s="1"/>
  <c r="AJ8" i="6" s="1"/>
  <c r="AK8" i="6" s="1"/>
  <c r="AL8" i="6" s="1"/>
  <c r="AM8" i="6" s="1"/>
  <c r="AN8" i="6" s="1"/>
  <c r="AO8" i="6" s="1"/>
  <c r="AP8" i="6" s="1"/>
  <c r="O11" i="11"/>
  <c r="C23" i="11"/>
  <c r="C26" i="11" s="1"/>
  <c r="C44" i="11" s="1"/>
  <c r="C46" i="11" s="1"/>
  <c r="O10" i="11"/>
  <c r="D7" i="6"/>
  <c r="AK23" i="6"/>
  <c r="AJ24" i="6"/>
  <c r="AI50" i="6"/>
  <c r="AH66" i="1"/>
  <c r="O23" i="11" l="1"/>
  <c r="O26" i="11" s="1"/>
  <c r="O44" i="11" s="1"/>
  <c r="O46" i="11" s="1"/>
  <c r="P45" i="11" s="1"/>
  <c r="AB45" i="11" s="1"/>
  <c r="AB46" i="11" s="1"/>
  <c r="AC45" i="11" s="1"/>
  <c r="D45" i="11"/>
  <c r="D46" i="11" s="1"/>
  <c r="D32" i="6"/>
  <c r="D40" i="6" s="1"/>
  <c r="D16" i="6"/>
  <c r="D17" i="6" s="1"/>
  <c r="D10" i="6"/>
  <c r="E7" i="6"/>
  <c r="AI66" i="1"/>
  <c r="AJ50" i="6"/>
  <c r="AK24" i="6"/>
  <c r="AL23" i="6"/>
  <c r="P46" i="11" l="1"/>
  <c r="Q32" i="6" s="1"/>
  <c r="Q40" i="6" s="1"/>
  <c r="D18" i="6"/>
  <c r="C67" i="1" s="1"/>
  <c r="E10" i="6"/>
  <c r="F7" i="6"/>
  <c r="E45" i="11"/>
  <c r="E46" i="11" s="1"/>
  <c r="E16" i="6"/>
  <c r="E17" i="6" s="1"/>
  <c r="E32" i="6"/>
  <c r="E40" i="6" s="1"/>
  <c r="D45" i="6"/>
  <c r="D41" i="6"/>
  <c r="D46" i="6"/>
  <c r="AO45" i="11"/>
  <c r="AO46" i="11" s="1"/>
  <c r="AC46" i="11"/>
  <c r="AK50" i="6"/>
  <c r="AJ66" i="1"/>
  <c r="AL24" i="6"/>
  <c r="AM23" i="6"/>
  <c r="Q16" i="6" l="1"/>
  <c r="Q17" i="6" s="1"/>
  <c r="Q46" i="6" s="1"/>
  <c r="Q45" i="11"/>
  <c r="Q46" i="11" s="1"/>
  <c r="R32" i="6" s="1"/>
  <c r="R40" i="6" s="1"/>
  <c r="D42" i="6"/>
  <c r="Q41" i="6"/>
  <c r="F45" i="11"/>
  <c r="F46" i="11" s="1"/>
  <c r="F16" i="6"/>
  <c r="F17" i="6" s="1"/>
  <c r="F32" i="6"/>
  <c r="F40" i="6" s="1"/>
  <c r="AD32" i="6"/>
  <c r="AD40" i="6" s="1"/>
  <c r="AD16" i="6"/>
  <c r="AD17" i="6" s="1"/>
  <c r="AD45" i="11"/>
  <c r="AD46" i="11" s="1"/>
  <c r="G7" i="6"/>
  <c r="F10" i="6"/>
  <c r="E45" i="6"/>
  <c r="E41" i="6"/>
  <c r="E46" i="6"/>
  <c r="E18" i="6"/>
  <c r="AL50" i="6"/>
  <c r="AK66" i="1"/>
  <c r="AM24" i="6"/>
  <c r="AN23" i="6"/>
  <c r="R16" i="6" l="1"/>
  <c r="R17" i="6" s="1"/>
  <c r="R45" i="6" s="1"/>
  <c r="R45" i="11"/>
  <c r="R46" i="11" s="1"/>
  <c r="S45" i="11" s="1"/>
  <c r="S46" i="11" s="1"/>
  <c r="Q45" i="6"/>
  <c r="F18" i="6"/>
  <c r="E67" i="1" s="1"/>
  <c r="G16" i="6"/>
  <c r="G17" i="6" s="1"/>
  <c r="G32" i="6"/>
  <c r="G40" i="6" s="1"/>
  <c r="G45" i="11"/>
  <c r="G46" i="11" s="1"/>
  <c r="AD45" i="6"/>
  <c r="AD46" i="6"/>
  <c r="AD41" i="6"/>
  <c r="R41" i="6"/>
  <c r="F41" i="6"/>
  <c r="F46" i="6"/>
  <c r="F45" i="6"/>
  <c r="D67" i="1"/>
  <c r="E42" i="6"/>
  <c r="G10" i="6"/>
  <c r="H7" i="6"/>
  <c r="AE32" i="6"/>
  <c r="AE40" i="6" s="1"/>
  <c r="AE45" i="11"/>
  <c r="AE46" i="11" s="1"/>
  <c r="AE16" i="6"/>
  <c r="AE17" i="6" s="1"/>
  <c r="AN24" i="6"/>
  <c r="AO23" i="6"/>
  <c r="AM50" i="6"/>
  <c r="AL66" i="1"/>
  <c r="R46" i="6" l="1"/>
  <c r="S32" i="6"/>
  <c r="S40" i="6" s="1"/>
  <c r="S41" i="6" s="1"/>
  <c r="S16" i="6"/>
  <c r="S17" i="6" s="1"/>
  <c r="G18" i="6"/>
  <c r="F67" i="1" s="1"/>
  <c r="F42" i="6"/>
  <c r="AE46" i="6"/>
  <c r="AE45" i="6"/>
  <c r="AE41" i="6"/>
  <c r="I7" i="6"/>
  <c r="H10" i="6"/>
  <c r="H16" i="6"/>
  <c r="H17" i="6" s="1"/>
  <c r="H32" i="6"/>
  <c r="H40" i="6" s="1"/>
  <c r="H45" i="11"/>
  <c r="H46" i="11" s="1"/>
  <c r="T45" i="11"/>
  <c r="T46" i="11" s="1"/>
  <c r="T32" i="6"/>
  <c r="T40" i="6" s="1"/>
  <c r="T16" i="6"/>
  <c r="T17" i="6" s="1"/>
  <c r="G41" i="6"/>
  <c r="G46" i="6"/>
  <c r="G45" i="6"/>
  <c r="AF32" i="6"/>
  <c r="AF40" i="6" s="1"/>
  <c r="AF45" i="11"/>
  <c r="AF46" i="11" s="1"/>
  <c r="AF16" i="6"/>
  <c r="AF17" i="6" s="1"/>
  <c r="AO24" i="6"/>
  <c r="AP23" i="6"/>
  <c r="AP24" i="6" s="1"/>
  <c r="AM66" i="1"/>
  <c r="AN50" i="6"/>
  <c r="S46" i="6" l="1"/>
  <c r="G42" i="6"/>
  <c r="S45" i="6"/>
  <c r="H41" i="6"/>
  <c r="H45" i="6"/>
  <c r="H46" i="6"/>
  <c r="I10" i="6"/>
  <c r="J7" i="6"/>
  <c r="AF46" i="6"/>
  <c r="AF45" i="6"/>
  <c r="AF41" i="6"/>
  <c r="T45" i="6"/>
  <c r="T41" i="6"/>
  <c r="T46" i="6"/>
  <c r="I32" i="6"/>
  <c r="I40" i="6" s="1"/>
  <c r="I16" i="6"/>
  <c r="I17" i="6" s="1"/>
  <c r="I45" i="11"/>
  <c r="I46" i="11" s="1"/>
  <c r="AG45" i="11"/>
  <c r="AG46" i="11" s="1"/>
  <c r="AG32" i="6"/>
  <c r="AG40" i="6" s="1"/>
  <c r="AG16" i="6"/>
  <c r="AG17" i="6" s="1"/>
  <c r="U16" i="6"/>
  <c r="U17" i="6" s="1"/>
  <c r="U45" i="11"/>
  <c r="U46" i="11" s="1"/>
  <c r="U32" i="6"/>
  <c r="U40" i="6" s="1"/>
  <c r="H18" i="6"/>
  <c r="AP50" i="6"/>
  <c r="AO66" i="1"/>
  <c r="AN66" i="1"/>
  <c r="AO50" i="6"/>
  <c r="I18" i="6" l="1"/>
  <c r="H67" i="1" s="1"/>
  <c r="U45" i="6"/>
  <c r="U46" i="6"/>
  <c r="U41" i="6"/>
  <c r="V45" i="11"/>
  <c r="V46" i="11" s="1"/>
  <c r="V32" i="6"/>
  <c r="V40" i="6" s="1"/>
  <c r="V16" i="6"/>
  <c r="V17" i="6" s="1"/>
  <c r="AH45" i="11"/>
  <c r="AH46" i="11" s="1"/>
  <c r="AH32" i="6"/>
  <c r="AH40" i="6" s="1"/>
  <c r="AH16" i="6"/>
  <c r="AH17" i="6" s="1"/>
  <c r="AG46" i="6"/>
  <c r="AG45" i="6"/>
  <c r="AG41" i="6"/>
  <c r="J32" i="6"/>
  <c r="J40" i="6" s="1"/>
  <c r="J16" i="6"/>
  <c r="J17" i="6" s="1"/>
  <c r="J45" i="11"/>
  <c r="J46" i="11" s="1"/>
  <c r="I46" i="6"/>
  <c r="I41" i="6"/>
  <c r="I45" i="6"/>
  <c r="H42" i="6"/>
  <c r="G67" i="1"/>
  <c r="K7" i="6"/>
  <c r="J10" i="6"/>
  <c r="J18" i="6" l="1"/>
  <c r="I67" i="1" s="1"/>
  <c r="I42" i="6"/>
  <c r="L7" i="6"/>
  <c r="K10" i="6"/>
  <c r="J45" i="6"/>
  <c r="J46" i="6"/>
  <c r="J41" i="6"/>
  <c r="V46" i="6"/>
  <c r="V45" i="6"/>
  <c r="V41" i="6"/>
  <c r="AH45" i="6"/>
  <c r="AH46" i="6"/>
  <c r="AH41" i="6"/>
  <c r="W32" i="6"/>
  <c r="W40" i="6" s="1"/>
  <c r="W16" i="6"/>
  <c r="W17" i="6" s="1"/>
  <c r="W45" i="11"/>
  <c r="W46" i="11" s="1"/>
  <c r="K45" i="11"/>
  <c r="K46" i="11" s="1"/>
  <c r="K32" i="6"/>
  <c r="K40" i="6" s="1"/>
  <c r="K16" i="6"/>
  <c r="K17" i="6" s="1"/>
  <c r="AI45" i="11"/>
  <c r="AI46" i="11" s="1"/>
  <c r="AI32" i="6"/>
  <c r="AI40" i="6" s="1"/>
  <c r="AI16" i="6"/>
  <c r="AI17" i="6" s="1"/>
  <c r="J42" i="6" l="1"/>
  <c r="K45" i="6"/>
  <c r="K41" i="6"/>
  <c r="K46" i="6"/>
  <c r="AI41" i="6"/>
  <c r="AI46" i="6"/>
  <c r="AI45" i="6"/>
  <c r="L45" i="11"/>
  <c r="L46" i="11" s="1"/>
  <c r="L16" i="6"/>
  <c r="L17" i="6" s="1"/>
  <c r="L32" i="6"/>
  <c r="L40" i="6" s="1"/>
  <c r="AJ45" i="11"/>
  <c r="AJ46" i="11" s="1"/>
  <c r="AJ32" i="6"/>
  <c r="AJ40" i="6" s="1"/>
  <c r="AJ16" i="6"/>
  <c r="AJ17" i="6" s="1"/>
  <c r="X32" i="6"/>
  <c r="X40" i="6" s="1"/>
  <c r="X16" i="6"/>
  <c r="X17" i="6" s="1"/>
  <c r="X45" i="11"/>
  <c r="X46" i="11" s="1"/>
  <c r="K18" i="6"/>
  <c r="W41" i="6"/>
  <c r="W45" i="6"/>
  <c r="W46" i="6"/>
  <c r="L10" i="6"/>
  <c r="M7" i="6"/>
  <c r="L18" i="6" l="1"/>
  <c r="K67" i="1" s="1"/>
  <c r="Y45" i="11"/>
  <c r="Y46" i="11" s="1"/>
  <c r="Y16" i="6"/>
  <c r="Y17" i="6" s="1"/>
  <c r="Y32" i="6"/>
  <c r="Y40" i="6" s="1"/>
  <c r="AJ41" i="6"/>
  <c r="AJ45" i="6"/>
  <c r="AJ46" i="6"/>
  <c r="M45" i="11"/>
  <c r="M46" i="11" s="1"/>
  <c r="M16" i="6"/>
  <c r="M17" i="6" s="1"/>
  <c r="M32" i="6"/>
  <c r="M40" i="6" s="1"/>
  <c r="K42" i="6"/>
  <c r="J67" i="1"/>
  <c r="AK45" i="11"/>
  <c r="AK46" i="11" s="1"/>
  <c r="AK32" i="6"/>
  <c r="AK40" i="6" s="1"/>
  <c r="AK16" i="6"/>
  <c r="AK17" i="6" s="1"/>
  <c r="M10" i="6"/>
  <c r="N7" i="6"/>
  <c r="X41" i="6"/>
  <c r="X46" i="6"/>
  <c r="X45" i="6"/>
  <c r="L46" i="6"/>
  <c r="L45" i="6"/>
  <c r="L41" i="6"/>
  <c r="M18" i="6" l="1"/>
  <c r="L67" i="1" s="1"/>
  <c r="L42" i="6"/>
  <c r="Y41" i="6"/>
  <c r="Y45" i="6"/>
  <c r="Y46" i="6"/>
  <c r="AK45" i="6"/>
  <c r="AK41" i="6"/>
  <c r="AK46" i="6"/>
  <c r="N32" i="6"/>
  <c r="N40" i="6" s="1"/>
  <c r="N45" i="11"/>
  <c r="N46" i="11" s="1"/>
  <c r="N16" i="6"/>
  <c r="N17" i="6" s="1"/>
  <c r="O7" i="6"/>
  <c r="N10" i="6"/>
  <c r="AL45" i="11"/>
  <c r="AL46" i="11" s="1"/>
  <c r="AL16" i="6"/>
  <c r="AL17" i="6" s="1"/>
  <c r="AL32" i="6"/>
  <c r="AL40" i="6" s="1"/>
  <c r="M46" i="6"/>
  <c r="M45" i="6"/>
  <c r="M41" i="6"/>
  <c r="Z32" i="6"/>
  <c r="Z40" i="6" s="1"/>
  <c r="Z45" i="11"/>
  <c r="Z46" i="11" s="1"/>
  <c r="Z16" i="6"/>
  <c r="Z17" i="6" s="1"/>
  <c r="M42" i="6" l="1"/>
  <c r="N18" i="6"/>
  <c r="M67" i="1" s="1"/>
  <c r="N46" i="6"/>
  <c r="N41" i="6"/>
  <c r="N45" i="6"/>
  <c r="AM45" i="11"/>
  <c r="AM46" i="11" s="1"/>
  <c r="AM16" i="6"/>
  <c r="AM17" i="6" s="1"/>
  <c r="AM32" i="6"/>
  <c r="AM40" i="6" s="1"/>
  <c r="AA45" i="11"/>
  <c r="AA46" i="11" s="1"/>
  <c r="AA16" i="6"/>
  <c r="AA17" i="6" s="1"/>
  <c r="AA32" i="6"/>
  <c r="AA40" i="6" s="1"/>
  <c r="Z41" i="6"/>
  <c r="Z46" i="6"/>
  <c r="Z45" i="6"/>
  <c r="AL46" i="6"/>
  <c r="AL45" i="6"/>
  <c r="AL41" i="6"/>
  <c r="O10" i="6"/>
  <c r="P7" i="6"/>
  <c r="O32" i="6"/>
  <c r="O16" i="6"/>
  <c r="N42" i="6" l="1"/>
  <c r="AA45" i="6"/>
  <c r="AA46" i="6"/>
  <c r="AA41" i="6"/>
  <c r="Q7" i="6"/>
  <c r="P10" i="6"/>
  <c r="AN16" i="6"/>
  <c r="AN17" i="6" s="1"/>
  <c r="AN45" i="11"/>
  <c r="AN46" i="11" s="1"/>
  <c r="AN32" i="6"/>
  <c r="AN40" i="6" s="1"/>
  <c r="P32" i="6"/>
  <c r="P40" i="6" s="1"/>
  <c r="O40" i="6"/>
  <c r="AM45" i="6"/>
  <c r="AM46" i="6"/>
  <c r="AM41" i="6"/>
  <c r="O17" i="6"/>
  <c r="O18" i="6" s="1"/>
  <c r="P16" i="6"/>
  <c r="P17" i="6" s="1"/>
  <c r="AB32" i="6"/>
  <c r="AB16" i="6"/>
  <c r="N67" i="1" l="1"/>
  <c r="O46" i="6"/>
  <c r="O45" i="6"/>
  <c r="O41" i="6"/>
  <c r="O42" i="6" s="1"/>
  <c r="AO16" i="6"/>
  <c r="AO32" i="6"/>
  <c r="AB17" i="6"/>
  <c r="AC16" i="6"/>
  <c r="AC17" i="6" s="1"/>
  <c r="P45" i="6"/>
  <c r="P46" i="6"/>
  <c r="P41" i="6"/>
  <c r="Q10" i="6"/>
  <c r="Q18" i="6" s="1"/>
  <c r="R7" i="6"/>
  <c r="AC32" i="6"/>
  <c r="AC40" i="6" s="1"/>
  <c r="AB40" i="6"/>
  <c r="AN46" i="6"/>
  <c r="AN45" i="6"/>
  <c r="AN41" i="6"/>
  <c r="P18" i="6"/>
  <c r="AP16" i="6" l="1"/>
  <c r="AP17" i="6" s="1"/>
  <c r="AO17" i="6"/>
  <c r="Q42" i="6"/>
  <c r="P67" i="1"/>
  <c r="O67" i="1"/>
  <c r="P42" i="6"/>
  <c r="AB41" i="6"/>
  <c r="AB45" i="6"/>
  <c r="AB46" i="6"/>
  <c r="R10" i="6"/>
  <c r="R18" i="6" s="1"/>
  <c r="S7" i="6"/>
  <c r="AC45" i="6"/>
  <c r="AC41" i="6"/>
  <c r="AC46" i="6"/>
  <c r="AP32" i="6"/>
  <c r="AP40" i="6" s="1"/>
  <c r="AO40" i="6"/>
  <c r="AO41" i="6" l="1"/>
  <c r="AO46" i="6"/>
  <c r="AO45" i="6"/>
  <c r="S10" i="6"/>
  <c r="S18" i="6" s="1"/>
  <c r="T7" i="6"/>
  <c r="Q67" i="1"/>
  <c r="R42" i="6"/>
  <c r="AP46" i="6"/>
  <c r="AP41" i="6"/>
  <c r="AP45" i="6"/>
  <c r="S42" i="6" l="1"/>
  <c r="R67" i="1"/>
  <c r="T10" i="6"/>
  <c r="T18" i="6" s="1"/>
  <c r="U7" i="6"/>
  <c r="T42" i="6" l="1"/>
  <c r="S67" i="1"/>
  <c r="U10" i="6"/>
  <c r="U18" i="6" s="1"/>
  <c r="V7" i="6"/>
  <c r="V10" i="6" l="1"/>
  <c r="V18" i="6" s="1"/>
  <c r="W7" i="6"/>
  <c r="U42" i="6"/>
  <c r="T67" i="1"/>
  <c r="W10" i="6" l="1"/>
  <c r="W18" i="6" s="1"/>
  <c r="X7" i="6"/>
  <c r="V42" i="6"/>
  <c r="U67" i="1"/>
  <c r="X10" i="6" l="1"/>
  <c r="X18" i="6" s="1"/>
  <c r="Y7" i="6"/>
  <c r="W42" i="6"/>
  <c r="V67" i="1"/>
  <c r="Y10" i="6" l="1"/>
  <c r="Y18" i="6" s="1"/>
  <c r="Z7" i="6"/>
  <c r="X42" i="6"/>
  <c r="W67" i="1"/>
  <c r="Z10" i="6" l="1"/>
  <c r="Z18" i="6" s="1"/>
  <c r="AA7" i="6"/>
  <c r="Y42" i="6"/>
  <c r="X67" i="1"/>
  <c r="AA10" i="6" l="1"/>
  <c r="AA18" i="6" s="1"/>
  <c r="AB7" i="6"/>
  <c r="Y67" i="1"/>
  <c r="Z42" i="6"/>
  <c r="AC7" i="6" l="1"/>
  <c r="AB10" i="6"/>
  <c r="AB18" i="6" s="1"/>
  <c r="AA42" i="6"/>
  <c r="Z67" i="1"/>
  <c r="AA67" i="1" l="1"/>
  <c r="AB42" i="6"/>
  <c r="AC10" i="6"/>
  <c r="AC18" i="6" s="1"/>
  <c r="AD7" i="6"/>
  <c r="AD10" i="6" l="1"/>
  <c r="AD18" i="6" s="1"/>
  <c r="AE7" i="6"/>
  <c r="AC42" i="6"/>
  <c r="AB67" i="1"/>
  <c r="AE10" i="6" l="1"/>
  <c r="AE18" i="6" s="1"/>
  <c r="AF7" i="6"/>
  <c r="AD42" i="6"/>
  <c r="AC67" i="1"/>
  <c r="AF10" i="6" l="1"/>
  <c r="AF18" i="6" s="1"/>
  <c r="AG7" i="6"/>
  <c r="AE42" i="6"/>
  <c r="AD67" i="1"/>
  <c r="AG10" i="6" l="1"/>
  <c r="AG18" i="6" s="1"/>
  <c r="AH7" i="6"/>
  <c r="AF42" i="6"/>
  <c r="AE67" i="1"/>
  <c r="AH10" i="6" l="1"/>
  <c r="AH18" i="6" s="1"/>
  <c r="AI7" i="6"/>
  <c r="AF67" i="1"/>
  <c r="AG42" i="6"/>
  <c r="AI10" i="6" l="1"/>
  <c r="AI18" i="6" s="1"/>
  <c r="AJ7" i="6"/>
  <c r="AH42" i="6"/>
  <c r="AG67" i="1"/>
  <c r="AJ10" i="6" l="1"/>
  <c r="AJ18" i="6" s="1"/>
  <c r="AK7" i="6"/>
  <c r="AH67" i="1"/>
  <c r="AI42" i="6"/>
  <c r="AK10" i="6" l="1"/>
  <c r="AK18" i="6" s="1"/>
  <c r="AL7" i="6"/>
  <c r="AJ42" i="6"/>
  <c r="AI67" i="1"/>
  <c r="AM7" i="6" l="1"/>
  <c r="AL10" i="6"/>
  <c r="AL18" i="6" s="1"/>
  <c r="AJ67" i="1"/>
  <c r="AK42" i="6"/>
  <c r="AL42" i="6" l="1"/>
  <c r="AK67" i="1"/>
  <c r="AN7" i="6"/>
  <c r="AM10" i="6"/>
  <c r="AM18" i="6" s="1"/>
  <c r="AN10" i="6" l="1"/>
  <c r="AN18" i="6" s="1"/>
  <c r="AO7" i="6"/>
  <c r="AL67" i="1"/>
  <c r="AM42" i="6"/>
  <c r="AP7" i="6" l="1"/>
  <c r="AP10" i="6" s="1"/>
  <c r="AP18" i="6" s="1"/>
  <c r="AO10" i="6"/>
  <c r="AO18" i="6" s="1"/>
  <c r="AM67" i="1"/>
  <c r="AN42" i="6"/>
  <c r="AN67" i="1" l="1"/>
  <c r="AO42" i="6"/>
  <c r="AP42" i="6"/>
  <c r="AO67" i="1"/>
</calcChain>
</file>

<file path=xl/sharedStrings.xml><?xml version="1.0" encoding="utf-8"?>
<sst xmlns="http://schemas.openxmlformats.org/spreadsheetml/2006/main" count="646" uniqueCount="419">
  <si>
    <t>Shareholders' Contributions</t>
  </si>
  <si>
    <t>Turnover</t>
  </si>
  <si>
    <t>Gross Profit %</t>
  </si>
  <si>
    <t>Accounting Fees</t>
  </si>
  <si>
    <t>Bank Charges</t>
  </si>
  <si>
    <t>Computer Expenses</t>
  </si>
  <si>
    <t>Uniforms</t>
  </si>
  <si>
    <t>Electricity &amp; Water</t>
  </si>
  <si>
    <t xml:space="preserve">Entertainment </t>
  </si>
  <si>
    <t>Insurance</t>
  </si>
  <si>
    <t>Printing &amp; Stationery</t>
  </si>
  <si>
    <t>Rent</t>
  </si>
  <si>
    <t>Security</t>
  </si>
  <si>
    <t>Subscriptions</t>
  </si>
  <si>
    <t>Telephone &amp; Fax</t>
  </si>
  <si>
    <t>Advertising &amp; Marketing</t>
  </si>
  <si>
    <t>Cleaning Expenses</t>
  </si>
  <si>
    <t>Professional Fees</t>
  </si>
  <si>
    <t>Postage</t>
  </si>
  <si>
    <t>Motor Vehicle Expenses</t>
  </si>
  <si>
    <t>Equipment Hire</t>
  </si>
  <si>
    <t>Repairs &amp; Maintenance</t>
  </si>
  <si>
    <t>Consumables</t>
  </si>
  <si>
    <t>Legal Fees</t>
  </si>
  <si>
    <t>Training</t>
  </si>
  <si>
    <t>Inventory</t>
  </si>
  <si>
    <t>Working Capital</t>
  </si>
  <si>
    <t>www.excel-skills.com</t>
  </si>
  <si>
    <t>Help &amp; Customization</t>
  </si>
  <si>
    <t>Debtors Days</t>
  </si>
  <si>
    <t>Creditors Days</t>
  </si>
  <si>
    <t>Inventory Days</t>
  </si>
  <si>
    <t>Income Tax %</t>
  </si>
  <si>
    <t>Interest Rate</t>
  </si>
  <si>
    <t>Current Assets</t>
  </si>
  <si>
    <t>Retained Earnings</t>
  </si>
  <si>
    <t>Current Liabilities</t>
  </si>
  <si>
    <t>Taxation</t>
  </si>
  <si>
    <t>Repayment Term</t>
  </si>
  <si>
    <t>Interest Only</t>
  </si>
  <si>
    <t>No</t>
  </si>
  <si>
    <t>Interest</t>
  </si>
  <si>
    <t>Loan Repayment</t>
  </si>
  <si>
    <t>Opening Balance</t>
  </si>
  <si>
    <t>Closing Balance</t>
  </si>
  <si>
    <t>Start Date</t>
  </si>
  <si>
    <t>Days in month</t>
  </si>
  <si>
    <t>Month</t>
  </si>
  <si>
    <t>Instructions</t>
  </si>
  <si>
    <t>Excel Skills | Monthly Cash Flow Projection Template</t>
  </si>
  <si>
    <t>Loan Terms</t>
  </si>
  <si>
    <t>Property, Plant &amp; Equipment</t>
  </si>
  <si>
    <t>Interest Cover</t>
  </si>
  <si>
    <t>Current Ratio</t>
  </si>
  <si>
    <t>Quick Ratio</t>
  </si>
  <si>
    <t>Debt / Equity</t>
  </si>
  <si>
    <t>Return on Equity (ROE)</t>
  </si>
  <si>
    <t>Return on Net Assets (RONA)</t>
  </si>
  <si>
    <t>Capital Repayment</t>
  </si>
  <si>
    <t>© www.excel-skills.com</t>
  </si>
  <si>
    <t>Repayment Term (in years)</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</si>
  <si>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</si>
  <si>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Business Name</t>
  </si>
  <si>
    <t>Cash Flow Projections - Assumptions</t>
  </si>
  <si>
    <t>Cash Flow Projections - Income Statement</t>
  </si>
  <si>
    <t>Profit / (Loss) for the year</t>
  </si>
  <si>
    <t>Profit / (Loss) %</t>
  </si>
  <si>
    <t>Depreciation</t>
  </si>
  <si>
    <t>Cash Flow Projections - Cash Flow Statement</t>
  </si>
  <si>
    <t>Cash Flow Projections - Balance Sheet</t>
  </si>
  <si>
    <t>Cash flows from operating activities</t>
  </si>
  <si>
    <t>Adjustment for non-cash expenses:</t>
  </si>
  <si>
    <t>Changes in operating assets &amp; liabilities</t>
  </si>
  <si>
    <t>Cash generated from operations</t>
  </si>
  <si>
    <t>Interest paid</t>
  </si>
  <si>
    <t>Taxation paid</t>
  </si>
  <si>
    <t>Net cash from operating activities</t>
  </si>
  <si>
    <t>Cash flows from investing activities</t>
  </si>
  <si>
    <t>Purchases of property, plant &amp; equipment</t>
  </si>
  <si>
    <t>Net cash used in investing activities</t>
  </si>
  <si>
    <t>Cash flows from financing activities</t>
  </si>
  <si>
    <t>Proceeds from shareholders' contributions</t>
  </si>
  <si>
    <t>Net cash from financing activities</t>
  </si>
  <si>
    <t>Increase / (Decrease) in cash equivalents</t>
  </si>
  <si>
    <t>Cash &amp; cash equivalents at beginning of year</t>
  </si>
  <si>
    <t>Cash &amp; cash equivalents at end of year</t>
  </si>
  <si>
    <t>Monthly turnover projections need to be entered on the IncState worksheet.</t>
  </si>
  <si>
    <t>Monthly gross profit percentages need to be entered on the IncState worksheet.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</si>
  <si>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</si>
  <si>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</si>
  <si>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ASSETS</t>
  </si>
  <si>
    <t>Non-Current Assets</t>
  </si>
  <si>
    <t>Investments</t>
  </si>
  <si>
    <t>Loans &amp; Advances</t>
  </si>
  <si>
    <t>Total Assets</t>
  </si>
  <si>
    <t>Intangible Assets</t>
  </si>
  <si>
    <t>Trade Receivables</t>
  </si>
  <si>
    <t>Other Receivables</t>
  </si>
  <si>
    <t>Cash &amp; Cash Equivalents</t>
  </si>
  <si>
    <t>EQUITY &amp; LIABILITIES</t>
  </si>
  <si>
    <t>Equity</t>
  </si>
  <si>
    <t>Reserves</t>
  </si>
  <si>
    <t>Non-Current Liabilities</t>
  </si>
  <si>
    <t>Finance Leases</t>
  </si>
  <si>
    <t>Bank Overdraft</t>
  </si>
  <si>
    <t>Trade Payables</t>
  </si>
  <si>
    <t>Accruals</t>
  </si>
  <si>
    <t>Other Provisions</t>
  </si>
  <si>
    <t>Sales Tax</t>
  </si>
  <si>
    <t>Provision For Taxation</t>
  </si>
  <si>
    <t>PPE</t>
  </si>
  <si>
    <t>Long Term Loans 1</t>
  </si>
  <si>
    <t>Long Term Loans 2</t>
  </si>
  <si>
    <t>Long Term Loans 3</t>
  </si>
  <si>
    <t>INA</t>
  </si>
  <si>
    <t>INV</t>
  </si>
  <si>
    <t>RES</t>
  </si>
  <si>
    <t>ACC</t>
  </si>
  <si>
    <t>ADV</t>
  </si>
  <si>
    <t>TAX</t>
  </si>
  <si>
    <t>STC</t>
  </si>
  <si>
    <t>DEB</t>
  </si>
  <si>
    <t>ODB</t>
  </si>
  <si>
    <t>CSH</t>
  </si>
  <si>
    <t>CAP</t>
  </si>
  <si>
    <t>EAR</t>
  </si>
  <si>
    <t>LT1</t>
  </si>
  <si>
    <t>LT2</t>
  </si>
  <si>
    <t>LT3</t>
  </si>
  <si>
    <t>OVD</t>
  </si>
  <si>
    <t>PAY</t>
  </si>
  <si>
    <t>VAT</t>
  </si>
  <si>
    <t>OPV</t>
  </si>
  <si>
    <t>Loans 1</t>
  </si>
  <si>
    <t>Total Equity &amp; Liabilities</t>
  </si>
  <si>
    <t>Operating Expenses</t>
  </si>
  <si>
    <t>Purchases of intangible assets</t>
  </si>
  <si>
    <t>Purchases of investments</t>
  </si>
  <si>
    <t>FIN</t>
  </si>
  <si>
    <t>Proceeds from loans 1</t>
  </si>
  <si>
    <t>Proceeds from finance leases</t>
  </si>
  <si>
    <t>Proceeds from loans 2</t>
  </si>
  <si>
    <t>Proceeds from loans 3</t>
  </si>
  <si>
    <t>Repayment of loans 1</t>
  </si>
  <si>
    <t>Repayment of loans 2</t>
  </si>
  <si>
    <t>Repayment of loans 3</t>
  </si>
  <si>
    <t>Repayment of finance leases</t>
  </si>
  <si>
    <t>Depreciation &amp; Amortization</t>
  </si>
  <si>
    <t>Amortization</t>
  </si>
  <si>
    <t>DEP</t>
  </si>
  <si>
    <t>AMT</t>
  </si>
  <si>
    <t>Cash Flow Projections - Repayment Schedule - Loans 1</t>
  </si>
  <si>
    <t>Cash Flow Projections - Repayment Schedule - Loans 2</t>
  </si>
  <si>
    <t>Cash Flow Projections - Repayment Schedule - Loans 3</t>
  </si>
  <si>
    <t>Cash Flow Projections - Repayment Schedule - Finance Leases</t>
  </si>
  <si>
    <t>Loans 2</t>
  </si>
  <si>
    <t>Loans 3</t>
  </si>
  <si>
    <t>Leases</t>
  </si>
  <si>
    <t>Interest Paid</t>
  </si>
  <si>
    <t>Interest - Loans 1</t>
  </si>
  <si>
    <t>Interest - Leases</t>
  </si>
  <si>
    <t>Profit / (Loss) before interest &amp; tax</t>
  </si>
  <si>
    <t>Profit / (Loss) before tax</t>
  </si>
  <si>
    <t>Interest - Loans 2</t>
  </si>
  <si>
    <t>Interest - Loans 3</t>
  </si>
  <si>
    <t>INT</t>
  </si>
  <si>
    <t>Total Turnover</t>
  </si>
  <si>
    <t>Product Sales</t>
  </si>
  <si>
    <t>Income From Services</t>
  </si>
  <si>
    <t>Total Cost of Sales</t>
  </si>
  <si>
    <t>Total Gross Profit</t>
  </si>
  <si>
    <t>Products</t>
  </si>
  <si>
    <t>Services</t>
  </si>
  <si>
    <t>Total Depreciation &amp; Amortization</t>
  </si>
  <si>
    <t>Total Interest Paid</t>
  </si>
  <si>
    <t>Staff Costs</t>
  </si>
  <si>
    <t>Salaries</t>
  </si>
  <si>
    <t>Wages</t>
  </si>
  <si>
    <t>Total Staff Costs</t>
  </si>
  <si>
    <t>Total Operating Expenses</t>
  </si>
  <si>
    <t>Payroll Accruals</t>
  </si>
  <si>
    <t>Other Accruals</t>
  </si>
  <si>
    <t>CRE</t>
  </si>
  <si>
    <t>Monthly operating expense projections need to be entered on the IncState worksheet.</t>
  </si>
  <si>
    <t>Monthly staff cost projections need to be entered on the IncState worksheet.</t>
  </si>
  <si>
    <t>Monthly COS</t>
  </si>
  <si>
    <t>V1</t>
  </si>
  <si>
    <t>V2</t>
  </si>
  <si>
    <t>Payment Frequency (Months)</t>
  </si>
  <si>
    <t>First Payment Month</t>
  </si>
  <si>
    <t>Rates</t>
  </si>
  <si>
    <t>Standard</t>
  </si>
  <si>
    <t>Zero Rated</t>
  </si>
  <si>
    <t>Exempt</t>
  </si>
  <si>
    <t>Sales Tax:</t>
  </si>
  <si>
    <t>Payment Month?</t>
  </si>
  <si>
    <t>Month Index</t>
  </si>
  <si>
    <t>V1C1</t>
  </si>
  <si>
    <t>V3</t>
  </si>
  <si>
    <t>V1C0</t>
  </si>
  <si>
    <t>Secondary</t>
  </si>
  <si>
    <t>V4</t>
  </si>
  <si>
    <t>Monthly Turnover (Inclusive)</t>
  </si>
  <si>
    <t>Monthly Payables (Inclusive)</t>
  </si>
  <si>
    <t>Monthly Output Total</t>
  </si>
  <si>
    <t>Monthly Input Total</t>
  </si>
  <si>
    <t>Income Tax</t>
  </si>
  <si>
    <t>Income Tax:</t>
  </si>
  <si>
    <t>Current</t>
  </si>
  <si>
    <t>Current Or Subsequent</t>
  </si>
  <si>
    <t>Subsequent</t>
  </si>
  <si>
    <t>Monthly Total</t>
  </si>
  <si>
    <t>Payroll Accrual:</t>
  </si>
  <si>
    <t>Accrual %</t>
  </si>
  <si>
    <t>Assessed Loss Carried Over</t>
  </si>
  <si>
    <t>Financial Assumptions - Income Statement</t>
  </si>
  <si>
    <t>Automatically calculated on the IncState worksheet.</t>
  </si>
  <si>
    <t>Financial Assumptions - Balance Sheet</t>
  </si>
  <si>
    <t xml:space="preserve">The following balance sheet balances are projected by entering the appropriate monthly movements on the cash flow statement. Red codes </t>
  </si>
  <si>
    <t>in column A indicate that you need to enter a negative value to increase the appropriate balance sheet balance.</t>
  </si>
  <si>
    <t>Loans 1 (only the proceeds from loans)</t>
  </si>
  <si>
    <t>Loans 2 (only the proceeds from loans)</t>
  </si>
  <si>
    <t>Loans 3 (only the proceeds from loans)</t>
  </si>
  <si>
    <t>Finance Leases (only the proceeds)</t>
  </si>
  <si>
    <t>The following balance sheet balances are calculated based on the assumptions that are entered on this sheet:</t>
  </si>
  <si>
    <t>Projected loan repayments and interest are calculated based on the below terms (each on a separate sheet).</t>
  </si>
  <si>
    <t>The below section can be used to include balance sheet opening balances for existing businesses.</t>
  </si>
  <si>
    <t>Balance Sheet Opening Balances</t>
  </si>
  <si>
    <t>Workings: (Not Printed)</t>
  </si>
  <si>
    <t>Income Statement</t>
  </si>
  <si>
    <t>Setup</t>
  </si>
  <si>
    <t>The business name and the start date for the cash flow projections need to be entered at the top of the Assumptions sheet. The business name is included as a heading on all the sheets and the 36 month reporting period which is included in the template is determined based on the start date that is specified. This date is used as the first month and 35 subsequent months are added to form the 3 year projection period.</t>
  </si>
  <si>
    <t>Business Name &amp; Reporting Periods</t>
  </si>
  <si>
    <t>User Input</t>
  </si>
  <si>
    <t>The income statement, cash flow statement and balance sheet only require user input where there is yellow highlighting in column A. All rows without yellow highlighting are automatically calculated as detailed in these instructions. Note that even the user input columns contain annual totals which should not be replaced with values.</t>
  </si>
  <si>
    <t>Turnover &amp; Gross Profits</t>
  </si>
  <si>
    <t>Monthly turnover values need to be entered on the IncState sheet for all 36 months (excluding the annual totals in the columns with dark blue column headings). The projected monthly gross profit percentages also need to be entered on this sheet and are used in order to calculate the gross profit values. The monthly cost of sales projections are calculated by simply deducting the gross profit values from the monthly turnover values.</t>
  </si>
  <si>
    <t>Other Income</t>
  </si>
  <si>
    <t>All the monthly operating expense projections need to be entered in the operating expenses section of the income statement. The template contains 22 default operating expense line items but you can add as many additional items as required or delete the line items that you do not need. When adding additional line items, remember to copy the formulas in the total columns from one of the existing line items.</t>
  </si>
  <si>
    <t>All the monthly staff cost projections need to be entered in the staff costs section of the income statement. The template contains 2 default staff cost line items but you can add as many additional items as required or delete the line items that you do not need. When adding additional line items, remember to copy the formulas in the total columns from one of the existing line items.</t>
  </si>
  <si>
    <t>We also realize that some users may want to include depreciation and amortization as part of their operating expenses. We have therefore provided for this in that the depreciation and amortization calculations on the cash flow statement are based on the default code which is included in column A. You can therefore enter nil values in the depreciation &amp; amortization section on the income statement, hide the section and include these line items in the operating expenses section and as long as you also include the default codes in column A, the cash flow statement values for depreciation and amortization will be calculated correctly.</t>
  </si>
  <si>
    <t>All interest paid calculations are automated and based on the amortization tables on the Loans1 to Loans3 and Leases sheets. The template accommodates the inclusion of loans &amp; leases based on four different sets of loan repayment terms which need to be specified on the Assumptions sheet.</t>
  </si>
  <si>
    <t xml:space="preserve">Opening loan balances are based on the balance sheet opening balances section on the Assumptions sheet and additional loan amounts can be entered in the proceeds from loans section of the cash flow statement and will then automatically be included in the appropriate amortization table. </t>
  </si>
  <si>
    <t>You do not need to use all four loan amortization sheets - if you only need to include loans based on one set of repayment terms, you can delete the other loan amortization sheets, delete the other interest paid rows on the income statement, delete the other proceeds from loans rows on the cash flow statement, delete the other repayment of loans rows on the cash flow statement and delete the other loan balances from the balance sheet.</t>
  </si>
  <si>
    <t>If you need to add more than four sets of loan repayment terms, you will need to copy one of the amortization sheets, change it to reflect the appropriate loan terms and then change the formulas in the amortization table to be based on the correct loan repayment terms at the top of the sheet. This means that you need to add another set of repayment terms to the Assumptions sheet and link the fields at the top of the new amortization table to the appropriate cells on the Assumptions sheet.</t>
  </si>
  <si>
    <t>If there is an opening balance for the required additional loan terms, you need to include a new code in the balance sheet opening balances section on the Assumptions sheet and base the opening balance calculation in the first period of the amortization schedule on this code. You also need to add new rows to the interest paid section on the income statement, the loan proceeds section on the cash flow statement, the loan repayment section on the cash flow statement and the loan balances section on the balance sheet. The appropriate formulas can be copied from one of the existing items and the sheet reference in the copied formula can then just be replaced by the sheet name of the new amortization table that you've added.</t>
  </si>
  <si>
    <t>All monthly income statement projections need to be entered exclusive of any sales tax that may be applicable.</t>
  </si>
  <si>
    <t>You also need to specify the payment frequency in months and the first calendar month in which a payment needs to be included. The template automatically provides for income tax based on what is due and includes the income statement amount and a provision for taxation on the balance sheet. The payment frequency and month of payment assumptions are then used to determine when the income tax liability will be settled which will result in the appropriate cash outflow being recorded on the cash flow statement and the provision for taxation being reduced.</t>
  </si>
  <si>
    <t>The template can accommodate income tax calculations based on current and subsequent month payments. If you select the Current option, the income tax payment amount will be calculated based on all amounts that have accrued up to and including the month of payment. If you select the Subsequent option, the income tax payment amount will only be calculated based on all amounts which have accrued up to the previous month end.</t>
  </si>
  <si>
    <t>Example: If you select the Current option in the Income Tax section of the Assumptions sheet, all income tax amounts up to and including the current month will be included in the income tax payment amount. This means that the provision for taxation at the end of the particular month will be nil. The Current setting is therefore usually appropriate for provisional taxpayers.</t>
  </si>
  <si>
    <t>Example: If you select the Subsequent option, all amounts up to and including the previous month end will be included in the income tax payment amount. The provision for taxation balance on the balance sheet will therefore not be nil at the end of the month of payment and include the current month's income tax charge.</t>
  </si>
  <si>
    <t>Dividends</t>
  </si>
  <si>
    <t>Retained earnings for the year</t>
  </si>
  <si>
    <t>DIV</t>
  </si>
  <si>
    <t>Dividend %</t>
  </si>
  <si>
    <t>Dividends:</t>
  </si>
  <si>
    <t>Dividends Payable</t>
  </si>
  <si>
    <t>Next</t>
  </si>
  <si>
    <t>Dividend Accrual</t>
  </si>
  <si>
    <t>Dividend Expense</t>
  </si>
  <si>
    <t>Monthly Dividend Value</t>
  </si>
  <si>
    <t>Expense Month?</t>
  </si>
  <si>
    <t>Dividends paid</t>
  </si>
  <si>
    <t>The template includes two default lines in each of these sections - one for a typical product based item and one for a typical service based item. The template can therefore be used for both service and trade based businesses. There are no cost of sales and gross profit values in service based businesses and a gross profit percentage of 100% can therefore be specified. You can also hide the cost of sales and gross profit sections if you do not want to include them in your cash flow projections.</t>
  </si>
  <si>
    <t>Note: You can insert as many additional line items as required by inserting the required number of items in each section and then entering the appropriate values where user input is required or copying the formulas from one of the existing lines. We recommend inserting additional line items between the two existing default line items.</t>
  </si>
  <si>
    <t>The template provides for four sets of loan repayment terms - the same amortization table can basically be used for all loans with the same repayment terms by adding additional loan amounts as proceeds to the cash flow statement in order to add new loans to the appropriate amortization table.</t>
  </si>
  <si>
    <t>The taxation line item on the income statement is automatically calculated based on the profit before tax and the income tax assumptions which are specified on the Assumptions sheet. If you do not want to include income tax in the cash flow projections, simply enter an income tax rate of 0%. This will result in no income tax being calculated.</t>
  </si>
  <si>
    <t>The template also includes automated dividends calculations. If you do not want to include any dividends in your cash flow projections, you can simply specify a dividend percentage of zero percent.</t>
  </si>
  <si>
    <t>Cash, Next or Subsequent</t>
  </si>
  <si>
    <t>Balance Sheet</t>
  </si>
  <si>
    <t>Opening Balances</t>
  </si>
  <si>
    <t>All the calculations on the balance sheet are automated and no user input is therefore required.</t>
  </si>
  <si>
    <t>You then need to fix the imbalance by adjusting the opening balances so that the total comes to a total of nil. The orange highlighting will then be removed automatically. Also note that the cash flow projection balance sheet cannot balance if the opening balances do not balance.</t>
  </si>
  <si>
    <t>Intangible assets balances are calculated in much the same way by adding the purchases of intangible assets as per the cash flow statement and deducting the amortization charges which need to be entered on the income statement. The calculation of the investments balances on the balance sheet is a bit simpler in that only the purchases of new investments as per the cash flow statement is added to the previous month's balance and there is no depreciation or amortization on investments.</t>
  </si>
  <si>
    <t>Note: The above calculation principle is applied regardless of the number of days which are entered as the inventory days assumption on the Assumptions sheet even if the value of the inventory days assumption requires the inclusion of more than 2 months. This method of calculation is the most accurate way of projecting inventory balances even for businesses where there is significant sales volatility.</t>
  </si>
  <si>
    <t>If you want to include variable monthly inventory days, you can do so by changing the inventory days assumption in the Workings section of the balance sheet which has been included below the section with the ratios. Simply replace the formula which links the inventory days assumption to the value on the Assumptions sheet by overwriting it with the appropriate inventory days value.</t>
  </si>
  <si>
    <t>Example: If you do not want a particular turnover line to be included in the trade receivables calculation, you can include any sales tax rate followed by C0 in order to exclude the line in the trade receivables calculations. For example, a turnover line with a code of V1C0 would not form part of the trade receivables calculations.</t>
  </si>
  <si>
    <t>If you want to include variable monthly debtors days, you can do so by changing the debtors days assumption in the Workings section of the balance sheet which has been included below the section with the ratios. Simply replace the formula which links the debtors days assumption to the value on the Assumptions sheet by overwriting it with the appropriate debtors days value.</t>
  </si>
  <si>
    <t>Current Assets - Inventory</t>
  </si>
  <si>
    <t>Current Assets - Trade Receivables</t>
  </si>
  <si>
    <t>Current Assets - Loans &amp; Advances, Other Receivables</t>
  </si>
  <si>
    <t>Current Assets - Cash &amp; Cash Equivalents</t>
  </si>
  <si>
    <t>Equity - Shareholders Contributions, Reserves</t>
  </si>
  <si>
    <t>The shareholders contributions &amp; reserves balances cannot be calculated by basing them on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t>
  </si>
  <si>
    <t>Note: The shareholders contribution line on the cash flow statement can be found under the cash flow from financing activities and the reserves line on the cash flow statement under the non-cash adjustments.</t>
  </si>
  <si>
    <t>Equity - Retained Earnings</t>
  </si>
  <si>
    <t>The retained earnings balances on the balance sheet are linked to the retained earnings for the year which is calculated on the income statement.</t>
  </si>
  <si>
    <t>Note: If you are preparing a cash flow projection for a new business, you can include zero balances for all the balance sheet items in the opening balances section.</t>
  </si>
  <si>
    <t>Non-Current Liabilities - Loans 1 to 3, Leases</t>
  </si>
  <si>
    <t>All the calculations on the amortization sheets are fully automated. The loan terms are taken from the Assumptions sheet and the opening balances in the first row of the amortization table are based on the opening balances that are entered in the balance sheet opening balances section of the Assumptions sheet.</t>
  </si>
  <si>
    <t>Additional Loans</t>
  </si>
  <si>
    <t>The outstanding loan or lease balances at the end of each monthly period are then included in the appropriate lines on the balance sheet.</t>
  </si>
  <si>
    <t>Current Liabilities - Bank Overdraft</t>
  </si>
  <si>
    <t>The bank overdraft as well as cash &amp; cash equivalents are based on the closing cash balances which are calculated on the cash flow statement. If the appropriate monthly closing balance is negative, the balance is included as a bank overdraft and if it is positive, it is included as cash under current assets on the balance sheet.</t>
  </si>
  <si>
    <t>Current Liabilities - Trade Payables</t>
  </si>
  <si>
    <t>Example: The expense codes in column A for all line items that need to be included in the trade payables calculation and which need to be subject to sales tax at a standard rate should be V1C1. If the expense item is settled on a cash basis and also subject to the standard sales tax rate, the code in column A should be V1C0 which will then result in the item not being included in the trade payables calculation.</t>
  </si>
  <si>
    <t>If you want to also include purchases of property, plant &amp; equipment in the trade payables calculation, the standard code of PPE in column A on the cash flow statement needs to be amended to the appropriate code which starts with the sales tax code and ends with C1. For standard sales tax, the code will therefore be V1C1.</t>
  </si>
  <si>
    <t>The trade payables balances on the balance sheet are calculated based on the creditors days assumption which is specified on the Assumptions sheet. The number of days that are included here can be determined based on the average trading terms which has been negotiated with suppliers.</t>
  </si>
  <si>
    <t>Note: The above calculation principle is applied regardless of the number of days which are entered as the creditors days assumption on the Assumptions sheet even if the value of the creditors days assumption requires the inclusion of more than 2 months. This method of calculation is the most accurate way of projecting trade payables balances even for businesses where there is significant sales or expense volatility.</t>
  </si>
  <si>
    <t>Example: If the standard rate sales tax code is V1 and the appropriate cost of sales or expense line needs to be included in the calculation of trade payables, the code V1C1 needs to be added in column A of the appropriate line on the income statement. If you do not want to add sales tax in the trade payables calculation but you do want a trade payables line to be included in the balance sheet, you can add a code which refers to a 0% sales tax calculation as well as the C1 credit purchases indicator.</t>
  </si>
  <si>
    <t>Example: If you do not want a particular cost of sales or expense line to be included in the trade payables calculation, you can include any sales tax rate followed by C0 in order to exclude the line in the trade payables calculations. For example, an expense or cost of sales line item with a code of V1C0 in column A on the income statement would not form part of the trade payables calculations.</t>
  </si>
  <si>
    <t>If you want to include variable monthly creditors days, you can do so by changing the creditors days assumption in the Workings section of the balance sheet which has been included below the section with the ratios. Simply replace the formula which links the creditors days assumption to the value on the Assumptions sheet by overwriting it with the appropriate creditors days value.</t>
  </si>
  <si>
    <t>Current Liabilities - Sales Tax</t>
  </si>
  <si>
    <t>Note: Each line on the income statement can therefore only be linked to one sales tax percentage. If more than one sales tax percentage needs to be applied to the same income statement item, you need to split the income statement amount into two lines and enter the appropriate sales tax codes in column A for each of the lines.</t>
  </si>
  <si>
    <t>Note: If you are preparing cash flow projections for a business which is not subject to sales tax, simply enter zero percentages for all four sales tax codes.</t>
  </si>
  <si>
    <t>V4C0</t>
  </si>
  <si>
    <t>The Current or Subsequent setting in the Sales Tax section on the Assumptions sheet determines how the calculated sales tax amounts of the current period are handled. If you select the Current option, the sales tax amounts of the current period will be included in the calculation of the payment amount which is due in the particular month and the sales tax liability at the end of the payment month will be nil.</t>
  </si>
  <si>
    <t>Example: If you set a payment frequency of 1 month, first payment month of 1 and select the Current option, the sales tax liability on the balance sheet will always be nil because the current month's sales tax will be included in the sales tax payment. If you have the same period settings and select the Subsequent option, the sales tax liability on the balance sheet will always include the current month's sales tax because the payment amount will be based on the previous month's sales tax.</t>
  </si>
  <si>
    <t>Note: The Subsequent setting is usually the appropriate setting to use for sales tax purposes. The Current settings is more applicable to tax types which are subject to provisional tax.</t>
  </si>
  <si>
    <t>Current Liabilities - Payroll Accruals</t>
  </si>
  <si>
    <t>Staff costs have been included in a separate section on the income statement to make it easier to calculate payroll accrual balances. You can however include staff costs in operating expenses but you need to ensure that you also include the "PAY" code in column A for all the staff costs that you want to include in the payroll accrual calculations.</t>
  </si>
  <si>
    <t>The Current or Subsequent setting in the Payroll Accruals section on the Assumptions sheet determines how the calculated payroll accrual amounts of the current period are handled. If you select the Current option, the payroll accrual amounts of the current period will be included in the calculation of the payment amount which is due in the particular month and the payroll accrual balance at the end of the payment month will be nil.</t>
  </si>
  <si>
    <t>If you select the Subsequent setting, the payroll accrual amounts of the current period are not included in the calculation of the payment amount and the payroll accrual balances on the balance sheet at the end of the appropriate payment month will always include at least one month.</t>
  </si>
  <si>
    <t>Note: The first payment month setting refers to the month of payment and not the sales tax period end. There is a difference - a sales tax period may end in February with payment in March which means that the first payment month of the calendar year is actually January or month 1 (if the payment frequency is two months).</t>
  </si>
  <si>
    <t>Note: The first payment month setting refers to the month of payment and not the payroll accrual period end. There is a difference - a payroll accrual period may end in February with payment in March which means that the first payment month of the calendar year is actually January or month 1 (if the payment frequency is two months).</t>
  </si>
  <si>
    <t>If you want to include payroll accruals based on variable monthly payroll accrual percentages, you can do so by changing the payroll accrual percentage assumption in the Workings section of the balance sheet which has been included below the section with the ratios. Simply replace the formula which links the payroll accrual percentage assumption to the value on the Assumptions sheet by overwriting it with the appropriate payment accrual percentage.</t>
  </si>
  <si>
    <t>Current Liabilities - Other Accruals, Other Provisions</t>
  </si>
  <si>
    <t>Current Liabilities - Provision for Taxation</t>
  </si>
  <si>
    <t>The calculation of income tax on the income statement is based on the profit before tax on the income statement and the assumptions that are specified in the Income Tax section on the Assumptions sheet.</t>
  </si>
  <si>
    <t>The profit before tax amount is multiplied by the income tax percentage on the Assumptions sheet in order to calculate the monthly income tax value. If there is a loss before tax on the income statement, no income tax will be calculated but if there were profits before the period with the loss, the income tax that was calculated in previous periods will be reversed in the period with the loss.</t>
  </si>
  <si>
    <t>The template also makes provision for the inclusion of an assessed loss which has been carried over from previous financial periods and income tax will only be calculated after the assessed loss has been fully reduced by profits in the projection periods.</t>
  </si>
  <si>
    <t>The income tax assumptions on the Assumptions sheet also include the frequency of payment of income tax (in months) and the calendar month of the first income tax payment. You can therefore calculate a provision for income tax based on any payment period frequency from one to twelve months. The calculated income tax amounts are added together in the provision for income tax balance on the balance sheet until the month of payment.</t>
  </si>
  <si>
    <t>Example: If you need to settle income tax liabilities every six months and the income tax payments are due in February and August of each year, a frequency of 6 needs to be specified and the first calendar month should be set to 2 for February. Similarly, if you settle income tax liabilities at the end of each quarter with payments due in March, June, September and December, the frequency should be set to 3 and the first payment month should also be set to 3. If you need to settle income tax liabilities 9 months after each year-end and the cash flow projection year-end is February, the frequency should be set to 12 months and the first payment month should be set to 11.</t>
  </si>
  <si>
    <t>The Current or Subsequent setting in the Income Tax section on the Assumptions sheet determines how the income tax amounts of the current period are handled. If you select the Current option, the income tax amounts of the current period will be included in the calculation of the payment amount which is due in the particular month and the provision for income tax balance on the balance sheet at the end of the payment month will be nil.</t>
  </si>
  <si>
    <t>Current Liabilities - Dividends Payable</t>
  </si>
  <si>
    <t>The calculation of dividends on the income statement is based on the profit for the year on the income statement and the assumptions that are specified in the Dividends section on the Assumptions sheet. Dividends will only be calculated if you enter a dividend percentage on the Assumptions sheet - if you therefore do not want to include dividends in your cash flow projections, you can simply enter a zero value as the dividend percentage.</t>
  </si>
  <si>
    <t>The Cash, Next or Subsequent setting in the Dividends section on the Assumptions sheet determines how the dividends payable balances on the balance sheet are calculated and therefore also when the dividend payment will be included on the cash flow statement.</t>
  </si>
  <si>
    <t>The dividends assumptions on the Assumptions sheet also include the frequency of payment of dividends (in months) and the first calendar month of the dividend payment. You can therefore calculate dividends based on any payment period frequency from one to twelve months (although 6 or 12 months is the norm). The calculated dividends amounts are added together in the dividends payable balance on the balance sheet until the month of payment.</t>
  </si>
  <si>
    <t>If you select the Cash option, the dividend payable balances on the balance sheet will always be nil and what this means is that the dividend payment is effectively included in the same month as the month in which the dividend is declared. The month in which the declared dividend is included is based on the payment frequency (in months) and the cash flow projection year-end.</t>
  </si>
  <si>
    <t>If you select the Next option, the dividend payment will be included in the month after the month in which the dividend amount is included on the income statement. The dividend payable balance on the balance sheet will therefore only contain a balance in the dividend declaration month.</t>
  </si>
  <si>
    <t>Example: If you set the dividend payment frequency to 12 months, a dividend amount will be included on the income statement in the last month of the appropriate cash flow projection year. If the payment option is set to Cash, no dividend payable amount will be included on the balance sheet and the dividend payment will be included on the cash flow statement in the same month.</t>
  </si>
  <si>
    <t>Example: If you set the dividend payment frequency to 12 months and the payment option is set to Next, the dividend will be included on the income statement in the last month of the appropriate cash flow projection year, the dividend payable at the end of the financial year will equal the income statement amount and the dividend payment will be included in the first month of the next financial year.</t>
  </si>
  <si>
    <t>If the cash flow projection year-end as per the above example is February, the first payment month is set to 9 for September and the Subsequent payment option is selected, the dividend will be included in February on the income statement and the same amount will be included as a dividend payable on the balance sheet from February to August of the next financial year. The dividend payment will then be included in September on the cash flow statement and the dividend payable at the end of September will be nil.</t>
  </si>
  <si>
    <t>Cash Flow Statement</t>
  </si>
  <si>
    <t>Loan Amortization Tables (Loans1 to Loans3 &amp; Leases sheets)</t>
  </si>
  <si>
    <t>Balance Sheet Errors</t>
  </si>
  <si>
    <t>If the balance sheet for any monthly period does not balance, the amount of the imbalance will be included in the row below the total equities &amp; liabilities and displayed in red. The template has been designed in such a way that the balance sheet should always be in balance as long as the total of the balance sheet opening balances which are included on the Assumptions sheet is nil.</t>
  </si>
  <si>
    <t xml:space="preserve">If you see an imbalance on the balance sheet, you therefore need to check the opening balance sheet balances on the Assumptions sheet and ensure that the total of all the opening balances in this section is nil. </t>
  </si>
  <si>
    <t>If fixing the opening balances does not resolve your imbalance, you can e-mail our Support function and let us know what changes you have made to the formulas in the template so that we can assist you. If you have made a lot of changes, you may need to start over with the downloaded copy of the template.</t>
  </si>
  <si>
    <t>Balance Sheet Workings</t>
  </si>
  <si>
    <t>Note: Staff costs have been included in a separate section on the income statement in order to be able to calculate payroll accruals. If you do not need to include payroll accruals in your cash flow projections, we recommend entering nil values and hiding these rows. If you delete the section, some of the payroll accrual formulas may result in errors and you therefore may need to delete them as well.</t>
  </si>
  <si>
    <t>The trade receivables calculation will also only include lines that are coded with a sales tax rate code (in the first two characters) and a "C1" at the end of the code. The C1 part of the code refers to credit sales while the inclusion of a C0 code at the end refers to cash sales. Cash sales do not need to be included in the trade receivables calculation and turnover lines with C0 or no code in column A are therefore ignored when calculating trade receivable balances.</t>
  </si>
  <si>
    <t>Where sales tax is applicable, the appropriate sales tax value relating to monthly cost of sales &amp; expenses will be added to the trade payables balance. Sales tax codes are defined on the Assumptions sheet and the code in column A next to the cost of sales &amp; expense amounts on the income statement are used to determine the appropriate rate of sales tax to be used.</t>
  </si>
  <si>
    <t>The trade payables calculation will also only include lines that are coded with a sales tax rate code (in the first two characters) and a "C1" at the end of the code. The C1 part of the code refers to purchases on credit while the inclusion of a C0 code at the end refers to cash purchases. Cash purchases do not need to be included in the trade payables calculation and cost of sales &amp; expense lines with C0 or no code in column A are therefore ignored when calculating trade payables balances.</t>
  </si>
  <si>
    <t>Example: If dividends are declared every six months, you need to specify a frequency of 6 months on the Assumptions sheet and then select the appropriate payment basis. Dividends will be reflected on the income statement every 6 months and the dividends payable balances on the balance sheet will be determined based on the first payment month and the payment option which is selected (Cash, Next or Subsequent). Similarly, if the payment frequency is set to 12 months, dividends will be included on the income statement every 12 months and the dividends payable balance will be determined based on the first payment month and the payment option.</t>
  </si>
  <si>
    <t>Note: Refer to our Monthly Cash Flow - Forecast vs Actual template for a solution which enables users to compare monthly cash flow forecasts to actual account balances. Our unique range of templates also includes business plan forecasts as well as annual &amp; weekly cash flow projection templates.</t>
  </si>
  <si>
    <t>Note: If you do not want to include any of the line items that are listed on the income statement, cash flow statement or balance sheet, we recommend hiding these items instead of deleting them. If you delete items which are used in other calculations, these calculations will result in errors which you then need to fix or remove.</t>
  </si>
  <si>
    <t>Note: The codes in column A are used in the sales tax and trade receivables calculations. The first two characters represent the sales tax code and the last two characters represent the payment status. Refer to the Balance Sheet - Sales Tax and Balance Sheet - Trade Receivables sections for more information on these codes.</t>
  </si>
  <si>
    <t>Note: The codes in column A are used in the sales tax and trade payables calculations. The first two characters represent the sales tax code and the last two characters represent the payment status. Refer to the Balance Sheet - Sales Tax and Balance Sheet - Trade Payables sections for more information on these codes.</t>
  </si>
  <si>
    <t>Monthly projections for depreciation and amortization need to be calculated independently of the template and included in this section. We unfortunately cannot include default depreciation or amortization calculations because some businesses may have very different asset bases than others with existing assets which may already have been depreciated over a number of years. Any calculation which is based on a percentage of the balance sheet asset value may therefore not be accurate.</t>
  </si>
  <si>
    <t>If you want to include dividend calculations, you need to specify a dividend percentage which will be applied to the profit for the period in order to calculate the dividend value. You also need to specify the frequency in months of dividend payments and the first payment month. The frequency of dividends determines when the dividends are included on the income statement and the first month of payment determines when the dividend payment is included on the cash flow statement (only has an effect if the dividend payment option is Subsequent).</t>
  </si>
  <si>
    <t>Example: If you want to include a dividend in the last month of each financial year, select a payment frequency of 12 months and month 12 as the first payment month. Then select the Cash option in order to include both the dividend on the income statement and the payment in the last month of the year.</t>
  </si>
  <si>
    <t>If you need to compile cash flow projections for an existing business, you will need to include the opening balance sheet balances at the start of the cash flow projection period. This is facilitated in the Balance Sheet Opening Balances section on the Assumptions sheet. The opening balances that are entered here are included in the first column on the balance sheet.</t>
  </si>
  <si>
    <t>You can use the trial balance as at the end of the period immediately before the start of the cash flow projection period for this purpose. All assets should have positive balances and all equity &amp; liabilities should have negative balances. The opening balances should also balance to a total of nil as with any accounting system trial balance. If you enter balances and the total of all balances is not nil, the entire opening balances section on the Assumptions sheet will be highlighted in orange.</t>
  </si>
  <si>
    <t>Note: Purchases of property, plant &amp; equipment, intangible assets and investments all need to be entered as negative values on the cash flow statement.</t>
  </si>
  <si>
    <t>The inventory balances on the balance sheet are calculated based on the inventory days assumption which is specified on the Assumptions sheet. The number of days that are entered here is applied to the monthly cost of sales in order to calculate the appropriate inventory balance. This calculation is based on the actual number of days in each month if the inventory days assumption is greater than the number of days in the appropriate month.</t>
  </si>
  <si>
    <t>Note: If your business does not carry inventory, you can simply enter a nil value in the inventory days assumption on the Assumptions sheet. The inventory line on the balance sheet will then also contain nil values.</t>
  </si>
  <si>
    <t>The trade receivables balances on the balance sheet are calculated based on the debtors days assumption which is specified on the Assumptions sheet. The debtors days number can be determined based on the average trading terms which has been negotiated with customers. The debtors days is applied to the monthly turnover in order to calculate the appropriate trade receivables balance. This calculation is based on the actual number of days in each month if the debtors days assumption is greater than the number of days in the appropriate month.</t>
  </si>
  <si>
    <t>Example: If you enter an inventory days assumption of 60 days and the month is April, the entire cost of sales value for April will be included in the inventory balance because April only has 30 days. After including the 30 days in April, there is a difference of 30 days between the 60 days assumption and the 30 days in April. The March cost of sales balance will therefore be used, divided by the 31 days in March and multiplied by the 30 remaining days. The inventory balance at the end of April will therefore consist of the cost of sales total for April and an equivalent of 30 days of the 31 day cost of sales of March.</t>
  </si>
  <si>
    <t>Example: If you enter a debtors days assumption of 60 days and the month is April, the entire turnover value for April will be included in the trade receivables balance because April only has 30 days. After including the 30 days in April, there is a difference of 30 days between the 60 days assumption and the 30 days in April. The March turnover balance will therefore be used, divided by the 31 days in March and multiplied by the 30 remaining days. The trade receivables balance at the end of April will therefore consist of the turnover total for April and an equivalent of 30 days of the 31 day turnover of March.</t>
  </si>
  <si>
    <t>Note: The above calculation principle is applied regardless of the number of days which are entered in the debtors days assumption on the Assumptions sheet even if the value of the debtors days assumption requires the inclusion of more than 2 months. This method of calculation is the most accurate way of projecting trade receivable balances even for businesses where there is significant sales volatility.</t>
  </si>
  <si>
    <t>Where sales tax is applicable, the appropriate sales tax value relating to monthly turnover will be added to the trade receivables balance. Sales tax codes are defined on the Assumptions sheet and the codes in column A next to the turnover amounts on the income statement are used to determine the appropriate rate of sales tax to be used.</t>
  </si>
  <si>
    <t>Example: If the standard rate sales tax code is V1 and the appropriate turnover line needs to be included in the calculation of trade receivables, the code V1C1 needs to be added in column A of the appropriate turnover line on the income statement. If you do not want to add sales tax in the trade receivables calculation but you do want a trade receivables line to be included in the balance sheet, you can add a code which refers to a 0% sales tax calculation as well as the C1 credit sales indicator.</t>
  </si>
  <si>
    <t>Note: If your business has no trade receivables, you can simply enter a nil value in the debtors days assumption on the Assumptions sheet. The trade receivables line on the balance sheet will then also contain nil values.</t>
  </si>
  <si>
    <t>The cash &amp; cash equivalents balances on the balance sheet are linked to the closing cash balances on the cash flow statement. If the resulting cash &amp; cash equivalents balance has a negative value, it will automatically be included in the bank overdraft line in the Current Liabilities section of the balance sheet.</t>
  </si>
  <si>
    <t>The template provides for loans &amp; leases to be included based on 4 different sets of loan repayment terms. Loans with the same repayment terms can be grouped together in the appropriate line item. There is no difference between the treatment of loans 1 to 3 and leases. If you do not have finance leases and have loans with 4 different sets of repayment terms, you can use the Leases sheet and rename the appropriate line items accordingly.</t>
  </si>
  <si>
    <t>Note: The loan repayment period in years is limited to a maximum period of 30 years. If you want to include a loan repayment period which exceeds this period, you need to change the data validation settings in the appropriate input cell by selecting the data validation feature from the Data tab on the Excel ribbon and editing the maximum value of 30 which has been set in the loan repayment period cells.</t>
  </si>
  <si>
    <t>Note: A set of loan terms can be specified as interest-only by selecting the "Yes" option from the interest-only drop-down list in the appropriate loan terms on the Assumptions sheet. If this selection is made, the loan will be interest only and not include any loan repayments.</t>
  </si>
  <si>
    <t>The loan repayments, interest charged and capital repayments are calculated based on the outstanding balances at the beginning of each period. Additional loans can be added to the appropriate amortization table by entering the appropriate values in the proceeds from loans section on the cash flow statement (under the cash flow from financing activities section).</t>
  </si>
  <si>
    <t>Example: If you enter a creditors days assumption of 60 days and the month is April, the entire cost of sales &amp; expense value for April will be included in the trade payables balance because April only has 30 days. After including the 30 days in April, there is a difference of 30 days between the 60 days assumption and the 30 days in April. The March cost of sales &amp; expense balance will therefore be used, divided by the 31 days in March and multiplied by the 30 remaining days. The trade payables balance at the end of April will therefore consist of the cost of sales &amp; expenses total for April and an equivalent of 30 days of the 31 day cost of sales &amp; expense values of March.</t>
  </si>
  <si>
    <t>Note: If your business has no trade payables, you can simply enter a nil value in the creditors days assumption on the Assumptions sheet. The trade payables line on the balance sheet will then also contain nil values.</t>
  </si>
  <si>
    <t>The template accommodates the inclusion of sales tax in all relevant calculations based on four default sales tax calculation codes and any sales tax period. All income statement and cash flow statement items need to be entered exclusive of any sales tax that may be applicable and the trade receivables and trade payables balances on the balance sheet will be calculated inclusive of sales tax. The net sales tax liability is included in the Sales Tax line on the balance sheet.</t>
  </si>
  <si>
    <t>The template can be used for general sales tax (GST) and value added tax (VAT) purposes. Where there is no sales tax input which reduces the sales tax liability, the codes in column A on the income statement can simply be changed to contain a sales tax code (in the first two characters of the code) which has a zero percentage. Only the sales tax codes that are included next to the turnover lines will then be included in sales tax calculations (as required by some general sales tax calculations).</t>
  </si>
  <si>
    <t>The income statement contains codes in column A which affects the calculations of sales tax and trade receivables or trade payables. The first two characters of these codes determine which sales tax percentage is used in the sales tax calculations. If an income statement item needs to be excluded from sales tax calculations, you should use a sales tax code with a zero percentage on the Assumptions sheet.</t>
  </si>
  <si>
    <t>Example: If your business is subject to sales tax payments of every two months and the first payment is due in February, a frequency of 2 needs to be specified and the first payment month should be set to 2 for February. Similarly, if your business is subject to sales tax payments of every 6 months with payments due in March and August, the frequency should be set to 6 and the first payment month should be set to 3. If your business is subject to monthly sales tax payment periods, the frequency should be 1 and the first payment month should also be 1.</t>
  </si>
  <si>
    <t>If you select the Subsequent setting, the sales tax amount of the current period is not included in the calculation of the payment amount and the sales tax liability at the end of the appropriate payment month will always include at least one month.</t>
  </si>
  <si>
    <t>The payroll accrual on the balance sheet is based on the payroll accrual assumptions in the Working Capital section of the Assumptions sheet and the amounts in the staff costs section of the income statement. If payroll deductions are paid in the same month as they are incurred, you can set the payroll accrual percentage to zero and the payroll accrual balances on the balance sheet will also be zero.</t>
  </si>
  <si>
    <t>You also need to specify the appropriate percentage of staff costs which needs to be included in your payroll accruals. This percentage should be based on the percentage of staff costs which are paid in a subsequent month and is based on the current month's staff costs. Payroll accruals usually consist of salary &amp; wage deductions which need to be paid over to third parties and differ from entity to entity. You therefore need to calculate the appropriate payroll accrual percentage based on the composition of the salary or wage structures of all employees.</t>
  </si>
  <si>
    <t>The payroll accrual assumptions that need to be specified on the Assumptions sheet also include the frequency of payroll accrual payment periods (in months) and the payment month of the first payroll accrual period. You can therefore calculate payroll accruals based on any payment period frequency from one to twelve months. The calculated payroll accruals are added together in the payroll accrual balance until the month of payment.</t>
  </si>
  <si>
    <t>Example: If you need to settle payroll accruals every two months and the first payment is due in February, a frequency of 2 needs to be specified and the first payment month should be set to 2 for February. Similarly, if you settle payroll accruals every 6 months with payments due in March and August, the frequency should be set to 6 and the first payment month should be set to 3. If you settle payroll accruals on a monthly basis, the frequency should be 1 and the first payment month should also be 1.</t>
  </si>
  <si>
    <t>Note: The Subsequent setting is usually the appropriate setting to use for payroll accrual purposes. The Current setting is more applicable to tax types which are subject to provisional tax payments where payment occurs in the same month as the tax calculation.</t>
  </si>
  <si>
    <t>If you select the Subsequent setting, the income tax amounts of the current period are not included in the calculation of the payment amount and the provision for income tax balance on the balance sheet at the end of the appropriate payment month will always include income tax for at least one month.</t>
  </si>
  <si>
    <t>Note: The Current setting is usually the appropriate setting to use for income tax purposes if the entity is a provisional taxpayer which effectively means that income tax is paid in advance. If the entity is not a provisional taxpayer, the Subsequent setting should be used because income tax will be settled after being incurred.</t>
  </si>
  <si>
    <t>Example: If you set the dividend payment frequency to 12 months and the payment option is set to Subsequent, the dividend will be included on the income statement in the last month of the appropriate cash flow projection year and the dividend payable at the end of the financial year and all subsequent months in the new financial year until the first payment month is reached will equal the income statement amount. The dividend payment will be included in the first payment month as set on the Assumptions sheet but in the year after inclusion on the income statement.</t>
  </si>
  <si>
    <t>Note: Refer to the instructions in the income statement - interest paid section and the balance sheet - non-current liabilities section for guidance on how these amortization tables have been compiled and where to include user input for each of these amortization tables.</t>
  </si>
  <si>
    <t>Interest, Taxation &amp; Dividends</t>
  </si>
  <si>
    <t>Monthly depreciation &amp; amortization charges need to be entered on the IncState worksheet.</t>
  </si>
  <si>
    <t>Monthly other income projections need to be entered on the IncState worksheet.</t>
  </si>
  <si>
    <t>Example (Pty) Limited</t>
  </si>
  <si>
    <t>You can also specify whether the dividend is paid in the month of calculation (Cash option), the month after calculation (Next option) or in a subsequent month. When you elect the subsequent month option, the payment of the dividend will be included based on the relative position of the first month of payment in relation to the year-end period (which is determined based on the template start date at the top of the Assumptions sheet).</t>
  </si>
  <si>
    <t>The loans and advances &amp; other receivables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</si>
  <si>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The monthly cost of sales, operating expenses and staff costs on the income statement are added together in order to determine a monthly value on which the trade payables calculations should be based. Expenses and costs which are paid on a cash basis can be excluded from the trade payables calculation by entering a code which ends in C0 in column A on the income statement. The codes in column A start with the appropriate two character sales tax code and end with the two character payables code.</t>
  </si>
  <si>
    <t>Like the calculation of inventory and trade receivables balances, the trade payables balances on the balance sheet are based on the actual number of days in each month if the creditors days assumption is greater than the days in the appropriate month.</t>
  </si>
  <si>
    <t>The appropriate sales tax percentages can be entered in the Sales Tax section of the Assumptions sheet. The template provides for 4 default sales tax codes, each with its own sales tax percentage. The sales tax codes are numbered from V1 to V4.</t>
  </si>
  <si>
    <t>The sales tax assumptions that need to be specified on the Assumptions sheet also include the frequency of sales tax payments (in months) and the calendar month of the first payment period. You can therefore calculate sales tax based on any period frequency from one to twelve months.</t>
  </si>
  <si>
    <t>The other accrual &amp; other provisions balances cannot be calculated by basing them on specific income statement items and they are therefore calculated by adding the movements in these balances as per the cash flow statement to the balances of the previous month. If you therefore want to increase or decrease these balances, you need to add the amount of the increase or decrease to the line with a matching description on the cash flow statement (under the changes in operating assets section).</t>
  </si>
  <si>
    <t>The template makes provision for including loans with up to four different sets of repayment terms in the cash flow projections. The amortization tables that are used to calculate the interest charges, additional loan amounts, loan repayments and outstanding balances have been included on the Loans1, Loans2, Loans3 and Leases sheets. No user input is required on these sheets.</t>
  </si>
  <si>
    <t>Interest Charges</t>
  </si>
  <si>
    <t>This template enables users to create monthly cash flow projections for any user defined three year period.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 The monthly reporting periods are based on any user defined start date.</t>
  </si>
  <si>
    <t>The template includes the following sheets:</t>
  </si>
  <si>
    <t>Dividend Status</t>
  </si>
  <si>
    <r>
      <t xml:space="preserve">Assumptions - </t>
    </r>
    <r>
      <rPr>
        <sz val="10"/>
        <rFont val="Arial"/>
        <family val="2"/>
      </rPr>
      <t>this sheet includes the default assumptions on which the monthly cash flow projections are based.</t>
    </r>
  </si>
  <si>
    <r>
      <t xml:space="preserve">IncState - </t>
    </r>
    <r>
      <rPr>
        <sz val="10"/>
        <rFont val="Arial"/>
        <family val="2"/>
      </rPr>
      <t>this sheet includes a detailed monthly income statement for a 36 month period. All the rows that are highlighted in yellow in column A require user input and the codes in column A are mainly used in the sales tax, receivables &amp; payables calculations. The rows that do not contain yellow highlighting in column A contain formulas and are therefore calculated automatically.</t>
    </r>
  </si>
  <si>
    <r>
      <t xml:space="preserve">CashFlow - </t>
    </r>
    <r>
      <rPr>
        <sz val="10"/>
        <rFont val="Arial"/>
        <family val="2"/>
      </rPr>
      <t>as with the income statement, only the rows with yellow highlighting in column A require user input. All the other rows contain formulas and are therefore calculated automatically.</t>
    </r>
  </si>
  <si>
    <r>
      <t>BalanceSheet</t>
    </r>
    <r>
      <rPr>
        <sz val="10"/>
        <rFont val="Arial"/>
        <family val="2"/>
      </rPr>
      <t xml:space="preserve"> - all balance sheet calculations are based on the template assumptions and the monthly income statement &amp; cash flow statement calculations. No user input is therefore required on this sheet.</t>
    </r>
  </si>
  <si>
    <r>
      <t xml:space="preserve">Loans1 to Loans3 &amp; Leases - </t>
    </r>
    <r>
      <rPr>
        <sz val="10"/>
        <rFont val="Arial"/>
        <family val="2"/>
      </rPr>
      <t>these sheets include detailed amortization tables which are used to calculate the monthly interest and capital repayment amounts that are included on the monthly income statement and cash flow statement. Each sheet provides for a different set of loan repayment terms to be specified.</t>
    </r>
  </si>
  <si>
    <t>Monthly projections of other income should be entered in this row. Other income may consist of items like interest or dividends received and this line item is not included in trade receivables and sales tax calculations. If you want to include other income in the trade receivables or sales tax calculations, you need to add the income to the Turnover section as an additional line item.</t>
  </si>
  <si>
    <t>If you already have a sheet which is used for depreciation or amortization calculations, you can include it in this template and add formulas in the depreciation &amp; amortization section of the income statement to include your calculations in these line items.</t>
  </si>
  <si>
    <t>If you do want to include income tax calculations, the income tax percentage needs to be entered in the Income Tax section on the Assumptions sheet. You can also enter a value for an assessed loss (as a positive value) which may have been carried over from a previous tax year which would result in income tax only being calculated after profits exceed the value of the assessed loss.</t>
  </si>
  <si>
    <t>Example: If you want to include a dividend in the last month of each financial year but delay payment to the first month of the next financial year, select a payment frequency of 12 months and month 12 as the first payment month. Then select the Next option to include the dividend on the income statement in the last month of the financial year and the payment in the first month of the next financial year. A dividend payable amount will then automatically be included on the balance sheet at year-end.</t>
  </si>
  <si>
    <t>The property, plant &amp; equipment balances on the balance sheet are calculated by adding the purchases of property, plant &amp; equipment as entered on the cash flow statement and deducting the depreciation charges included on the income statement.</t>
  </si>
  <si>
    <t>Each of the loan repayment terms can be specified in the Loan Terms section on the Assumptions sheet. The loan terms include the annual interest rate, repayment period in years and a selection field which can be used to indicate interest-only loans. These loan repayment terms are then included at the top of the loan amortization sheet on the Loans1 to Loans3 and Leases sheets.</t>
  </si>
  <si>
    <t>Example: If you set a payment frequency of 1 month, first payment month of 1 and select the Current option, the payroll accruals on the balance sheet will always be nil because the current month's payroll accruals will be included in the payment calculation. If you have the same period settings and select the Subsequent option, the payroll accruals will always include the current month's payroll accrual because the payment amount will be based on the previous month's payroll accrual.</t>
  </si>
  <si>
    <t>The dividend percentage specified on the Assumptions sheet is applied to the profit for the year on the income statement which can be found directly above the dividends line. Dividends will also only be calculated if there is a cumulative profit for the year.</t>
  </si>
  <si>
    <t>If you select the Subsequent option, dividends will be included on the income statement based on the frequency setting on the Assumptions sheet and the payment of the dividend will be delayed until the first payment month is reached. A dividends payable balance will be reflected on the balance sheet in all months until the payment month is reached.</t>
  </si>
  <si>
    <t>We have included all the calculations which form part of the calculation of balance sheet balances in the Workings section below the balance sheet ratios. These workings will not be printed and are for information purposes only. You can hide this section if you do not want to see it on the sheet but do not delete any of these formulas because it will result in calculation errors if you do!</t>
  </si>
  <si>
    <t>All the rows on the cash flow statement which require user input are indicated with yellow highlighting in column A. All other rows contain formulas which automate the calculations of these items which are all based on income statement or balance sheet values.</t>
  </si>
  <si>
    <t>The input rows on the cash flow statement are all related to balance sheet items where the calculations on the balance sheet are based on adding the movement on the cash flow statement to the previous month's balance. If you need more guidance on any of these items, refer to the appropriate section for the particular item under the Balance Sheet section of these instructions.</t>
  </si>
  <si>
    <t>Note: The colour of the codes in column A on the cash flow statement indicate whether positive or negative values need to be entered to increase the appropriate balance sheet item's balance. If the code is green, positive input values increase the balance sheet balance and if the code is red, you need to enter negative values in order to increase the balance sheet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</si>
</sst>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0.0%"/>
    <numFmt numFmtId="166" formatCode="_(* #,##0_);_(* \(#,##0\);_(* &quot;-&quot;??_);_(@_)"/>
    <numFmt numFmtId="167" formatCode="_(* #,##0.0%_);_(* \(#,##0.0%\);_(* &quot;-&quot;_);_(@_)"/>
    <numFmt numFmtId="168" formatCode="_(* #,##0.0_);_(* \(#,##0.0\);_(* &quot;-&quot;??_);_(@_)"/>
    <numFmt numFmtId="169" formatCode="mmm\-yyyy"/>
    <numFmt numFmtId="170" formatCode="mmm/yyyy"/>
    <numFmt numFmtId="171" formatCode="_ * #,##0_ ;_ * \-#,##0_ ;_ * &quot;-&quot;??_ ;_ @_ "/>
  </numFmts>
  <fonts count="35"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u/>
      <sz val="10"/>
      <color indexed="17"/>
      <name val="Century Gothic"/>
      <family val="2"/>
      <scheme val="minor"/>
    </font>
    <font>
      <b/>
      <sz val="10"/>
      <color indexed="8"/>
      <name val="Century Gothic"/>
      <family val="2"/>
      <scheme val="minor"/>
    </font>
    <font>
      <b/>
      <sz val="12"/>
      <name val="Century Gothic"/>
      <family val="2"/>
      <scheme val="minor"/>
    </font>
    <font>
      <sz val="10"/>
      <color rgb="FFFF0000"/>
      <name val="Century Gothic"/>
      <family val="2"/>
      <scheme val="minor"/>
    </font>
    <font>
      <sz val="10"/>
      <color theme="0"/>
      <name val="Century Gothic"/>
      <family val="2"/>
      <scheme val="minor"/>
    </font>
    <font>
      <i/>
      <sz val="10"/>
      <color theme="0"/>
      <name val="Century Gothic"/>
      <family val="2"/>
      <scheme val="minor"/>
    </font>
    <font>
      <b/>
      <sz val="10"/>
      <color theme="0"/>
      <name val="Century Gothic"/>
      <family val="2"/>
      <scheme val="minor"/>
    </font>
    <font>
      <b/>
      <i/>
      <sz val="10"/>
      <name val="Century Gothic"/>
      <family val="2"/>
      <scheme val="minor"/>
    </font>
    <font>
      <i/>
      <sz val="10"/>
      <color indexed="9"/>
      <name val="Century Gothic"/>
      <family val="2"/>
      <scheme val="minor"/>
    </font>
    <font>
      <b/>
      <sz val="10"/>
      <color indexed="9"/>
      <name val="Century Gothic"/>
      <family val="2"/>
      <scheme val="minor"/>
    </font>
    <font>
      <sz val="10"/>
      <color indexed="8"/>
      <name val="Century Gothic"/>
      <family val="2"/>
      <scheme val="minor"/>
    </font>
    <font>
      <b/>
      <sz val="10"/>
      <color rgb="FFFF0000"/>
      <name val="Century Gothic"/>
      <family val="2"/>
      <scheme val="minor"/>
    </font>
    <font>
      <sz val="10"/>
      <color indexed="12"/>
      <name val="Century Gothic"/>
      <family val="2"/>
      <scheme val="minor"/>
    </font>
    <font>
      <sz val="9"/>
      <color rgb="FF00B050"/>
      <name val="Century Gothic"/>
      <family val="2"/>
      <scheme val="minor"/>
    </font>
    <font>
      <b/>
      <sz val="9"/>
      <color rgb="FF00B050"/>
      <name val="Century Gothic"/>
      <family val="2"/>
      <scheme val="minor"/>
    </font>
    <font>
      <sz val="9"/>
      <color rgb="FFFF0000"/>
      <name val="Century Gothic"/>
      <family val="2"/>
      <scheme val="minor"/>
    </font>
    <font>
      <i/>
      <sz val="9"/>
      <color rgb="FF00B050"/>
      <name val="Century Gothic"/>
      <family val="2"/>
      <scheme val="minor"/>
    </font>
    <font>
      <sz val="9"/>
      <name val="Century Gothic"/>
      <family val="2"/>
      <scheme val="minor"/>
    </font>
    <font>
      <sz val="9"/>
      <color indexed="8"/>
      <name val="Century Gothic"/>
      <family val="2"/>
      <scheme val="minor"/>
    </font>
    <font>
      <b/>
      <sz val="9"/>
      <name val="Century Gothic"/>
      <family val="2"/>
      <scheme val="minor"/>
    </font>
    <font>
      <i/>
      <sz val="9"/>
      <name val="Century Gothic"/>
      <family val="2"/>
      <scheme val="minor"/>
    </font>
    <font>
      <b/>
      <sz val="10"/>
      <name val="Arial"/>
      <family val="2"/>
    </font>
    <font>
      <i/>
      <sz val="10"/>
      <name val="Arial"/>
      <family val="2"/>
    </font>
    <font>
      <b/>
      <u/>
      <sz val="10"/>
      <color theme="4" tint="-0.249977111117893"/>
      <name val="Arial"/>
      <family val="2"/>
    </font>
    <font>
      <b/>
      <u/>
      <sz val="10"/>
      <color indexed="17"/>
      <name val="Arial"/>
      <family val="2"/>
    </font>
    <font>
      <b/>
      <sz val="10"/>
      <color indexed="8"/>
      <name val="Arial"/>
      <family val="2"/>
    </font>
    <font>
      <b/>
      <sz val="12"/>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56"/>
        <bgColor indexed="64"/>
      </patternFill>
    </fill>
    <fill>
      <patternFill patternType="solid">
        <fgColor rgb="FFFFFF9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style="thin">
        <color indexed="22"/>
      </left>
      <right/>
      <top style="thin">
        <color indexed="64"/>
      </top>
      <bottom/>
      <diagonal/>
    </border>
    <border>
      <left style="thin">
        <color indexed="22"/>
      </left>
      <right/>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83">
    <xf numFmtId="0" fontId="0" fillId="0" borderId="0" xfId="0"/>
    <xf numFmtId="0" fontId="4" fillId="0" borderId="0" xfId="0" applyFont="1"/>
    <xf numFmtId="0" fontId="5" fillId="0" borderId="0" xfId="0" applyNumberFormat="1" applyFont="1" applyProtection="1">
      <protection hidden="1"/>
    </xf>
    <xf numFmtId="166" fontId="5" fillId="0" borderId="0" xfId="1" applyNumberFormat="1" applyFont="1" applyProtection="1">
      <protection hidden="1"/>
    </xf>
    <xf numFmtId="43" fontId="6" fillId="0" borderId="0" xfId="1" applyFont="1" applyProtection="1">
      <protection hidden="1"/>
    </xf>
    <xf numFmtId="0" fontId="6" fillId="0" borderId="0" xfId="0" applyFont="1" applyProtection="1">
      <protection hidden="1"/>
    </xf>
    <xf numFmtId="0" fontId="7" fillId="0" borderId="0" xfId="0" applyNumberFormat="1" applyFont="1" applyProtection="1">
      <protection hidden="1"/>
    </xf>
    <xf numFmtId="14" fontId="6" fillId="2" borderId="8" xfId="1" applyNumberFormat="1" applyFont="1" applyFill="1" applyBorder="1" applyAlignment="1" applyProtection="1">
      <alignment horizontal="center"/>
      <protection hidden="1"/>
    </xf>
    <xf numFmtId="43" fontId="5" fillId="0" borderId="0" xfId="1" applyFont="1" applyAlignment="1" applyProtection="1">
      <alignment horizontal="center"/>
      <protection hidden="1"/>
    </xf>
    <xf numFmtId="43" fontId="5" fillId="0" borderId="0" xfId="1" applyFont="1" applyProtection="1">
      <protection hidden="1"/>
    </xf>
    <xf numFmtId="0" fontId="5" fillId="0" borderId="0" xfId="0" applyFont="1" applyProtection="1">
      <protection hidden="1"/>
    </xf>
    <xf numFmtId="166" fontId="6" fillId="0" borderId="0" xfId="1" applyNumberFormat="1" applyFont="1" applyProtection="1">
      <protection hidden="1"/>
    </xf>
    <xf numFmtId="166" fontId="6" fillId="0" borderId="0" xfId="1" applyNumberFormat="1" applyFont="1" applyFill="1" applyBorder="1" applyProtection="1">
      <protection hidden="1"/>
    </xf>
    <xf numFmtId="165" fontId="6" fillId="0" borderId="0" xfId="1" applyNumberFormat="1" applyFont="1" applyFill="1" applyBorder="1" applyAlignment="1" applyProtection="1">
      <alignment horizontal="center"/>
      <protection hidden="1"/>
    </xf>
    <xf numFmtId="0" fontId="6" fillId="0" borderId="0" xfId="0" applyNumberFormat="1" applyFont="1" applyProtection="1">
      <protection hidden="1"/>
    </xf>
    <xf numFmtId="0" fontId="7" fillId="0" borderId="0" xfId="0" applyFont="1" applyProtection="1">
      <protection hidden="1"/>
    </xf>
    <xf numFmtId="3" fontId="6" fillId="2" borderId="2" xfId="1" applyNumberFormat="1" applyFont="1" applyFill="1" applyBorder="1" applyAlignment="1" applyProtection="1">
      <alignment horizontal="center"/>
      <protection hidden="1"/>
    </xf>
    <xf numFmtId="165" fontId="6" fillId="2" borderId="2" xfId="3" applyNumberFormat="1" applyFont="1" applyFill="1" applyBorder="1" applyAlignment="1" applyProtection="1">
      <alignment horizontal="center"/>
      <protection hidden="1"/>
    </xf>
    <xf numFmtId="0" fontId="12" fillId="0" borderId="0" xfId="1" applyNumberFormat="1" applyFont="1" applyAlignment="1" applyProtection="1">
      <alignment horizontal="center"/>
      <protection hidden="1"/>
    </xf>
    <xf numFmtId="166" fontId="7" fillId="0" borderId="0" xfId="1" applyNumberFormat="1" applyFont="1" applyAlignment="1" applyProtection="1">
      <alignment horizontal="center"/>
      <protection hidden="1"/>
    </xf>
    <xf numFmtId="43" fontId="7" fillId="0" borderId="0" xfId="1" applyFont="1" applyAlignment="1" applyProtection="1">
      <alignment horizontal="center"/>
      <protection hidden="1"/>
    </xf>
    <xf numFmtId="43" fontId="7" fillId="0" borderId="0" xfId="1" applyFont="1" applyProtection="1">
      <protection hidden="1"/>
    </xf>
    <xf numFmtId="0" fontId="6" fillId="5" borderId="2" xfId="0" applyNumberFormat="1" applyFont="1" applyFill="1" applyBorder="1" applyProtection="1">
      <protection hidden="1"/>
    </xf>
    <xf numFmtId="165" fontId="6" fillId="5" borderId="2" xfId="3" applyNumberFormat="1" applyFont="1" applyFill="1" applyBorder="1" applyAlignment="1" applyProtection="1">
      <alignment horizontal="center"/>
      <protection hidden="1"/>
    </xf>
    <xf numFmtId="166" fontId="5" fillId="0" borderId="0" xfId="1" applyNumberFormat="1" applyFont="1" applyFill="1" applyBorder="1" applyAlignment="1" applyProtection="1">
      <alignment horizontal="center"/>
      <protection hidden="1"/>
    </xf>
    <xf numFmtId="0" fontId="6" fillId="0" borderId="0" xfId="0" applyNumberFormat="1" applyFont="1" applyFill="1" applyBorder="1" applyProtection="1">
      <protection hidden="1"/>
    </xf>
    <xf numFmtId="10" fontId="6" fillId="2" borderId="2" xfId="3" applyNumberFormat="1" applyFont="1" applyFill="1" applyBorder="1" applyProtection="1">
      <protection hidden="1"/>
    </xf>
    <xf numFmtId="168" fontId="6" fillId="2" borderId="2" xfId="1" applyNumberFormat="1" applyFont="1" applyFill="1" applyBorder="1" applyProtection="1">
      <protection hidden="1"/>
    </xf>
    <xf numFmtId="166" fontId="6" fillId="2" borderId="2" xfId="1" applyNumberFormat="1" applyFont="1" applyFill="1" applyBorder="1" applyAlignment="1" applyProtection="1">
      <alignment horizontal="right"/>
      <protection hidden="1"/>
    </xf>
    <xf numFmtId="0" fontId="7" fillId="0" borderId="0" xfId="0" applyNumberFormat="1" applyFont="1" applyFill="1" applyBorder="1" applyProtection="1">
      <protection hidden="1"/>
    </xf>
    <xf numFmtId="166" fontId="6" fillId="2" borderId="2" xfId="1" applyNumberFormat="1" applyFont="1" applyFill="1" applyBorder="1" applyProtection="1">
      <protection hidden="1"/>
    </xf>
    <xf numFmtId="166" fontId="7" fillId="0" borderId="0" xfId="1" applyNumberFormat="1" applyFont="1" applyFill="1" applyBorder="1" applyProtection="1">
      <protection hidden="1"/>
    </xf>
    <xf numFmtId="0" fontId="6" fillId="0" borderId="0" xfId="0" applyFont="1" applyAlignment="1" applyProtection="1">
      <alignment horizontal="center"/>
      <protection hidden="1"/>
    </xf>
    <xf numFmtId="0" fontId="6" fillId="0" borderId="0" xfId="1" applyNumberFormat="1" applyFont="1" applyAlignment="1" applyProtection="1">
      <alignment horizontal="center"/>
      <protection hidden="1"/>
    </xf>
    <xf numFmtId="0" fontId="13" fillId="0" borderId="0" xfId="0" applyNumberFormat="1" applyFont="1" applyProtection="1">
      <protection hidden="1"/>
    </xf>
    <xf numFmtId="169" fontId="6" fillId="3" borderId="2" xfId="0" applyNumberFormat="1" applyFont="1" applyFill="1" applyBorder="1" applyAlignment="1" applyProtection="1">
      <alignment vertical="center" wrapText="1"/>
      <protection hidden="1"/>
    </xf>
    <xf numFmtId="169" fontId="5" fillId="3" borderId="2" xfId="1" applyNumberFormat="1" applyFont="1" applyFill="1" applyBorder="1" applyAlignment="1" applyProtection="1">
      <alignment horizontal="center" vertical="center" wrapText="1"/>
      <protection hidden="1"/>
    </xf>
    <xf numFmtId="169" fontId="14" fillId="4" borderId="2" xfId="1" applyNumberFormat="1" applyFont="1" applyFill="1" applyBorder="1" applyAlignment="1" applyProtection="1">
      <alignment horizontal="center" vertical="center" wrapText="1"/>
      <protection hidden="1"/>
    </xf>
    <xf numFmtId="169" fontId="6" fillId="0" borderId="0" xfId="0" applyNumberFormat="1" applyFont="1" applyAlignment="1" applyProtection="1">
      <alignment vertical="center" wrapText="1"/>
      <protection hidden="1"/>
    </xf>
    <xf numFmtId="0" fontId="6" fillId="0" borderId="14" xfId="1" applyNumberFormat="1" applyFont="1" applyBorder="1" applyProtection="1">
      <protection hidden="1"/>
    </xf>
    <xf numFmtId="166" fontId="6" fillId="0" borderId="3" xfId="1" applyNumberFormat="1" applyFont="1" applyFill="1" applyBorder="1" applyProtection="1">
      <protection hidden="1"/>
    </xf>
    <xf numFmtId="166" fontId="6" fillId="0" borderId="3" xfId="1" applyNumberFormat="1" applyFont="1" applyBorder="1" applyProtection="1">
      <protection hidden="1"/>
    </xf>
    <xf numFmtId="166" fontId="5" fillId="0" borderId="3" xfId="1" applyNumberFormat="1" applyFont="1" applyBorder="1" applyProtection="1">
      <protection hidden="1"/>
    </xf>
    <xf numFmtId="0" fontId="6" fillId="0" borderId="15" xfId="1" applyNumberFormat="1" applyFont="1" applyBorder="1" applyProtection="1">
      <protection hidden="1"/>
    </xf>
    <xf numFmtId="166" fontId="6" fillId="0" borderId="4" xfId="1" applyNumberFormat="1" applyFont="1" applyFill="1" applyBorder="1" applyProtection="1">
      <protection hidden="1"/>
    </xf>
    <xf numFmtId="166" fontId="6" fillId="0" borderId="4" xfId="1" applyNumberFormat="1" applyFont="1" applyBorder="1" applyProtection="1">
      <protection hidden="1"/>
    </xf>
    <xf numFmtId="166" fontId="5" fillId="0" borderId="4" xfId="1" applyNumberFormat="1" applyFont="1" applyBorder="1" applyProtection="1">
      <protection hidden="1"/>
    </xf>
    <xf numFmtId="0" fontId="5" fillId="0" borderId="0" xfId="1" applyNumberFormat="1" applyFont="1" applyProtection="1">
      <protection hidden="1"/>
    </xf>
    <xf numFmtId="166" fontId="5" fillId="0" borderId="12" xfId="1" applyNumberFormat="1" applyFont="1" applyFill="1" applyBorder="1" applyProtection="1">
      <protection hidden="1"/>
    </xf>
    <xf numFmtId="0" fontId="6" fillId="0" borderId="0" xfId="1" applyNumberFormat="1" applyFont="1" applyProtection="1">
      <protection hidden="1"/>
    </xf>
    <xf numFmtId="165" fontId="7" fillId="0" borderId="0" xfId="3" applyNumberFormat="1" applyFont="1" applyBorder="1" applyProtection="1">
      <protection hidden="1"/>
    </xf>
    <xf numFmtId="165" fontId="7" fillId="0" borderId="4" xfId="3" applyNumberFormat="1" applyFont="1" applyFill="1" applyBorder="1" applyProtection="1">
      <protection hidden="1"/>
    </xf>
    <xf numFmtId="165" fontId="7" fillId="0" borderId="4" xfId="3" applyNumberFormat="1" applyFont="1" applyBorder="1" applyProtection="1">
      <protection hidden="1"/>
    </xf>
    <xf numFmtId="165" fontId="15" fillId="0" borderId="4" xfId="3" applyNumberFormat="1" applyFont="1" applyBorder="1" applyProtection="1">
      <protection hidden="1"/>
    </xf>
    <xf numFmtId="165" fontId="15" fillId="0" borderId="0" xfId="3" applyNumberFormat="1" applyFont="1" applyBorder="1" applyProtection="1">
      <protection hidden="1"/>
    </xf>
    <xf numFmtId="165" fontId="15" fillId="0" borderId="12" xfId="3" applyNumberFormat="1" applyFont="1" applyFill="1" applyBorder="1" applyProtection="1">
      <protection hidden="1"/>
    </xf>
    <xf numFmtId="0" fontId="6" fillId="0" borderId="4" xfId="0" applyFont="1" applyBorder="1" applyProtection="1">
      <protection hidden="1"/>
    </xf>
    <xf numFmtId="0" fontId="5" fillId="0" borderId="4" xfId="0" applyFont="1" applyBorder="1" applyProtection="1">
      <protection hidden="1"/>
    </xf>
    <xf numFmtId="166" fontId="5" fillId="0" borderId="12" xfId="1" applyNumberFormat="1" applyFont="1" applyBorder="1" applyProtection="1">
      <protection hidden="1"/>
    </xf>
    <xf numFmtId="165" fontId="7" fillId="0" borderId="0" xfId="3" applyNumberFormat="1" applyFont="1" applyProtection="1">
      <protection hidden="1"/>
    </xf>
    <xf numFmtId="167" fontId="7" fillId="0" borderId="4" xfId="3" applyNumberFormat="1" applyFont="1" applyBorder="1" applyProtection="1">
      <protection hidden="1"/>
    </xf>
    <xf numFmtId="167" fontId="15" fillId="0" borderId="4" xfId="3" applyNumberFormat="1" applyFont="1" applyBorder="1" applyProtection="1">
      <protection hidden="1"/>
    </xf>
    <xf numFmtId="166" fontId="6" fillId="0" borderId="5" xfId="1" applyNumberFormat="1" applyFont="1" applyBorder="1" applyProtection="1">
      <protection hidden="1"/>
    </xf>
    <xf numFmtId="0" fontId="6" fillId="0" borderId="5" xfId="0" applyFont="1" applyBorder="1" applyProtection="1">
      <protection hidden="1"/>
    </xf>
    <xf numFmtId="0" fontId="5" fillId="0" borderId="5" xfId="0" applyFont="1" applyBorder="1" applyProtection="1">
      <protection hidden="1"/>
    </xf>
    <xf numFmtId="168" fontId="7" fillId="0" borderId="0" xfId="1" applyNumberFormat="1" applyFont="1" applyProtection="1">
      <protection hidden="1"/>
    </xf>
    <xf numFmtId="168" fontId="15" fillId="0" borderId="0" xfId="1" applyNumberFormat="1" applyFont="1" applyProtection="1">
      <protection hidden="1"/>
    </xf>
    <xf numFmtId="167" fontId="7" fillId="0" borderId="0" xfId="1" applyNumberFormat="1" applyFont="1" applyProtection="1">
      <protection hidden="1"/>
    </xf>
    <xf numFmtId="167" fontId="7" fillId="0" borderId="0" xfId="0" applyNumberFormat="1" applyFont="1" applyProtection="1">
      <protection hidden="1"/>
    </xf>
    <xf numFmtId="167" fontId="15" fillId="0" borderId="0" xfId="0" applyNumberFormat="1" applyFont="1" applyProtection="1">
      <protection hidden="1"/>
    </xf>
    <xf numFmtId="167" fontId="15" fillId="0" borderId="0" xfId="1" applyNumberFormat="1" applyFont="1" applyProtection="1">
      <protection hidden="1"/>
    </xf>
    <xf numFmtId="166" fontId="6" fillId="0" borderId="0" xfId="0" applyNumberFormat="1" applyFont="1" applyProtection="1">
      <protection hidden="1"/>
    </xf>
    <xf numFmtId="166" fontId="5" fillId="0" borderId="0" xfId="0" applyNumberFormat="1" applyFont="1" applyProtection="1">
      <protection hidden="1"/>
    </xf>
    <xf numFmtId="0" fontId="16" fillId="0" borderId="0" xfId="0" applyNumberFormat="1" applyFont="1" applyProtection="1">
      <protection hidden="1"/>
    </xf>
    <xf numFmtId="166" fontId="17" fillId="4" borderId="2" xfId="1" applyNumberFormat="1" applyFont="1" applyFill="1" applyBorder="1" applyAlignment="1" applyProtection="1">
      <alignment horizontal="center" vertical="center" wrapText="1"/>
      <protection hidden="1"/>
    </xf>
    <xf numFmtId="166" fontId="6" fillId="0" borderId="3" xfId="0" applyNumberFormat="1" applyFont="1" applyBorder="1" applyProtection="1">
      <protection hidden="1"/>
    </xf>
    <xf numFmtId="166" fontId="5" fillId="0" borderId="3" xfId="0" applyNumberFormat="1" applyFont="1" applyBorder="1" applyProtection="1">
      <protection hidden="1"/>
    </xf>
    <xf numFmtId="166" fontId="7" fillId="0" borderId="4" xfId="0" applyNumberFormat="1" applyFont="1" applyBorder="1" applyProtection="1">
      <protection hidden="1"/>
    </xf>
    <xf numFmtId="166" fontId="15" fillId="0" borderId="4" xfId="0" applyNumberFormat="1" applyFont="1" applyBorder="1" applyProtection="1">
      <protection hidden="1"/>
    </xf>
    <xf numFmtId="166" fontId="6" fillId="0" borderId="4" xfId="0" applyNumberFormat="1" applyFont="1" applyBorder="1" applyProtection="1">
      <protection hidden="1"/>
    </xf>
    <xf numFmtId="166" fontId="6" fillId="0" borderId="7" xfId="1" applyNumberFormat="1" applyFont="1" applyBorder="1" applyProtection="1">
      <protection hidden="1"/>
    </xf>
    <xf numFmtId="166" fontId="5" fillId="0" borderId="7" xfId="1" applyNumberFormat="1" applyFont="1" applyBorder="1" applyProtection="1">
      <protection hidden="1"/>
    </xf>
    <xf numFmtId="166" fontId="7" fillId="0" borderId="4" xfId="1" applyNumberFormat="1" applyFont="1" applyBorder="1" applyProtection="1">
      <protection hidden="1"/>
    </xf>
    <xf numFmtId="166" fontId="15" fillId="0" borderId="4" xfId="1" applyNumberFormat="1" applyFont="1" applyBorder="1" applyProtection="1">
      <protection hidden="1"/>
    </xf>
    <xf numFmtId="166" fontId="7" fillId="0" borderId="0" xfId="1" applyNumberFormat="1" applyFont="1" applyProtection="1">
      <protection hidden="1"/>
    </xf>
    <xf numFmtId="166" fontId="7" fillId="0" borderId="12" xfId="1" applyNumberFormat="1" applyFont="1" applyBorder="1" applyProtection="1">
      <protection hidden="1"/>
    </xf>
    <xf numFmtId="166" fontId="15" fillId="0" borderId="12" xfId="1" applyNumberFormat="1" applyFont="1" applyBorder="1" applyProtection="1">
      <protection hidden="1"/>
    </xf>
    <xf numFmtId="0" fontId="7" fillId="0" borderId="0" xfId="1" applyNumberFormat="1" applyFont="1" applyProtection="1">
      <protection hidden="1"/>
    </xf>
    <xf numFmtId="166" fontId="5" fillId="0" borderId="6" xfId="1" applyNumberFormat="1" applyFont="1" applyBorder="1" applyProtection="1">
      <protection hidden="1"/>
    </xf>
    <xf numFmtId="0" fontId="8" fillId="0" borderId="0" xfId="2" applyFont="1" applyAlignment="1" applyProtection="1">
      <alignment horizontal="right"/>
      <protection hidden="1"/>
    </xf>
    <xf numFmtId="0" fontId="6" fillId="3" borderId="2" xfId="0" applyNumberFormat="1" applyFont="1" applyFill="1" applyBorder="1" applyAlignment="1" applyProtection="1">
      <alignment vertical="center" wrapText="1"/>
      <protection hidden="1"/>
    </xf>
    <xf numFmtId="170" fontId="17" fillId="4" borderId="2" xfId="1" applyNumberFormat="1" applyFont="1" applyFill="1" applyBorder="1" applyAlignment="1" applyProtection="1">
      <alignment horizontal="center" vertical="center" wrapText="1"/>
      <protection hidden="1"/>
    </xf>
    <xf numFmtId="0" fontId="6" fillId="0" borderId="0" xfId="0" applyFont="1" applyAlignment="1" applyProtection="1">
      <alignment vertical="center" wrapText="1"/>
      <protection hidden="1"/>
    </xf>
    <xf numFmtId="166" fontId="5" fillId="0" borderId="3" xfId="1" applyNumberFormat="1" applyFont="1" applyFill="1" applyBorder="1" applyProtection="1">
      <protection hidden="1"/>
    </xf>
    <xf numFmtId="0" fontId="5" fillId="0" borderId="3" xfId="0" applyFont="1" applyBorder="1" applyProtection="1">
      <protection hidden="1"/>
    </xf>
    <xf numFmtId="166" fontId="5" fillId="0" borderId="4" xfId="1" applyNumberFormat="1" applyFont="1" applyFill="1" applyBorder="1" applyProtection="1">
      <protection hidden="1"/>
    </xf>
    <xf numFmtId="166" fontId="6" fillId="0" borderId="12" xfId="1" applyNumberFormat="1" applyFont="1" applyBorder="1" applyProtection="1">
      <protection hidden="1"/>
    </xf>
    <xf numFmtId="0" fontId="5" fillId="0" borderId="0" xfId="0" applyNumberFormat="1" applyFont="1" applyFill="1" applyBorder="1" applyProtection="1">
      <protection hidden="1"/>
    </xf>
    <xf numFmtId="166" fontId="5" fillId="0" borderId="13" xfId="1" applyNumberFormat="1" applyFont="1" applyBorder="1" applyProtection="1">
      <protection hidden="1"/>
    </xf>
    <xf numFmtId="0" fontId="18" fillId="0" borderId="0" xfId="0" applyNumberFormat="1" applyFont="1" applyProtection="1">
      <protection hidden="1"/>
    </xf>
    <xf numFmtId="166" fontId="18" fillId="0" borderId="4" xfId="1" applyNumberFormat="1" applyFont="1" applyBorder="1" applyProtection="1">
      <protection hidden="1"/>
    </xf>
    <xf numFmtId="166" fontId="9" fillId="0" borderId="4" xfId="1" applyNumberFormat="1" applyFont="1" applyBorder="1" applyProtection="1">
      <protection hidden="1"/>
    </xf>
    <xf numFmtId="0" fontId="18" fillId="0" borderId="0" xfId="0" applyFont="1" applyProtection="1">
      <protection hidden="1"/>
    </xf>
    <xf numFmtId="166" fontId="18" fillId="0" borderId="12" xfId="1" applyNumberFormat="1" applyFont="1" applyBorder="1" applyProtection="1">
      <protection hidden="1"/>
    </xf>
    <xf numFmtId="166" fontId="9" fillId="0" borderId="12" xfId="1" applyNumberFormat="1" applyFont="1" applyBorder="1" applyProtection="1">
      <protection hidden="1"/>
    </xf>
    <xf numFmtId="0" fontId="11" fillId="0" borderId="0" xfId="1" applyNumberFormat="1" applyFont="1" applyAlignment="1" applyProtection="1">
      <alignment horizontal="center"/>
      <protection hidden="1"/>
    </xf>
    <xf numFmtId="166" fontId="11" fillId="0" borderId="0" xfId="1" applyNumberFormat="1" applyFont="1" applyAlignment="1" applyProtection="1">
      <alignment horizontal="center"/>
      <protection hidden="1"/>
    </xf>
    <xf numFmtId="166" fontId="19" fillId="0" borderId="0" xfId="1" applyNumberFormat="1" applyFont="1" applyAlignment="1" applyProtection="1">
      <alignment horizontal="center"/>
      <protection hidden="1"/>
    </xf>
    <xf numFmtId="166" fontId="15" fillId="0" borderId="0" xfId="1" applyNumberFormat="1" applyFont="1" applyProtection="1">
      <protection hidden="1"/>
    </xf>
    <xf numFmtId="0" fontId="15" fillId="0" borderId="0" xfId="0" applyFont="1" applyProtection="1">
      <protection hidden="1"/>
    </xf>
    <xf numFmtId="167" fontId="7" fillId="0" borderId="0" xfId="3" applyNumberFormat="1" applyFont="1" applyProtection="1">
      <protection hidden="1"/>
    </xf>
    <xf numFmtId="167" fontId="15" fillId="0" borderId="0" xfId="3" applyNumberFormat="1" applyFont="1" applyProtection="1">
      <protection hidden="1"/>
    </xf>
    <xf numFmtId="164" fontId="7" fillId="0" borderId="0" xfId="1" applyNumberFormat="1" applyFont="1" applyProtection="1">
      <protection hidden="1"/>
    </xf>
    <xf numFmtId="164" fontId="15" fillId="0" borderId="0" xfId="1" applyNumberFormat="1" applyFont="1" applyProtection="1">
      <protection hidden="1"/>
    </xf>
    <xf numFmtId="171" fontId="7" fillId="0" borderId="0" xfId="1" applyNumberFormat="1" applyFont="1" applyProtection="1">
      <protection hidden="1"/>
    </xf>
    <xf numFmtId="171" fontId="15" fillId="0" borderId="0" xfId="1" applyNumberFormat="1" applyFont="1" applyProtection="1">
      <protection hidden="1"/>
    </xf>
    <xf numFmtId="164" fontId="7" fillId="0" borderId="0" xfId="1" applyNumberFormat="1" applyFont="1" applyAlignment="1" applyProtection="1">
      <alignment horizontal="center"/>
      <protection hidden="1"/>
    </xf>
    <xf numFmtId="164" fontId="15" fillId="0" borderId="0" xfId="1" applyNumberFormat="1" applyFont="1" applyAlignment="1" applyProtection="1">
      <alignment horizontal="center"/>
      <protection hidden="1"/>
    </xf>
    <xf numFmtId="3" fontId="7" fillId="0" borderId="0" xfId="1" applyNumberFormat="1" applyFont="1" applyAlignment="1" applyProtection="1">
      <alignment horizontal="center"/>
      <protection hidden="1"/>
    </xf>
    <xf numFmtId="3" fontId="15" fillId="0" borderId="0" xfId="1" applyNumberFormat="1" applyFont="1" applyAlignment="1" applyProtection="1">
      <alignment horizontal="center"/>
      <protection hidden="1"/>
    </xf>
    <xf numFmtId="0" fontId="7" fillId="0" borderId="0" xfId="3" applyNumberFormat="1" applyFont="1" applyProtection="1">
      <protection hidden="1"/>
    </xf>
    <xf numFmtId="165" fontId="15" fillId="0" borderId="0" xfId="3" applyNumberFormat="1" applyFont="1" applyProtection="1">
      <protection hidden="1"/>
    </xf>
    <xf numFmtId="165" fontId="7" fillId="0" borderId="0" xfId="3" applyNumberFormat="1" applyFont="1" applyAlignment="1" applyProtection="1">
      <alignment horizontal="center"/>
      <protection hidden="1"/>
    </xf>
    <xf numFmtId="0" fontId="7" fillId="0" borderId="0" xfId="1" applyNumberFormat="1" applyFont="1" applyAlignment="1" applyProtection="1">
      <alignment horizontal="left"/>
      <protection hidden="1"/>
    </xf>
    <xf numFmtId="166" fontId="15" fillId="0" borderId="0" xfId="1" applyNumberFormat="1" applyFont="1" applyAlignment="1" applyProtection="1">
      <alignment horizontal="center"/>
      <protection hidden="1"/>
    </xf>
    <xf numFmtId="166" fontId="7" fillId="0" borderId="0" xfId="1" applyNumberFormat="1" applyFont="1" applyAlignment="1" applyProtection="1">
      <alignment horizontal="right"/>
      <protection hidden="1"/>
    </xf>
    <xf numFmtId="169" fontId="18" fillId="0" borderId="0" xfId="0" applyNumberFormat="1" applyFont="1" applyProtection="1">
      <protection hidden="1"/>
    </xf>
    <xf numFmtId="10" fontId="6" fillId="3" borderId="2" xfId="3" applyNumberFormat="1" applyFont="1" applyFill="1" applyBorder="1" applyProtection="1">
      <protection hidden="1"/>
    </xf>
    <xf numFmtId="165" fontId="6" fillId="0" borderId="0" xfId="3" applyNumberFormat="1" applyFont="1" applyFill="1" applyBorder="1" applyProtection="1">
      <protection hidden="1"/>
    </xf>
    <xf numFmtId="169" fontId="18" fillId="0" borderId="0" xfId="0" applyNumberFormat="1" applyFont="1" applyFill="1" applyBorder="1" applyProtection="1">
      <protection hidden="1"/>
    </xf>
    <xf numFmtId="168" fontId="6" fillId="3" borderId="2" xfId="1" applyNumberFormat="1" applyFont="1" applyFill="1" applyBorder="1" applyProtection="1">
      <protection hidden="1"/>
    </xf>
    <xf numFmtId="168" fontId="6" fillId="0" borderId="0" xfId="1" applyNumberFormat="1" applyFont="1" applyFill="1" applyBorder="1" applyProtection="1">
      <protection hidden="1"/>
    </xf>
    <xf numFmtId="168" fontId="6" fillId="3" borderId="2" xfId="1" applyNumberFormat="1" applyFont="1" applyFill="1" applyBorder="1" applyAlignment="1" applyProtection="1">
      <alignment horizontal="right"/>
      <protection hidden="1"/>
    </xf>
    <xf numFmtId="168" fontId="6" fillId="0" borderId="0" xfId="1" applyNumberFormat="1" applyFont="1" applyFill="1" applyBorder="1" applyAlignment="1" applyProtection="1">
      <alignment horizontal="right"/>
      <protection hidden="1"/>
    </xf>
    <xf numFmtId="169" fontId="9" fillId="3" borderId="2" xfId="0" applyNumberFormat="1" applyFont="1" applyFill="1" applyBorder="1" applyAlignment="1" applyProtection="1">
      <alignment vertical="center" wrapText="1"/>
      <protection hidden="1"/>
    </xf>
    <xf numFmtId="166" fontId="5" fillId="3" borderId="2" xfId="1" applyNumberFormat="1" applyFont="1" applyFill="1" applyBorder="1" applyAlignment="1" applyProtection="1">
      <alignment horizontal="center" vertical="center" wrapText="1"/>
      <protection hidden="1"/>
    </xf>
    <xf numFmtId="169" fontId="18" fillId="0" borderId="0" xfId="0" applyNumberFormat="1" applyFont="1" applyAlignment="1" applyProtection="1">
      <alignment horizontal="left"/>
      <protection hidden="1"/>
    </xf>
    <xf numFmtId="166" fontId="18" fillId="0" borderId="0" xfId="1" applyNumberFormat="1" applyFont="1" applyProtection="1">
      <protection hidden="1"/>
    </xf>
    <xf numFmtId="166" fontId="18" fillId="0" borderId="0" xfId="1" applyNumberFormat="1" applyFont="1" applyAlignment="1" applyProtection="1">
      <alignment horizontal="right"/>
      <protection hidden="1"/>
    </xf>
    <xf numFmtId="166" fontId="6" fillId="0" borderId="0" xfId="1" applyNumberFormat="1" applyFont="1" applyFill="1" applyBorder="1" applyAlignment="1" applyProtection="1">
      <alignment horizontal="right"/>
      <protection hidden="1"/>
    </xf>
    <xf numFmtId="43" fontId="18" fillId="0" borderId="0" xfId="1" applyFont="1" applyProtection="1">
      <protection hidden="1"/>
    </xf>
    <xf numFmtId="0" fontId="20" fillId="0" borderId="0" xfId="0" applyFont="1" applyProtection="1">
      <protection hidden="1"/>
    </xf>
    <xf numFmtId="0" fontId="10" fillId="0" borderId="0" xfId="0" applyNumberFormat="1" applyFont="1" applyProtection="1">
      <protection hidden="1"/>
    </xf>
    <xf numFmtId="0" fontId="21" fillId="0" borderId="0" xfId="0" applyNumberFormat="1" applyFont="1" applyProtection="1">
      <protection hidden="1"/>
    </xf>
    <xf numFmtId="0" fontId="22" fillId="0" borderId="0" xfId="0" applyNumberFormat="1" applyFont="1" applyProtection="1">
      <protection hidden="1"/>
    </xf>
    <xf numFmtId="0" fontId="23" fillId="0" borderId="0" xfId="0" applyNumberFormat="1" applyFont="1" applyProtection="1">
      <protection hidden="1"/>
    </xf>
    <xf numFmtId="0" fontId="24" fillId="0" borderId="0" xfId="0" applyNumberFormat="1" applyFont="1" applyProtection="1">
      <protection hidden="1"/>
    </xf>
    <xf numFmtId="0" fontId="25" fillId="0" borderId="0" xfId="0" applyFont="1" applyProtection="1">
      <protection hidden="1"/>
    </xf>
    <xf numFmtId="0" fontId="21" fillId="0" borderId="0" xfId="0" applyNumberFormat="1" applyFont="1" applyAlignment="1" applyProtection="1">
      <alignment vertical="center" wrapText="1"/>
      <protection hidden="1"/>
    </xf>
    <xf numFmtId="0" fontId="21" fillId="2" borderId="1" xfId="1" applyNumberFormat="1" applyFont="1" applyFill="1" applyBorder="1" applyProtection="1">
      <protection hidden="1"/>
    </xf>
    <xf numFmtId="0" fontId="21" fillId="0" borderId="0" xfId="1" applyNumberFormat="1" applyFont="1" applyProtection="1">
      <protection hidden="1"/>
    </xf>
    <xf numFmtId="0" fontId="22" fillId="0" borderId="0" xfId="1" applyNumberFormat="1" applyFont="1" applyProtection="1">
      <protection hidden="1"/>
    </xf>
    <xf numFmtId="0" fontId="24" fillId="0" borderId="0" xfId="3" applyNumberFormat="1" applyFont="1" applyProtection="1">
      <protection hidden="1"/>
    </xf>
    <xf numFmtId="0" fontId="21" fillId="0" borderId="0" xfId="0" applyNumberFormat="1" applyFont="1" applyAlignment="1" applyProtection="1">
      <alignment horizontal="left"/>
      <protection hidden="1"/>
    </xf>
    <xf numFmtId="0" fontId="21" fillId="0" borderId="0" xfId="0" applyNumberFormat="1" applyFont="1" applyAlignment="1" applyProtection="1">
      <alignment horizontal="left" vertical="center" wrapText="1"/>
      <protection hidden="1"/>
    </xf>
    <xf numFmtId="0" fontId="21" fillId="0" borderId="0" xfId="1" applyNumberFormat="1" applyFont="1" applyAlignment="1" applyProtection="1">
      <alignment horizontal="left"/>
      <protection hidden="1"/>
    </xf>
    <xf numFmtId="0" fontId="24" fillId="0" borderId="0" xfId="0" applyNumberFormat="1" applyFont="1" applyAlignment="1" applyProtection="1">
      <alignment horizontal="left"/>
      <protection hidden="1"/>
    </xf>
    <xf numFmtId="0" fontId="21" fillId="2" borderId="1" xfId="1" applyNumberFormat="1" applyFont="1" applyFill="1" applyBorder="1" applyAlignment="1" applyProtection="1">
      <alignment horizontal="left"/>
      <protection hidden="1"/>
    </xf>
    <xf numFmtId="0" fontId="23" fillId="2" borderId="1" xfId="1" applyNumberFormat="1" applyFont="1" applyFill="1" applyBorder="1" applyAlignment="1" applyProtection="1">
      <alignment horizontal="left"/>
      <protection hidden="1"/>
    </xf>
    <xf numFmtId="0" fontId="24" fillId="0" borderId="0" xfId="1" applyNumberFormat="1" applyFont="1" applyAlignment="1" applyProtection="1">
      <alignment horizontal="left"/>
      <protection hidden="1"/>
    </xf>
    <xf numFmtId="0" fontId="25" fillId="0" borderId="0" xfId="0" applyNumberFormat="1" applyFont="1" applyProtection="1">
      <protection hidden="1"/>
    </xf>
    <xf numFmtId="0" fontId="26" fillId="0" borderId="0" xfId="0" applyNumberFormat="1" applyFont="1" applyProtection="1">
      <protection hidden="1"/>
    </xf>
    <xf numFmtId="0" fontId="27" fillId="0" borderId="0" xfId="0" applyNumberFormat="1" applyFont="1" applyProtection="1">
      <protection hidden="1"/>
    </xf>
    <xf numFmtId="0" fontId="23" fillId="0" borderId="0" xfId="1" applyNumberFormat="1" applyFont="1" applyAlignment="1" applyProtection="1">
      <alignment horizontal="center"/>
      <protection hidden="1"/>
    </xf>
    <xf numFmtId="0" fontId="28" fillId="0" borderId="0" xfId="0" applyNumberFormat="1" applyFont="1" applyAlignment="1" applyProtection="1">
      <alignment horizontal="left"/>
      <protection hidden="1"/>
    </xf>
    <xf numFmtId="0" fontId="28" fillId="0" borderId="0" xfId="3" applyNumberFormat="1" applyFont="1" applyAlignment="1" applyProtection="1">
      <alignment horizontal="left"/>
      <protection hidden="1"/>
    </xf>
    <xf numFmtId="0" fontId="28" fillId="0" borderId="0" xfId="1" applyNumberFormat="1" applyFont="1" applyAlignment="1" applyProtection="1">
      <alignment horizontal="center"/>
      <protection hidden="1"/>
    </xf>
    <xf numFmtId="0" fontId="1" fillId="0" borderId="0" xfId="0" applyFont="1" applyAlignment="1" applyProtection="1">
      <alignment horizontal="justify"/>
      <protection hidden="1"/>
    </xf>
    <xf numFmtId="0" fontId="30" fillId="0" borderId="0" xfId="0" applyFont="1" applyAlignment="1" applyProtection="1">
      <alignment horizontal="left" wrapText="1"/>
      <protection hidden="1"/>
    </xf>
    <xf numFmtId="0" fontId="32" fillId="0" borderId="0" xfId="2" applyFont="1" applyAlignment="1" applyProtection="1">
      <alignment horizontal="right" wrapText="1"/>
      <protection hidden="1"/>
    </xf>
    <xf numFmtId="0" fontId="1" fillId="0" borderId="0" xfId="0" applyNumberFormat="1" applyFont="1" applyAlignment="1" applyProtection="1">
      <alignment horizontal="justify" wrapText="1"/>
      <protection hidden="1"/>
    </xf>
    <xf numFmtId="0" fontId="30" fillId="0" borderId="0" xfId="0" applyNumberFormat="1" applyFont="1" applyAlignment="1" applyProtection="1">
      <alignment horizontal="justify" wrapText="1"/>
      <protection hidden="1"/>
    </xf>
    <xf numFmtId="0" fontId="1" fillId="0" borderId="0" xfId="0" applyFont="1" applyAlignment="1" applyProtection="1">
      <alignment horizontal="justify" wrapText="1"/>
      <protection hidden="1"/>
    </xf>
    <xf numFmtId="0" fontId="29" fillId="0" borderId="0" xfId="0" applyFont="1" applyAlignment="1" applyProtection="1">
      <alignment horizontal="justify" wrapText="1"/>
      <protection hidden="1"/>
    </xf>
    <xf numFmtId="0" fontId="30" fillId="0" borderId="0" xfId="0" applyFont="1" applyAlignment="1" applyProtection="1">
      <alignment horizontal="justify" wrapText="1"/>
      <protection hidden="1"/>
    </xf>
    <xf numFmtId="0" fontId="30" fillId="0" borderId="0" xfId="0" applyFont="1" applyAlignment="1" applyProtection="1">
      <alignment horizontal="justify"/>
      <protection hidden="1"/>
    </xf>
    <xf numFmtId="0" fontId="33" fillId="0" borderId="0" xfId="0" applyFont="1" applyAlignment="1" applyProtection="1">
      <alignment horizontal="justify" wrapText="1"/>
      <protection hidden="1"/>
    </xf>
    <xf numFmtId="0" fontId="1" fillId="0" borderId="0" xfId="0" applyFont="1" applyAlignment="1" applyProtection="1">
      <alignment wrapText="1"/>
      <protection hidden="1"/>
    </xf>
    <xf numFmtId="0" fontId="34" fillId="0" borderId="0" xfId="0" applyFont="1" applyAlignment="1" applyProtection="1">
      <alignment horizontal="left" wrapText="1"/>
      <protection hidden="1"/>
    </xf>
    <xf numFmtId="0" fontId="31" fillId="0" borderId="0" xfId="2" applyFont="1" applyAlignment="1" applyProtection="1">
      <alignment horizontal="left" vertical="center" wrapText="1"/>
    </xf>
    <xf numFmtId="0" fontId="6" fillId="5" borderId="9" xfId="1" applyNumberFormat="1" applyFont="1" applyFill="1" applyBorder="1" applyAlignment="1" applyProtection="1">
      <alignment horizontal="left"/>
      <protection hidden="1"/>
    </xf>
    <xf numFmtId="0" fontId="6" fillId="5" borderId="10" xfId="1" applyNumberFormat="1" applyFont="1" applyFill="1" applyBorder="1" applyAlignment="1" applyProtection="1">
      <alignment horizontal="left"/>
      <protection hidden="1"/>
    </xf>
    <xf numFmtId="0" fontId="6" fillId="5" borderId="11" xfId="1" applyNumberFormat="1"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2">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theme="0"/>
      </font>
      <fill>
        <patternFill>
          <bgColor rgb="FFFF66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cash-flow-projection-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19DD150B-FCF4-420D-B3F3-38D120BC1DA4}"/>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6A6DA8B9-7F82-4A46-AAB5-C5599877B017}"/>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A5D680B2-2753-4022-83C7-2ADC6CD7913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2E54AFA-8D00-4C80-A2B2-9D1189F4B5BC}"/>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FA2BF0C3-1325-4EED-9394-3608C9583A36}"/>
            </a:ext>
          </a:extLst>
        </xdr:cNvPr>
        <xdr:cNvGrpSpPr/>
      </xdr:nvGrpSpPr>
      <xdr:grpSpPr>
        <a:xfrm>
          <a:off x="22860" y="22860"/>
          <a:ext cx="9038640" cy="4391700"/>
          <a:chOff x="17134" y="17145"/>
          <a:chExt cx="9252000" cy="3671610"/>
        </a:xfrm>
      </xdr:grpSpPr>
      <xdr:sp macro="" textlink="" fLocksText="0">
        <xdr:nvSpPr>
          <xdr:cNvPr id="5" name="Rectangle 1">
            <a:extLst>
              <a:ext uri="{FF2B5EF4-FFF2-40B4-BE49-F238E27FC236}">
                <a16:creationId xmlns:a16="http://schemas.microsoft.com/office/drawing/2014/main" id="{362E1E27-00AB-45D3-BFBB-0ACC78EC690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CASH FLOW PROJECTION - MONTHLY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monthly cash flow projections for any user defined three year period. The template includes a monthly income statement, cash flow statement and balance sheet. The cash flow projections are based on monthly turnover, gross profit and expense values that are entered by the user as well as a number of default assumptions which are used to create an automated balance sheet. These assumptions include opening balance sheet balances, working capital ratios, payroll accruals, sales tax, income tax, dividends and loans.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667120D1-6AA4-48FF-A0D7-836C1FE2745A}"/>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CAD5FF6-6DC2-48A3-89B3-FB2BFD389D6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B714175-F2FA-411F-B93A-34FDF8A49E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373380</xdr:colOff>
      <xdr:row>4</xdr:row>
      <xdr:rowOff>279060</xdr:rowOff>
    </xdr:from>
    <xdr:ext cx="2689860" cy="1114490"/>
    <xdr:sp macro="" textlink="">
      <xdr:nvSpPr>
        <xdr:cNvPr id="10" name="Rectangle 17">
          <a:extLst>
            <a:ext uri="{FF2B5EF4-FFF2-40B4-BE49-F238E27FC236}">
              <a16:creationId xmlns:a16="http://schemas.microsoft.com/office/drawing/2014/main" id="{85CB6DFA-F5B5-44FB-994A-B3CDCCE7EFA7}"/>
            </a:ext>
          </a:extLst>
        </xdr:cNvPr>
        <xdr:cNvSpPr>
          <a:spLocks noChangeArrowheads="1"/>
        </xdr:cNvSpPr>
      </xdr:nvSpPr>
      <xdr:spPr bwMode="auto">
        <a:xfrm>
          <a:off x="7901940" y="1025820"/>
          <a:ext cx="26898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4</xdr:col>
      <xdr:colOff>794086</xdr:colOff>
      <xdr:row>4</xdr:row>
      <xdr:rowOff>112516</xdr:rowOff>
    </xdr:from>
    <xdr:ext cx="5678904" cy="1885342"/>
    <xdr:sp macro="" textlink="">
      <xdr:nvSpPr>
        <xdr:cNvPr id="3" name="Rectangle 17">
          <a:extLst>
            <a:ext uri="{FF2B5EF4-FFF2-40B4-BE49-F238E27FC236}">
              <a16:creationId xmlns:a16="http://schemas.microsoft.com/office/drawing/2014/main" id="{B7248E74-C63B-4E9E-B8D9-D1E330C3EF3B}"/>
            </a:ext>
          </a:extLst>
        </xdr:cNvPr>
        <xdr:cNvSpPr>
          <a:spLocks noChangeArrowheads="1"/>
        </xdr:cNvSpPr>
      </xdr:nvSpPr>
      <xdr:spPr bwMode="auto">
        <a:xfrm>
          <a:off x="5775160" y="914621"/>
          <a:ext cx="567890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values on this sheet are used to automate some of the monthly cash flow projection calculations. The reporting periods included on the monthly income statement, cash flow statement and balance sheet are determined based on the start date specified at the top of this sheet. Other assumptions on this sheet include inventory, trade receivables, trade payables, payroll accruals, sales tax, income tax, loan terms, balance sheet opening balances and dividends.</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40106</xdr:colOff>
      <xdr:row>10</xdr:row>
      <xdr:rowOff>40396</xdr:rowOff>
    </xdr:from>
    <xdr:ext cx="6360694" cy="1885342"/>
    <xdr:sp macro="" textlink="">
      <xdr:nvSpPr>
        <xdr:cNvPr id="3" name="Rectangle 17">
          <a:extLst>
            <a:ext uri="{FF2B5EF4-FFF2-40B4-BE49-F238E27FC236}">
              <a16:creationId xmlns:a16="http://schemas.microsoft.com/office/drawing/2014/main" id="{A0A11BB5-9555-4E02-BCCB-F666650BBBC7}"/>
            </a:ext>
          </a:extLst>
        </xdr:cNvPr>
        <xdr:cNvSpPr>
          <a:spLocks noChangeArrowheads="1"/>
        </xdr:cNvSpPr>
      </xdr:nvSpPr>
      <xdr:spPr bwMode="auto">
        <a:xfrm>
          <a:off x="4010527" y="2005554"/>
          <a:ext cx="6360694"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income statement for a 36 month period. All the rows with yellow highlighting in column A require user input and all other rows are calculated automatically. Additional turnover &amp; expense rows can be added if required and the template is suitable for both service &amp; trade based businesses. The codes in column A apply to automated balance sheet calculations for sales tax, trade receivables and trade payables. The monthly reporting periods are determined based on the start date specified at the top of the “Assumptions”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3</xdr:col>
      <xdr:colOff>248653</xdr:colOff>
      <xdr:row>8</xdr:row>
      <xdr:rowOff>136502</xdr:rowOff>
    </xdr:from>
    <xdr:ext cx="5013158" cy="1500622"/>
    <xdr:sp macro="" textlink="">
      <xdr:nvSpPr>
        <xdr:cNvPr id="3" name="Rectangle 17">
          <a:extLst>
            <a:ext uri="{FF2B5EF4-FFF2-40B4-BE49-F238E27FC236}">
              <a16:creationId xmlns:a16="http://schemas.microsoft.com/office/drawing/2014/main" id="{AAA86B57-2A3E-4CF0-A14B-668FCFD29FDB}"/>
            </a:ext>
          </a:extLst>
        </xdr:cNvPr>
        <xdr:cNvSpPr>
          <a:spLocks noChangeArrowheads="1"/>
        </xdr:cNvSpPr>
      </xdr:nvSpPr>
      <xdr:spPr bwMode="auto">
        <a:xfrm>
          <a:off x="4572000" y="1772797"/>
          <a:ext cx="5013158"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monthly cash flow statement for a 36 month period. All the rows with yellow highlighting in column A require user input and all other rows are calculated automatically. The monthly reporting periods are determined based on the start date specified at the top of the “Assumptions”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3</xdr:col>
      <xdr:colOff>32084</xdr:colOff>
      <xdr:row>12</xdr:row>
      <xdr:rowOff>32230</xdr:rowOff>
    </xdr:from>
    <xdr:ext cx="6240380" cy="1500622"/>
    <xdr:sp macro="" textlink="">
      <xdr:nvSpPr>
        <xdr:cNvPr id="3" name="Rectangle 17">
          <a:extLst>
            <a:ext uri="{FF2B5EF4-FFF2-40B4-BE49-F238E27FC236}">
              <a16:creationId xmlns:a16="http://schemas.microsoft.com/office/drawing/2014/main" id="{0DFC8E6F-25E2-48BC-9C3D-DDA1FE1C77FD}"/>
            </a:ext>
          </a:extLst>
        </xdr:cNvPr>
        <xdr:cNvSpPr>
          <a:spLocks noChangeArrowheads="1"/>
        </xdr:cNvSpPr>
      </xdr:nvSpPr>
      <xdr:spPr bwMode="auto">
        <a:xfrm>
          <a:off x="3737810" y="2470630"/>
          <a:ext cx="624038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monthly balance sheet for a 36 month period. All the calculations on this sheet are automated and no user input is required. The entire balance sheet is calculated based on the values on the monthly income statement and cash flow statement. The monthly reporting periods are determined based on the start date specified at the top of the “Assumptions”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0</xdr:col>
      <xdr:colOff>802104</xdr:colOff>
      <xdr:row>10</xdr:row>
      <xdr:rowOff>80500</xdr:rowOff>
    </xdr:from>
    <xdr:ext cx="6577265" cy="1885342"/>
    <xdr:sp macro="" textlink="">
      <xdr:nvSpPr>
        <xdr:cNvPr id="3" name="Rectangle 17">
          <a:extLst>
            <a:ext uri="{FF2B5EF4-FFF2-40B4-BE49-F238E27FC236}">
              <a16:creationId xmlns:a16="http://schemas.microsoft.com/office/drawing/2014/main" id="{36030E9B-4FD8-418C-AEC8-DE2AA57FF514}"/>
            </a:ext>
          </a:extLst>
        </xdr:cNvPr>
        <xdr:cNvSpPr>
          <a:spLocks noChangeArrowheads="1"/>
        </xdr:cNvSpPr>
      </xdr:nvSpPr>
      <xdr:spPr bwMode="auto">
        <a:xfrm>
          <a:off x="802104" y="2206079"/>
          <a:ext cx="657726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is the first of four amortization tables calculated based on the balance sheet opening balances and loan terms specified in the template assumptions as well as the additional loan amounts entered on the monthly cash flow statement. The interest charges and capital repayment amounts of each amortization table are automatically included on the monthly income statement and cash flow statement. No user input is required on these sheets. The template therefore accommodates automated loan calculations based on four different sets of loan repayment terms.</a:t>
          </a:r>
        </a:p>
      </xdr:txBody>
    </xdr:sp>
    <xdr:clientData fLocksWithSheet="0" fPrintsWithSheet="0"/>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26" customWidth="1"/>
    <col min="2" max="7" width="13.7109375" style="11" customWidth="1"/>
    <col min="8" max="20" width="15.7109375" style="5" customWidth="1"/>
    <col min="21" max="16384" width="9.140625" style="5"/>
  </cols>
  <sheetData>
    <row r="1" spans="1:9" ht="16.149999999999999" customHeight="1" x14ac:dyDescent="0.25">
      <c r="A1" s="142" t="str">
        <f>IF(ISBLANK(Assumptions!$C$4),"Example Limited",Assumptions!$C$4)</f>
        <v>Example (Pty) Limited</v>
      </c>
      <c r="B1" s="3"/>
      <c r="C1" s="3"/>
      <c r="G1" s="89"/>
    </row>
    <row r="2" spans="1:9" ht="16.149999999999999" customHeight="1" x14ac:dyDescent="0.25">
      <c r="A2" s="6" t="s">
        <v>153</v>
      </c>
    </row>
    <row r="3" spans="1:9" ht="16.149999999999999" customHeight="1" x14ac:dyDescent="0.25">
      <c r="A3" s="6"/>
    </row>
    <row r="4" spans="1:9" ht="16.149999999999999" customHeight="1" x14ac:dyDescent="0.25">
      <c r="A4" s="126" t="s">
        <v>33</v>
      </c>
      <c r="B4" s="127">
        <f>Assumptions!$E$67</f>
        <v>0.125</v>
      </c>
      <c r="C4" s="128"/>
    </row>
    <row r="5" spans="1:9" ht="16.149999999999999" customHeight="1" x14ac:dyDescent="0.25">
      <c r="A5" s="129" t="s">
        <v>38</v>
      </c>
      <c r="B5" s="130">
        <f>Assumptions!$E$68</f>
        <v>5</v>
      </c>
      <c r="C5" s="131"/>
    </row>
    <row r="6" spans="1:9" ht="16.149999999999999" customHeight="1" x14ac:dyDescent="0.25">
      <c r="A6" s="129" t="s">
        <v>39</v>
      </c>
      <c r="B6" s="132" t="str">
        <f>Assumptions!$E$69</f>
        <v>No</v>
      </c>
      <c r="C6" s="133"/>
    </row>
    <row r="7" spans="1:9" ht="16.149999999999999" customHeight="1" x14ac:dyDescent="0.25">
      <c r="A7" s="73" t="s">
        <v>59</v>
      </c>
    </row>
    <row r="8" spans="1:9" s="92" customFormat="1" ht="25.5" x14ac:dyDescent="0.25">
      <c r="A8" s="134" t="s">
        <v>47</v>
      </c>
      <c r="B8" s="135" t="s">
        <v>43</v>
      </c>
      <c r="C8" s="135" t="s">
        <v>290</v>
      </c>
      <c r="D8" s="135" t="s">
        <v>42</v>
      </c>
      <c r="E8" s="135" t="s">
        <v>397</v>
      </c>
      <c r="F8" s="135" t="s">
        <v>58</v>
      </c>
      <c r="G8" s="135" t="s">
        <v>44</v>
      </c>
    </row>
    <row r="9" spans="1:9" s="102" customFormat="1" ht="16.149999999999999" customHeight="1" x14ac:dyDescent="0.25">
      <c r="A9" s="136">
        <f ca="1">IF(ISBLANK(Assumptions!$C$5)=TRUE,DATE(YEAR(TODAY()),MONTH(TODAY()),0),DATE(YEAR(Assumptions!$C$5),MONTH(Assumptions!$C$5),0))</f>
        <v>44255</v>
      </c>
      <c r="B9" s="137">
        <v>0</v>
      </c>
      <c r="C9" s="137">
        <f ca="1">-SUMIF(Assumptions!$A$71:$C$95,"LT3",Assumptions!$C$71:$C$95)</f>
        <v>0</v>
      </c>
      <c r="D9" s="137">
        <v>0</v>
      </c>
      <c r="E9" s="137">
        <v>0</v>
      </c>
      <c r="F9" s="138">
        <f>IF($B$6="Yes",0,D9-E9)</f>
        <v>0</v>
      </c>
      <c r="G9" s="139">
        <f ca="1">IF(ROUND(SUM(B9:C9,-F9),0)=0,0,IF($B$6="Yes",SUM($C$9:C9),SUM(B9:C9,-F9)))</f>
        <v>0</v>
      </c>
      <c r="I9" s="140"/>
    </row>
    <row r="10" spans="1:9" s="102" customFormat="1" ht="16.149999999999999" customHeight="1" x14ac:dyDescent="0.25">
      <c r="A10" s="136">
        <f ca="1">DATE(YEAR(A9),MONTH(A9)+2,0)</f>
        <v>44286</v>
      </c>
      <c r="B10" s="137">
        <f ca="1">G9</f>
        <v>0</v>
      </c>
      <c r="C10" s="137">
        <f ca="1">IF(ISNA(MATCH($A10,CashFlow!$C$4:$AO$4,0))=TRUE,0,OFFSET(CashFlow!$B$37,0,MATCH($A10,CashFlow!$C$4:$AO$4,0),1,1))</f>
        <v>0</v>
      </c>
      <c r="D10" s="138">
        <f ca="1">IF($B$6="Yes",0,IF(ROW(C10)-ROW($C$9)&gt;$B$5*12,-PMT($B$4/12,$B$5*12,SUM(OFFSET(C10,0,0,-$B$5*12,1)),0,0),-PMT($B$4/12,$B$5*12,SUM(OFFSET(C10,0,0,ROW($C$8)-ROW(C10),1)),0,0)))</f>
        <v>0</v>
      </c>
      <c r="E10" s="138">
        <f ca="1">(G9+C10)*$B$4/12</f>
        <v>0</v>
      </c>
      <c r="F10" s="138">
        <f t="shared" ref="F10:F73" ca="1" si="0">IF($B$6="Yes",0,D10-E10)</f>
        <v>0</v>
      </c>
      <c r="G10" s="139">
        <f ca="1">IF(ROUND(SUM(B10:C10,-F10),0)=0,0,IF($B$6="Yes",SUM($C$9:C10),SUM(B10:C10,-F10)))</f>
        <v>0</v>
      </c>
      <c r="I10" s="140"/>
    </row>
    <row r="11" spans="1:9" s="102" customFormat="1" ht="16.149999999999999" customHeight="1" x14ac:dyDescent="0.25">
      <c r="A11" s="136">
        <f t="shared" ref="A11:A74" ca="1" si="1">DATE(YEAR(A10),MONTH(A10)+2,0)</f>
        <v>44316</v>
      </c>
      <c r="B11" s="137">
        <f t="shared" ref="B11:B74" ca="1" si="2">G10</f>
        <v>0</v>
      </c>
      <c r="C11" s="137">
        <f ca="1">IF(ISNA(MATCH($A11,CashFlow!$C$4:$AO$4,0))=TRUE,0,OFFSET(CashFlow!$B$37,0,MATCH($A11,CashFlow!$C$4:$AO$4,0),1,1))</f>
        <v>0</v>
      </c>
      <c r="D11" s="138">
        <f t="shared" ref="D11:D74" ca="1" si="3">IF($B$6="Yes",0,IF(ROW(C11)-ROW($C$9)&gt;$B$5*12,-PMT($B$4/12,$B$5*12,SUM(OFFSET(C11,0,0,-$B$5*12,1)),0,0),-PMT($B$4/12,$B$5*12,SUM(OFFSET(C11,0,0,ROW($C$8)-ROW(C11),1)),0,0)))</f>
        <v>0</v>
      </c>
      <c r="E11" s="138">
        <f t="shared" ref="E11:E74" ca="1" si="4">(G10+C11)*$B$4/12</f>
        <v>0</v>
      </c>
      <c r="F11" s="138">
        <f t="shared" ca="1" si="0"/>
        <v>0</v>
      </c>
      <c r="G11" s="139">
        <f ca="1">IF(ROUND(SUM(B11:C11,-F11),0)=0,0,IF($B$6="Yes",SUM($C$9:C11),SUM(B11:C11,-F11)))</f>
        <v>0</v>
      </c>
    </row>
    <row r="12" spans="1:9" s="102" customFormat="1" ht="16.149999999999999" customHeight="1" x14ac:dyDescent="0.25">
      <c r="A12" s="136">
        <f t="shared" ca="1" si="1"/>
        <v>44347</v>
      </c>
      <c r="B12" s="137">
        <f t="shared" ca="1" si="2"/>
        <v>0</v>
      </c>
      <c r="C12" s="137">
        <f ca="1">IF(ISNA(MATCH($A12,CashFlow!$C$4:$AO$4,0))=TRUE,0,OFFSET(CashFlow!$B$37,0,MATCH($A12,CashFlow!$C$4:$AO$4,0),1,1))</f>
        <v>0</v>
      </c>
      <c r="D12" s="138">
        <f t="shared" ca="1" si="3"/>
        <v>0</v>
      </c>
      <c r="E12" s="138">
        <f t="shared" ca="1" si="4"/>
        <v>0</v>
      </c>
      <c r="F12" s="138">
        <f t="shared" ca="1" si="0"/>
        <v>0</v>
      </c>
      <c r="G12" s="139">
        <f ca="1">IF(ROUND(SUM(B12:C12,-F12),0)=0,0,IF($B$6="Yes",SUM($C$9:C12),SUM(B12:C12,-F12)))</f>
        <v>0</v>
      </c>
    </row>
    <row r="13" spans="1:9" s="102" customFormat="1" ht="16.149999999999999" customHeight="1" x14ac:dyDescent="0.25">
      <c r="A13" s="136">
        <f t="shared" ca="1" si="1"/>
        <v>44377</v>
      </c>
      <c r="B13" s="137">
        <f t="shared" ca="1" si="2"/>
        <v>0</v>
      </c>
      <c r="C13" s="137">
        <f ca="1">IF(ISNA(MATCH($A13,CashFlow!$C$4:$AO$4,0))=TRUE,0,OFFSET(CashFlow!$B$37,0,MATCH($A13,CashFlow!$C$4:$AO$4,0),1,1))</f>
        <v>0</v>
      </c>
      <c r="D13" s="138">
        <f t="shared" ca="1" si="3"/>
        <v>0</v>
      </c>
      <c r="E13" s="138">
        <f t="shared" ca="1" si="4"/>
        <v>0</v>
      </c>
      <c r="F13" s="138">
        <f t="shared" ca="1" si="0"/>
        <v>0</v>
      </c>
      <c r="G13" s="139">
        <f ca="1">IF(ROUND(SUM(B13:C13,-F13),0)=0,0,IF($B$6="Yes",SUM($C$9:C13),SUM(B13:C13,-F13)))</f>
        <v>0</v>
      </c>
    </row>
    <row r="14" spans="1:9" s="102" customFormat="1" ht="16.149999999999999" customHeight="1" x14ac:dyDescent="0.25">
      <c r="A14" s="136">
        <f t="shared" ca="1" si="1"/>
        <v>44408</v>
      </c>
      <c r="B14" s="137">
        <f t="shared" ca="1" si="2"/>
        <v>0</v>
      </c>
      <c r="C14" s="137">
        <f ca="1">IF(ISNA(MATCH($A14,CashFlow!$C$4:$AO$4,0))=TRUE,0,OFFSET(CashFlow!$B$37,0,MATCH($A14,CashFlow!$C$4:$AO$4,0),1,1))</f>
        <v>0</v>
      </c>
      <c r="D14" s="138">
        <f t="shared" ca="1" si="3"/>
        <v>0</v>
      </c>
      <c r="E14" s="138">
        <f t="shared" ca="1" si="4"/>
        <v>0</v>
      </c>
      <c r="F14" s="138">
        <f t="shared" ca="1" si="0"/>
        <v>0</v>
      </c>
      <c r="G14" s="139">
        <f ca="1">IF(ROUND(SUM(B14:C14,-F14),0)=0,0,IF($B$6="Yes",SUM($C$9:C14),SUM(B14:C14,-F14)))</f>
        <v>0</v>
      </c>
    </row>
    <row r="15" spans="1:9" s="102" customFormat="1" ht="16.149999999999999" customHeight="1" x14ac:dyDescent="0.25">
      <c r="A15" s="136">
        <f t="shared" ca="1" si="1"/>
        <v>44439</v>
      </c>
      <c r="B15" s="137">
        <f t="shared" ca="1" si="2"/>
        <v>0</v>
      </c>
      <c r="C15" s="137">
        <f ca="1">IF(ISNA(MATCH($A15,CashFlow!$C$4:$AO$4,0))=TRUE,0,OFFSET(CashFlow!$B$37,0,MATCH($A15,CashFlow!$C$4:$AO$4,0),1,1))</f>
        <v>0</v>
      </c>
      <c r="D15" s="138">
        <f t="shared" ca="1" si="3"/>
        <v>0</v>
      </c>
      <c r="E15" s="138">
        <f t="shared" ca="1" si="4"/>
        <v>0</v>
      </c>
      <c r="F15" s="138">
        <f t="shared" ca="1" si="0"/>
        <v>0</v>
      </c>
      <c r="G15" s="139">
        <f ca="1">IF(ROUND(SUM(B15:C15,-F15),0)=0,0,IF($B$6="Yes",SUM($C$9:C15),SUM(B15:C15,-F15)))</f>
        <v>0</v>
      </c>
    </row>
    <row r="16" spans="1:9" s="102" customFormat="1" ht="16.149999999999999" customHeight="1" x14ac:dyDescent="0.25">
      <c r="A16" s="136">
        <f t="shared" ca="1" si="1"/>
        <v>44469</v>
      </c>
      <c r="B16" s="137">
        <f t="shared" ca="1" si="2"/>
        <v>0</v>
      </c>
      <c r="C16" s="137">
        <f ca="1">IF(ISNA(MATCH($A16,CashFlow!$C$4:$AO$4,0))=TRUE,0,OFFSET(CashFlow!$B$37,0,MATCH($A16,CashFlow!$C$4:$AO$4,0),1,1))</f>
        <v>0</v>
      </c>
      <c r="D16" s="138">
        <f t="shared" ca="1" si="3"/>
        <v>0</v>
      </c>
      <c r="E16" s="138">
        <f t="shared" ca="1" si="4"/>
        <v>0</v>
      </c>
      <c r="F16" s="138">
        <f t="shared" ca="1" si="0"/>
        <v>0</v>
      </c>
      <c r="G16" s="139">
        <f ca="1">IF(ROUND(SUM(B16:C16,-F16),0)=0,0,IF($B$6="Yes",SUM($C$9:C16),SUM(B16:C16,-F16)))</f>
        <v>0</v>
      </c>
    </row>
    <row r="17" spans="1:7" s="102" customFormat="1" ht="16.149999999999999" customHeight="1" x14ac:dyDescent="0.25">
      <c r="A17" s="136">
        <f t="shared" ca="1" si="1"/>
        <v>44500</v>
      </c>
      <c r="B17" s="137">
        <f t="shared" ca="1" si="2"/>
        <v>0</v>
      </c>
      <c r="C17" s="137">
        <f ca="1">IF(ISNA(MATCH($A17,CashFlow!$C$4:$AO$4,0))=TRUE,0,OFFSET(CashFlow!$B$37,0,MATCH($A17,CashFlow!$C$4:$AO$4,0),1,1))</f>
        <v>0</v>
      </c>
      <c r="D17" s="138">
        <f t="shared" ca="1" si="3"/>
        <v>0</v>
      </c>
      <c r="E17" s="138">
        <f t="shared" ca="1" si="4"/>
        <v>0</v>
      </c>
      <c r="F17" s="138">
        <f t="shared" ca="1" si="0"/>
        <v>0</v>
      </c>
      <c r="G17" s="139">
        <f ca="1">IF(ROUND(SUM(B17:C17,-F17),0)=0,0,IF($B$6="Yes",SUM($C$9:C17),SUM(B17:C17,-F17)))</f>
        <v>0</v>
      </c>
    </row>
    <row r="18" spans="1:7" s="102" customFormat="1" ht="16.149999999999999" customHeight="1" x14ac:dyDescent="0.25">
      <c r="A18" s="136">
        <f t="shared" ca="1" si="1"/>
        <v>44530</v>
      </c>
      <c r="B18" s="137">
        <f t="shared" ca="1" si="2"/>
        <v>0</v>
      </c>
      <c r="C18" s="137">
        <f ca="1">IF(ISNA(MATCH($A18,CashFlow!$C$4:$AO$4,0))=TRUE,0,OFFSET(CashFlow!$B$37,0,MATCH($A18,CashFlow!$C$4:$AO$4,0),1,1))</f>
        <v>0</v>
      </c>
      <c r="D18" s="138">
        <f t="shared" ca="1" si="3"/>
        <v>0</v>
      </c>
      <c r="E18" s="138">
        <f t="shared" ca="1" si="4"/>
        <v>0</v>
      </c>
      <c r="F18" s="138">
        <f t="shared" ca="1" si="0"/>
        <v>0</v>
      </c>
      <c r="G18" s="139">
        <f ca="1">IF(ROUND(SUM(B18:C18,-F18),0)=0,0,IF($B$6="Yes",SUM($C$9:C18),SUM(B18:C18,-F18)))</f>
        <v>0</v>
      </c>
    </row>
    <row r="19" spans="1:7" s="102" customFormat="1" ht="16.149999999999999" customHeight="1" x14ac:dyDescent="0.25">
      <c r="A19" s="136">
        <f t="shared" ca="1" si="1"/>
        <v>44561</v>
      </c>
      <c r="B19" s="137">
        <f t="shared" ca="1" si="2"/>
        <v>0</v>
      </c>
      <c r="C19" s="137">
        <f ca="1">IF(ISNA(MATCH($A19,CashFlow!$C$4:$AO$4,0))=TRUE,0,OFFSET(CashFlow!$B$37,0,MATCH($A19,CashFlow!$C$4:$AO$4,0),1,1))</f>
        <v>0</v>
      </c>
      <c r="D19" s="138">
        <f t="shared" ca="1" si="3"/>
        <v>0</v>
      </c>
      <c r="E19" s="138">
        <f t="shared" ca="1" si="4"/>
        <v>0</v>
      </c>
      <c r="F19" s="138">
        <f t="shared" ca="1" si="0"/>
        <v>0</v>
      </c>
      <c r="G19" s="139">
        <f ca="1">IF(ROUND(SUM(B19:C19,-F19),0)=0,0,IF($B$6="Yes",SUM($C$9:C19),SUM(B19:C19,-F19)))</f>
        <v>0</v>
      </c>
    </row>
    <row r="20" spans="1:7" ht="16.149999999999999" customHeight="1" x14ac:dyDescent="0.25">
      <c r="A20" s="136">
        <f t="shared" ca="1" si="1"/>
        <v>44592</v>
      </c>
      <c r="B20" s="137">
        <f t="shared" ca="1" si="2"/>
        <v>0</v>
      </c>
      <c r="C20" s="137">
        <f ca="1">IF(ISNA(MATCH($A20,CashFlow!$C$4:$AO$4,0))=TRUE,0,OFFSET(CashFlow!$B$37,0,MATCH($A20,CashFlow!$C$4:$AO$4,0),1,1))</f>
        <v>240000</v>
      </c>
      <c r="D20" s="138">
        <f t="shared" ca="1" si="3"/>
        <v>5399.5051740998015</v>
      </c>
      <c r="E20" s="138">
        <f t="shared" ca="1" si="4"/>
        <v>2500</v>
      </c>
      <c r="F20" s="138">
        <f t="shared" ca="1" si="0"/>
        <v>2899.5051740998015</v>
      </c>
      <c r="G20" s="139">
        <f ca="1">IF(ROUND(SUM(B20:C20,-F20),0)=0,0,IF($B$6="Yes",SUM($C$9:C20),SUM(B20:C20,-F20)))</f>
        <v>237100.49482590021</v>
      </c>
    </row>
    <row r="21" spans="1:7" ht="16.149999999999999" customHeight="1" x14ac:dyDescent="0.25">
      <c r="A21" s="136">
        <f t="shared" ca="1" si="1"/>
        <v>44620</v>
      </c>
      <c r="B21" s="137">
        <f t="shared" ca="1" si="2"/>
        <v>237100.49482590021</v>
      </c>
      <c r="C21" s="137">
        <f ca="1">IF(ISNA(MATCH($A21,CashFlow!$C$4:$AO$4,0))=TRUE,0,OFFSET(CashFlow!$B$37,0,MATCH($A21,CashFlow!$C$4:$AO$4,0),1,1))</f>
        <v>0</v>
      </c>
      <c r="D21" s="138">
        <f t="shared" ca="1" si="3"/>
        <v>5399.5051740998015</v>
      </c>
      <c r="E21" s="138">
        <f t="shared" ca="1" si="4"/>
        <v>2469.7968211031271</v>
      </c>
      <c r="F21" s="138">
        <f t="shared" ca="1" si="0"/>
        <v>2929.7083529966744</v>
      </c>
      <c r="G21" s="139">
        <f ca="1">IF(ROUND(SUM(B21:C21,-F21),0)=0,0,IF($B$6="Yes",SUM($C$9:C21),SUM(B21:C21,-F21)))</f>
        <v>234170.78647290354</v>
      </c>
    </row>
    <row r="22" spans="1:7" ht="16.149999999999999" customHeight="1" x14ac:dyDescent="0.25">
      <c r="A22" s="136">
        <f t="shared" ca="1" si="1"/>
        <v>44651</v>
      </c>
      <c r="B22" s="137">
        <f t="shared" ca="1" si="2"/>
        <v>234170.78647290354</v>
      </c>
      <c r="C22" s="137">
        <f ca="1">IF(ISNA(MATCH($A22,CashFlow!$C$4:$AO$4,0))=TRUE,0,OFFSET(CashFlow!$B$37,0,MATCH($A22,CashFlow!$C$4:$AO$4,0),1,1))</f>
        <v>0</v>
      </c>
      <c r="D22" s="138">
        <f t="shared" ca="1" si="3"/>
        <v>5399.5051740998015</v>
      </c>
      <c r="E22" s="138">
        <f t="shared" ca="1" si="4"/>
        <v>2439.279025759412</v>
      </c>
      <c r="F22" s="138">
        <f t="shared" ca="1" si="0"/>
        <v>2960.2261483403895</v>
      </c>
      <c r="G22" s="139">
        <f ca="1">IF(ROUND(SUM(B22:C22,-F22),0)=0,0,IF($B$6="Yes",SUM($C$9:C22),SUM(B22:C22,-F22)))</f>
        <v>231210.56032456315</v>
      </c>
    </row>
    <row r="23" spans="1:7" s="141" customFormat="1" ht="16.149999999999999" customHeight="1" x14ac:dyDescent="0.25">
      <c r="A23" s="136">
        <f t="shared" ca="1" si="1"/>
        <v>44681</v>
      </c>
      <c r="B23" s="137">
        <f t="shared" ca="1" si="2"/>
        <v>231210.56032456315</v>
      </c>
      <c r="C23" s="137">
        <f ca="1">IF(ISNA(MATCH($A23,CashFlow!$C$4:$AO$4,0))=TRUE,0,OFFSET(CashFlow!$B$37,0,MATCH($A23,CashFlow!$C$4:$AO$4,0),1,1))</f>
        <v>0</v>
      </c>
      <c r="D23" s="138">
        <f t="shared" ca="1" si="3"/>
        <v>5399.5051740998015</v>
      </c>
      <c r="E23" s="138">
        <f t="shared" ca="1" si="4"/>
        <v>2408.4433367141996</v>
      </c>
      <c r="F23" s="138">
        <f t="shared" ca="1" si="0"/>
        <v>2991.0618373856018</v>
      </c>
      <c r="G23" s="139">
        <f ca="1">IF(ROUND(SUM(B23:C23,-F23),0)=0,0,IF($B$6="Yes",SUM($C$9:C23),SUM(B23:C23,-F23)))</f>
        <v>228219.49848717754</v>
      </c>
    </row>
    <row r="24" spans="1:7" ht="16.149999999999999" customHeight="1" x14ac:dyDescent="0.25">
      <c r="A24" s="136">
        <f t="shared" ca="1" si="1"/>
        <v>44712</v>
      </c>
      <c r="B24" s="137">
        <f t="shared" ca="1" si="2"/>
        <v>228219.49848717754</v>
      </c>
      <c r="C24" s="137">
        <f ca="1">IF(ISNA(MATCH($A24,CashFlow!$C$4:$AO$4,0))=TRUE,0,OFFSET(CashFlow!$B$37,0,MATCH($A24,CashFlow!$C$4:$AO$4,0),1,1))</f>
        <v>0</v>
      </c>
      <c r="D24" s="138">
        <f t="shared" ca="1" si="3"/>
        <v>5399.5051740998015</v>
      </c>
      <c r="E24" s="138">
        <f t="shared" ca="1" si="4"/>
        <v>2377.2864425747662</v>
      </c>
      <c r="F24" s="138">
        <f t="shared" ca="1" si="0"/>
        <v>3022.2187315250353</v>
      </c>
      <c r="G24" s="139">
        <f ca="1">IF(ROUND(SUM(B24:C24,-F24),0)=0,0,IF($B$6="Yes",SUM($C$9:C24),SUM(B24:C24,-F24)))</f>
        <v>225197.2797556525</v>
      </c>
    </row>
    <row r="25" spans="1:7" ht="16.149999999999999" customHeight="1" x14ac:dyDescent="0.25">
      <c r="A25" s="136">
        <f t="shared" ca="1" si="1"/>
        <v>44742</v>
      </c>
      <c r="B25" s="137">
        <f t="shared" ca="1" si="2"/>
        <v>225197.2797556525</v>
      </c>
      <c r="C25" s="137">
        <f ca="1">IF(ISNA(MATCH($A25,CashFlow!$C$4:$AO$4,0))=TRUE,0,OFFSET(CashFlow!$B$37,0,MATCH($A25,CashFlow!$C$4:$AO$4,0),1,1))</f>
        <v>0</v>
      </c>
      <c r="D25" s="138">
        <f t="shared" ca="1" si="3"/>
        <v>5399.5051740998015</v>
      </c>
      <c r="E25" s="138">
        <f t="shared" ca="1" si="4"/>
        <v>2345.8049974547134</v>
      </c>
      <c r="F25" s="138">
        <f t="shared" ca="1" si="0"/>
        <v>3053.700176645088</v>
      </c>
      <c r="G25" s="139">
        <f ca="1">IF(ROUND(SUM(B25:C25,-F25),0)=0,0,IF($B$6="Yes",SUM($C$9:C25),SUM(B25:C25,-F25)))</f>
        <v>222143.5795790074</v>
      </c>
    </row>
    <row r="26" spans="1:7" ht="16.149999999999999" customHeight="1" x14ac:dyDescent="0.25">
      <c r="A26" s="136">
        <f t="shared" ca="1" si="1"/>
        <v>44773</v>
      </c>
      <c r="B26" s="137">
        <f t="shared" ca="1" si="2"/>
        <v>222143.5795790074</v>
      </c>
      <c r="C26" s="137">
        <f ca="1">IF(ISNA(MATCH($A26,CashFlow!$C$4:$AO$4,0))=TRUE,0,OFFSET(CashFlow!$B$37,0,MATCH($A26,CashFlow!$C$4:$AO$4,0),1,1))</f>
        <v>0</v>
      </c>
      <c r="D26" s="138">
        <f t="shared" ca="1" si="3"/>
        <v>5399.5051740998015</v>
      </c>
      <c r="E26" s="138">
        <f t="shared" ca="1" si="4"/>
        <v>2313.9956206146603</v>
      </c>
      <c r="F26" s="138">
        <f t="shared" ca="1" si="0"/>
        <v>3085.5095534851412</v>
      </c>
      <c r="G26" s="139">
        <f ca="1">IF(ROUND(SUM(B26:C26,-F26),0)=0,0,IF($B$6="Yes",SUM($C$9:C26),SUM(B26:C26,-F26)))</f>
        <v>219058.07002552226</v>
      </c>
    </row>
    <row r="27" spans="1:7" ht="16.149999999999999" customHeight="1" x14ac:dyDescent="0.25">
      <c r="A27" s="136">
        <f t="shared" ca="1" si="1"/>
        <v>44804</v>
      </c>
      <c r="B27" s="137">
        <f t="shared" ca="1" si="2"/>
        <v>219058.07002552226</v>
      </c>
      <c r="C27" s="137">
        <f ca="1">IF(ISNA(MATCH($A27,CashFlow!$C$4:$AO$4,0))=TRUE,0,OFFSET(CashFlow!$B$37,0,MATCH($A27,CashFlow!$C$4:$AO$4,0),1,1))</f>
        <v>300000</v>
      </c>
      <c r="D27" s="138">
        <f t="shared" ca="1" si="3"/>
        <v>12148.886641724554</v>
      </c>
      <c r="E27" s="138">
        <f t="shared" ca="1" si="4"/>
        <v>5406.8548960991902</v>
      </c>
      <c r="F27" s="138">
        <f t="shared" ca="1" si="0"/>
        <v>6742.0317456253633</v>
      </c>
      <c r="G27" s="139">
        <f ca="1">IF(ROUND(SUM(B27:C27,-F27),0)=0,0,IF($B$6="Yes",SUM($C$9:C27),SUM(B27:C27,-F27)))</f>
        <v>512316.03827989689</v>
      </c>
    </row>
    <row r="28" spans="1:7" ht="16.149999999999999" customHeight="1" x14ac:dyDescent="0.25">
      <c r="A28" s="136">
        <f t="shared" ca="1" si="1"/>
        <v>44834</v>
      </c>
      <c r="B28" s="137">
        <f t="shared" ca="1" si="2"/>
        <v>512316.03827989689</v>
      </c>
      <c r="C28" s="137">
        <f ca="1">IF(ISNA(MATCH($A28,CashFlow!$C$4:$AO$4,0))=TRUE,0,OFFSET(CashFlow!$B$37,0,MATCH($A28,CashFlow!$C$4:$AO$4,0),1,1))</f>
        <v>0</v>
      </c>
      <c r="D28" s="138">
        <f t="shared" ca="1" si="3"/>
        <v>12148.886641724554</v>
      </c>
      <c r="E28" s="138">
        <f t="shared" ca="1" si="4"/>
        <v>5336.6253987489263</v>
      </c>
      <c r="F28" s="138">
        <f t="shared" ca="1" si="0"/>
        <v>6812.2612429756273</v>
      </c>
      <c r="G28" s="139">
        <f ca="1">IF(ROUND(SUM(B28:C28,-F28),0)=0,0,IF($B$6="Yes",SUM($C$9:C28),SUM(B28:C28,-F28)))</f>
        <v>505503.77703692124</v>
      </c>
    </row>
    <row r="29" spans="1:7" ht="16.149999999999999" customHeight="1" x14ac:dyDescent="0.25">
      <c r="A29" s="136">
        <f t="shared" ca="1" si="1"/>
        <v>44865</v>
      </c>
      <c r="B29" s="137">
        <f t="shared" ca="1" si="2"/>
        <v>505503.77703692124</v>
      </c>
      <c r="C29" s="137">
        <f ca="1">IF(ISNA(MATCH($A29,CashFlow!$C$4:$AO$4,0))=TRUE,0,OFFSET(CashFlow!$B$37,0,MATCH($A29,CashFlow!$C$4:$AO$4,0),1,1))</f>
        <v>0</v>
      </c>
      <c r="D29" s="138">
        <f t="shared" ca="1" si="3"/>
        <v>12148.886641724554</v>
      </c>
      <c r="E29" s="138">
        <f t="shared" ca="1" si="4"/>
        <v>5265.6643441345959</v>
      </c>
      <c r="F29" s="138">
        <f t="shared" ca="1" si="0"/>
        <v>6883.2222975899576</v>
      </c>
      <c r="G29" s="139">
        <f ca="1">IF(ROUND(SUM(B29:C29,-F29),0)=0,0,IF($B$6="Yes",SUM($C$9:C29),SUM(B29:C29,-F29)))</f>
        <v>498620.5547393313</v>
      </c>
    </row>
    <row r="30" spans="1:7" ht="16.149999999999999" customHeight="1" x14ac:dyDescent="0.25">
      <c r="A30" s="136">
        <f t="shared" ca="1" si="1"/>
        <v>44895</v>
      </c>
      <c r="B30" s="137">
        <f t="shared" ca="1" si="2"/>
        <v>498620.5547393313</v>
      </c>
      <c r="C30" s="137">
        <f ca="1">IF(ISNA(MATCH($A30,CashFlow!$C$4:$AO$4,0))=TRUE,0,OFFSET(CashFlow!$B$37,0,MATCH($A30,CashFlow!$C$4:$AO$4,0),1,1))</f>
        <v>0</v>
      </c>
      <c r="D30" s="138">
        <f t="shared" ca="1" si="3"/>
        <v>12148.886641724554</v>
      </c>
      <c r="E30" s="138">
        <f t="shared" ca="1" si="4"/>
        <v>5193.9641118680347</v>
      </c>
      <c r="F30" s="138">
        <f t="shared" ca="1" si="0"/>
        <v>6954.9225298565188</v>
      </c>
      <c r="G30" s="139">
        <f ca="1">IF(ROUND(SUM(B30:C30,-F30),0)=0,0,IF($B$6="Yes",SUM($C$9:C30),SUM(B30:C30,-F30)))</f>
        <v>491665.6322094748</v>
      </c>
    </row>
    <row r="31" spans="1:7" ht="16.149999999999999" customHeight="1" x14ac:dyDescent="0.25">
      <c r="A31" s="136">
        <f t="shared" ca="1" si="1"/>
        <v>44926</v>
      </c>
      <c r="B31" s="137">
        <f t="shared" ca="1" si="2"/>
        <v>491665.6322094748</v>
      </c>
      <c r="C31" s="137">
        <f ca="1">IF(ISNA(MATCH($A31,CashFlow!$C$4:$AO$4,0))=TRUE,0,OFFSET(CashFlow!$B$37,0,MATCH($A31,CashFlow!$C$4:$AO$4,0),1,1))</f>
        <v>0</v>
      </c>
      <c r="D31" s="138">
        <f t="shared" ca="1" si="3"/>
        <v>12148.886641724554</v>
      </c>
      <c r="E31" s="138">
        <f t="shared" ca="1" si="4"/>
        <v>5121.5170021820295</v>
      </c>
      <c r="F31" s="138">
        <f t="shared" ca="1" si="0"/>
        <v>7027.3696395425241</v>
      </c>
      <c r="G31" s="139">
        <f ca="1">IF(ROUND(SUM(B31:C31,-F31),0)=0,0,IF($B$6="Yes",SUM($C$9:C31),SUM(B31:C31,-F31)))</f>
        <v>484638.26256993227</v>
      </c>
    </row>
    <row r="32" spans="1:7" ht="16.149999999999999" customHeight="1" x14ac:dyDescent="0.25">
      <c r="A32" s="136">
        <f t="shared" ca="1" si="1"/>
        <v>44957</v>
      </c>
      <c r="B32" s="137">
        <f t="shared" ca="1" si="2"/>
        <v>484638.26256993227</v>
      </c>
      <c r="C32" s="137">
        <f ca="1">IF(ISNA(MATCH($A32,CashFlow!$C$4:$AO$4,0))=TRUE,0,OFFSET(CashFlow!$B$37,0,MATCH($A32,CashFlow!$C$4:$AO$4,0),1,1))</f>
        <v>0</v>
      </c>
      <c r="D32" s="138">
        <f t="shared" ca="1" si="3"/>
        <v>12148.886641724554</v>
      </c>
      <c r="E32" s="138">
        <f t="shared" ca="1" si="4"/>
        <v>5048.3152351034614</v>
      </c>
      <c r="F32" s="138">
        <f t="shared" ca="1" si="0"/>
        <v>7100.5714066210921</v>
      </c>
      <c r="G32" s="139">
        <f ca="1">IF(ROUND(SUM(B32:C32,-F32),0)=0,0,IF($B$6="Yes",SUM($C$9:C32),SUM(B32:C32,-F32)))</f>
        <v>477537.69116331119</v>
      </c>
    </row>
    <row r="33" spans="1:7" ht="16.149999999999999" customHeight="1" x14ac:dyDescent="0.25">
      <c r="A33" s="136">
        <f t="shared" ca="1" si="1"/>
        <v>44985</v>
      </c>
      <c r="B33" s="137">
        <f t="shared" ca="1" si="2"/>
        <v>477537.69116331119</v>
      </c>
      <c r="C33" s="137">
        <f ca="1">IF(ISNA(MATCH($A33,CashFlow!$C$4:$AO$4,0))=TRUE,0,OFFSET(CashFlow!$B$37,0,MATCH($A33,CashFlow!$C$4:$AO$4,0),1,1))</f>
        <v>0</v>
      </c>
      <c r="D33" s="138">
        <f t="shared" ca="1" si="3"/>
        <v>12148.886641724554</v>
      </c>
      <c r="E33" s="138">
        <f t="shared" ca="1" si="4"/>
        <v>4974.3509496178249</v>
      </c>
      <c r="F33" s="138">
        <f t="shared" ca="1" si="0"/>
        <v>7174.5356921067287</v>
      </c>
      <c r="G33" s="139">
        <f ca="1">IF(ROUND(SUM(B33:C33,-F33),0)=0,0,IF($B$6="Yes",SUM($C$9:C33),SUM(B33:C33,-F33)))</f>
        <v>470363.15547120443</v>
      </c>
    </row>
    <row r="34" spans="1:7" ht="16.149999999999999" customHeight="1" x14ac:dyDescent="0.25">
      <c r="A34" s="136">
        <f t="shared" ca="1" si="1"/>
        <v>45016</v>
      </c>
      <c r="B34" s="137">
        <f t="shared" ca="1" si="2"/>
        <v>470363.15547120443</v>
      </c>
      <c r="C34" s="137">
        <f ca="1">IF(ISNA(MATCH($A34,CashFlow!$C$4:$AO$4,0))=TRUE,0,OFFSET(CashFlow!$B$37,0,MATCH($A34,CashFlow!$C$4:$AO$4,0),1,1))</f>
        <v>0</v>
      </c>
      <c r="D34" s="138">
        <f t="shared" ca="1" si="3"/>
        <v>12148.886641724554</v>
      </c>
      <c r="E34" s="138">
        <f t="shared" ca="1" si="4"/>
        <v>4899.6162028250465</v>
      </c>
      <c r="F34" s="138">
        <f t="shared" ca="1" si="0"/>
        <v>7249.2704388995071</v>
      </c>
      <c r="G34" s="139">
        <f ca="1">IF(ROUND(SUM(B34:C34,-F34),0)=0,0,IF($B$6="Yes",SUM($C$9:C34),SUM(B34:C34,-F34)))</f>
        <v>463113.88503230491</v>
      </c>
    </row>
    <row r="35" spans="1:7" ht="16.149999999999999" customHeight="1" x14ac:dyDescent="0.25">
      <c r="A35" s="136">
        <f t="shared" ca="1" si="1"/>
        <v>45046</v>
      </c>
      <c r="B35" s="137">
        <f t="shared" ca="1" si="2"/>
        <v>463113.88503230491</v>
      </c>
      <c r="C35" s="137">
        <f ca="1">IF(ISNA(MATCH($A35,CashFlow!$C$4:$AO$4,0))=TRUE,0,OFFSET(CashFlow!$B$37,0,MATCH($A35,CashFlow!$C$4:$AO$4,0),1,1))</f>
        <v>180000</v>
      </c>
      <c r="D35" s="138">
        <f t="shared" ca="1" si="3"/>
        <v>16198.515522299404</v>
      </c>
      <c r="E35" s="138">
        <f t="shared" ca="1" si="4"/>
        <v>6699.1029690865098</v>
      </c>
      <c r="F35" s="138">
        <f t="shared" ca="1" si="0"/>
        <v>9499.4125532128928</v>
      </c>
      <c r="G35" s="139">
        <f ca="1">IF(ROUND(SUM(B35:C35,-F35),0)=0,0,IF($B$6="Yes",SUM($C$9:C35),SUM(B35:C35,-F35)))</f>
        <v>633614.47247909207</v>
      </c>
    </row>
    <row r="36" spans="1:7" ht="16.149999999999999" customHeight="1" x14ac:dyDescent="0.25">
      <c r="A36" s="136">
        <f t="shared" ca="1" si="1"/>
        <v>45077</v>
      </c>
      <c r="B36" s="137">
        <f t="shared" ca="1" si="2"/>
        <v>633614.47247909207</v>
      </c>
      <c r="C36" s="137">
        <f ca="1">IF(ISNA(MATCH($A36,CashFlow!$C$4:$AO$4,0))=TRUE,0,OFFSET(CashFlow!$B$37,0,MATCH($A36,CashFlow!$C$4:$AO$4,0),1,1))</f>
        <v>0</v>
      </c>
      <c r="D36" s="138">
        <f t="shared" ca="1" si="3"/>
        <v>16198.515522299404</v>
      </c>
      <c r="E36" s="138">
        <f t="shared" ca="1" si="4"/>
        <v>6600.1507549905427</v>
      </c>
      <c r="F36" s="138">
        <f t="shared" ca="1" si="0"/>
        <v>9598.3647673088599</v>
      </c>
      <c r="G36" s="139">
        <f ca="1">IF(ROUND(SUM(B36:C36,-F36),0)=0,0,IF($B$6="Yes",SUM($C$9:C36),SUM(B36:C36,-F36)))</f>
        <v>624016.10771178326</v>
      </c>
    </row>
    <row r="37" spans="1:7" ht="16.149999999999999" customHeight="1" x14ac:dyDescent="0.25">
      <c r="A37" s="136">
        <f t="shared" ca="1" si="1"/>
        <v>45107</v>
      </c>
      <c r="B37" s="137">
        <f t="shared" ca="1" si="2"/>
        <v>624016.10771178326</v>
      </c>
      <c r="C37" s="137">
        <f ca="1">IF(ISNA(MATCH($A37,CashFlow!$C$4:$AO$4,0))=TRUE,0,OFFSET(CashFlow!$B$37,0,MATCH($A37,CashFlow!$C$4:$AO$4,0),1,1))</f>
        <v>0</v>
      </c>
      <c r="D37" s="138">
        <f t="shared" ca="1" si="3"/>
        <v>16198.515522299404</v>
      </c>
      <c r="E37" s="138">
        <f t="shared" ca="1" si="4"/>
        <v>6500.1677886644093</v>
      </c>
      <c r="F37" s="138">
        <f t="shared" ca="1" si="0"/>
        <v>9698.3477336349933</v>
      </c>
      <c r="G37" s="139">
        <f ca="1">IF(ROUND(SUM(B37:C37,-F37),0)=0,0,IF($B$6="Yes",SUM($C$9:C37),SUM(B37:C37,-F37)))</f>
        <v>614317.75997814827</v>
      </c>
    </row>
    <row r="38" spans="1:7" ht="16.149999999999999" customHeight="1" x14ac:dyDescent="0.25">
      <c r="A38" s="136">
        <f t="shared" ca="1" si="1"/>
        <v>45138</v>
      </c>
      <c r="B38" s="137">
        <f t="shared" ca="1" si="2"/>
        <v>614317.75997814827</v>
      </c>
      <c r="C38" s="137">
        <f ca="1">IF(ISNA(MATCH($A38,CashFlow!$C$4:$AO$4,0))=TRUE,0,OFFSET(CashFlow!$B$37,0,MATCH($A38,CashFlow!$C$4:$AO$4,0),1,1))</f>
        <v>0</v>
      </c>
      <c r="D38" s="138">
        <f t="shared" ca="1" si="3"/>
        <v>16198.515522299404</v>
      </c>
      <c r="E38" s="138">
        <f t="shared" ca="1" si="4"/>
        <v>6399.1433331057115</v>
      </c>
      <c r="F38" s="138">
        <f t="shared" ca="1" si="0"/>
        <v>9799.3721891936912</v>
      </c>
      <c r="G38" s="139">
        <f ca="1">IF(ROUND(SUM(B38:C38,-F38),0)=0,0,IF($B$6="Yes",SUM($C$9:C38),SUM(B38:C38,-F38)))</f>
        <v>604518.38778895454</v>
      </c>
    </row>
    <row r="39" spans="1:7" ht="16.149999999999999" customHeight="1" x14ac:dyDescent="0.25">
      <c r="A39" s="136">
        <f t="shared" ca="1" si="1"/>
        <v>45169</v>
      </c>
      <c r="B39" s="137">
        <f t="shared" ca="1" si="2"/>
        <v>604518.38778895454</v>
      </c>
      <c r="C39" s="137">
        <f ca="1">IF(ISNA(MATCH($A39,CashFlow!$C$4:$AO$4,0))=TRUE,0,OFFSET(CashFlow!$B$37,0,MATCH($A39,CashFlow!$C$4:$AO$4,0),1,1))</f>
        <v>0</v>
      </c>
      <c r="D39" s="138">
        <f t="shared" ca="1" si="3"/>
        <v>16198.515522299404</v>
      </c>
      <c r="E39" s="138">
        <f t="shared" ca="1" si="4"/>
        <v>6297.0665394682765</v>
      </c>
      <c r="F39" s="138">
        <f t="shared" ca="1" si="0"/>
        <v>9901.4489828311271</v>
      </c>
      <c r="G39" s="139">
        <f ca="1">IF(ROUND(SUM(B39:C39,-F39),0)=0,0,IF($B$6="Yes",SUM($C$9:C39),SUM(B39:C39,-F39)))</f>
        <v>594616.93880612345</v>
      </c>
    </row>
    <row r="40" spans="1:7" ht="16.149999999999999" customHeight="1" x14ac:dyDescent="0.25">
      <c r="A40" s="136">
        <f t="shared" ca="1" si="1"/>
        <v>45199</v>
      </c>
      <c r="B40" s="137">
        <f t="shared" ca="1" si="2"/>
        <v>594616.93880612345</v>
      </c>
      <c r="C40" s="137">
        <f ca="1">IF(ISNA(MATCH($A40,CashFlow!$C$4:$AO$4,0))=TRUE,0,OFFSET(CashFlow!$B$37,0,MATCH($A40,CashFlow!$C$4:$AO$4,0),1,1))</f>
        <v>0</v>
      </c>
      <c r="D40" s="138">
        <f t="shared" ca="1" si="3"/>
        <v>16198.515522299404</v>
      </c>
      <c r="E40" s="138">
        <f t="shared" ca="1" si="4"/>
        <v>6193.9264458971193</v>
      </c>
      <c r="F40" s="138">
        <f t="shared" ca="1" si="0"/>
        <v>10004.589076402284</v>
      </c>
      <c r="G40" s="139">
        <f ca="1">IF(ROUND(SUM(B40:C40,-F40),0)=0,0,IF($B$6="Yes",SUM($C$9:C40),SUM(B40:C40,-F40)))</f>
        <v>584612.3497297212</v>
      </c>
    </row>
    <row r="41" spans="1:7" ht="16.149999999999999" customHeight="1" x14ac:dyDescent="0.25">
      <c r="A41" s="136">
        <f t="shared" ca="1" si="1"/>
        <v>45230</v>
      </c>
      <c r="B41" s="137">
        <f t="shared" ca="1" si="2"/>
        <v>584612.3497297212</v>
      </c>
      <c r="C41" s="137">
        <f ca="1">IF(ISNA(MATCH($A41,CashFlow!$C$4:$AO$4,0))=TRUE,0,OFFSET(CashFlow!$B$37,0,MATCH($A41,CashFlow!$C$4:$AO$4,0),1,1))</f>
        <v>0</v>
      </c>
      <c r="D41" s="138">
        <f t="shared" ca="1" si="3"/>
        <v>16198.515522299404</v>
      </c>
      <c r="E41" s="138">
        <f t="shared" ca="1" si="4"/>
        <v>6089.7119763512628</v>
      </c>
      <c r="F41" s="138">
        <f t="shared" ca="1" si="0"/>
        <v>10108.80354594814</v>
      </c>
      <c r="G41" s="139">
        <f ca="1">IF(ROUND(SUM(B41:C41,-F41),0)=0,0,IF($B$6="Yes",SUM($C$9:C41),SUM(B41:C41,-F41)))</f>
        <v>574503.54618377308</v>
      </c>
    </row>
    <row r="42" spans="1:7" ht="16.149999999999999" customHeight="1" x14ac:dyDescent="0.25">
      <c r="A42" s="136">
        <f t="shared" ca="1" si="1"/>
        <v>45260</v>
      </c>
      <c r="B42" s="137">
        <f t="shared" ca="1" si="2"/>
        <v>574503.54618377308</v>
      </c>
      <c r="C42" s="137">
        <f ca="1">IF(ISNA(MATCH($A42,CashFlow!$C$4:$AO$4,0))=TRUE,0,OFFSET(CashFlow!$B$37,0,MATCH($A42,CashFlow!$C$4:$AO$4,0),1,1))</f>
        <v>0</v>
      </c>
      <c r="D42" s="138">
        <f t="shared" ca="1" si="3"/>
        <v>16198.515522299404</v>
      </c>
      <c r="E42" s="138">
        <f t="shared" ca="1" si="4"/>
        <v>5984.4119394143027</v>
      </c>
      <c r="F42" s="138">
        <f t="shared" ca="1" si="0"/>
        <v>10214.103582885102</v>
      </c>
      <c r="G42" s="139">
        <f ca="1">IF(ROUND(SUM(B42:C42,-F42),0)=0,0,IF($B$6="Yes",SUM($C$9:C42),SUM(B42:C42,-F42)))</f>
        <v>564289.44260088797</v>
      </c>
    </row>
    <row r="43" spans="1:7" ht="16.149999999999999" customHeight="1" x14ac:dyDescent="0.25">
      <c r="A43" s="136">
        <f t="shared" ca="1" si="1"/>
        <v>45291</v>
      </c>
      <c r="B43" s="137">
        <f t="shared" ca="1" si="2"/>
        <v>564289.44260088797</v>
      </c>
      <c r="C43" s="137">
        <f ca="1">IF(ISNA(MATCH($A43,CashFlow!$C$4:$AO$4,0))=TRUE,0,OFFSET(CashFlow!$B$37,0,MATCH($A43,CashFlow!$C$4:$AO$4,0),1,1))</f>
        <v>0</v>
      </c>
      <c r="D43" s="138">
        <f t="shared" ca="1" si="3"/>
        <v>16198.515522299404</v>
      </c>
      <c r="E43" s="138">
        <f t="shared" ca="1" si="4"/>
        <v>5878.0150270925833</v>
      </c>
      <c r="F43" s="138">
        <f t="shared" ca="1" si="0"/>
        <v>10320.500495206819</v>
      </c>
      <c r="G43" s="139">
        <f ca="1">IF(ROUND(SUM(B43:C43,-F43),0)=0,0,IF($B$6="Yes",SUM($C$9:C43),SUM(B43:C43,-F43)))</f>
        <v>553968.94210568117</v>
      </c>
    </row>
    <row r="44" spans="1:7" ht="16.149999999999999" customHeight="1" x14ac:dyDescent="0.25">
      <c r="A44" s="136">
        <f t="shared" ca="1" si="1"/>
        <v>45322</v>
      </c>
      <c r="B44" s="137">
        <f t="shared" ca="1" si="2"/>
        <v>553968.94210568117</v>
      </c>
      <c r="C44" s="137">
        <f ca="1">IF(ISNA(MATCH($A44,CashFlow!$C$4:$AO$4,0))=TRUE,0,OFFSET(CashFlow!$B$37,0,MATCH($A44,CashFlow!$C$4:$AO$4,0),1,1))</f>
        <v>0</v>
      </c>
      <c r="D44" s="138">
        <f t="shared" ca="1" si="3"/>
        <v>16198.515522299404</v>
      </c>
      <c r="E44" s="138">
        <f t="shared" ca="1" si="4"/>
        <v>5770.5098136008455</v>
      </c>
      <c r="F44" s="138">
        <f t="shared" ca="1" si="0"/>
        <v>10428.005708698558</v>
      </c>
      <c r="G44" s="139">
        <f ca="1">IF(ROUND(SUM(B44:C44,-F44),0)=0,0,IF($B$6="Yes",SUM($C$9:C44),SUM(B44:C44,-F44)))</f>
        <v>543540.93639698264</v>
      </c>
    </row>
    <row r="45" spans="1:7" ht="16.149999999999999" customHeight="1" x14ac:dyDescent="0.25">
      <c r="A45" s="136">
        <f t="shared" ca="1" si="1"/>
        <v>45351</v>
      </c>
      <c r="B45" s="137">
        <f t="shared" ca="1" si="2"/>
        <v>543540.93639698264</v>
      </c>
      <c r="C45" s="137">
        <f ca="1">IF(ISNA(MATCH($A45,CashFlow!$C$4:$AO$4,0))=TRUE,0,OFFSET(CashFlow!$B$37,0,MATCH($A45,CashFlow!$C$4:$AO$4,0),1,1))</f>
        <v>0</v>
      </c>
      <c r="D45" s="138">
        <f t="shared" ca="1" si="3"/>
        <v>16198.515522299404</v>
      </c>
      <c r="E45" s="138">
        <f t="shared" ca="1" si="4"/>
        <v>5661.8847541352361</v>
      </c>
      <c r="F45" s="138">
        <f t="shared" ca="1" si="0"/>
        <v>10536.630768164167</v>
      </c>
      <c r="G45" s="139">
        <f ca="1">IF(ROUND(SUM(B45:C45,-F45),0)=0,0,IF($B$6="Yes",SUM($C$9:C45),SUM(B45:C45,-F45)))</f>
        <v>533004.30562881846</v>
      </c>
    </row>
    <row r="46" spans="1:7" ht="16.149999999999999" customHeight="1" x14ac:dyDescent="0.25">
      <c r="A46" s="136">
        <f t="shared" ca="1" si="1"/>
        <v>45382</v>
      </c>
      <c r="B46" s="137">
        <f t="shared" ca="1" si="2"/>
        <v>533004.30562881846</v>
      </c>
      <c r="C46" s="137">
        <f ca="1">IF(ISNA(MATCH($A46,CashFlow!$C$4:$AO$4,0))=TRUE,0,OFFSET(CashFlow!$B$37,0,MATCH($A46,CashFlow!$C$4:$AO$4,0),1,1))</f>
        <v>0</v>
      </c>
      <c r="D46" s="138">
        <f t="shared" ca="1" si="3"/>
        <v>16198.515522299404</v>
      </c>
      <c r="E46" s="138">
        <f t="shared" ca="1" si="4"/>
        <v>5552.1281836335256</v>
      </c>
      <c r="F46" s="138">
        <f t="shared" ca="1" si="0"/>
        <v>10646.387338665878</v>
      </c>
      <c r="G46" s="139">
        <f ca="1">IF(ROUND(SUM(B46:C46,-F46),0)=0,0,IF($B$6="Yes",SUM($C$9:C46),SUM(B46:C46,-F46)))</f>
        <v>522357.91829015256</v>
      </c>
    </row>
    <row r="47" spans="1:7" ht="16.149999999999999" customHeight="1" x14ac:dyDescent="0.25">
      <c r="A47" s="136">
        <f t="shared" ca="1" si="1"/>
        <v>45412</v>
      </c>
      <c r="B47" s="137">
        <f t="shared" ca="1" si="2"/>
        <v>522357.91829015256</v>
      </c>
      <c r="C47" s="137">
        <f ca="1">IF(ISNA(MATCH($A47,CashFlow!$C$4:$AO$4,0))=TRUE,0,OFFSET(CashFlow!$B$37,0,MATCH($A47,CashFlow!$C$4:$AO$4,0),1,1))</f>
        <v>0</v>
      </c>
      <c r="D47" s="138">
        <f t="shared" ca="1" si="3"/>
        <v>16198.515522299404</v>
      </c>
      <c r="E47" s="138">
        <f t="shared" ca="1" si="4"/>
        <v>5441.2283155224222</v>
      </c>
      <c r="F47" s="138">
        <f t="shared" ca="1" si="0"/>
        <v>10757.287206776982</v>
      </c>
      <c r="G47" s="139">
        <f ca="1">IF(ROUND(SUM(B47:C47,-F47),0)=0,0,IF($B$6="Yes",SUM($C$9:C47),SUM(B47:C47,-F47)))</f>
        <v>511600.6310833756</v>
      </c>
    </row>
    <row r="48" spans="1:7" ht="16.149999999999999" customHeight="1" x14ac:dyDescent="0.25">
      <c r="A48" s="136">
        <f t="shared" ca="1" si="1"/>
        <v>45443</v>
      </c>
      <c r="B48" s="137">
        <f t="shared" ca="1" si="2"/>
        <v>511600.6310833756</v>
      </c>
      <c r="C48" s="137">
        <f ca="1">IF(ISNA(MATCH($A48,CashFlow!$C$4:$AO$4,0))=TRUE,0,OFFSET(CashFlow!$B$37,0,MATCH($A48,CashFlow!$C$4:$AO$4,0),1,1))</f>
        <v>0</v>
      </c>
      <c r="D48" s="138">
        <f t="shared" ca="1" si="3"/>
        <v>16198.515522299404</v>
      </c>
      <c r="E48" s="138">
        <f t="shared" ca="1" si="4"/>
        <v>5329.1732404518289</v>
      </c>
      <c r="F48" s="138">
        <f t="shared" ca="1" si="0"/>
        <v>10869.342281847574</v>
      </c>
      <c r="G48" s="139">
        <f ca="1">IF(ROUND(SUM(B48:C48,-F48),0)=0,0,IF($B$6="Yes",SUM($C$9:C48),SUM(B48:C48,-F48)))</f>
        <v>500731.28880152805</v>
      </c>
    </row>
    <row r="49" spans="1:7" ht="16.149999999999999" customHeight="1" x14ac:dyDescent="0.25">
      <c r="A49" s="136">
        <f t="shared" ca="1" si="1"/>
        <v>45473</v>
      </c>
      <c r="B49" s="137">
        <f t="shared" ca="1" si="2"/>
        <v>500731.28880152805</v>
      </c>
      <c r="C49" s="137">
        <f ca="1">IF(ISNA(MATCH($A49,CashFlow!$C$4:$AO$4,0))=TRUE,0,OFFSET(CashFlow!$B$37,0,MATCH($A49,CashFlow!$C$4:$AO$4,0),1,1))</f>
        <v>0</v>
      </c>
      <c r="D49" s="138">
        <f t="shared" ca="1" si="3"/>
        <v>16198.515522299404</v>
      </c>
      <c r="E49" s="138">
        <f t="shared" ca="1" si="4"/>
        <v>5215.9509250159172</v>
      </c>
      <c r="F49" s="138">
        <f t="shared" ca="1" si="0"/>
        <v>10982.564597283486</v>
      </c>
      <c r="G49" s="139">
        <f ca="1">IF(ROUND(SUM(B49:C49,-F49),0)=0,0,IF($B$6="Yes",SUM($C$9:C49),SUM(B49:C49,-F49)))</f>
        <v>489748.72420424456</v>
      </c>
    </row>
    <row r="50" spans="1:7" ht="16.149999999999999" customHeight="1" x14ac:dyDescent="0.25">
      <c r="A50" s="136">
        <f t="shared" ca="1" si="1"/>
        <v>45504</v>
      </c>
      <c r="B50" s="137">
        <f t="shared" ca="1" si="2"/>
        <v>489748.72420424456</v>
      </c>
      <c r="C50" s="137">
        <f ca="1">IF(ISNA(MATCH($A50,CashFlow!$C$4:$AO$4,0))=TRUE,0,OFFSET(CashFlow!$B$37,0,MATCH($A50,CashFlow!$C$4:$AO$4,0),1,1))</f>
        <v>0</v>
      </c>
      <c r="D50" s="138">
        <f t="shared" ca="1" si="3"/>
        <v>16198.515522299404</v>
      </c>
      <c r="E50" s="138">
        <f t="shared" ca="1" si="4"/>
        <v>5101.5492104608811</v>
      </c>
      <c r="F50" s="138">
        <f t="shared" ca="1" si="0"/>
        <v>11096.966311838522</v>
      </c>
      <c r="G50" s="139">
        <f ca="1">IF(ROUND(SUM(B50:C50,-F50),0)=0,0,IF($B$6="Yes",SUM($C$9:C50),SUM(B50:C50,-F50)))</f>
        <v>478651.75789240602</v>
      </c>
    </row>
    <row r="51" spans="1:7" ht="16.149999999999999" customHeight="1" x14ac:dyDescent="0.25">
      <c r="A51" s="136">
        <f t="shared" ca="1" si="1"/>
        <v>45535</v>
      </c>
      <c r="B51" s="137">
        <f t="shared" ca="1" si="2"/>
        <v>478651.75789240602</v>
      </c>
      <c r="C51" s="137">
        <f ca="1">IF(ISNA(MATCH($A51,CashFlow!$C$4:$AO$4,0))=TRUE,0,OFFSET(CashFlow!$B$37,0,MATCH($A51,CashFlow!$C$4:$AO$4,0),1,1))</f>
        <v>0</v>
      </c>
      <c r="D51" s="138">
        <f t="shared" ca="1" si="3"/>
        <v>16198.515522299404</v>
      </c>
      <c r="E51" s="138">
        <f t="shared" ca="1" si="4"/>
        <v>4985.9558113792291</v>
      </c>
      <c r="F51" s="138">
        <f t="shared" ca="1" si="0"/>
        <v>11212.559710920174</v>
      </c>
      <c r="G51" s="139">
        <f ca="1">IF(ROUND(SUM(B51:C51,-F51),0)=0,0,IF($B$6="Yes",SUM($C$9:C51),SUM(B51:C51,-F51)))</f>
        <v>467439.19818148587</v>
      </c>
    </row>
    <row r="52" spans="1:7" ht="16.149999999999999" customHeight="1" x14ac:dyDescent="0.25">
      <c r="A52" s="136">
        <f t="shared" ca="1" si="1"/>
        <v>45565</v>
      </c>
      <c r="B52" s="137">
        <f t="shared" ca="1" si="2"/>
        <v>467439.19818148587</v>
      </c>
      <c r="C52" s="137">
        <f ca="1">IF(ISNA(MATCH($A52,CashFlow!$C$4:$AO$4,0))=TRUE,0,OFFSET(CashFlow!$B$37,0,MATCH($A52,CashFlow!$C$4:$AO$4,0),1,1))</f>
        <v>0</v>
      </c>
      <c r="D52" s="138">
        <f t="shared" ca="1" si="3"/>
        <v>16198.515522299404</v>
      </c>
      <c r="E52" s="138">
        <f t="shared" ca="1" si="4"/>
        <v>4869.1583143904782</v>
      </c>
      <c r="F52" s="138">
        <f t="shared" ca="1" si="0"/>
        <v>11329.357207908924</v>
      </c>
      <c r="G52" s="139">
        <f ca="1">IF(ROUND(SUM(B52:C52,-F52),0)=0,0,IF($B$6="Yes",SUM($C$9:C52),SUM(B52:C52,-F52)))</f>
        <v>456109.84097357694</v>
      </c>
    </row>
    <row r="53" spans="1:7" ht="16.149999999999999" customHeight="1" x14ac:dyDescent="0.25">
      <c r="A53" s="136">
        <f t="shared" ca="1" si="1"/>
        <v>45596</v>
      </c>
      <c r="B53" s="137">
        <f t="shared" ca="1" si="2"/>
        <v>456109.84097357694</v>
      </c>
      <c r="C53" s="137">
        <f ca="1">IF(ISNA(MATCH($A53,CashFlow!$C$4:$AO$4,0))=TRUE,0,OFFSET(CashFlow!$B$37,0,MATCH($A53,CashFlow!$C$4:$AO$4,0),1,1))</f>
        <v>0</v>
      </c>
      <c r="D53" s="138">
        <f t="shared" ca="1" si="3"/>
        <v>16198.515522299404</v>
      </c>
      <c r="E53" s="138">
        <f t="shared" ca="1" si="4"/>
        <v>4751.1441768080931</v>
      </c>
      <c r="F53" s="138">
        <f t="shared" ca="1" si="0"/>
        <v>11447.37134549131</v>
      </c>
      <c r="G53" s="139">
        <f ca="1">IF(ROUND(SUM(B53:C53,-F53),0)=0,0,IF($B$6="Yes",SUM($C$9:C53),SUM(B53:C53,-F53)))</f>
        <v>444662.46962808562</v>
      </c>
    </row>
    <row r="54" spans="1:7" ht="16.149999999999999" customHeight="1" x14ac:dyDescent="0.25">
      <c r="A54" s="136">
        <f t="shared" ca="1" si="1"/>
        <v>45626</v>
      </c>
      <c r="B54" s="137">
        <f t="shared" ca="1" si="2"/>
        <v>444662.46962808562</v>
      </c>
      <c r="C54" s="137">
        <f ca="1">IF(ISNA(MATCH($A54,CashFlow!$C$4:$AO$4,0))=TRUE,0,OFFSET(CashFlow!$B$37,0,MATCH($A54,CashFlow!$C$4:$AO$4,0),1,1))</f>
        <v>0</v>
      </c>
      <c r="D54" s="138">
        <f t="shared" ca="1" si="3"/>
        <v>16198.515522299404</v>
      </c>
      <c r="E54" s="138">
        <f t="shared" ca="1" si="4"/>
        <v>4631.9007252925585</v>
      </c>
      <c r="F54" s="138">
        <f t="shared" ca="1" si="0"/>
        <v>11566.614797006845</v>
      </c>
      <c r="G54" s="139">
        <f ca="1">IF(ROUND(SUM(B54:C54,-F54),0)=0,0,IF($B$6="Yes",SUM($C$9:C54),SUM(B54:C54,-F54)))</f>
        <v>433095.85483107879</v>
      </c>
    </row>
    <row r="55" spans="1:7" ht="16.149999999999999" customHeight="1" x14ac:dyDescent="0.25">
      <c r="A55" s="136">
        <f t="shared" ca="1" si="1"/>
        <v>45657</v>
      </c>
      <c r="B55" s="137">
        <f t="shared" ca="1" si="2"/>
        <v>433095.85483107879</v>
      </c>
      <c r="C55" s="137">
        <f ca="1">IF(ISNA(MATCH($A55,CashFlow!$C$4:$AO$4,0))=TRUE,0,OFFSET(CashFlow!$B$37,0,MATCH($A55,CashFlow!$C$4:$AO$4,0),1,1))</f>
        <v>0</v>
      </c>
      <c r="D55" s="138">
        <f t="shared" ca="1" si="3"/>
        <v>16198.515522299404</v>
      </c>
      <c r="E55" s="138">
        <f t="shared" ca="1" si="4"/>
        <v>4511.4151544904043</v>
      </c>
      <c r="F55" s="138">
        <f t="shared" ca="1" si="0"/>
        <v>11687.100367808998</v>
      </c>
      <c r="G55" s="139">
        <f ca="1">IF(ROUND(SUM(B55:C55,-F55),0)=0,0,IF($B$6="Yes",SUM($C$9:C55),SUM(B55:C55,-F55)))</f>
        <v>421408.75446326978</v>
      </c>
    </row>
    <row r="56" spans="1:7" ht="16.149999999999999" customHeight="1" x14ac:dyDescent="0.25">
      <c r="A56" s="136">
        <f t="shared" ca="1" si="1"/>
        <v>45688</v>
      </c>
      <c r="B56" s="137">
        <f t="shared" ca="1" si="2"/>
        <v>421408.75446326978</v>
      </c>
      <c r="C56" s="137">
        <f ca="1">IF(ISNA(MATCH($A56,CashFlow!$C$4:$AO$4,0))=TRUE,0,OFFSET(CashFlow!$B$37,0,MATCH($A56,CashFlow!$C$4:$AO$4,0),1,1))</f>
        <v>0</v>
      </c>
      <c r="D56" s="138">
        <f t="shared" ca="1" si="3"/>
        <v>16198.515522299404</v>
      </c>
      <c r="E56" s="138">
        <f t="shared" ca="1" si="4"/>
        <v>4389.6745256590602</v>
      </c>
      <c r="F56" s="138">
        <f t="shared" ca="1" si="0"/>
        <v>11808.840996640343</v>
      </c>
      <c r="G56" s="139">
        <f ca="1">IF(ROUND(SUM(B56:C56,-F56),0)=0,0,IF($B$6="Yes",SUM($C$9:C56),SUM(B56:C56,-F56)))</f>
        <v>409599.91346662946</v>
      </c>
    </row>
    <row r="57" spans="1:7" ht="16.149999999999999" customHeight="1" x14ac:dyDescent="0.25">
      <c r="A57" s="136">
        <f t="shared" ca="1" si="1"/>
        <v>45716</v>
      </c>
      <c r="B57" s="137">
        <f t="shared" ca="1" si="2"/>
        <v>409599.91346662946</v>
      </c>
      <c r="C57" s="137">
        <f ca="1">IF(ISNA(MATCH($A57,CashFlow!$C$4:$AO$4,0))=TRUE,0,OFFSET(CashFlow!$B$37,0,MATCH($A57,CashFlow!$C$4:$AO$4,0),1,1))</f>
        <v>0</v>
      </c>
      <c r="D57" s="138">
        <f t="shared" ca="1" si="3"/>
        <v>16198.515522299404</v>
      </c>
      <c r="E57" s="138">
        <f t="shared" ca="1" si="4"/>
        <v>4266.6657652773902</v>
      </c>
      <c r="F57" s="138">
        <f t="shared" ca="1" si="0"/>
        <v>11931.849757022013</v>
      </c>
      <c r="G57" s="139">
        <f ca="1">IF(ROUND(SUM(B57:C57,-F57),0)=0,0,IF($B$6="Yes",SUM($C$9:C57),SUM(B57:C57,-F57)))</f>
        <v>397668.06370960746</v>
      </c>
    </row>
    <row r="58" spans="1:7" ht="16.149999999999999" customHeight="1" x14ac:dyDescent="0.25">
      <c r="A58" s="136">
        <f t="shared" ca="1" si="1"/>
        <v>45747</v>
      </c>
      <c r="B58" s="137">
        <f t="shared" ca="1" si="2"/>
        <v>397668.06370960746</v>
      </c>
      <c r="C58" s="137">
        <f ca="1">IF(ISNA(MATCH($A58,CashFlow!$C$4:$AO$4,0))=TRUE,0,OFFSET(CashFlow!$B$37,0,MATCH($A58,CashFlow!$C$4:$AO$4,0),1,1))</f>
        <v>0</v>
      </c>
      <c r="D58" s="138">
        <f t="shared" ca="1" si="3"/>
        <v>16198.515522299404</v>
      </c>
      <c r="E58" s="138">
        <f t="shared" ca="1" si="4"/>
        <v>4142.3756636417447</v>
      </c>
      <c r="F58" s="138">
        <f t="shared" ca="1" si="0"/>
        <v>12056.139858657658</v>
      </c>
      <c r="G58" s="139">
        <f ca="1">IF(ROUND(SUM(B58:C58,-F58),0)=0,0,IF($B$6="Yes",SUM($C$9:C58),SUM(B58:C58,-F58)))</f>
        <v>385611.9238509498</v>
      </c>
    </row>
    <row r="59" spans="1:7" ht="16.149999999999999" customHeight="1" x14ac:dyDescent="0.25">
      <c r="A59" s="136">
        <f t="shared" ca="1" si="1"/>
        <v>45777</v>
      </c>
      <c r="B59" s="137">
        <f t="shared" ca="1" si="2"/>
        <v>385611.9238509498</v>
      </c>
      <c r="C59" s="137">
        <f ca="1">IF(ISNA(MATCH($A59,CashFlow!$C$4:$AO$4,0))=TRUE,0,OFFSET(CashFlow!$B$37,0,MATCH($A59,CashFlow!$C$4:$AO$4,0),1,1))</f>
        <v>0</v>
      </c>
      <c r="D59" s="138">
        <f t="shared" ca="1" si="3"/>
        <v>16198.515522299404</v>
      </c>
      <c r="E59" s="138">
        <f t="shared" ca="1" si="4"/>
        <v>4016.7908734473936</v>
      </c>
      <c r="F59" s="138">
        <f t="shared" ca="1" si="0"/>
        <v>12181.72464885201</v>
      </c>
      <c r="G59" s="139">
        <f ca="1">IF(ROUND(SUM(B59:C59,-F59),0)=0,0,IF($B$6="Yes",SUM($C$9:C59),SUM(B59:C59,-F59)))</f>
        <v>373430.19920209778</v>
      </c>
    </row>
    <row r="60" spans="1:7" ht="16.149999999999999" customHeight="1" x14ac:dyDescent="0.25">
      <c r="A60" s="136">
        <f t="shared" ca="1" si="1"/>
        <v>45808</v>
      </c>
      <c r="B60" s="137">
        <f t="shared" ca="1" si="2"/>
        <v>373430.19920209778</v>
      </c>
      <c r="C60" s="137">
        <f ca="1">IF(ISNA(MATCH($A60,CashFlow!$C$4:$AO$4,0))=TRUE,0,OFFSET(CashFlow!$B$37,0,MATCH($A60,CashFlow!$C$4:$AO$4,0),1,1))</f>
        <v>0</v>
      </c>
      <c r="D60" s="138">
        <f t="shared" ca="1" si="3"/>
        <v>16198.515522299404</v>
      </c>
      <c r="E60" s="138">
        <f t="shared" ca="1" si="4"/>
        <v>3889.8979083551853</v>
      </c>
      <c r="F60" s="138">
        <f t="shared" ca="1" si="0"/>
        <v>12308.617613944218</v>
      </c>
      <c r="G60" s="139">
        <f ca="1">IF(ROUND(SUM(B60:C60,-F60),0)=0,0,IF($B$6="Yes",SUM($C$9:C60),SUM(B60:C60,-F60)))</f>
        <v>361121.58158815355</v>
      </c>
    </row>
    <row r="61" spans="1:7" ht="16.149999999999999" customHeight="1" x14ac:dyDescent="0.25">
      <c r="A61" s="136">
        <f t="shared" ca="1" si="1"/>
        <v>45838</v>
      </c>
      <c r="B61" s="137">
        <f t="shared" ca="1" si="2"/>
        <v>361121.58158815355</v>
      </c>
      <c r="C61" s="137">
        <f ca="1">IF(ISNA(MATCH($A61,CashFlow!$C$4:$AO$4,0))=TRUE,0,OFFSET(CashFlow!$B$37,0,MATCH($A61,CashFlow!$C$4:$AO$4,0),1,1))</f>
        <v>0</v>
      </c>
      <c r="D61" s="138">
        <f t="shared" ca="1" si="3"/>
        <v>16198.515522299404</v>
      </c>
      <c r="E61" s="138">
        <f t="shared" ca="1" si="4"/>
        <v>3761.6831415432662</v>
      </c>
      <c r="F61" s="138">
        <f t="shared" ca="1" si="0"/>
        <v>12436.832380756137</v>
      </c>
      <c r="G61" s="139">
        <f ca="1">IF(ROUND(SUM(B61:C61,-F61),0)=0,0,IF($B$6="Yes",SUM($C$9:C61),SUM(B61:C61,-F61)))</f>
        <v>348684.7492073974</v>
      </c>
    </row>
    <row r="62" spans="1:7" ht="16.149999999999999" customHeight="1" x14ac:dyDescent="0.25">
      <c r="A62" s="136">
        <f t="shared" ca="1" si="1"/>
        <v>45869</v>
      </c>
      <c r="B62" s="137">
        <f t="shared" ca="1" si="2"/>
        <v>348684.7492073974</v>
      </c>
      <c r="C62" s="137">
        <f ca="1">IF(ISNA(MATCH($A62,CashFlow!$C$4:$AO$4,0))=TRUE,0,OFFSET(CashFlow!$B$37,0,MATCH($A62,CashFlow!$C$4:$AO$4,0),1,1))</f>
        <v>0</v>
      </c>
      <c r="D62" s="138">
        <f t="shared" ca="1" si="3"/>
        <v>16198.515522299404</v>
      </c>
      <c r="E62" s="138">
        <f t="shared" ca="1" si="4"/>
        <v>3632.1328042437231</v>
      </c>
      <c r="F62" s="138">
        <f t="shared" ca="1" si="0"/>
        <v>12566.38271805568</v>
      </c>
      <c r="G62" s="139">
        <f ca="1">IF(ROUND(SUM(B62:C62,-F62),0)=0,0,IF($B$6="Yes",SUM($C$9:C62),SUM(B62:C62,-F62)))</f>
        <v>336118.36648934172</v>
      </c>
    </row>
    <row r="63" spans="1:7" ht="16.149999999999999" customHeight="1" x14ac:dyDescent="0.25">
      <c r="A63" s="136">
        <f t="shared" ca="1" si="1"/>
        <v>45900</v>
      </c>
      <c r="B63" s="137">
        <f t="shared" ca="1" si="2"/>
        <v>336118.36648934172</v>
      </c>
      <c r="C63" s="137">
        <f ca="1">IF(ISNA(MATCH($A63,CashFlow!$C$4:$AO$4,0))=TRUE,0,OFFSET(CashFlow!$B$37,0,MATCH($A63,CashFlow!$C$4:$AO$4,0),1,1))</f>
        <v>0</v>
      </c>
      <c r="D63" s="138">
        <f t="shared" ca="1" si="3"/>
        <v>16198.515522299404</v>
      </c>
      <c r="E63" s="138">
        <f t="shared" ca="1" si="4"/>
        <v>3501.232984263976</v>
      </c>
      <c r="F63" s="138">
        <f t="shared" ca="1" si="0"/>
        <v>12697.282538035428</v>
      </c>
      <c r="G63" s="139">
        <f ca="1">IF(ROUND(SUM(B63:C63,-F63),0)=0,0,IF($B$6="Yes",SUM($C$9:C63),SUM(B63:C63,-F63)))</f>
        <v>323421.0839513063</v>
      </c>
    </row>
    <row r="64" spans="1:7" ht="16.149999999999999" customHeight="1" x14ac:dyDescent="0.25">
      <c r="A64" s="136">
        <f t="shared" ca="1" si="1"/>
        <v>45930</v>
      </c>
      <c r="B64" s="137">
        <f t="shared" ca="1" si="2"/>
        <v>323421.0839513063</v>
      </c>
      <c r="C64" s="137">
        <f ca="1">IF(ISNA(MATCH($A64,CashFlow!$C$4:$AO$4,0))=TRUE,0,OFFSET(CashFlow!$B$37,0,MATCH($A64,CashFlow!$C$4:$AO$4,0),1,1))</f>
        <v>0</v>
      </c>
      <c r="D64" s="138">
        <f t="shared" ca="1" si="3"/>
        <v>16198.515522299404</v>
      </c>
      <c r="E64" s="138">
        <f t="shared" ca="1" si="4"/>
        <v>3368.9696244927741</v>
      </c>
      <c r="F64" s="138">
        <f t="shared" ca="1" si="0"/>
        <v>12829.545897806629</v>
      </c>
      <c r="G64" s="139">
        <f ca="1">IF(ROUND(SUM(B64:C64,-F64),0)=0,0,IF($B$6="Yes",SUM($C$9:C64),SUM(B64:C64,-F64)))</f>
        <v>310591.53805349965</v>
      </c>
    </row>
    <row r="65" spans="1:7" ht="16.149999999999999" customHeight="1" x14ac:dyDescent="0.25">
      <c r="A65" s="136">
        <f t="shared" ca="1" si="1"/>
        <v>45961</v>
      </c>
      <c r="B65" s="137">
        <f t="shared" ca="1" si="2"/>
        <v>310591.53805349965</v>
      </c>
      <c r="C65" s="137">
        <f ca="1">IF(ISNA(MATCH($A65,CashFlow!$C$4:$AO$4,0))=TRUE,0,OFFSET(CashFlow!$B$37,0,MATCH($A65,CashFlow!$C$4:$AO$4,0),1,1))</f>
        <v>0</v>
      </c>
      <c r="D65" s="138">
        <f t="shared" ca="1" si="3"/>
        <v>16198.515522299404</v>
      </c>
      <c r="E65" s="138">
        <f t="shared" ca="1" si="4"/>
        <v>3235.3285213906215</v>
      </c>
      <c r="F65" s="138">
        <f t="shared" ca="1" si="0"/>
        <v>12963.187000908782</v>
      </c>
      <c r="G65" s="139">
        <f ca="1">IF(ROUND(SUM(B65:C65,-F65),0)=0,0,IF($B$6="Yes",SUM($C$9:C65),SUM(B65:C65,-F65)))</f>
        <v>297628.35105259088</v>
      </c>
    </row>
    <row r="66" spans="1:7" ht="16.149999999999999" customHeight="1" x14ac:dyDescent="0.25">
      <c r="A66" s="136">
        <f t="shared" ca="1" si="1"/>
        <v>45991</v>
      </c>
      <c r="B66" s="137">
        <f t="shared" ca="1" si="2"/>
        <v>297628.35105259088</v>
      </c>
      <c r="C66" s="137">
        <f ca="1">IF(ISNA(MATCH($A66,CashFlow!$C$4:$AO$4,0))=TRUE,0,OFFSET(CashFlow!$B$37,0,MATCH($A66,CashFlow!$C$4:$AO$4,0),1,1))</f>
        <v>0</v>
      </c>
      <c r="D66" s="138">
        <f t="shared" ca="1" si="3"/>
        <v>16198.515522299404</v>
      </c>
      <c r="E66" s="138">
        <f t="shared" ca="1" si="4"/>
        <v>3100.2953234644883</v>
      </c>
      <c r="F66" s="138">
        <f t="shared" ca="1" si="0"/>
        <v>13098.220198834915</v>
      </c>
      <c r="G66" s="139">
        <f ca="1">IF(ROUND(SUM(B66:C66,-F66),0)=0,0,IF($B$6="Yes",SUM($C$9:C66),SUM(B66:C66,-F66)))</f>
        <v>284530.13085375598</v>
      </c>
    </row>
    <row r="67" spans="1:7" ht="16.149999999999999" customHeight="1" x14ac:dyDescent="0.25">
      <c r="A67" s="136">
        <f t="shared" ca="1" si="1"/>
        <v>46022</v>
      </c>
      <c r="B67" s="137">
        <f t="shared" ca="1" si="2"/>
        <v>284530.13085375598</v>
      </c>
      <c r="C67" s="137">
        <f ca="1">IF(ISNA(MATCH($A67,CashFlow!$C$4:$AO$4,0))=TRUE,0,OFFSET(CashFlow!$B$37,0,MATCH($A67,CashFlow!$C$4:$AO$4,0),1,1))</f>
        <v>0</v>
      </c>
      <c r="D67" s="138">
        <f t="shared" ca="1" si="3"/>
        <v>16198.515522299404</v>
      </c>
      <c r="E67" s="138">
        <f t="shared" ca="1" si="4"/>
        <v>2963.8555297266248</v>
      </c>
      <c r="F67" s="138">
        <f t="shared" ca="1" si="0"/>
        <v>13234.659992572779</v>
      </c>
      <c r="G67" s="139">
        <f ca="1">IF(ROUND(SUM(B67:C67,-F67),0)=0,0,IF($B$6="Yes",SUM($C$9:C67),SUM(B67:C67,-F67)))</f>
        <v>271295.47086118319</v>
      </c>
    </row>
    <row r="68" spans="1:7" ht="16.149999999999999" customHeight="1" x14ac:dyDescent="0.25">
      <c r="A68" s="136">
        <f t="shared" ca="1" si="1"/>
        <v>46053</v>
      </c>
      <c r="B68" s="137">
        <f t="shared" ca="1" si="2"/>
        <v>271295.47086118319</v>
      </c>
      <c r="C68" s="137">
        <f ca="1">IF(ISNA(MATCH($A68,CashFlow!$C$4:$AO$4,0))=TRUE,0,OFFSET(CashFlow!$B$37,0,MATCH($A68,CashFlow!$C$4:$AO$4,0),1,1))</f>
        <v>0</v>
      </c>
      <c r="D68" s="138">
        <f t="shared" ca="1" si="3"/>
        <v>16198.515522299404</v>
      </c>
      <c r="E68" s="138">
        <f t="shared" ca="1" si="4"/>
        <v>2825.9944881373249</v>
      </c>
      <c r="F68" s="138">
        <f t="shared" ca="1" si="0"/>
        <v>13372.521034162079</v>
      </c>
      <c r="G68" s="139">
        <f ca="1">IF(ROUND(SUM(B68:C68,-F68),0)=0,0,IF($B$6="Yes",SUM($C$9:C68),SUM(B68:C68,-F68)))</f>
        <v>257922.9498270211</v>
      </c>
    </row>
    <row r="69" spans="1:7" ht="16.149999999999999" customHeight="1" x14ac:dyDescent="0.25">
      <c r="A69" s="136">
        <f t="shared" ca="1" si="1"/>
        <v>46081</v>
      </c>
      <c r="B69" s="137">
        <f t="shared" ca="1" si="2"/>
        <v>257922.9498270211</v>
      </c>
      <c r="C69" s="137">
        <f ca="1">IF(ISNA(MATCH($A69,CashFlow!$C$4:$AO$4,0))=TRUE,0,OFFSET(CashFlow!$B$37,0,MATCH($A69,CashFlow!$C$4:$AO$4,0),1,1))</f>
        <v>0</v>
      </c>
      <c r="D69" s="138">
        <f t="shared" ca="1" si="3"/>
        <v>16198.515522299404</v>
      </c>
      <c r="E69" s="138">
        <f t="shared" ca="1" si="4"/>
        <v>2686.6973940314697</v>
      </c>
      <c r="F69" s="138">
        <f t="shared" ca="1" si="0"/>
        <v>13511.818128267934</v>
      </c>
      <c r="G69" s="139">
        <f ca="1">IF(ROUND(SUM(B69:C69,-F69),0)=0,0,IF($B$6="Yes",SUM($C$9:C69),SUM(B69:C69,-F69)))</f>
        <v>244411.13169875316</v>
      </c>
    </row>
    <row r="70" spans="1:7" ht="16.149999999999999" customHeight="1" x14ac:dyDescent="0.25">
      <c r="A70" s="136">
        <f t="shared" ca="1" si="1"/>
        <v>46112</v>
      </c>
      <c r="B70" s="137">
        <f t="shared" ca="1" si="2"/>
        <v>244411.13169875316</v>
      </c>
      <c r="C70" s="137">
        <f ca="1">IF(ISNA(MATCH($A70,CashFlow!$C$4:$AO$4,0))=TRUE,0,OFFSET(CashFlow!$B$37,0,MATCH($A70,CashFlow!$C$4:$AO$4,0),1,1))</f>
        <v>0</v>
      </c>
      <c r="D70" s="138">
        <f t="shared" ca="1" si="3"/>
        <v>16198.515522299404</v>
      </c>
      <c r="E70" s="138">
        <f t="shared" ca="1" si="4"/>
        <v>2545.9492885286786</v>
      </c>
      <c r="F70" s="138">
        <f t="shared" ca="1" si="0"/>
        <v>13652.566233770725</v>
      </c>
      <c r="G70" s="139">
        <f ca="1">IF(ROUND(SUM(B70:C70,-F70),0)=0,0,IF($B$6="Yes",SUM($C$9:C70),SUM(B70:C70,-F70)))</f>
        <v>230758.56546498244</v>
      </c>
    </row>
    <row r="71" spans="1:7" ht="16.149999999999999" customHeight="1" x14ac:dyDescent="0.25">
      <c r="A71" s="136">
        <f t="shared" ca="1" si="1"/>
        <v>46142</v>
      </c>
      <c r="B71" s="137">
        <f t="shared" ca="1" si="2"/>
        <v>230758.56546498244</v>
      </c>
      <c r="C71" s="137">
        <f ca="1">IF(ISNA(MATCH($A71,CashFlow!$C$4:$AO$4,0))=TRUE,0,OFFSET(CashFlow!$B$37,0,MATCH($A71,CashFlow!$C$4:$AO$4,0),1,1))</f>
        <v>0</v>
      </c>
      <c r="D71" s="138">
        <f t="shared" ca="1" si="3"/>
        <v>16198.515522299404</v>
      </c>
      <c r="E71" s="138">
        <f t="shared" ca="1" si="4"/>
        <v>2403.7350569269006</v>
      </c>
      <c r="F71" s="138">
        <f t="shared" ca="1" si="0"/>
        <v>13794.780465372503</v>
      </c>
      <c r="G71" s="139">
        <f ca="1">IF(ROUND(SUM(B71:C71,-F71),0)=0,0,IF($B$6="Yes",SUM($C$9:C71),SUM(B71:C71,-F71)))</f>
        <v>216963.78499960992</v>
      </c>
    </row>
    <row r="72" spans="1:7" ht="16.149999999999999" customHeight="1" x14ac:dyDescent="0.25">
      <c r="A72" s="136">
        <f t="shared" ca="1" si="1"/>
        <v>46173</v>
      </c>
      <c r="B72" s="137">
        <f t="shared" ca="1" si="2"/>
        <v>216963.78499960992</v>
      </c>
      <c r="C72" s="137">
        <f ca="1">IF(ISNA(MATCH($A72,CashFlow!$C$4:$AO$4,0))=TRUE,0,OFFSET(CashFlow!$B$37,0,MATCH($A72,CashFlow!$C$4:$AO$4,0),1,1))</f>
        <v>0</v>
      </c>
      <c r="D72" s="138">
        <f t="shared" ca="1" si="3"/>
        <v>16198.515522299404</v>
      </c>
      <c r="E72" s="138">
        <f t="shared" ca="1" si="4"/>
        <v>2260.0394270792699</v>
      </c>
      <c r="F72" s="138">
        <f t="shared" ca="1" si="0"/>
        <v>13938.476095220134</v>
      </c>
      <c r="G72" s="139">
        <f ca="1">IF(ROUND(SUM(B72:C72,-F72),0)=0,0,IF($B$6="Yes",SUM($C$9:C72),SUM(B72:C72,-F72)))</f>
        <v>203025.30890438979</v>
      </c>
    </row>
    <row r="73" spans="1:7" ht="16.149999999999999" customHeight="1" x14ac:dyDescent="0.25">
      <c r="A73" s="136">
        <f t="shared" ca="1" si="1"/>
        <v>46203</v>
      </c>
      <c r="B73" s="137">
        <f t="shared" ca="1" si="2"/>
        <v>203025.30890438979</v>
      </c>
      <c r="C73" s="137">
        <f ca="1">IF(ISNA(MATCH($A73,CashFlow!$C$4:$AO$4,0))=TRUE,0,OFFSET(CashFlow!$B$37,0,MATCH($A73,CashFlow!$C$4:$AO$4,0),1,1))</f>
        <v>0</v>
      </c>
      <c r="D73" s="138">
        <f t="shared" ca="1" si="3"/>
        <v>16198.515522299404</v>
      </c>
      <c r="E73" s="138">
        <f t="shared" ca="1" si="4"/>
        <v>2114.8469677540602</v>
      </c>
      <c r="F73" s="138">
        <f t="shared" ca="1" si="0"/>
        <v>14083.668554545344</v>
      </c>
      <c r="G73" s="139">
        <f ca="1">IF(ROUND(SUM(B73:C73,-F73),0)=0,0,IF($B$6="Yes",SUM($C$9:C73),SUM(B73:C73,-F73)))</f>
        <v>188941.64034984444</v>
      </c>
    </row>
    <row r="74" spans="1:7" ht="16.149999999999999" customHeight="1" x14ac:dyDescent="0.25">
      <c r="A74" s="136">
        <f t="shared" ca="1" si="1"/>
        <v>46234</v>
      </c>
      <c r="B74" s="137">
        <f t="shared" ca="1" si="2"/>
        <v>188941.64034984444</v>
      </c>
      <c r="C74" s="137">
        <f ca="1">IF(ISNA(MATCH($A74,CashFlow!$C$4:$AO$4,0))=TRUE,0,OFFSET(CashFlow!$B$37,0,MATCH($A74,CashFlow!$C$4:$AO$4,0),1,1))</f>
        <v>0</v>
      </c>
      <c r="D74" s="138">
        <f t="shared" ca="1" si="3"/>
        <v>16198.515522299404</v>
      </c>
      <c r="E74" s="138">
        <f t="shared" ca="1" si="4"/>
        <v>1968.1420869775463</v>
      </c>
      <c r="F74" s="138">
        <f t="shared" ref="F74:F137" ca="1" si="5">IF($B$6="Yes",0,D74-E74)</f>
        <v>14230.373435321857</v>
      </c>
      <c r="G74" s="139">
        <f ca="1">IF(ROUND(SUM(B74:C74,-F74),0)=0,0,IF($B$6="Yes",SUM($C$9:C74),SUM(B74:C74,-F74)))</f>
        <v>174711.2669145226</v>
      </c>
    </row>
    <row r="75" spans="1:7" ht="16.149999999999999" customHeight="1" x14ac:dyDescent="0.25">
      <c r="A75" s="136">
        <f t="shared" ref="A75:A125" ca="1" si="6">DATE(YEAR(A74),MONTH(A74)+2,0)</f>
        <v>46265</v>
      </c>
      <c r="B75" s="137">
        <f t="shared" ref="B75:B138" ca="1" si="7">G74</f>
        <v>174711.2669145226</v>
      </c>
      <c r="C75" s="137">
        <f ca="1">IF(ISNA(MATCH($A75,CashFlow!$C$4:$AO$4,0))=TRUE,0,OFFSET(CashFlow!$B$37,0,MATCH($A75,CashFlow!$C$4:$AO$4,0),1,1))</f>
        <v>0</v>
      </c>
      <c r="D75" s="138">
        <f t="shared" ref="D75:D138" ca="1" si="8">IF($B$6="Yes",0,IF(ROW(C75)-ROW($C$9)&gt;$B$5*12,-PMT($B$4/12,$B$5*12,SUM(OFFSET(C75,0,0,-$B$5*12,1)),0,0),-PMT($B$4/12,$B$5*12,SUM(OFFSET(C75,0,0,ROW($C$8)-ROW(C75),1)),0,0)))</f>
        <v>16198.515522299404</v>
      </c>
      <c r="E75" s="138">
        <f t="shared" ref="E75:E138" ca="1" si="9">(G74+C75)*$B$4/12</f>
        <v>1819.9090303596104</v>
      </c>
      <c r="F75" s="138">
        <f t="shared" ca="1" si="5"/>
        <v>14378.606491939794</v>
      </c>
      <c r="G75" s="139">
        <f ca="1">IF(ROUND(SUM(B75:C75,-F75),0)=0,0,IF($B$6="Yes",SUM($C$9:C75),SUM(B75:C75,-F75)))</f>
        <v>160332.66042258279</v>
      </c>
    </row>
    <row r="76" spans="1:7" ht="16.149999999999999" customHeight="1" x14ac:dyDescent="0.25">
      <c r="A76" s="136">
        <f t="shared" ca="1" si="6"/>
        <v>46295</v>
      </c>
      <c r="B76" s="137">
        <f t="shared" ca="1" si="7"/>
        <v>160332.66042258279</v>
      </c>
      <c r="C76" s="137">
        <f ca="1">IF(ISNA(MATCH($A76,CashFlow!$C$4:$AO$4,0))=TRUE,0,OFFSET(CashFlow!$B$37,0,MATCH($A76,CashFlow!$C$4:$AO$4,0),1,1))</f>
        <v>0</v>
      </c>
      <c r="D76" s="138">
        <f t="shared" ca="1" si="8"/>
        <v>16198.515522299404</v>
      </c>
      <c r="E76" s="138">
        <f t="shared" ca="1" si="9"/>
        <v>1670.1318794019041</v>
      </c>
      <c r="F76" s="138">
        <f t="shared" ca="1" si="5"/>
        <v>14528.383642897499</v>
      </c>
      <c r="G76" s="139">
        <f ca="1">IF(ROUND(SUM(B76:C76,-F76),0)=0,0,IF($B$6="Yes",SUM($C$9:C76),SUM(B76:C76,-F76)))</f>
        <v>145804.27677968529</v>
      </c>
    </row>
    <row r="77" spans="1:7" ht="16.149999999999999" customHeight="1" x14ac:dyDescent="0.25">
      <c r="A77" s="136">
        <f t="shared" ca="1" si="6"/>
        <v>46326</v>
      </c>
      <c r="B77" s="137">
        <f t="shared" ca="1" si="7"/>
        <v>145804.27677968529</v>
      </c>
      <c r="C77" s="137">
        <f ca="1">IF(ISNA(MATCH($A77,CashFlow!$C$4:$AO$4,0))=TRUE,0,OFFSET(CashFlow!$B$37,0,MATCH($A77,CashFlow!$C$4:$AO$4,0),1,1))</f>
        <v>0</v>
      </c>
      <c r="D77" s="138">
        <f t="shared" ca="1" si="8"/>
        <v>16198.515522299404</v>
      </c>
      <c r="E77" s="138">
        <f t="shared" ca="1" si="9"/>
        <v>1518.7945497883884</v>
      </c>
      <c r="F77" s="138">
        <f t="shared" ca="1" si="5"/>
        <v>14679.720972511015</v>
      </c>
      <c r="G77" s="139">
        <f ca="1">IF(ROUND(SUM(B77:C77,-F77),0)=0,0,IF($B$6="Yes",SUM($C$9:C77),SUM(B77:C77,-F77)))</f>
        <v>131124.55580717427</v>
      </c>
    </row>
    <row r="78" spans="1:7" ht="16.149999999999999" customHeight="1" x14ac:dyDescent="0.25">
      <c r="A78" s="136">
        <f t="shared" ca="1" si="6"/>
        <v>46356</v>
      </c>
      <c r="B78" s="137">
        <f t="shared" ca="1" si="7"/>
        <v>131124.55580717427</v>
      </c>
      <c r="C78" s="137">
        <f ca="1">IF(ISNA(MATCH($A78,CashFlow!$C$4:$AO$4,0))=TRUE,0,OFFSET(CashFlow!$B$37,0,MATCH($A78,CashFlow!$C$4:$AO$4,0),1,1))</f>
        <v>0</v>
      </c>
      <c r="D78" s="138">
        <f t="shared" ca="1" si="8"/>
        <v>16198.515522299404</v>
      </c>
      <c r="E78" s="138">
        <f t="shared" ca="1" si="9"/>
        <v>1365.8807896580654</v>
      </c>
      <c r="F78" s="138">
        <f t="shared" ca="1" si="5"/>
        <v>14832.634732641338</v>
      </c>
      <c r="G78" s="139">
        <f ca="1">IF(ROUND(SUM(B78:C78,-F78),0)=0,0,IF($B$6="Yes",SUM($C$9:C78),SUM(B78:C78,-F78)))</f>
        <v>116291.92107453293</v>
      </c>
    </row>
    <row r="79" spans="1:7" ht="16.149999999999999" customHeight="1" x14ac:dyDescent="0.25">
      <c r="A79" s="136">
        <f t="shared" ca="1" si="6"/>
        <v>46387</v>
      </c>
      <c r="B79" s="137">
        <f t="shared" ca="1" si="7"/>
        <v>116291.92107453293</v>
      </c>
      <c r="C79" s="137">
        <f ca="1">IF(ISNA(MATCH($A79,CashFlow!$C$4:$AO$4,0))=TRUE,0,OFFSET(CashFlow!$B$37,0,MATCH($A79,CashFlow!$C$4:$AO$4,0),1,1))</f>
        <v>0</v>
      </c>
      <c r="D79" s="138">
        <f t="shared" ca="1" si="8"/>
        <v>16198.515522299404</v>
      </c>
      <c r="E79" s="138">
        <f t="shared" ca="1" si="9"/>
        <v>1211.374177859718</v>
      </c>
      <c r="F79" s="138">
        <f t="shared" ca="1" si="5"/>
        <v>14987.141344439686</v>
      </c>
      <c r="G79" s="139">
        <f ca="1">IF(ROUND(SUM(B79:C79,-F79),0)=0,0,IF($B$6="Yes",SUM($C$9:C79),SUM(B79:C79,-F79)))</f>
        <v>101304.77973009324</v>
      </c>
    </row>
    <row r="80" spans="1:7" ht="16.149999999999999" customHeight="1" x14ac:dyDescent="0.25">
      <c r="A80" s="136">
        <f t="shared" ca="1" si="6"/>
        <v>46418</v>
      </c>
      <c r="B80" s="137">
        <f t="shared" ca="1" si="7"/>
        <v>101304.77973009324</v>
      </c>
      <c r="C80" s="137">
        <f ca="1">IF(ISNA(MATCH($A80,CashFlow!$C$4:$AO$4,0))=TRUE,0,OFFSET(CashFlow!$B$37,0,MATCH($A80,CashFlow!$C$4:$AO$4,0),1,1))</f>
        <v>0</v>
      </c>
      <c r="D80" s="138">
        <f t="shared" ca="1" si="8"/>
        <v>10799.010348199603</v>
      </c>
      <c r="E80" s="138">
        <f t="shared" ca="1" si="9"/>
        <v>1055.2581221884714</v>
      </c>
      <c r="F80" s="138">
        <f t="shared" ca="1" si="5"/>
        <v>9743.7522260111309</v>
      </c>
      <c r="G80" s="139">
        <f ca="1">IF(ROUND(SUM(B80:C80,-F80),0)=0,0,IF($B$6="Yes",SUM($C$9:C80),SUM(B80:C80,-F80)))</f>
        <v>91561.027504082114</v>
      </c>
    </row>
    <row r="81" spans="1:7" ht="16.149999999999999" customHeight="1" x14ac:dyDescent="0.25">
      <c r="A81" s="136">
        <f t="shared" ca="1" si="6"/>
        <v>46446</v>
      </c>
      <c r="B81" s="137">
        <f t="shared" ca="1" si="7"/>
        <v>91561.027504082114</v>
      </c>
      <c r="C81" s="137">
        <f ca="1">IF(ISNA(MATCH($A81,CashFlow!$C$4:$AO$4,0))=TRUE,0,OFFSET(CashFlow!$B$37,0,MATCH($A81,CashFlow!$C$4:$AO$4,0),1,1))</f>
        <v>0</v>
      </c>
      <c r="D81" s="138">
        <f t="shared" ca="1" si="8"/>
        <v>10799.010348199603</v>
      </c>
      <c r="E81" s="138">
        <f t="shared" ca="1" si="9"/>
        <v>953.76070316752202</v>
      </c>
      <c r="F81" s="138">
        <f t="shared" ca="1" si="5"/>
        <v>9845.2496450320814</v>
      </c>
      <c r="G81" s="139">
        <f ca="1">IF(ROUND(SUM(B81:C81,-F81),0)=0,0,IF($B$6="Yes",SUM($C$9:C81),SUM(B81:C81,-F81)))</f>
        <v>81715.777859050038</v>
      </c>
    </row>
    <row r="82" spans="1:7" ht="16.149999999999999" customHeight="1" x14ac:dyDescent="0.25">
      <c r="A82" s="136">
        <f t="shared" ca="1" si="6"/>
        <v>46477</v>
      </c>
      <c r="B82" s="137">
        <f t="shared" ca="1" si="7"/>
        <v>81715.777859050038</v>
      </c>
      <c r="C82" s="137">
        <f ca="1">IF(ISNA(MATCH($A82,CashFlow!$C$4:$AO$4,0))=TRUE,0,OFFSET(CashFlow!$B$37,0,MATCH($A82,CashFlow!$C$4:$AO$4,0),1,1))</f>
        <v>0</v>
      </c>
      <c r="D82" s="138">
        <f t="shared" ca="1" si="8"/>
        <v>10799.010348199603</v>
      </c>
      <c r="E82" s="138">
        <f t="shared" ca="1" si="9"/>
        <v>851.20601936510457</v>
      </c>
      <c r="F82" s="138">
        <f t="shared" ca="1" si="5"/>
        <v>9947.8043288344979</v>
      </c>
      <c r="G82" s="139">
        <f ca="1">IF(ROUND(SUM(B82:C82,-F82),0)=0,0,IF($B$6="Yes",SUM($C$9:C82),SUM(B82:C82,-F82)))</f>
        <v>71767.973530215546</v>
      </c>
    </row>
    <row r="83" spans="1:7" ht="16.149999999999999" customHeight="1" x14ac:dyDescent="0.25">
      <c r="A83" s="136">
        <f t="shared" ca="1" si="6"/>
        <v>46507</v>
      </c>
      <c r="B83" s="137">
        <f t="shared" ca="1" si="7"/>
        <v>71767.973530215546</v>
      </c>
      <c r="C83" s="137">
        <f ca="1">IF(ISNA(MATCH($A83,CashFlow!$C$4:$AO$4,0))=TRUE,0,OFFSET(CashFlow!$B$37,0,MATCH($A83,CashFlow!$C$4:$AO$4,0),1,1))</f>
        <v>0</v>
      </c>
      <c r="D83" s="138">
        <f t="shared" ca="1" si="8"/>
        <v>10799.010348199603</v>
      </c>
      <c r="E83" s="138">
        <f t="shared" ca="1" si="9"/>
        <v>747.5830576064119</v>
      </c>
      <c r="F83" s="138">
        <f t="shared" ca="1" si="5"/>
        <v>10051.42729059319</v>
      </c>
      <c r="G83" s="139">
        <f ca="1">IF(ROUND(SUM(B83:C83,-F83),0)=0,0,IF($B$6="Yes",SUM($C$9:C83),SUM(B83:C83,-F83)))</f>
        <v>61716.546239622359</v>
      </c>
    </row>
    <row r="84" spans="1:7" ht="16.149999999999999" customHeight="1" x14ac:dyDescent="0.25">
      <c r="A84" s="136">
        <f t="shared" ca="1" si="6"/>
        <v>46538</v>
      </c>
      <c r="B84" s="137">
        <f t="shared" ca="1" si="7"/>
        <v>61716.546239622359</v>
      </c>
      <c r="C84" s="137">
        <f ca="1">IF(ISNA(MATCH($A84,CashFlow!$C$4:$AO$4,0))=TRUE,0,OFFSET(CashFlow!$B$37,0,MATCH($A84,CashFlow!$C$4:$AO$4,0),1,1))</f>
        <v>0</v>
      </c>
      <c r="D84" s="138">
        <f t="shared" ca="1" si="8"/>
        <v>10799.010348199603</v>
      </c>
      <c r="E84" s="138">
        <f t="shared" ca="1" si="9"/>
        <v>642.88068999606628</v>
      </c>
      <c r="F84" s="138">
        <f t="shared" ca="1" si="5"/>
        <v>10156.129658203537</v>
      </c>
      <c r="G84" s="139">
        <f ca="1">IF(ROUND(SUM(B84:C84,-F84),0)=0,0,IF($B$6="Yes",SUM($C$9:C84),SUM(B84:C84,-F84)))</f>
        <v>51560.416581418824</v>
      </c>
    </row>
    <row r="85" spans="1:7" ht="16.149999999999999" customHeight="1" x14ac:dyDescent="0.25">
      <c r="A85" s="136">
        <f t="shared" ca="1" si="6"/>
        <v>46568</v>
      </c>
      <c r="B85" s="137">
        <f t="shared" ca="1" si="7"/>
        <v>51560.416581418824</v>
      </c>
      <c r="C85" s="137">
        <f ca="1">IF(ISNA(MATCH($A85,CashFlow!$C$4:$AO$4,0))=TRUE,0,OFFSET(CashFlow!$B$37,0,MATCH($A85,CashFlow!$C$4:$AO$4,0),1,1))</f>
        <v>0</v>
      </c>
      <c r="D85" s="138">
        <f t="shared" ca="1" si="8"/>
        <v>10799.010348199603</v>
      </c>
      <c r="E85" s="138">
        <f t="shared" ca="1" si="9"/>
        <v>537.08767272311275</v>
      </c>
      <c r="F85" s="138">
        <f t="shared" ca="1" si="5"/>
        <v>10261.92267547649</v>
      </c>
      <c r="G85" s="139">
        <f ca="1">IF(ROUND(SUM(B85:C85,-F85),0)=0,0,IF($B$6="Yes",SUM($C$9:C85),SUM(B85:C85,-F85)))</f>
        <v>41298.493905942334</v>
      </c>
    </row>
    <row r="86" spans="1:7" ht="16.149999999999999" customHeight="1" x14ac:dyDescent="0.25">
      <c r="A86" s="136">
        <f t="shared" ca="1" si="6"/>
        <v>46599</v>
      </c>
      <c r="B86" s="137">
        <f t="shared" ca="1" si="7"/>
        <v>41298.493905942334</v>
      </c>
      <c r="C86" s="137">
        <f ca="1">IF(ISNA(MATCH($A86,CashFlow!$C$4:$AO$4,0))=TRUE,0,OFFSET(CashFlow!$B$37,0,MATCH($A86,CashFlow!$C$4:$AO$4,0),1,1))</f>
        <v>0</v>
      </c>
      <c r="D86" s="138">
        <f t="shared" ca="1" si="8"/>
        <v>10799.010348199603</v>
      </c>
      <c r="E86" s="138">
        <f t="shared" ca="1" si="9"/>
        <v>430.19264485356598</v>
      </c>
      <c r="F86" s="138">
        <f t="shared" ca="1" si="5"/>
        <v>10368.817703346038</v>
      </c>
      <c r="G86" s="139">
        <f ca="1">IF(ROUND(SUM(B86:C86,-F86),0)=0,0,IF($B$6="Yes",SUM($C$9:C86),SUM(B86:C86,-F86)))</f>
        <v>30929.676202596296</v>
      </c>
    </row>
    <row r="87" spans="1:7" ht="16.149999999999999" customHeight="1" x14ac:dyDescent="0.25">
      <c r="A87" s="136">
        <f t="shared" ca="1" si="6"/>
        <v>46630</v>
      </c>
      <c r="B87" s="137">
        <f t="shared" ca="1" si="7"/>
        <v>30929.676202596296</v>
      </c>
      <c r="C87" s="137">
        <f ca="1">IF(ISNA(MATCH($A87,CashFlow!$C$4:$AO$4,0))=TRUE,0,OFFSET(CashFlow!$B$37,0,MATCH($A87,CashFlow!$C$4:$AO$4,0),1,1))</f>
        <v>0</v>
      </c>
      <c r="D87" s="138">
        <f t="shared" ca="1" si="8"/>
        <v>4049.6288805748509</v>
      </c>
      <c r="E87" s="138">
        <f t="shared" ca="1" si="9"/>
        <v>322.18412711037809</v>
      </c>
      <c r="F87" s="138">
        <f t="shared" ca="1" si="5"/>
        <v>3727.4447534644728</v>
      </c>
      <c r="G87" s="139">
        <f ca="1">IF(ROUND(SUM(B87:C87,-F87),0)=0,0,IF($B$6="Yes",SUM($C$9:C87),SUM(B87:C87,-F87)))</f>
        <v>27202.231449131825</v>
      </c>
    </row>
    <row r="88" spans="1:7" ht="16.149999999999999" customHeight="1" x14ac:dyDescent="0.25">
      <c r="A88" s="136">
        <f t="shared" ca="1" si="6"/>
        <v>46660</v>
      </c>
      <c r="B88" s="137">
        <f t="shared" ca="1" si="7"/>
        <v>27202.231449131825</v>
      </c>
      <c r="C88" s="137">
        <f ca="1">IF(ISNA(MATCH($A88,CashFlow!$C$4:$AO$4,0))=TRUE,0,OFFSET(CashFlow!$B$37,0,MATCH($A88,CashFlow!$C$4:$AO$4,0),1,1))</f>
        <v>0</v>
      </c>
      <c r="D88" s="138">
        <f t="shared" ca="1" si="8"/>
        <v>4049.6288805748509</v>
      </c>
      <c r="E88" s="138">
        <f t="shared" ca="1" si="9"/>
        <v>283.35657759512316</v>
      </c>
      <c r="F88" s="138">
        <f t="shared" ca="1" si="5"/>
        <v>3766.2723029797276</v>
      </c>
      <c r="G88" s="139">
        <f ca="1">IF(ROUND(SUM(B88:C88,-F88),0)=0,0,IF($B$6="Yes",SUM($C$9:C88),SUM(B88:C88,-F88)))</f>
        <v>23435.959146152098</v>
      </c>
    </row>
    <row r="89" spans="1:7" ht="16.149999999999999" customHeight="1" x14ac:dyDescent="0.25">
      <c r="A89" s="136">
        <f t="shared" ca="1" si="6"/>
        <v>46691</v>
      </c>
      <c r="B89" s="137">
        <f t="shared" ca="1" si="7"/>
        <v>23435.959146152098</v>
      </c>
      <c r="C89" s="137">
        <f ca="1">IF(ISNA(MATCH($A89,CashFlow!$C$4:$AO$4,0))=TRUE,0,OFFSET(CashFlow!$B$37,0,MATCH($A89,CashFlow!$C$4:$AO$4,0),1,1))</f>
        <v>0</v>
      </c>
      <c r="D89" s="138">
        <f t="shared" ca="1" si="8"/>
        <v>4049.6288805748509</v>
      </c>
      <c r="E89" s="138">
        <f t="shared" ca="1" si="9"/>
        <v>244.12457443908434</v>
      </c>
      <c r="F89" s="138">
        <f t="shared" ca="1" si="5"/>
        <v>3805.5043061357665</v>
      </c>
      <c r="G89" s="139">
        <f ca="1">IF(ROUND(SUM(B89:C89,-F89),0)=0,0,IF($B$6="Yes",SUM($C$9:C89),SUM(B89:C89,-F89)))</f>
        <v>19630.454840016333</v>
      </c>
    </row>
    <row r="90" spans="1:7" ht="16.149999999999999" customHeight="1" x14ac:dyDescent="0.25">
      <c r="A90" s="136">
        <f t="shared" ca="1" si="6"/>
        <v>46721</v>
      </c>
      <c r="B90" s="137">
        <f t="shared" ca="1" si="7"/>
        <v>19630.454840016333</v>
      </c>
      <c r="C90" s="137">
        <f ca="1">IF(ISNA(MATCH($A90,CashFlow!$C$4:$AO$4,0))=TRUE,0,OFFSET(CashFlow!$B$37,0,MATCH($A90,CashFlow!$C$4:$AO$4,0),1,1))</f>
        <v>0</v>
      </c>
      <c r="D90" s="138">
        <f t="shared" ca="1" si="8"/>
        <v>4049.6288805748509</v>
      </c>
      <c r="E90" s="138">
        <f t="shared" ca="1" si="9"/>
        <v>204.48390458350346</v>
      </c>
      <c r="F90" s="138">
        <f t="shared" ca="1" si="5"/>
        <v>3845.1449759913476</v>
      </c>
      <c r="G90" s="139">
        <f ca="1">IF(ROUND(SUM(B90:C90,-F90),0)=0,0,IF($B$6="Yes",SUM($C$9:C90),SUM(B90:C90,-F90)))</f>
        <v>15785.309864024985</v>
      </c>
    </row>
    <row r="91" spans="1:7" ht="16.149999999999999" customHeight="1" x14ac:dyDescent="0.25">
      <c r="A91" s="136">
        <f t="shared" ca="1" si="6"/>
        <v>46752</v>
      </c>
      <c r="B91" s="137">
        <f t="shared" ca="1" si="7"/>
        <v>15785.309864024985</v>
      </c>
      <c r="C91" s="137">
        <f ca="1">IF(ISNA(MATCH($A91,CashFlow!$C$4:$AO$4,0))=TRUE,0,OFFSET(CashFlow!$B$37,0,MATCH($A91,CashFlow!$C$4:$AO$4,0),1,1))</f>
        <v>0</v>
      </c>
      <c r="D91" s="138">
        <f t="shared" ca="1" si="8"/>
        <v>4049.6288805748509</v>
      </c>
      <c r="E91" s="138">
        <f t="shared" ca="1" si="9"/>
        <v>164.43031108359358</v>
      </c>
      <c r="F91" s="138">
        <f t="shared" ca="1" si="5"/>
        <v>3885.1985694912573</v>
      </c>
      <c r="G91" s="139">
        <f ca="1">IF(ROUND(SUM(B91:C91,-F91),0)=0,0,IF($B$6="Yes",SUM($C$9:C91),SUM(B91:C91,-F91)))</f>
        <v>11900.111294533726</v>
      </c>
    </row>
    <row r="92" spans="1:7" ht="16.149999999999999" customHeight="1" x14ac:dyDescent="0.25">
      <c r="A92" s="136">
        <f t="shared" ca="1" si="6"/>
        <v>46783</v>
      </c>
      <c r="B92" s="137">
        <f t="shared" ca="1" si="7"/>
        <v>11900.111294533726</v>
      </c>
      <c r="C92" s="137">
        <f ca="1">IF(ISNA(MATCH($A92,CashFlow!$C$4:$AO$4,0))=TRUE,0,OFFSET(CashFlow!$B$37,0,MATCH($A92,CashFlow!$C$4:$AO$4,0),1,1))</f>
        <v>0</v>
      </c>
      <c r="D92" s="138">
        <f t="shared" ca="1" si="8"/>
        <v>4049.6288805748509</v>
      </c>
      <c r="E92" s="138">
        <f t="shared" ca="1" si="9"/>
        <v>123.95949265139298</v>
      </c>
      <c r="F92" s="138">
        <f t="shared" ca="1" si="5"/>
        <v>3925.6693879234581</v>
      </c>
      <c r="G92" s="139">
        <f ca="1">IF(ROUND(SUM(B92:C92,-F92),0)=0,0,IF($B$6="Yes",SUM($C$9:C92),SUM(B92:C92,-F92)))</f>
        <v>7974.4419066102682</v>
      </c>
    </row>
    <row r="93" spans="1:7" ht="16.149999999999999" customHeight="1" x14ac:dyDescent="0.25">
      <c r="A93" s="136">
        <f t="shared" ca="1" si="6"/>
        <v>46812</v>
      </c>
      <c r="B93" s="137">
        <f t="shared" ca="1" si="7"/>
        <v>7974.4419066102682</v>
      </c>
      <c r="C93" s="137">
        <f ca="1">IF(ISNA(MATCH($A93,CashFlow!$C$4:$AO$4,0))=TRUE,0,OFFSET(CashFlow!$B$37,0,MATCH($A93,CashFlow!$C$4:$AO$4,0),1,1))</f>
        <v>0</v>
      </c>
      <c r="D93" s="138">
        <f t="shared" ca="1" si="8"/>
        <v>4049.6288805748509</v>
      </c>
      <c r="E93" s="138">
        <f t="shared" ca="1" si="9"/>
        <v>83.067103193856966</v>
      </c>
      <c r="F93" s="138">
        <f t="shared" ca="1" si="5"/>
        <v>3966.561777380994</v>
      </c>
      <c r="G93" s="139">
        <f ca="1">IF(ROUND(SUM(B93:C93,-F93),0)=0,0,IF($B$6="Yes",SUM($C$9:C93),SUM(B93:C93,-F93)))</f>
        <v>4007.8801292292742</v>
      </c>
    </row>
    <row r="94" spans="1:7" ht="16.149999999999999" customHeight="1" x14ac:dyDescent="0.25">
      <c r="A94" s="136">
        <f t="shared" ca="1" si="6"/>
        <v>46843</v>
      </c>
      <c r="B94" s="137">
        <f t="shared" ca="1" si="7"/>
        <v>4007.8801292292742</v>
      </c>
      <c r="C94" s="137">
        <f ca="1">IF(ISNA(MATCH($A94,CashFlow!$C$4:$AO$4,0))=TRUE,0,OFFSET(CashFlow!$B$37,0,MATCH($A94,CashFlow!$C$4:$AO$4,0),1,1))</f>
        <v>0</v>
      </c>
      <c r="D94" s="138">
        <f t="shared" ca="1" si="8"/>
        <v>4049.6288805748509</v>
      </c>
      <c r="E94" s="138">
        <f t="shared" ca="1" si="9"/>
        <v>41.74875134613827</v>
      </c>
      <c r="F94" s="138">
        <f t="shared" ca="1" si="5"/>
        <v>4007.8801292287126</v>
      </c>
      <c r="G94" s="139">
        <f ca="1">IF(ROUND(SUM(B94:C94,-F94),0)=0,0,IF($B$6="Yes",SUM($C$9:C94),SUM(B94:C94,-F94)))</f>
        <v>0</v>
      </c>
    </row>
    <row r="95" spans="1:7" ht="16.149999999999999" customHeight="1" x14ac:dyDescent="0.25">
      <c r="A95" s="136">
        <f t="shared" ca="1" si="6"/>
        <v>46873</v>
      </c>
      <c r="B95" s="137">
        <f t="shared" ca="1" si="7"/>
        <v>0</v>
      </c>
      <c r="C95" s="137">
        <f ca="1">IF(ISNA(MATCH($A95,CashFlow!$C$4:$AO$4,0))=TRUE,0,OFFSET(CashFlow!$B$37,0,MATCH($A95,CashFlow!$C$4:$AO$4,0),1,1))</f>
        <v>0</v>
      </c>
      <c r="D95" s="138">
        <f t="shared" ca="1" si="8"/>
        <v>0</v>
      </c>
      <c r="E95" s="138">
        <f t="shared" ca="1" si="9"/>
        <v>0</v>
      </c>
      <c r="F95" s="138">
        <f t="shared" ca="1" si="5"/>
        <v>0</v>
      </c>
      <c r="G95" s="139">
        <f ca="1">IF(ROUND(SUM(B95:C95,-F95),0)=0,0,IF($B$6="Yes",SUM($C$9:C95),SUM(B95:C95,-F95)))</f>
        <v>0</v>
      </c>
    </row>
    <row r="96" spans="1:7" ht="16.149999999999999" customHeight="1" x14ac:dyDescent="0.25">
      <c r="A96" s="136">
        <f t="shared" ca="1" si="6"/>
        <v>46904</v>
      </c>
      <c r="B96" s="137">
        <f t="shared" ca="1" si="7"/>
        <v>0</v>
      </c>
      <c r="C96" s="137">
        <f ca="1">IF(ISNA(MATCH($A96,CashFlow!$C$4:$AO$4,0))=TRUE,0,OFFSET(CashFlow!$B$37,0,MATCH($A96,CashFlow!$C$4:$AO$4,0),1,1))</f>
        <v>0</v>
      </c>
      <c r="D96" s="138">
        <f t="shared" ca="1" si="8"/>
        <v>0</v>
      </c>
      <c r="E96" s="138">
        <f t="shared" ca="1" si="9"/>
        <v>0</v>
      </c>
      <c r="F96" s="138">
        <f t="shared" ca="1" si="5"/>
        <v>0</v>
      </c>
      <c r="G96" s="139">
        <f ca="1">IF(ROUND(SUM(B96:C96,-F96),0)=0,0,IF($B$6="Yes",SUM($C$9:C96),SUM(B96:C96,-F96)))</f>
        <v>0</v>
      </c>
    </row>
    <row r="97" spans="1:7" ht="16.149999999999999" customHeight="1" x14ac:dyDescent="0.25">
      <c r="A97" s="136">
        <f t="shared" ca="1" si="6"/>
        <v>46934</v>
      </c>
      <c r="B97" s="137">
        <f t="shared" ca="1" si="7"/>
        <v>0</v>
      </c>
      <c r="C97" s="137">
        <f ca="1">IF(ISNA(MATCH($A97,CashFlow!$C$4:$AO$4,0))=TRUE,0,OFFSET(CashFlow!$B$37,0,MATCH($A97,CashFlow!$C$4:$AO$4,0),1,1))</f>
        <v>0</v>
      </c>
      <c r="D97" s="138">
        <f t="shared" ca="1" si="8"/>
        <v>0</v>
      </c>
      <c r="E97" s="138">
        <f t="shared" ca="1" si="9"/>
        <v>0</v>
      </c>
      <c r="F97" s="138">
        <f t="shared" ca="1" si="5"/>
        <v>0</v>
      </c>
      <c r="G97" s="139">
        <f ca="1">IF(ROUND(SUM(B97:C97,-F97),0)=0,0,IF($B$6="Yes",SUM($C$9:C97),SUM(B97:C97,-F97)))</f>
        <v>0</v>
      </c>
    </row>
    <row r="98" spans="1:7" ht="16.149999999999999" customHeight="1" x14ac:dyDescent="0.25">
      <c r="A98" s="136">
        <f t="shared" ca="1" si="6"/>
        <v>46965</v>
      </c>
      <c r="B98" s="137">
        <f t="shared" ca="1" si="7"/>
        <v>0</v>
      </c>
      <c r="C98" s="137">
        <f ca="1">IF(ISNA(MATCH($A98,CashFlow!$C$4:$AO$4,0))=TRUE,0,OFFSET(CashFlow!$B$37,0,MATCH($A98,CashFlow!$C$4:$AO$4,0),1,1))</f>
        <v>0</v>
      </c>
      <c r="D98" s="138">
        <f t="shared" ca="1" si="8"/>
        <v>0</v>
      </c>
      <c r="E98" s="138">
        <f t="shared" ca="1" si="9"/>
        <v>0</v>
      </c>
      <c r="F98" s="138">
        <f t="shared" ca="1" si="5"/>
        <v>0</v>
      </c>
      <c r="G98" s="139">
        <f ca="1">IF(ROUND(SUM(B98:C98,-F98),0)=0,0,IF($B$6="Yes",SUM($C$9:C98),SUM(B98:C98,-F98)))</f>
        <v>0</v>
      </c>
    </row>
    <row r="99" spans="1:7" ht="16.149999999999999" customHeight="1" x14ac:dyDescent="0.25">
      <c r="A99" s="136">
        <f t="shared" ca="1" si="6"/>
        <v>46996</v>
      </c>
      <c r="B99" s="137">
        <f t="shared" ca="1" si="7"/>
        <v>0</v>
      </c>
      <c r="C99" s="137">
        <f ca="1">IF(ISNA(MATCH($A99,CashFlow!$C$4:$AO$4,0))=TRUE,0,OFFSET(CashFlow!$B$37,0,MATCH($A99,CashFlow!$C$4:$AO$4,0),1,1))</f>
        <v>0</v>
      </c>
      <c r="D99" s="138">
        <f t="shared" ca="1" si="8"/>
        <v>0</v>
      </c>
      <c r="E99" s="138">
        <f t="shared" ca="1" si="9"/>
        <v>0</v>
      </c>
      <c r="F99" s="138">
        <f t="shared" ca="1" si="5"/>
        <v>0</v>
      </c>
      <c r="G99" s="139">
        <f ca="1">IF(ROUND(SUM(B99:C99,-F99),0)=0,0,IF($B$6="Yes",SUM($C$9:C99),SUM(B99:C99,-F99)))</f>
        <v>0</v>
      </c>
    </row>
    <row r="100" spans="1:7" ht="16.149999999999999" customHeight="1" x14ac:dyDescent="0.25">
      <c r="A100" s="136">
        <f t="shared" ca="1" si="6"/>
        <v>47026</v>
      </c>
      <c r="B100" s="137">
        <f t="shared" ca="1" si="7"/>
        <v>0</v>
      </c>
      <c r="C100" s="137">
        <f ca="1">IF(ISNA(MATCH($A100,CashFlow!$C$4:$AO$4,0))=TRUE,0,OFFSET(CashFlow!$B$37,0,MATCH($A100,CashFlow!$C$4:$AO$4,0),1,1))</f>
        <v>0</v>
      </c>
      <c r="D100" s="138">
        <f t="shared" ca="1" si="8"/>
        <v>0</v>
      </c>
      <c r="E100" s="138">
        <f t="shared" ca="1" si="9"/>
        <v>0</v>
      </c>
      <c r="F100" s="138">
        <f t="shared" ca="1" si="5"/>
        <v>0</v>
      </c>
      <c r="G100" s="139">
        <f ca="1">IF(ROUND(SUM(B100:C100,-F100),0)=0,0,IF($B$6="Yes",SUM($C$9:C100),SUM(B100:C100,-F100)))</f>
        <v>0</v>
      </c>
    </row>
    <row r="101" spans="1:7" ht="16.149999999999999" customHeight="1" x14ac:dyDescent="0.25">
      <c r="A101" s="136">
        <f t="shared" ca="1" si="6"/>
        <v>47057</v>
      </c>
      <c r="B101" s="137">
        <f t="shared" ca="1" si="7"/>
        <v>0</v>
      </c>
      <c r="C101" s="137">
        <f ca="1">IF(ISNA(MATCH($A101,CashFlow!$C$4:$AO$4,0))=TRUE,0,OFFSET(CashFlow!$B$37,0,MATCH($A101,CashFlow!$C$4:$AO$4,0),1,1))</f>
        <v>0</v>
      </c>
      <c r="D101" s="138">
        <f t="shared" ca="1" si="8"/>
        <v>0</v>
      </c>
      <c r="E101" s="138">
        <f t="shared" ca="1" si="9"/>
        <v>0</v>
      </c>
      <c r="F101" s="138">
        <f t="shared" ca="1" si="5"/>
        <v>0</v>
      </c>
      <c r="G101" s="139">
        <f ca="1">IF(ROUND(SUM(B101:C101,-F101),0)=0,0,IF($B$6="Yes",SUM($C$9:C101),SUM(B101:C101,-F101)))</f>
        <v>0</v>
      </c>
    </row>
    <row r="102" spans="1:7" ht="16.149999999999999" customHeight="1" x14ac:dyDescent="0.25">
      <c r="A102" s="136">
        <f t="shared" ca="1" si="6"/>
        <v>47087</v>
      </c>
      <c r="B102" s="137">
        <f t="shared" ca="1" si="7"/>
        <v>0</v>
      </c>
      <c r="C102" s="137">
        <f ca="1">IF(ISNA(MATCH($A102,CashFlow!$C$4:$AO$4,0))=TRUE,0,OFFSET(CashFlow!$B$37,0,MATCH($A102,CashFlow!$C$4:$AO$4,0),1,1))</f>
        <v>0</v>
      </c>
      <c r="D102" s="138">
        <f t="shared" ca="1" si="8"/>
        <v>0</v>
      </c>
      <c r="E102" s="138">
        <f t="shared" ca="1" si="9"/>
        <v>0</v>
      </c>
      <c r="F102" s="138">
        <f t="shared" ca="1" si="5"/>
        <v>0</v>
      </c>
      <c r="G102" s="139">
        <f ca="1">IF(ROUND(SUM(B102:C102,-F102),0)=0,0,IF($B$6="Yes",SUM($C$9:C102),SUM(B102:C102,-F102)))</f>
        <v>0</v>
      </c>
    </row>
    <row r="103" spans="1:7" ht="16.149999999999999" customHeight="1" x14ac:dyDescent="0.25">
      <c r="A103" s="136">
        <f t="shared" ca="1" si="6"/>
        <v>47118</v>
      </c>
      <c r="B103" s="137">
        <f t="shared" ca="1" si="7"/>
        <v>0</v>
      </c>
      <c r="C103" s="137">
        <f ca="1">IF(ISNA(MATCH($A103,CashFlow!$C$4:$AO$4,0))=TRUE,0,OFFSET(CashFlow!$B$37,0,MATCH($A103,CashFlow!$C$4:$AO$4,0),1,1))</f>
        <v>0</v>
      </c>
      <c r="D103" s="138">
        <f t="shared" ca="1" si="8"/>
        <v>0</v>
      </c>
      <c r="E103" s="138">
        <f t="shared" ca="1" si="9"/>
        <v>0</v>
      </c>
      <c r="F103" s="138">
        <f t="shared" ca="1" si="5"/>
        <v>0</v>
      </c>
      <c r="G103" s="139">
        <f ca="1">IF(ROUND(SUM(B103:C103,-F103),0)=0,0,IF($B$6="Yes",SUM($C$9:C103),SUM(B103:C103,-F103)))</f>
        <v>0</v>
      </c>
    </row>
    <row r="104" spans="1:7" ht="16.149999999999999" customHeight="1" x14ac:dyDescent="0.25">
      <c r="A104" s="136">
        <f t="shared" ca="1" si="6"/>
        <v>47149</v>
      </c>
      <c r="B104" s="137">
        <f t="shared" ca="1" si="7"/>
        <v>0</v>
      </c>
      <c r="C104" s="137">
        <f ca="1">IF(ISNA(MATCH($A104,CashFlow!$C$4:$AO$4,0))=TRUE,0,OFFSET(CashFlow!$B$37,0,MATCH($A104,CashFlow!$C$4:$AO$4,0),1,1))</f>
        <v>0</v>
      </c>
      <c r="D104" s="138">
        <f t="shared" ca="1" si="8"/>
        <v>0</v>
      </c>
      <c r="E104" s="138">
        <f t="shared" ca="1" si="9"/>
        <v>0</v>
      </c>
      <c r="F104" s="138">
        <f t="shared" ca="1" si="5"/>
        <v>0</v>
      </c>
      <c r="G104" s="139">
        <f ca="1">IF(ROUND(SUM(B104:C104,-F104),0)=0,0,IF($B$6="Yes",SUM($C$9:C104),SUM(B104:C104,-F104)))</f>
        <v>0</v>
      </c>
    </row>
    <row r="105" spans="1:7" ht="16.149999999999999" customHeight="1" x14ac:dyDescent="0.25">
      <c r="A105" s="136">
        <f t="shared" ca="1" si="6"/>
        <v>47177</v>
      </c>
      <c r="B105" s="137">
        <f t="shared" ca="1" si="7"/>
        <v>0</v>
      </c>
      <c r="C105" s="137">
        <f ca="1">IF(ISNA(MATCH($A105,CashFlow!$C$4:$AO$4,0))=TRUE,0,OFFSET(CashFlow!$B$37,0,MATCH($A105,CashFlow!$C$4:$AO$4,0),1,1))</f>
        <v>0</v>
      </c>
      <c r="D105" s="138">
        <f t="shared" ca="1" si="8"/>
        <v>0</v>
      </c>
      <c r="E105" s="138">
        <f t="shared" ca="1" si="9"/>
        <v>0</v>
      </c>
      <c r="F105" s="138">
        <f t="shared" ca="1" si="5"/>
        <v>0</v>
      </c>
      <c r="G105" s="139">
        <f ca="1">IF(ROUND(SUM(B105:C105,-F105),0)=0,0,IF($B$6="Yes",SUM($C$9:C105),SUM(B105:C105,-F105)))</f>
        <v>0</v>
      </c>
    </row>
    <row r="106" spans="1:7" ht="16.149999999999999" customHeight="1" x14ac:dyDescent="0.25">
      <c r="A106" s="136">
        <f t="shared" ca="1" si="6"/>
        <v>47208</v>
      </c>
      <c r="B106" s="137">
        <f t="shared" ca="1" si="7"/>
        <v>0</v>
      </c>
      <c r="C106" s="137">
        <f ca="1">IF(ISNA(MATCH($A106,CashFlow!$C$4:$AO$4,0))=TRUE,0,OFFSET(CashFlow!$B$37,0,MATCH($A106,CashFlow!$C$4:$AO$4,0),1,1))</f>
        <v>0</v>
      </c>
      <c r="D106" s="138">
        <f t="shared" ca="1" si="8"/>
        <v>0</v>
      </c>
      <c r="E106" s="138">
        <f t="shared" ca="1" si="9"/>
        <v>0</v>
      </c>
      <c r="F106" s="138">
        <f t="shared" ca="1" si="5"/>
        <v>0</v>
      </c>
      <c r="G106" s="139">
        <f ca="1">IF(ROUND(SUM(B106:C106,-F106),0)=0,0,IF($B$6="Yes",SUM($C$9:C106),SUM(B106:C106,-F106)))</f>
        <v>0</v>
      </c>
    </row>
    <row r="107" spans="1:7" ht="16.149999999999999" customHeight="1" x14ac:dyDescent="0.25">
      <c r="A107" s="136">
        <f t="shared" ca="1" si="6"/>
        <v>47238</v>
      </c>
      <c r="B107" s="137">
        <f t="shared" ca="1" si="7"/>
        <v>0</v>
      </c>
      <c r="C107" s="137">
        <f ca="1">IF(ISNA(MATCH($A107,CashFlow!$C$4:$AO$4,0))=TRUE,0,OFFSET(CashFlow!$B$37,0,MATCH($A107,CashFlow!$C$4:$AO$4,0),1,1))</f>
        <v>0</v>
      </c>
      <c r="D107" s="138">
        <f t="shared" ca="1" si="8"/>
        <v>0</v>
      </c>
      <c r="E107" s="138">
        <f t="shared" ca="1" si="9"/>
        <v>0</v>
      </c>
      <c r="F107" s="138">
        <f t="shared" ca="1" si="5"/>
        <v>0</v>
      </c>
      <c r="G107" s="139">
        <f ca="1">IF(ROUND(SUM(B107:C107,-F107),0)=0,0,IF($B$6="Yes",SUM($C$9:C107),SUM(B107:C107,-F107)))</f>
        <v>0</v>
      </c>
    </row>
    <row r="108" spans="1:7" ht="16.149999999999999" customHeight="1" x14ac:dyDescent="0.25">
      <c r="A108" s="136">
        <f t="shared" ca="1" si="6"/>
        <v>47269</v>
      </c>
      <c r="B108" s="137">
        <f t="shared" ca="1" si="7"/>
        <v>0</v>
      </c>
      <c r="C108" s="137">
        <f ca="1">IF(ISNA(MATCH($A108,CashFlow!$C$4:$AO$4,0))=TRUE,0,OFFSET(CashFlow!$B$37,0,MATCH($A108,CashFlow!$C$4:$AO$4,0),1,1))</f>
        <v>0</v>
      </c>
      <c r="D108" s="138">
        <f t="shared" ca="1" si="8"/>
        <v>0</v>
      </c>
      <c r="E108" s="138">
        <f t="shared" ca="1" si="9"/>
        <v>0</v>
      </c>
      <c r="F108" s="138">
        <f t="shared" ca="1" si="5"/>
        <v>0</v>
      </c>
      <c r="G108" s="139">
        <f ca="1">IF(ROUND(SUM(B108:C108,-F108),0)=0,0,IF($B$6="Yes",SUM($C$9:C108),SUM(B108:C108,-F108)))</f>
        <v>0</v>
      </c>
    </row>
    <row r="109" spans="1:7" ht="16.149999999999999" customHeight="1" x14ac:dyDescent="0.25">
      <c r="A109" s="136">
        <f t="shared" ca="1" si="6"/>
        <v>47299</v>
      </c>
      <c r="B109" s="137">
        <f t="shared" ca="1" si="7"/>
        <v>0</v>
      </c>
      <c r="C109" s="137">
        <f ca="1">IF(ISNA(MATCH($A109,CashFlow!$C$4:$AO$4,0))=TRUE,0,OFFSET(CashFlow!$B$37,0,MATCH($A109,CashFlow!$C$4:$AO$4,0),1,1))</f>
        <v>0</v>
      </c>
      <c r="D109" s="138">
        <f t="shared" ca="1" si="8"/>
        <v>0</v>
      </c>
      <c r="E109" s="138">
        <f t="shared" ca="1" si="9"/>
        <v>0</v>
      </c>
      <c r="F109" s="138">
        <f t="shared" ca="1" si="5"/>
        <v>0</v>
      </c>
      <c r="G109" s="139">
        <f ca="1">IF(ROUND(SUM(B109:C109,-F109),0)=0,0,IF($B$6="Yes",SUM($C$9:C109),SUM(B109:C109,-F109)))</f>
        <v>0</v>
      </c>
    </row>
    <row r="110" spans="1:7" ht="16.149999999999999" customHeight="1" x14ac:dyDescent="0.25">
      <c r="A110" s="136">
        <f t="shared" ca="1" si="6"/>
        <v>47330</v>
      </c>
      <c r="B110" s="137">
        <f t="shared" ca="1" si="7"/>
        <v>0</v>
      </c>
      <c r="C110" s="137">
        <f ca="1">IF(ISNA(MATCH($A110,CashFlow!$C$4:$AO$4,0))=TRUE,0,OFFSET(CashFlow!$B$37,0,MATCH($A110,CashFlow!$C$4:$AO$4,0),1,1))</f>
        <v>0</v>
      </c>
      <c r="D110" s="138">
        <f t="shared" ca="1" si="8"/>
        <v>0</v>
      </c>
      <c r="E110" s="138">
        <f t="shared" ca="1" si="9"/>
        <v>0</v>
      </c>
      <c r="F110" s="138">
        <f t="shared" ca="1" si="5"/>
        <v>0</v>
      </c>
      <c r="G110" s="139">
        <f ca="1">IF(ROUND(SUM(B110:C110,-F110),0)=0,0,IF($B$6="Yes",SUM($C$9:C110),SUM(B110:C110,-F110)))</f>
        <v>0</v>
      </c>
    </row>
    <row r="111" spans="1:7" ht="16.149999999999999" customHeight="1" x14ac:dyDescent="0.25">
      <c r="A111" s="136">
        <f t="shared" ca="1" si="6"/>
        <v>47361</v>
      </c>
      <c r="B111" s="137">
        <f t="shared" ca="1" si="7"/>
        <v>0</v>
      </c>
      <c r="C111" s="137">
        <f ca="1">IF(ISNA(MATCH($A111,CashFlow!$C$4:$AO$4,0))=TRUE,0,OFFSET(CashFlow!$B$37,0,MATCH($A111,CashFlow!$C$4:$AO$4,0),1,1))</f>
        <v>0</v>
      </c>
      <c r="D111" s="138">
        <f t="shared" ca="1" si="8"/>
        <v>0</v>
      </c>
      <c r="E111" s="138">
        <f t="shared" ca="1" si="9"/>
        <v>0</v>
      </c>
      <c r="F111" s="138">
        <f t="shared" ca="1" si="5"/>
        <v>0</v>
      </c>
      <c r="G111" s="139">
        <f ca="1">IF(ROUND(SUM(B111:C111,-F111),0)=0,0,IF($B$6="Yes",SUM($C$9:C111),SUM(B111:C111,-F111)))</f>
        <v>0</v>
      </c>
    </row>
    <row r="112" spans="1:7" ht="16.149999999999999" customHeight="1" x14ac:dyDescent="0.25">
      <c r="A112" s="136">
        <f t="shared" ca="1" si="6"/>
        <v>47391</v>
      </c>
      <c r="B112" s="137">
        <f t="shared" ca="1" si="7"/>
        <v>0</v>
      </c>
      <c r="C112" s="137">
        <f ca="1">IF(ISNA(MATCH($A112,CashFlow!$C$4:$AO$4,0))=TRUE,0,OFFSET(CashFlow!$B$37,0,MATCH($A112,CashFlow!$C$4:$AO$4,0),1,1))</f>
        <v>0</v>
      </c>
      <c r="D112" s="138">
        <f t="shared" ca="1" si="8"/>
        <v>0</v>
      </c>
      <c r="E112" s="138">
        <f t="shared" ca="1" si="9"/>
        <v>0</v>
      </c>
      <c r="F112" s="138">
        <f t="shared" ca="1" si="5"/>
        <v>0</v>
      </c>
      <c r="G112" s="139">
        <f ca="1">IF(ROUND(SUM(B112:C112,-F112),0)=0,0,IF($B$6="Yes",SUM($C$9:C112),SUM(B112:C112,-F112)))</f>
        <v>0</v>
      </c>
    </row>
    <row r="113" spans="1:7" ht="16.149999999999999" customHeight="1" x14ac:dyDescent="0.25">
      <c r="A113" s="136">
        <f t="shared" ca="1" si="6"/>
        <v>47422</v>
      </c>
      <c r="B113" s="137">
        <f t="shared" ca="1" si="7"/>
        <v>0</v>
      </c>
      <c r="C113" s="137">
        <f ca="1">IF(ISNA(MATCH($A113,CashFlow!$C$4:$AO$4,0))=TRUE,0,OFFSET(CashFlow!$B$37,0,MATCH($A113,CashFlow!$C$4:$AO$4,0),1,1))</f>
        <v>0</v>
      </c>
      <c r="D113" s="138">
        <f t="shared" ca="1" si="8"/>
        <v>0</v>
      </c>
      <c r="E113" s="138">
        <f t="shared" ca="1" si="9"/>
        <v>0</v>
      </c>
      <c r="F113" s="138">
        <f t="shared" ca="1" si="5"/>
        <v>0</v>
      </c>
      <c r="G113" s="139">
        <f ca="1">IF(ROUND(SUM(B113:C113,-F113),0)=0,0,IF($B$6="Yes",SUM($C$9:C113),SUM(B113:C113,-F113)))</f>
        <v>0</v>
      </c>
    </row>
    <row r="114" spans="1:7" ht="16.149999999999999" customHeight="1" x14ac:dyDescent="0.25">
      <c r="A114" s="136">
        <f t="shared" ca="1" si="6"/>
        <v>47452</v>
      </c>
      <c r="B114" s="137">
        <f t="shared" ca="1" si="7"/>
        <v>0</v>
      </c>
      <c r="C114" s="137">
        <f ca="1">IF(ISNA(MATCH($A114,CashFlow!$C$4:$AO$4,0))=TRUE,0,OFFSET(CashFlow!$B$37,0,MATCH($A114,CashFlow!$C$4:$AO$4,0),1,1))</f>
        <v>0</v>
      </c>
      <c r="D114" s="138">
        <f t="shared" ca="1" si="8"/>
        <v>0</v>
      </c>
      <c r="E114" s="138">
        <f t="shared" ca="1" si="9"/>
        <v>0</v>
      </c>
      <c r="F114" s="138">
        <f t="shared" ca="1" si="5"/>
        <v>0</v>
      </c>
      <c r="G114" s="139">
        <f ca="1">IF(ROUND(SUM(B114:C114,-F114),0)=0,0,IF($B$6="Yes",SUM($C$9:C114),SUM(B114:C114,-F114)))</f>
        <v>0</v>
      </c>
    </row>
    <row r="115" spans="1:7" ht="16.149999999999999" customHeight="1" x14ac:dyDescent="0.25">
      <c r="A115" s="136">
        <f t="shared" ca="1" si="6"/>
        <v>47483</v>
      </c>
      <c r="B115" s="137">
        <f t="shared" ca="1" si="7"/>
        <v>0</v>
      </c>
      <c r="C115" s="137">
        <f ca="1">IF(ISNA(MATCH($A115,CashFlow!$C$4:$AO$4,0))=TRUE,0,OFFSET(CashFlow!$B$37,0,MATCH($A115,CashFlow!$C$4:$AO$4,0),1,1))</f>
        <v>0</v>
      </c>
      <c r="D115" s="138">
        <f t="shared" ca="1" si="8"/>
        <v>0</v>
      </c>
      <c r="E115" s="138">
        <f t="shared" ca="1" si="9"/>
        <v>0</v>
      </c>
      <c r="F115" s="138">
        <f t="shared" ca="1" si="5"/>
        <v>0</v>
      </c>
      <c r="G115" s="139">
        <f ca="1">IF(ROUND(SUM(B115:C115,-F115),0)=0,0,IF($B$6="Yes",SUM($C$9:C115),SUM(B115:C115,-F115)))</f>
        <v>0</v>
      </c>
    </row>
    <row r="116" spans="1:7" ht="16.149999999999999" customHeight="1" x14ac:dyDescent="0.25">
      <c r="A116" s="136">
        <f t="shared" ca="1" si="6"/>
        <v>47514</v>
      </c>
      <c r="B116" s="137">
        <f t="shared" ca="1" si="7"/>
        <v>0</v>
      </c>
      <c r="C116" s="137">
        <f ca="1">IF(ISNA(MATCH($A116,CashFlow!$C$4:$AO$4,0))=TRUE,0,OFFSET(CashFlow!$B$37,0,MATCH($A116,CashFlow!$C$4:$AO$4,0),1,1))</f>
        <v>0</v>
      </c>
      <c r="D116" s="138">
        <f t="shared" ca="1" si="8"/>
        <v>0</v>
      </c>
      <c r="E116" s="138">
        <f t="shared" ca="1" si="9"/>
        <v>0</v>
      </c>
      <c r="F116" s="138">
        <f t="shared" ca="1" si="5"/>
        <v>0</v>
      </c>
      <c r="G116" s="139">
        <f ca="1">IF(ROUND(SUM(B116:C116,-F116),0)=0,0,IF($B$6="Yes",SUM($C$9:C116),SUM(B116:C116,-F116)))</f>
        <v>0</v>
      </c>
    </row>
    <row r="117" spans="1:7" ht="16.149999999999999" customHeight="1" x14ac:dyDescent="0.25">
      <c r="A117" s="136">
        <f t="shared" ca="1" si="6"/>
        <v>47542</v>
      </c>
      <c r="B117" s="137">
        <f t="shared" ca="1" si="7"/>
        <v>0</v>
      </c>
      <c r="C117" s="137">
        <f ca="1">IF(ISNA(MATCH($A117,CashFlow!$C$4:$AO$4,0))=TRUE,0,OFFSET(CashFlow!$B$37,0,MATCH($A117,CashFlow!$C$4:$AO$4,0),1,1))</f>
        <v>0</v>
      </c>
      <c r="D117" s="138">
        <f t="shared" ca="1" si="8"/>
        <v>0</v>
      </c>
      <c r="E117" s="138">
        <f t="shared" ca="1" si="9"/>
        <v>0</v>
      </c>
      <c r="F117" s="138">
        <f t="shared" ca="1" si="5"/>
        <v>0</v>
      </c>
      <c r="G117" s="139">
        <f ca="1">IF(ROUND(SUM(B117:C117,-F117),0)=0,0,IF($B$6="Yes",SUM($C$9:C117),SUM(B117:C117,-F117)))</f>
        <v>0</v>
      </c>
    </row>
    <row r="118" spans="1:7" ht="16.149999999999999" customHeight="1" x14ac:dyDescent="0.25">
      <c r="A118" s="136">
        <f t="shared" ca="1" si="6"/>
        <v>47573</v>
      </c>
      <c r="B118" s="137">
        <f t="shared" ca="1" si="7"/>
        <v>0</v>
      </c>
      <c r="C118" s="137">
        <f ca="1">IF(ISNA(MATCH($A118,CashFlow!$C$4:$AO$4,0))=TRUE,0,OFFSET(CashFlow!$B$37,0,MATCH($A118,CashFlow!$C$4:$AO$4,0),1,1))</f>
        <v>0</v>
      </c>
      <c r="D118" s="138">
        <f t="shared" ca="1" si="8"/>
        <v>0</v>
      </c>
      <c r="E118" s="138">
        <f t="shared" ca="1" si="9"/>
        <v>0</v>
      </c>
      <c r="F118" s="138">
        <f t="shared" ca="1" si="5"/>
        <v>0</v>
      </c>
      <c r="G118" s="139">
        <f ca="1">IF(ROUND(SUM(B118:C118,-F118),0)=0,0,IF($B$6="Yes",SUM($C$9:C118),SUM(B118:C118,-F118)))</f>
        <v>0</v>
      </c>
    </row>
    <row r="119" spans="1:7" ht="16.149999999999999" customHeight="1" x14ac:dyDescent="0.25">
      <c r="A119" s="136">
        <f t="shared" ca="1" si="6"/>
        <v>47603</v>
      </c>
      <c r="B119" s="137">
        <f t="shared" ca="1" si="7"/>
        <v>0</v>
      </c>
      <c r="C119" s="137">
        <f ca="1">IF(ISNA(MATCH($A119,CashFlow!$C$4:$AO$4,0))=TRUE,0,OFFSET(CashFlow!$B$37,0,MATCH($A119,CashFlow!$C$4:$AO$4,0),1,1))</f>
        <v>0</v>
      </c>
      <c r="D119" s="138">
        <f t="shared" ca="1" si="8"/>
        <v>0</v>
      </c>
      <c r="E119" s="138">
        <f t="shared" ca="1" si="9"/>
        <v>0</v>
      </c>
      <c r="F119" s="138">
        <f t="shared" ca="1" si="5"/>
        <v>0</v>
      </c>
      <c r="G119" s="139">
        <f ca="1">IF(ROUND(SUM(B119:C119,-F119),0)=0,0,IF($B$6="Yes",SUM($C$9:C119),SUM(B119:C119,-F119)))</f>
        <v>0</v>
      </c>
    </row>
    <row r="120" spans="1:7" ht="16.149999999999999" customHeight="1" x14ac:dyDescent="0.25">
      <c r="A120" s="136">
        <f t="shared" ca="1" si="6"/>
        <v>47634</v>
      </c>
      <c r="B120" s="137">
        <f t="shared" ca="1" si="7"/>
        <v>0</v>
      </c>
      <c r="C120" s="137">
        <f ca="1">IF(ISNA(MATCH($A120,CashFlow!$C$4:$AO$4,0))=TRUE,0,OFFSET(CashFlow!$B$37,0,MATCH($A120,CashFlow!$C$4:$AO$4,0),1,1))</f>
        <v>0</v>
      </c>
      <c r="D120" s="138">
        <f t="shared" ca="1" si="8"/>
        <v>0</v>
      </c>
      <c r="E120" s="138">
        <f t="shared" ca="1" si="9"/>
        <v>0</v>
      </c>
      <c r="F120" s="138">
        <f t="shared" ca="1" si="5"/>
        <v>0</v>
      </c>
      <c r="G120" s="139">
        <f ca="1">IF(ROUND(SUM(B120:C120,-F120),0)=0,0,IF($B$6="Yes",SUM($C$9:C120),SUM(B120:C120,-F120)))</f>
        <v>0</v>
      </c>
    </row>
    <row r="121" spans="1:7" ht="16.149999999999999" customHeight="1" x14ac:dyDescent="0.25">
      <c r="A121" s="136">
        <f t="shared" ca="1" si="6"/>
        <v>47664</v>
      </c>
      <c r="B121" s="137">
        <f t="shared" ca="1" si="7"/>
        <v>0</v>
      </c>
      <c r="C121" s="137">
        <f ca="1">IF(ISNA(MATCH($A121,CashFlow!$C$4:$AO$4,0))=TRUE,0,OFFSET(CashFlow!$B$37,0,MATCH($A121,CashFlow!$C$4:$AO$4,0),1,1))</f>
        <v>0</v>
      </c>
      <c r="D121" s="138">
        <f t="shared" ca="1" si="8"/>
        <v>0</v>
      </c>
      <c r="E121" s="138">
        <f t="shared" ca="1" si="9"/>
        <v>0</v>
      </c>
      <c r="F121" s="138">
        <f t="shared" ca="1" si="5"/>
        <v>0</v>
      </c>
      <c r="G121" s="139">
        <f ca="1">IF(ROUND(SUM(B121:C121,-F121),0)=0,0,IF($B$6="Yes",SUM($C$9:C121),SUM(B121:C121,-F121)))</f>
        <v>0</v>
      </c>
    </row>
    <row r="122" spans="1:7" ht="16.149999999999999" customHeight="1" x14ac:dyDescent="0.25">
      <c r="A122" s="136">
        <f t="shared" ca="1" si="6"/>
        <v>47695</v>
      </c>
      <c r="B122" s="137">
        <f t="shared" ca="1" si="7"/>
        <v>0</v>
      </c>
      <c r="C122" s="137">
        <f ca="1">IF(ISNA(MATCH($A122,CashFlow!$C$4:$AO$4,0))=TRUE,0,OFFSET(CashFlow!$B$37,0,MATCH($A122,CashFlow!$C$4:$AO$4,0),1,1))</f>
        <v>0</v>
      </c>
      <c r="D122" s="138">
        <f t="shared" ca="1" si="8"/>
        <v>0</v>
      </c>
      <c r="E122" s="138">
        <f t="shared" ca="1" si="9"/>
        <v>0</v>
      </c>
      <c r="F122" s="138">
        <f t="shared" ca="1" si="5"/>
        <v>0</v>
      </c>
      <c r="G122" s="139">
        <f ca="1">IF(ROUND(SUM(B122:C122,-F122),0)=0,0,IF($B$6="Yes",SUM($C$9:C122),SUM(B122:C122,-F122)))</f>
        <v>0</v>
      </c>
    </row>
    <row r="123" spans="1:7" ht="16.149999999999999" customHeight="1" x14ac:dyDescent="0.25">
      <c r="A123" s="136">
        <f t="shared" ca="1" si="6"/>
        <v>47726</v>
      </c>
      <c r="B123" s="137">
        <f t="shared" ca="1" si="7"/>
        <v>0</v>
      </c>
      <c r="C123" s="137">
        <f ca="1">IF(ISNA(MATCH($A123,CashFlow!$C$4:$AO$4,0))=TRUE,0,OFFSET(CashFlow!$B$37,0,MATCH($A123,CashFlow!$C$4:$AO$4,0),1,1))</f>
        <v>0</v>
      </c>
      <c r="D123" s="138">
        <f t="shared" ca="1" si="8"/>
        <v>0</v>
      </c>
      <c r="E123" s="138">
        <f t="shared" ca="1" si="9"/>
        <v>0</v>
      </c>
      <c r="F123" s="138">
        <f t="shared" ca="1" si="5"/>
        <v>0</v>
      </c>
      <c r="G123" s="139">
        <f ca="1">IF(ROUND(SUM(B123:C123,-F123),0)=0,0,IF($B$6="Yes",SUM($C$9:C123),SUM(B123:C123,-F123)))</f>
        <v>0</v>
      </c>
    </row>
    <row r="124" spans="1:7" ht="16.149999999999999" customHeight="1" x14ac:dyDescent="0.25">
      <c r="A124" s="136">
        <f t="shared" ca="1" si="6"/>
        <v>47756</v>
      </c>
      <c r="B124" s="137">
        <f t="shared" ca="1" si="7"/>
        <v>0</v>
      </c>
      <c r="C124" s="137">
        <f ca="1">IF(ISNA(MATCH($A124,CashFlow!$C$4:$AO$4,0))=TRUE,0,OFFSET(CashFlow!$B$37,0,MATCH($A124,CashFlow!$C$4:$AO$4,0),1,1))</f>
        <v>0</v>
      </c>
      <c r="D124" s="138">
        <f t="shared" ca="1" si="8"/>
        <v>0</v>
      </c>
      <c r="E124" s="138">
        <f t="shared" ca="1" si="9"/>
        <v>0</v>
      </c>
      <c r="F124" s="138">
        <f t="shared" ca="1" si="5"/>
        <v>0</v>
      </c>
      <c r="G124" s="139">
        <f ca="1">IF(ROUND(SUM(B124:C124,-F124),0)=0,0,IF($B$6="Yes",SUM($C$9:C124),SUM(B124:C124,-F124)))</f>
        <v>0</v>
      </c>
    </row>
    <row r="125" spans="1:7" ht="16.149999999999999" customHeight="1" x14ac:dyDescent="0.25">
      <c r="A125" s="136">
        <f t="shared" ca="1" si="6"/>
        <v>47787</v>
      </c>
      <c r="B125" s="137">
        <f t="shared" ca="1" si="7"/>
        <v>0</v>
      </c>
      <c r="C125" s="137">
        <f ca="1">IF(ISNA(MATCH($A125,CashFlow!$C$4:$AO$4,0))=TRUE,0,OFFSET(CashFlow!$B$37,0,MATCH($A125,CashFlow!$C$4:$AO$4,0),1,1))</f>
        <v>0</v>
      </c>
      <c r="D125" s="138">
        <f t="shared" ca="1" si="8"/>
        <v>0</v>
      </c>
      <c r="E125" s="138">
        <f t="shared" ca="1" si="9"/>
        <v>0</v>
      </c>
      <c r="F125" s="138">
        <f t="shared" ca="1" si="5"/>
        <v>0</v>
      </c>
      <c r="G125" s="139">
        <f ca="1">IF(ROUND(SUM(B125:C125,-F125),0)=0,0,IF($B$6="Yes",SUM($C$9:C125),SUM(B125:C125,-F125)))</f>
        <v>0</v>
      </c>
    </row>
    <row r="126" spans="1:7" ht="16.149999999999999" customHeight="1" x14ac:dyDescent="0.25">
      <c r="A126" s="136">
        <f ca="1">DATE(YEAR(A125),MONTH(A125)+2,0)</f>
        <v>47817</v>
      </c>
      <c r="B126" s="137">
        <f t="shared" ca="1" si="7"/>
        <v>0</v>
      </c>
      <c r="C126" s="137">
        <f ca="1">IF(ISNA(MATCH($A126,CashFlow!$C$4:$AO$4,0))=TRUE,0,OFFSET(CashFlow!$B$37,0,MATCH($A126,CashFlow!$C$4:$AO$4,0),1,1))</f>
        <v>0</v>
      </c>
      <c r="D126" s="138">
        <f t="shared" ca="1" si="8"/>
        <v>0</v>
      </c>
      <c r="E126" s="138">
        <f t="shared" ca="1" si="9"/>
        <v>0</v>
      </c>
      <c r="F126" s="138">
        <f t="shared" ca="1" si="5"/>
        <v>0</v>
      </c>
      <c r="G126" s="139">
        <f ca="1">IF(ROUND(SUM(B126:C126,-F126),0)=0,0,IF($B$6="Yes",SUM($C$9:C126),SUM(B126:C126,-F126)))</f>
        <v>0</v>
      </c>
    </row>
    <row r="127" spans="1:7" ht="16.149999999999999" customHeight="1" x14ac:dyDescent="0.25">
      <c r="A127" s="136">
        <f ca="1">DATE(YEAR(A126),MONTH(A126)+2,0)</f>
        <v>47848</v>
      </c>
      <c r="B127" s="137">
        <f t="shared" ca="1" si="7"/>
        <v>0</v>
      </c>
      <c r="C127" s="137">
        <f ca="1">IF(ISNA(MATCH($A127,CashFlow!$C$4:$AO$4,0))=TRUE,0,OFFSET(CashFlow!$B$37,0,MATCH($A127,CashFlow!$C$4:$AO$4,0),1,1))</f>
        <v>0</v>
      </c>
      <c r="D127" s="138">
        <f t="shared" ca="1" si="8"/>
        <v>0</v>
      </c>
      <c r="E127" s="138">
        <f t="shared" ca="1" si="9"/>
        <v>0</v>
      </c>
      <c r="F127" s="138">
        <f t="shared" ca="1" si="5"/>
        <v>0</v>
      </c>
      <c r="G127" s="139">
        <f ca="1">IF(ROUND(SUM(B127:C127,-F127),0)=0,0,IF($B$6="Yes",SUM($C$9:C127),SUM(B127:C127,-F127)))</f>
        <v>0</v>
      </c>
    </row>
    <row r="128" spans="1:7" ht="16.149999999999999" customHeight="1" x14ac:dyDescent="0.25">
      <c r="A128" s="136">
        <f ca="1">DATE(YEAR(A127),MONTH(A127)+2,0)</f>
        <v>47879</v>
      </c>
      <c r="B128" s="137">
        <f t="shared" ca="1" si="7"/>
        <v>0</v>
      </c>
      <c r="C128" s="137">
        <f ca="1">IF(ISNA(MATCH($A128,CashFlow!$C$4:$AO$4,0))=TRUE,0,OFFSET(CashFlow!$B$37,0,MATCH($A128,CashFlow!$C$4:$AO$4,0),1,1))</f>
        <v>0</v>
      </c>
      <c r="D128" s="138">
        <f t="shared" ca="1" si="8"/>
        <v>0</v>
      </c>
      <c r="E128" s="138">
        <f t="shared" ca="1" si="9"/>
        <v>0</v>
      </c>
      <c r="F128" s="138">
        <f t="shared" ca="1" si="5"/>
        <v>0</v>
      </c>
      <c r="G128" s="139">
        <f ca="1">IF(ROUND(SUM(B128:C128,-F128),0)=0,0,IF($B$6="Yes",SUM($C$9:C128),SUM(B128:C128,-F128)))</f>
        <v>0</v>
      </c>
    </row>
    <row r="129" spans="1:7" ht="16.149999999999999" customHeight="1" x14ac:dyDescent="0.25">
      <c r="A129" s="136">
        <f t="shared" ref="A129:A165" ca="1" si="10">DATE(YEAR(A128),MONTH(A128)+2,0)</f>
        <v>47907</v>
      </c>
      <c r="B129" s="137">
        <f t="shared" ca="1" si="7"/>
        <v>0</v>
      </c>
      <c r="C129" s="137">
        <f ca="1">IF(ISNA(MATCH($A129,CashFlow!$C$4:$AO$4,0))=TRUE,0,OFFSET(CashFlow!$B$37,0,MATCH($A129,CashFlow!$C$4:$AO$4,0),1,1))</f>
        <v>0</v>
      </c>
      <c r="D129" s="138">
        <f t="shared" ca="1" si="8"/>
        <v>0</v>
      </c>
      <c r="E129" s="138">
        <f t="shared" ca="1" si="9"/>
        <v>0</v>
      </c>
      <c r="F129" s="138">
        <f t="shared" ca="1" si="5"/>
        <v>0</v>
      </c>
      <c r="G129" s="139">
        <f ca="1">IF(ROUND(SUM(B129:C129,-F129),0)=0,0,IF($B$6="Yes",SUM($C$9:C129),SUM(B129:C129,-F129)))</f>
        <v>0</v>
      </c>
    </row>
    <row r="130" spans="1:7" ht="16.149999999999999" customHeight="1" x14ac:dyDescent="0.25">
      <c r="A130" s="136">
        <f t="shared" ca="1" si="10"/>
        <v>47938</v>
      </c>
      <c r="B130" s="137">
        <f t="shared" ca="1" si="7"/>
        <v>0</v>
      </c>
      <c r="C130" s="137">
        <f ca="1">IF(ISNA(MATCH($A130,CashFlow!$C$4:$AO$4,0))=TRUE,0,OFFSET(CashFlow!$B$37,0,MATCH($A130,CashFlow!$C$4:$AO$4,0),1,1))</f>
        <v>0</v>
      </c>
      <c r="D130" s="138">
        <f t="shared" ca="1" si="8"/>
        <v>0</v>
      </c>
      <c r="E130" s="138">
        <f t="shared" ca="1" si="9"/>
        <v>0</v>
      </c>
      <c r="F130" s="138">
        <f t="shared" ca="1" si="5"/>
        <v>0</v>
      </c>
      <c r="G130" s="139">
        <f ca="1">IF(ROUND(SUM(B130:C130,-F130),0)=0,0,IF($B$6="Yes",SUM($C$9:C130),SUM(B130:C130,-F130)))</f>
        <v>0</v>
      </c>
    </row>
    <row r="131" spans="1:7" ht="16.149999999999999" customHeight="1" x14ac:dyDescent="0.25">
      <c r="A131" s="136">
        <f t="shared" ca="1" si="10"/>
        <v>47968</v>
      </c>
      <c r="B131" s="137">
        <f t="shared" ca="1" si="7"/>
        <v>0</v>
      </c>
      <c r="C131" s="137">
        <f ca="1">IF(ISNA(MATCH($A131,CashFlow!$C$4:$AO$4,0))=TRUE,0,OFFSET(CashFlow!$B$37,0,MATCH($A131,CashFlow!$C$4:$AO$4,0),1,1))</f>
        <v>0</v>
      </c>
      <c r="D131" s="138">
        <f t="shared" ca="1" si="8"/>
        <v>0</v>
      </c>
      <c r="E131" s="138">
        <f t="shared" ca="1" si="9"/>
        <v>0</v>
      </c>
      <c r="F131" s="138">
        <f t="shared" ca="1" si="5"/>
        <v>0</v>
      </c>
      <c r="G131" s="139">
        <f ca="1">IF(ROUND(SUM(B131:C131,-F131),0)=0,0,IF($B$6="Yes",SUM($C$9:C131),SUM(B131:C131,-F131)))</f>
        <v>0</v>
      </c>
    </row>
    <row r="132" spans="1:7" ht="16.149999999999999" customHeight="1" x14ac:dyDescent="0.25">
      <c r="A132" s="136">
        <f t="shared" ca="1" si="10"/>
        <v>47999</v>
      </c>
      <c r="B132" s="137">
        <f t="shared" ca="1" si="7"/>
        <v>0</v>
      </c>
      <c r="C132" s="137">
        <f ca="1">IF(ISNA(MATCH($A132,CashFlow!$C$4:$AO$4,0))=TRUE,0,OFFSET(CashFlow!$B$37,0,MATCH($A132,CashFlow!$C$4:$AO$4,0),1,1))</f>
        <v>0</v>
      </c>
      <c r="D132" s="138">
        <f t="shared" ca="1" si="8"/>
        <v>0</v>
      </c>
      <c r="E132" s="138">
        <f t="shared" ca="1" si="9"/>
        <v>0</v>
      </c>
      <c r="F132" s="138">
        <f t="shared" ca="1" si="5"/>
        <v>0</v>
      </c>
      <c r="G132" s="139">
        <f ca="1">IF(ROUND(SUM(B132:C132,-F132),0)=0,0,IF($B$6="Yes",SUM($C$9:C132),SUM(B132:C132,-F132)))</f>
        <v>0</v>
      </c>
    </row>
    <row r="133" spans="1:7" ht="16.149999999999999" customHeight="1" x14ac:dyDescent="0.25">
      <c r="A133" s="136">
        <f t="shared" ca="1" si="10"/>
        <v>48029</v>
      </c>
      <c r="B133" s="137">
        <f t="shared" ca="1" si="7"/>
        <v>0</v>
      </c>
      <c r="C133" s="137">
        <f ca="1">IF(ISNA(MATCH($A133,CashFlow!$C$4:$AO$4,0))=TRUE,0,OFFSET(CashFlow!$B$37,0,MATCH($A133,CashFlow!$C$4:$AO$4,0),1,1))</f>
        <v>0</v>
      </c>
      <c r="D133" s="138">
        <f t="shared" ca="1" si="8"/>
        <v>0</v>
      </c>
      <c r="E133" s="138">
        <f t="shared" ca="1" si="9"/>
        <v>0</v>
      </c>
      <c r="F133" s="138">
        <f t="shared" ca="1" si="5"/>
        <v>0</v>
      </c>
      <c r="G133" s="139">
        <f ca="1">IF(ROUND(SUM(B133:C133,-F133),0)=0,0,IF($B$6="Yes",SUM($C$9:C133),SUM(B133:C133,-F133)))</f>
        <v>0</v>
      </c>
    </row>
    <row r="134" spans="1:7" ht="16.149999999999999" customHeight="1" x14ac:dyDescent="0.25">
      <c r="A134" s="136">
        <f t="shared" ca="1" si="10"/>
        <v>48060</v>
      </c>
      <c r="B134" s="137">
        <f t="shared" ca="1" si="7"/>
        <v>0</v>
      </c>
      <c r="C134" s="137">
        <f ca="1">IF(ISNA(MATCH($A134,CashFlow!$C$4:$AO$4,0))=TRUE,0,OFFSET(CashFlow!$B$37,0,MATCH($A134,CashFlow!$C$4:$AO$4,0),1,1))</f>
        <v>0</v>
      </c>
      <c r="D134" s="138">
        <f t="shared" ca="1" si="8"/>
        <v>0</v>
      </c>
      <c r="E134" s="138">
        <f t="shared" ca="1" si="9"/>
        <v>0</v>
      </c>
      <c r="F134" s="138">
        <f t="shared" ca="1" si="5"/>
        <v>0</v>
      </c>
      <c r="G134" s="139">
        <f ca="1">IF(ROUND(SUM(B134:C134,-F134),0)=0,0,IF($B$6="Yes",SUM($C$9:C134),SUM(B134:C134,-F134)))</f>
        <v>0</v>
      </c>
    </row>
    <row r="135" spans="1:7" ht="16.149999999999999" customHeight="1" x14ac:dyDescent="0.25">
      <c r="A135" s="136">
        <f t="shared" ca="1" si="10"/>
        <v>48091</v>
      </c>
      <c r="B135" s="137">
        <f t="shared" ca="1" si="7"/>
        <v>0</v>
      </c>
      <c r="C135" s="137">
        <f ca="1">IF(ISNA(MATCH($A135,CashFlow!$C$4:$AO$4,0))=TRUE,0,OFFSET(CashFlow!$B$37,0,MATCH($A135,CashFlow!$C$4:$AO$4,0),1,1))</f>
        <v>0</v>
      </c>
      <c r="D135" s="138">
        <f t="shared" ca="1" si="8"/>
        <v>0</v>
      </c>
      <c r="E135" s="138">
        <f t="shared" ca="1" si="9"/>
        <v>0</v>
      </c>
      <c r="F135" s="138">
        <f t="shared" ca="1" si="5"/>
        <v>0</v>
      </c>
      <c r="G135" s="139">
        <f ca="1">IF(ROUND(SUM(B135:C135,-F135),0)=0,0,IF($B$6="Yes",SUM($C$9:C135),SUM(B135:C135,-F135)))</f>
        <v>0</v>
      </c>
    </row>
    <row r="136" spans="1:7" ht="16.149999999999999" customHeight="1" x14ac:dyDescent="0.25">
      <c r="A136" s="136">
        <f t="shared" ca="1" si="10"/>
        <v>48121</v>
      </c>
      <c r="B136" s="137">
        <f t="shared" ca="1" si="7"/>
        <v>0</v>
      </c>
      <c r="C136" s="137">
        <f ca="1">IF(ISNA(MATCH($A136,CashFlow!$C$4:$AO$4,0))=TRUE,0,OFFSET(CashFlow!$B$37,0,MATCH($A136,CashFlow!$C$4:$AO$4,0),1,1))</f>
        <v>0</v>
      </c>
      <c r="D136" s="138">
        <f t="shared" ca="1" si="8"/>
        <v>0</v>
      </c>
      <c r="E136" s="138">
        <f t="shared" ca="1" si="9"/>
        <v>0</v>
      </c>
      <c r="F136" s="138">
        <f t="shared" ca="1" si="5"/>
        <v>0</v>
      </c>
      <c r="G136" s="139">
        <f ca="1">IF(ROUND(SUM(B136:C136,-F136),0)=0,0,IF($B$6="Yes",SUM($C$9:C136),SUM(B136:C136,-F136)))</f>
        <v>0</v>
      </c>
    </row>
    <row r="137" spans="1:7" ht="16.149999999999999" customHeight="1" x14ac:dyDescent="0.25">
      <c r="A137" s="136">
        <f t="shared" ca="1" si="10"/>
        <v>48152</v>
      </c>
      <c r="B137" s="137">
        <f t="shared" ca="1" si="7"/>
        <v>0</v>
      </c>
      <c r="C137" s="137">
        <f ca="1">IF(ISNA(MATCH($A137,CashFlow!$C$4:$AO$4,0))=TRUE,0,OFFSET(CashFlow!$B$37,0,MATCH($A137,CashFlow!$C$4:$AO$4,0),1,1))</f>
        <v>0</v>
      </c>
      <c r="D137" s="138">
        <f t="shared" ca="1" si="8"/>
        <v>0</v>
      </c>
      <c r="E137" s="138">
        <f t="shared" ca="1" si="9"/>
        <v>0</v>
      </c>
      <c r="F137" s="138">
        <f t="shared" ca="1" si="5"/>
        <v>0</v>
      </c>
      <c r="G137" s="139">
        <f ca="1">IF(ROUND(SUM(B137:C137,-F137),0)=0,0,IF($B$6="Yes",SUM($C$9:C137),SUM(B137:C137,-F137)))</f>
        <v>0</v>
      </c>
    </row>
    <row r="138" spans="1:7" ht="16.149999999999999" customHeight="1" x14ac:dyDescent="0.25">
      <c r="A138" s="136">
        <f t="shared" ca="1" si="10"/>
        <v>48182</v>
      </c>
      <c r="B138" s="137">
        <f t="shared" ca="1" si="7"/>
        <v>0</v>
      </c>
      <c r="C138" s="137">
        <f ca="1">IF(ISNA(MATCH($A138,CashFlow!$C$4:$AO$4,0))=TRUE,0,OFFSET(CashFlow!$B$37,0,MATCH($A138,CashFlow!$C$4:$AO$4,0),1,1))</f>
        <v>0</v>
      </c>
      <c r="D138" s="138">
        <f t="shared" ca="1" si="8"/>
        <v>0</v>
      </c>
      <c r="E138" s="138">
        <f t="shared" ca="1" si="9"/>
        <v>0</v>
      </c>
      <c r="F138" s="138">
        <f t="shared" ref="F138:F165" ca="1" si="11">IF($B$6="Yes",0,D138-E138)</f>
        <v>0</v>
      </c>
      <c r="G138" s="139">
        <f ca="1">IF(ROUND(SUM(B138:C138,-F138),0)=0,0,IF($B$6="Yes",SUM($C$9:C138),SUM(B138:C138,-F138)))</f>
        <v>0</v>
      </c>
    </row>
    <row r="139" spans="1:7" ht="16.149999999999999" customHeight="1" x14ac:dyDescent="0.25">
      <c r="A139" s="136">
        <f t="shared" ca="1" si="10"/>
        <v>48213</v>
      </c>
      <c r="B139" s="137">
        <f t="shared" ref="B139:B165" ca="1" si="12">G138</f>
        <v>0</v>
      </c>
      <c r="C139" s="137">
        <f ca="1">IF(ISNA(MATCH($A139,CashFlow!$C$4:$AO$4,0))=TRUE,0,OFFSET(CashFlow!$B$37,0,MATCH($A139,CashFlow!$C$4:$AO$4,0),1,1))</f>
        <v>0</v>
      </c>
      <c r="D139" s="138">
        <f t="shared" ref="D139:D165" ca="1" si="13">IF($B$6="Yes",0,IF(ROW(C139)-ROW($C$9)&gt;$B$5*12,-PMT($B$4/12,$B$5*12,SUM(OFFSET(C139,0,0,-$B$5*12,1)),0,0),-PMT($B$4/12,$B$5*12,SUM(OFFSET(C139,0,0,ROW($C$8)-ROW(C139),1)),0,0)))</f>
        <v>0</v>
      </c>
      <c r="E139" s="138">
        <f t="shared" ref="E139:E165" ca="1" si="14">(G138+C139)*$B$4/12</f>
        <v>0</v>
      </c>
      <c r="F139" s="138">
        <f t="shared" ca="1" si="11"/>
        <v>0</v>
      </c>
      <c r="G139" s="139">
        <f ca="1">IF(ROUND(SUM(B139:C139,-F139),0)=0,0,IF($B$6="Yes",SUM($C$9:C139),SUM(B139:C139,-F139)))</f>
        <v>0</v>
      </c>
    </row>
    <row r="140" spans="1:7" ht="16.149999999999999" customHeight="1" x14ac:dyDescent="0.25">
      <c r="A140" s="136">
        <f t="shared" ca="1" si="10"/>
        <v>48244</v>
      </c>
      <c r="B140" s="137">
        <f t="shared" ca="1" si="12"/>
        <v>0</v>
      </c>
      <c r="C140" s="137">
        <f ca="1">IF(ISNA(MATCH($A140,CashFlow!$C$4:$AO$4,0))=TRUE,0,OFFSET(CashFlow!$B$37,0,MATCH($A140,CashFlow!$C$4:$AO$4,0),1,1))</f>
        <v>0</v>
      </c>
      <c r="D140" s="138">
        <f t="shared" ca="1" si="13"/>
        <v>0</v>
      </c>
      <c r="E140" s="138">
        <f t="shared" ca="1" si="14"/>
        <v>0</v>
      </c>
      <c r="F140" s="138">
        <f t="shared" ca="1" si="11"/>
        <v>0</v>
      </c>
      <c r="G140" s="139">
        <f ca="1">IF(ROUND(SUM(B140:C140,-F140),0)=0,0,IF($B$6="Yes",SUM($C$9:C140),SUM(B140:C140,-F140)))</f>
        <v>0</v>
      </c>
    </row>
    <row r="141" spans="1:7" ht="16.149999999999999" customHeight="1" x14ac:dyDescent="0.25">
      <c r="A141" s="136">
        <f t="shared" ca="1" si="10"/>
        <v>48273</v>
      </c>
      <c r="B141" s="137">
        <f t="shared" ca="1" si="12"/>
        <v>0</v>
      </c>
      <c r="C141" s="137">
        <f ca="1">IF(ISNA(MATCH($A141,CashFlow!$C$4:$AO$4,0))=TRUE,0,OFFSET(CashFlow!$B$37,0,MATCH($A141,CashFlow!$C$4:$AO$4,0),1,1))</f>
        <v>0</v>
      </c>
      <c r="D141" s="138">
        <f t="shared" ca="1" si="13"/>
        <v>0</v>
      </c>
      <c r="E141" s="138">
        <f t="shared" ca="1" si="14"/>
        <v>0</v>
      </c>
      <c r="F141" s="138">
        <f t="shared" ca="1" si="11"/>
        <v>0</v>
      </c>
      <c r="G141" s="139">
        <f ca="1">IF(ROUND(SUM(B141:C141,-F141),0)=0,0,IF($B$6="Yes",SUM($C$9:C141),SUM(B141:C141,-F141)))</f>
        <v>0</v>
      </c>
    </row>
    <row r="142" spans="1:7" ht="16.149999999999999" customHeight="1" x14ac:dyDescent="0.25">
      <c r="A142" s="136">
        <f t="shared" ca="1" si="10"/>
        <v>48304</v>
      </c>
      <c r="B142" s="137">
        <f t="shared" ca="1" si="12"/>
        <v>0</v>
      </c>
      <c r="C142" s="137">
        <f ca="1">IF(ISNA(MATCH($A142,CashFlow!$C$4:$AO$4,0))=TRUE,0,OFFSET(CashFlow!$B$37,0,MATCH($A142,CashFlow!$C$4:$AO$4,0),1,1))</f>
        <v>0</v>
      </c>
      <c r="D142" s="138">
        <f t="shared" ca="1" si="13"/>
        <v>0</v>
      </c>
      <c r="E142" s="138">
        <f t="shared" ca="1" si="14"/>
        <v>0</v>
      </c>
      <c r="F142" s="138">
        <f t="shared" ca="1" si="11"/>
        <v>0</v>
      </c>
      <c r="G142" s="139">
        <f ca="1">IF(ROUND(SUM(B142:C142,-F142),0)=0,0,IF($B$6="Yes",SUM($C$9:C142),SUM(B142:C142,-F142)))</f>
        <v>0</v>
      </c>
    </row>
    <row r="143" spans="1:7" ht="16.149999999999999" customHeight="1" x14ac:dyDescent="0.25">
      <c r="A143" s="136">
        <f t="shared" ca="1" si="10"/>
        <v>48334</v>
      </c>
      <c r="B143" s="137">
        <f t="shared" ca="1" si="12"/>
        <v>0</v>
      </c>
      <c r="C143" s="137">
        <f ca="1">IF(ISNA(MATCH($A143,CashFlow!$C$4:$AO$4,0))=TRUE,0,OFFSET(CashFlow!$B$37,0,MATCH($A143,CashFlow!$C$4:$AO$4,0),1,1))</f>
        <v>0</v>
      </c>
      <c r="D143" s="138">
        <f t="shared" ca="1" si="13"/>
        <v>0</v>
      </c>
      <c r="E143" s="138">
        <f t="shared" ca="1" si="14"/>
        <v>0</v>
      </c>
      <c r="F143" s="138">
        <f t="shared" ca="1" si="11"/>
        <v>0</v>
      </c>
      <c r="G143" s="139">
        <f ca="1">IF(ROUND(SUM(B143:C143,-F143),0)=0,0,IF($B$6="Yes",SUM($C$9:C143),SUM(B143:C143,-F143)))</f>
        <v>0</v>
      </c>
    </row>
    <row r="144" spans="1:7" ht="16.149999999999999" customHeight="1" x14ac:dyDescent="0.25">
      <c r="A144" s="136">
        <f t="shared" ca="1" si="10"/>
        <v>48365</v>
      </c>
      <c r="B144" s="137">
        <f t="shared" ca="1" si="12"/>
        <v>0</v>
      </c>
      <c r="C144" s="137">
        <f ca="1">IF(ISNA(MATCH($A144,CashFlow!$C$4:$AO$4,0))=TRUE,0,OFFSET(CashFlow!$B$37,0,MATCH($A144,CashFlow!$C$4:$AO$4,0),1,1))</f>
        <v>0</v>
      </c>
      <c r="D144" s="138">
        <f t="shared" ca="1" si="13"/>
        <v>0</v>
      </c>
      <c r="E144" s="138">
        <f t="shared" ca="1" si="14"/>
        <v>0</v>
      </c>
      <c r="F144" s="138">
        <f t="shared" ca="1" si="11"/>
        <v>0</v>
      </c>
      <c r="G144" s="139">
        <f ca="1">IF(ROUND(SUM(B144:C144,-F144),0)=0,0,IF($B$6="Yes",SUM($C$9:C144),SUM(B144:C144,-F144)))</f>
        <v>0</v>
      </c>
    </row>
    <row r="145" spans="1:7" ht="16.149999999999999" customHeight="1" x14ac:dyDescent="0.25">
      <c r="A145" s="136">
        <f t="shared" ca="1" si="10"/>
        <v>48395</v>
      </c>
      <c r="B145" s="137">
        <f t="shared" ca="1" si="12"/>
        <v>0</v>
      </c>
      <c r="C145" s="137">
        <f ca="1">IF(ISNA(MATCH($A145,CashFlow!$C$4:$AO$4,0))=TRUE,0,OFFSET(CashFlow!$B$37,0,MATCH($A145,CashFlow!$C$4:$AO$4,0),1,1))</f>
        <v>0</v>
      </c>
      <c r="D145" s="138">
        <f t="shared" ca="1" si="13"/>
        <v>0</v>
      </c>
      <c r="E145" s="138">
        <f t="shared" ca="1" si="14"/>
        <v>0</v>
      </c>
      <c r="F145" s="138">
        <f t="shared" ca="1" si="11"/>
        <v>0</v>
      </c>
      <c r="G145" s="139">
        <f ca="1">IF(ROUND(SUM(B145:C145,-F145),0)=0,0,IF($B$6="Yes",SUM($C$9:C145),SUM(B145:C145,-F145)))</f>
        <v>0</v>
      </c>
    </row>
    <row r="146" spans="1:7" ht="16.149999999999999" customHeight="1" x14ac:dyDescent="0.25">
      <c r="A146" s="136">
        <f t="shared" ca="1" si="10"/>
        <v>48426</v>
      </c>
      <c r="B146" s="137">
        <f t="shared" ca="1" si="12"/>
        <v>0</v>
      </c>
      <c r="C146" s="137">
        <f ca="1">IF(ISNA(MATCH($A146,CashFlow!$C$4:$AO$4,0))=TRUE,0,OFFSET(CashFlow!$B$37,0,MATCH($A146,CashFlow!$C$4:$AO$4,0),1,1))</f>
        <v>0</v>
      </c>
      <c r="D146" s="138">
        <f t="shared" ca="1" si="13"/>
        <v>0</v>
      </c>
      <c r="E146" s="138">
        <f t="shared" ca="1" si="14"/>
        <v>0</v>
      </c>
      <c r="F146" s="138">
        <f t="shared" ca="1" si="11"/>
        <v>0</v>
      </c>
      <c r="G146" s="139">
        <f ca="1">IF(ROUND(SUM(B146:C146,-F146),0)=0,0,IF($B$6="Yes",SUM($C$9:C146),SUM(B146:C146,-F146)))</f>
        <v>0</v>
      </c>
    </row>
    <row r="147" spans="1:7" ht="16.149999999999999" customHeight="1" x14ac:dyDescent="0.25">
      <c r="A147" s="136">
        <f t="shared" ca="1" si="10"/>
        <v>48457</v>
      </c>
      <c r="B147" s="137">
        <f t="shared" ca="1" si="12"/>
        <v>0</v>
      </c>
      <c r="C147" s="137">
        <f ca="1">IF(ISNA(MATCH($A147,CashFlow!$C$4:$AO$4,0))=TRUE,0,OFFSET(CashFlow!$B$37,0,MATCH($A147,CashFlow!$C$4:$AO$4,0),1,1))</f>
        <v>0</v>
      </c>
      <c r="D147" s="138">
        <f t="shared" ca="1" si="13"/>
        <v>0</v>
      </c>
      <c r="E147" s="138">
        <f t="shared" ca="1" si="14"/>
        <v>0</v>
      </c>
      <c r="F147" s="138">
        <f t="shared" ca="1" si="11"/>
        <v>0</v>
      </c>
      <c r="G147" s="139">
        <f ca="1">IF(ROUND(SUM(B147:C147,-F147),0)=0,0,IF($B$6="Yes",SUM($C$9:C147),SUM(B147:C147,-F147)))</f>
        <v>0</v>
      </c>
    </row>
    <row r="148" spans="1:7" ht="16.149999999999999" customHeight="1" x14ac:dyDescent="0.25">
      <c r="A148" s="136">
        <f t="shared" ca="1" si="10"/>
        <v>48487</v>
      </c>
      <c r="B148" s="137">
        <f t="shared" ca="1" si="12"/>
        <v>0</v>
      </c>
      <c r="C148" s="137">
        <f ca="1">IF(ISNA(MATCH($A148,CashFlow!$C$4:$AO$4,0))=TRUE,0,OFFSET(CashFlow!$B$37,0,MATCH($A148,CashFlow!$C$4:$AO$4,0),1,1))</f>
        <v>0</v>
      </c>
      <c r="D148" s="138">
        <f t="shared" ca="1" si="13"/>
        <v>0</v>
      </c>
      <c r="E148" s="138">
        <f t="shared" ca="1" si="14"/>
        <v>0</v>
      </c>
      <c r="F148" s="138">
        <f t="shared" ca="1" si="11"/>
        <v>0</v>
      </c>
      <c r="G148" s="139">
        <f ca="1">IF(ROUND(SUM(B148:C148,-F148),0)=0,0,IF($B$6="Yes",SUM($C$9:C148),SUM(B148:C148,-F148)))</f>
        <v>0</v>
      </c>
    </row>
    <row r="149" spans="1:7" ht="16.149999999999999" customHeight="1" x14ac:dyDescent="0.25">
      <c r="A149" s="136">
        <f t="shared" ca="1" si="10"/>
        <v>48518</v>
      </c>
      <c r="B149" s="137">
        <f t="shared" ca="1" si="12"/>
        <v>0</v>
      </c>
      <c r="C149" s="137">
        <f ca="1">IF(ISNA(MATCH($A149,CashFlow!$C$4:$AO$4,0))=TRUE,0,OFFSET(CashFlow!$B$37,0,MATCH($A149,CashFlow!$C$4:$AO$4,0),1,1))</f>
        <v>0</v>
      </c>
      <c r="D149" s="138">
        <f t="shared" ca="1" si="13"/>
        <v>0</v>
      </c>
      <c r="E149" s="138">
        <f t="shared" ca="1" si="14"/>
        <v>0</v>
      </c>
      <c r="F149" s="138">
        <f t="shared" ca="1" si="11"/>
        <v>0</v>
      </c>
      <c r="G149" s="139">
        <f ca="1">IF(ROUND(SUM(B149:C149,-F149),0)=0,0,IF($B$6="Yes",SUM($C$9:C149),SUM(B149:C149,-F149)))</f>
        <v>0</v>
      </c>
    </row>
    <row r="150" spans="1:7" ht="16.149999999999999" customHeight="1" x14ac:dyDescent="0.25">
      <c r="A150" s="136">
        <f t="shared" ca="1" si="10"/>
        <v>48548</v>
      </c>
      <c r="B150" s="137">
        <f t="shared" ca="1" si="12"/>
        <v>0</v>
      </c>
      <c r="C150" s="137">
        <f ca="1">IF(ISNA(MATCH($A150,CashFlow!$C$4:$AO$4,0))=TRUE,0,OFFSET(CashFlow!$B$37,0,MATCH($A150,CashFlow!$C$4:$AO$4,0),1,1))</f>
        <v>0</v>
      </c>
      <c r="D150" s="138">
        <f t="shared" ca="1" si="13"/>
        <v>0</v>
      </c>
      <c r="E150" s="138">
        <f t="shared" ca="1" si="14"/>
        <v>0</v>
      </c>
      <c r="F150" s="138">
        <f t="shared" ca="1" si="11"/>
        <v>0</v>
      </c>
      <c r="G150" s="139">
        <f ca="1">IF(ROUND(SUM(B150:C150,-F150),0)=0,0,IF($B$6="Yes",SUM($C$9:C150),SUM(B150:C150,-F150)))</f>
        <v>0</v>
      </c>
    </row>
    <row r="151" spans="1:7" ht="16.149999999999999" customHeight="1" x14ac:dyDescent="0.25">
      <c r="A151" s="136">
        <f t="shared" ca="1" si="10"/>
        <v>48579</v>
      </c>
      <c r="B151" s="137">
        <f t="shared" ca="1" si="12"/>
        <v>0</v>
      </c>
      <c r="C151" s="137">
        <f ca="1">IF(ISNA(MATCH($A151,CashFlow!$C$4:$AO$4,0))=TRUE,0,OFFSET(CashFlow!$B$37,0,MATCH($A151,CashFlow!$C$4:$AO$4,0),1,1))</f>
        <v>0</v>
      </c>
      <c r="D151" s="138">
        <f t="shared" ca="1" si="13"/>
        <v>0</v>
      </c>
      <c r="E151" s="138">
        <f t="shared" ca="1" si="14"/>
        <v>0</v>
      </c>
      <c r="F151" s="138">
        <f t="shared" ca="1" si="11"/>
        <v>0</v>
      </c>
      <c r="G151" s="139">
        <f ca="1">IF(ROUND(SUM(B151:C151,-F151),0)=0,0,IF($B$6="Yes",SUM($C$9:C151),SUM(B151:C151,-F151)))</f>
        <v>0</v>
      </c>
    </row>
    <row r="152" spans="1:7" ht="16.149999999999999" customHeight="1" x14ac:dyDescent="0.25">
      <c r="A152" s="136">
        <f t="shared" ca="1" si="10"/>
        <v>48610</v>
      </c>
      <c r="B152" s="137">
        <f t="shared" ca="1" si="12"/>
        <v>0</v>
      </c>
      <c r="C152" s="137">
        <f ca="1">IF(ISNA(MATCH($A152,CashFlow!$C$4:$AO$4,0))=TRUE,0,OFFSET(CashFlow!$B$37,0,MATCH($A152,CashFlow!$C$4:$AO$4,0),1,1))</f>
        <v>0</v>
      </c>
      <c r="D152" s="138">
        <f t="shared" ca="1" si="13"/>
        <v>0</v>
      </c>
      <c r="E152" s="138">
        <f t="shared" ca="1" si="14"/>
        <v>0</v>
      </c>
      <c r="F152" s="138">
        <f t="shared" ca="1" si="11"/>
        <v>0</v>
      </c>
      <c r="G152" s="139">
        <f ca="1">IF(ROUND(SUM(B152:C152,-F152),0)=0,0,IF($B$6="Yes",SUM($C$9:C152),SUM(B152:C152,-F152)))</f>
        <v>0</v>
      </c>
    </row>
    <row r="153" spans="1:7" ht="16.149999999999999" customHeight="1" x14ac:dyDescent="0.25">
      <c r="A153" s="136">
        <f t="shared" ca="1" si="10"/>
        <v>48638</v>
      </c>
      <c r="B153" s="137">
        <f t="shared" ca="1" si="12"/>
        <v>0</v>
      </c>
      <c r="C153" s="137">
        <f ca="1">IF(ISNA(MATCH($A153,CashFlow!$C$4:$AO$4,0))=TRUE,0,OFFSET(CashFlow!$B$37,0,MATCH($A153,CashFlow!$C$4:$AO$4,0),1,1))</f>
        <v>0</v>
      </c>
      <c r="D153" s="138">
        <f t="shared" ca="1" si="13"/>
        <v>0</v>
      </c>
      <c r="E153" s="138">
        <f t="shared" ca="1" si="14"/>
        <v>0</v>
      </c>
      <c r="F153" s="138">
        <f t="shared" ca="1" si="11"/>
        <v>0</v>
      </c>
      <c r="G153" s="139">
        <f ca="1">IF(ROUND(SUM(B153:C153,-F153),0)=0,0,IF($B$6="Yes",SUM($C$9:C153),SUM(B153:C153,-F153)))</f>
        <v>0</v>
      </c>
    </row>
    <row r="154" spans="1:7" ht="16.149999999999999" customHeight="1" x14ac:dyDescent="0.25">
      <c r="A154" s="136">
        <f t="shared" ca="1" si="10"/>
        <v>48669</v>
      </c>
      <c r="B154" s="137">
        <f t="shared" ca="1" si="12"/>
        <v>0</v>
      </c>
      <c r="C154" s="137">
        <f ca="1">IF(ISNA(MATCH($A154,CashFlow!$C$4:$AO$4,0))=TRUE,0,OFFSET(CashFlow!$B$37,0,MATCH($A154,CashFlow!$C$4:$AO$4,0),1,1))</f>
        <v>0</v>
      </c>
      <c r="D154" s="138">
        <f t="shared" ca="1" si="13"/>
        <v>0</v>
      </c>
      <c r="E154" s="138">
        <f t="shared" ca="1" si="14"/>
        <v>0</v>
      </c>
      <c r="F154" s="138">
        <f t="shared" ca="1" si="11"/>
        <v>0</v>
      </c>
      <c r="G154" s="139">
        <f ca="1">IF(ROUND(SUM(B154:C154,-F154),0)=0,0,IF($B$6="Yes",SUM($C$9:C154),SUM(B154:C154,-F154)))</f>
        <v>0</v>
      </c>
    </row>
    <row r="155" spans="1:7" ht="16.149999999999999" customHeight="1" x14ac:dyDescent="0.25">
      <c r="A155" s="136">
        <f t="shared" ca="1" si="10"/>
        <v>48699</v>
      </c>
      <c r="B155" s="137">
        <f t="shared" ca="1" si="12"/>
        <v>0</v>
      </c>
      <c r="C155" s="137">
        <f ca="1">IF(ISNA(MATCH($A155,CashFlow!$C$4:$AO$4,0))=TRUE,0,OFFSET(CashFlow!$B$37,0,MATCH($A155,CashFlow!$C$4:$AO$4,0),1,1))</f>
        <v>0</v>
      </c>
      <c r="D155" s="138">
        <f t="shared" ca="1" si="13"/>
        <v>0</v>
      </c>
      <c r="E155" s="138">
        <f t="shared" ca="1" si="14"/>
        <v>0</v>
      </c>
      <c r="F155" s="138">
        <f t="shared" ca="1" si="11"/>
        <v>0</v>
      </c>
      <c r="G155" s="139">
        <f ca="1">IF(ROUND(SUM(B155:C155,-F155),0)=0,0,IF($B$6="Yes",SUM($C$9:C155),SUM(B155:C155,-F155)))</f>
        <v>0</v>
      </c>
    </row>
    <row r="156" spans="1:7" ht="16.149999999999999" customHeight="1" x14ac:dyDescent="0.25">
      <c r="A156" s="136">
        <f t="shared" ca="1" si="10"/>
        <v>48730</v>
      </c>
      <c r="B156" s="137">
        <f t="shared" ca="1" si="12"/>
        <v>0</v>
      </c>
      <c r="C156" s="137">
        <f ca="1">IF(ISNA(MATCH($A156,CashFlow!$C$4:$AO$4,0))=TRUE,0,OFFSET(CashFlow!$B$37,0,MATCH($A156,CashFlow!$C$4:$AO$4,0),1,1))</f>
        <v>0</v>
      </c>
      <c r="D156" s="138">
        <f t="shared" ca="1" si="13"/>
        <v>0</v>
      </c>
      <c r="E156" s="138">
        <f t="shared" ca="1" si="14"/>
        <v>0</v>
      </c>
      <c r="F156" s="138">
        <f t="shared" ca="1" si="11"/>
        <v>0</v>
      </c>
      <c r="G156" s="139">
        <f ca="1">IF(ROUND(SUM(B156:C156,-F156),0)=0,0,IF($B$6="Yes",SUM($C$9:C156),SUM(B156:C156,-F156)))</f>
        <v>0</v>
      </c>
    </row>
    <row r="157" spans="1:7" ht="16.149999999999999" customHeight="1" x14ac:dyDescent="0.25">
      <c r="A157" s="136">
        <f t="shared" ca="1" si="10"/>
        <v>48760</v>
      </c>
      <c r="B157" s="137">
        <f t="shared" ca="1" si="12"/>
        <v>0</v>
      </c>
      <c r="C157" s="137">
        <f ca="1">IF(ISNA(MATCH($A157,CashFlow!$C$4:$AO$4,0))=TRUE,0,OFFSET(CashFlow!$B$37,0,MATCH($A157,CashFlow!$C$4:$AO$4,0),1,1))</f>
        <v>0</v>
      </c>
      <c r="D157" s="138">
        <f t="shared" ca="1" si="13"/>
        <v>0</v>
      </c>
      <c r="E157" s="138">
        <f t="shared" ca="1" si="14"/>
        <v>0</v>
      </c>
      <c r="F157" s="138">
        <f t="shared" ca="1" si="11"/>
        <v>0</v>
      </c>
      <c r="G157" s="139">
        <f ca="1">IF(ROUND(SUM(B157:C157,-F157),0)=0,0,IF($B$6="Yes",SUM($C$9:C157),SUM(B157:C157,-F157)))</f>
        <v>0</v>
      </c>
    </row>
    <row r="158" spans="1:7" ht="16.149999999999999" customHeight="1" x14ac:dyDescent="0.25">
      <c r="A158" s="136">
        <f t="shared" ca="1" si="10"/>
        <v>48791</v>
      </c>
      <c r="B158" s="137">
        <f t="shared" ca="1" si="12"/>
        <v>0</v>
      </c>
      <c r="C158" s="137">
        <f ca="1">IF(ISNA(MATCH($A158,CashFlow!$C$4:$AO$4,0))=TRUE,0,OFFSET(CashFlow!$B$37,0,MATCH($A158,CashFlow!$C$4:$AO$4,0),1,1))</f>
        <v>0</v>
      </c>
      <c r="D158" s="138">
        <f t="shared" ca="1" si="13"/>
        <v>0</v>
      </c>
      <c r="E158" s="138">
        <f t="shared" ca="1" si="14"/>
        <v>0</v>
      </c>
      <c r="F158" s="138">
        <f t="shared" ca="1" si="11"/>
        <v>0</v>
      </c>
      <c r="G158" s="139">
        <f ca="1">IF(ROUND(SUM(B158:C158,-F158),0)=0,0,IF($B$6="Yes",SUM($C$9:C158),SUM(B158:C158,-F158)))</f>
        <v>0</v>
      </c>
    </row>
    <row r="159" spans="1:7" ht="16.149999999999999" customHeight="1" x14ac:dyDescent="0.25">
      <c r="A159" s="136">
        <f t="shared" ca="1" si="10"/>
        <v>48822</v>
      </c>
      <c r="B159" s="137">
        <f t="shared" ca="1" si="12"/>
        <v>0</v>
      </c>
      <c r="C159" s="137">
        <f ca="1">IF(ISNA(MATCH($A159,CashFlow!$C$4:$AO$4,0))=TRUE,0,OFFSET(CashFlow!$B$37,0,MATCH($A159,CashFlow!$C$4:$AO$4,0),1,1))</f>
        <v>0</v>
      </c>
      <c r="D159" s="138">
        <f t="shared" ca="1" si="13"/>
        <v>0</v>
      </c>
      <c r="E159" s="138">
        <f t="shared" ca="1" si="14"/>
        <v>0</v>
      </c>
      <c r="F159" s="138">
        <f t="shared" ca="1" si="11"/>
        <v>0</v>
      </c>
      <c r="G159" s="139">
        <f ca="1">IF(ROUND(SUM(B159:C159,-F159),0)=0,0,IF($B$6="Yes",SUM($C$9:C159),SUM(B159:C159,-F159)))</f>
        <v>0</v>
      </c>
    </row>
    <row r="160" spans="1:7" ht="16.149999999999999" customHeight="1" x14ac:dyDescent="0.25">
      <c r="A160" s="136">
        <f t="shared" ca="1" si="10"/>
        <v>48852</v>
      </c>
      <c r="B160" s="137">
        <f t="shared" ca="1" si="12"/>
        <v>0</v>
      </c>
      <c r="C160" s="137">
        <f ca="1">IF(ISNA(MATCH($A160,CashFlow!$C$4:$AO$4,0))=TRUE,0,OFFSET(CashFlow!$B$37,0,MATCH($A160,CashFlow!$C$4:$AO$4,0),1,1))</f>
        <v>0</v>
      </c>
      <c r="D160" s="138">
        <f t="shared" ca="1" si="13"/>
        <v>0</v>
      </c>
      <c r="E160" s="138">
        <f t="shared" ca="1" si="14"/>
        <v>0</v>
      </c>
      <c r="F160" s="138">
        <f t="shared" ca="1" si="11"/>
        <v>0</v>
      </c>
      <c r="G160" s="139">
        <f ca="1">IF(ROUND(SUM(B160:C160,-F160),0)=0,0,IF($B$6="Yes",SUM($C$9:C160),SUM(B160:C160,-F160)))</f>
        <v>0</v>
      </c>
    </row>
    <row r="161" spans="1:7" ht="16.149999999999999" customHeight="1" x14ac:dyDescent="0.25">
      <c r="A161" s="136">
        <f t="shared" ca="1" si="10"/>
        <v>48883</v>
      </c>
      <c r="B161" s="137">
        <f t="shared" ca="1" si="12"/>
        <v>0</v>
      </c>
      <c r="C161" s="137">
        <f ca="1">IF(ISNA(MATCH($A161,CashFlow!$C$4:$AO$4,0))=TRUE,0,OFFSET(CashFlow!$B$37,0,MATCH($A161,CashFlow!$C$4:$AO$4,0),1,1))</f>
        <v>0</v>
      </c>
      <c r="D161" s="138">
        <f t="shared" ca="1" si="13"/>
        <v>0</v>
      </c>
      <c r="E161" s="138">
        <f t="shared" ca="1" si="14"/>
        <v>0</v>
      </c>
      <c r="F161" s="138">
        <f t="shared" ca="1" si="11"/>
        <v>0</v>
      </c>
      <c r="G161" s="139">
        <f ca="1">IF(ROUND(SUM(B161:C161,-F161),0)=0,0,IF($B$6="Yes",SUM($C$9:C161),SUM(B161:C161,-F161)))</f>
        <v>0</v>
      </c>
    </row>
    <row r="162" spans="1:7" ht="16.149999999999999" customHeight="1" x14ac:dyDescent="0.25">
      <c r="A162" s="136">
        <f t="shared" ca="1" si="10"/>
        <v>48913</v>
      </c>
      <c r="B162" s="137">
        <f t="shared" ca="1" si="12"/>
        <v>0</v>
      </c>
      <c r="C162" s="137">
        <f ca="1">IF(ISNA(MATCH($A162,CashFlow!$C$4:$AO$4,0))=TRUE,0,OFFSET(CashFlow!$B$37,0,MATCH($A162,CashFlow!$C$4:$AO$4,0),1,1))</f>
        <v>0</v>
      </c>
      <c r="D162" s="138">
        <f t="shared" ca="1" si="13"/>
        <v>0</v>
      </c>
      <c r="E162" s="138">
        <f t="shared" ca="1" si="14"/>
        <v>0</v>
      </c>
      <c r="F162" s="138">
        <f t="shared" ca="1" si="11"/>
        <v>0</v>
      </c>
      <c r="G162" s="139">
        <f ca="1">IF(ROUND(SUM(B162:C162,-F162),0)=0,0,IF($B$6="Yes",SUM($C$9:C162),SUM(B162:C162,-F162)))</f>
        <v>0</v>
      </c>
    </row>
    <row r="163" spans="1:7" ht="16.149999999999999" customHeight="1" x14ac:dyDescent="0.25">
      <c r="A163" s="136">
        <f t="shared" ca="1" si="10"/>
        <v>48944</v>
      </c>
      <c r="B163" s="137">
        <f t="shared" ca="1" si="12"/>
        <v>0</v>
      </c>
      <c r="C163" s="137">
        <f ca="1">IF(ISNA(MATCH($A163,CashFlow!$C$4:$AO$4,0))=TRUE,0,OFFSET(CashFlow!$B$37,0,MATCH($A163,CashFlow!$C$4:$AO$4,0),1,1))</f>
        <v>0</v>
      </c>
      <c r="D163" s="138">
        <f t="shared" ca="1" si="13"/>
        <v>0</v>
      </c>
      <c r="E163" s="138">
        <f t="shared" ca="1" si="14"/>
        <v>0</v>
      </c>
      <c r="F163" s="138">
        <f t="shared" ca="1" si="11"/>
        <v>0</v>
      </c>
      <c r="G163" s="139">
        <f ca="1">IF(ROUND(SUM(B163:C163,-F163),0)=0,0,IF($B$6="Yes",SUM($C$9:C163),SUM(B163:C163,-F163)))</f>
        <v>0</v>
      </c>
    </row>
    <row r="164" spans="1:7" ht="16.149999999999999" customHeight="1" x14ac:dyDescent="0.25">
      <c r="A164" s="136">
        <f t="shared" ca="1" si="10"/>
        <v>48975</v>
      </c>
      <c r="B164" s="137">
        <f t="shared" ca="1" si="12"/>
        <v>0</v>
      </c>
      <c r="C164" s="137">
        <f ca="1">IF(ISNA(MATCH($A164,CashFlow!$C$4:$AO$4,0))=TRUE,0,OFFSET(CashFlow!$B$37,0,MATCH($A164,CashFlow!$C$4:$AO$4,0),1,1))</f>
        <v>0</v>
      </c>
      <c r="D164" s="138">
        <f t="shared" ca="1" si="13"/>
        <v>0</v>
      </c>
      <c r="E164" s="138">
        <f t="shared" ca="1" si="14"/>
        <v>0</v>
      </c>
      <c r="F164" s="138">
        <f t="shared" ca="1" si="11"/>
        <v>0</v>
      </c>
      <c r="G164" s="139">
        <f ca="1">IF(ROUND(SUM(B164:C164,-F164),0)=0,0,IF($B$6="Yes",SUM($C$9:C164),SUM(B164:C164,-F164)))</f>
        <v>0</v>
      </c>
    </row>
    <row r="165" spans="1:7" ht="16.149999999999999" customHeight="1" x14ac:dyDescent="0.25">
      <c r="A165" s="136">
        <f t="shared" ca="1" si="10"/>
        <v>49003</v>
      </c>
      <c r="B165" s="137">
        <f t="shared" ca="1" si="12"/>
        <v>0</v>
      </c>
      <c r="C165" s="137">
        <f ca="1">IF(ISNA(MATCH($A165,CashFlow!$C$4:$AO$4,0))=TRUE,0,OFFSET(CashFlow!$B$37,0,MATCH($A165,CashFlow!$C$4:$AO$4,0),1,1))</f>
        <v>0</v>
      </c>
      <c r="D165" s="138">
        <f t="shared" ca="1" si="13"/>
        <v>0</v>
      </c>
      <c r="E165" s="138">
        <f t="shared" ca="1" si="14"/>
        <v>0</v>
      </c>
      <c r="F165" s="138">
        <f t="shared" ca="1" si="11"/>
        <v>0</v>
      </c>
      <c r="G165" s="139">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26" customWidth="1"/>
    <col min="2" max="7" width="13.7109375" style="11" customWidth="1"/>
    <col min="8" max="20" width="15.7109375" style="5" customWidth="1"/>
    <col min="21" max="16384" width="9.140625" style="5"/>
  </cols>
  <sheetData>
    <row r="1" spans="1:9" ht="16.149999999999999" customHeight="1" x14ac:dyDescent="0.25">
      <c r="A1" s="142" t="str">
        <f>IF(ISBLANK(Assumptions!$C$4),"Example Limited",Assumptions!$C$4)</f>
        <v>Example (Pty) Limited</v>
      </c>
      <c r="B1" s="3"/>
      <c r="C1" s="3"/>
      <c r="G1" s="89"/>
    </row>
    <row r="2" spans="1:9" ht="16.149999999999999" customHeight="1" x14ac:dyDescent="0.25">
      <c r="A2" s="6" t="s">
        <v>154</v>
      </c>
    </row>
    <row r="3" spans="1:9" ht="16.149999999999999" customHeight="1" x14ac:dyDescent="0.25">
      <c r="A3" s="6"/>
    </row>
    <row r="4" spans="1:9" ht="16.149999999999999" customHeight="1" x14ac:dyDescent="0.25">
      <c r="A4" s="126" t="s">
        <v>33</v>
      </c>
      <c r="B4" s="127">
        <f>Assumptions!$F$67</f>
        <v>0.115</v>
      </c>
      <c r="C4" s="128"/>
    </row>
    <row r="5" spans="1:9" ht="16.149999999999999" customHeight="1" x14ac:dyDescent="0.25">
      <c r="A5" s="129" t="s">
        <v>38</v>
      </c>
      <c r="B5" s="130">
        <f>Assumptions!$F$68</f>
        <v>4</v>
      </c>
      <c r="C5" s="131"/>
    </row>
    <row r="6" spans="1:9" ht="16.149999999999999" customHeight="1" x14ac:dyDescent="0.25">
      <c r="A6" s="129" t="s">
        <v>39</v>
      </c>
      <c r="B6" s="132" t="str">
        <f>Assumptions!$F$69</f>
        <v>No</v>
      </c>
      <c r="C6" s="133"/>
    </row>
    <row r="7" spans="1:9" ht="16.149999999999999" customHeight="1" x14ac:dyDescent="0.25">
      <c r="A7" s="73" t="s">
        <v>59</v>
      </c>
    </row>
    <row r="8" spans="1:9" s="92" customFormat="1" ht="25.5" x14ac:dyDescent="0.25">
      <c r="A8" s="134" t="s">
        <v>47</v>
      </c>
      <c r="B8" s="135" t="s">
        <v>43</v>
      </c>
      <c r="C8" s="135" t="s">
        <v>290</v>
      </c>
      <c r="D8" s="135" t="s">
        <v>42</v>
      </c>
      <c r="E8" s="135" t="s">
        <v>397</v>
      </c>
      <c r="F8" s="135" t="s">
        <v>58</v>
      </c>
      <c r="G8" s="135" t="s">
        <v>44</v>
      </c>
    </row>
    <row r="9" spans="1:9" s="102" customFormat="1" ht="16.149999999999999" customHeight="1" x14ac:dyDescent="0.25">
      <c r="A9" s="136">
        <f ca="1">IF(ISBLANK(Assumptions!$C$5)=TRUE,DATE(YEAR(TODAY()),MONTH(TODAY()),0),DATE(YEAR(Assumptions!$C$5),MONTH(Assumptions!$C$5),0))</f>
        <v>44255</v>
      </c>
      <c r="B9" s="137">
        <v>0</v>
      </c>
      <c r="C9" s="137">
        <f ca="1">-SUMIF(Assumptions!$A$71:$C$95,"FIN",Assumptions!$C$71:$C$95)</f>
        <v>425000</v>
      </c>
      <c r="D9" s="137">
        <v>0</v>
      </c>
      <c r="E9" s="137">
        <v>0</v>
      </c>
      <c r="F9" s="138">
        <f>IF($B$6="Yes",0,D9-E9)</f>
        <v>0</v>
      </c>
      <c r="G9" s="139">
        <f ca="1">IF(ROUND(SUM(B9:C9,-F9),0)=0,0,IF($B$6="Yes",SUM($C$9:C9),SUM(B9:C9,-F9)))</f>
        <v>425000</v>
      </c>
      <c r="I9" s="140"/>
    </row>
    <row r="10" spans="1:9" s="102" customFormat="1" ht="16.149999999999999" customHeight="1" x14ac:dyDescent="0.25">
      <c r="A10" s="136">
        <f ca="1">DATE(YEAR(A9),MONTH(A9)+2,0)</f>
        <v>44286</v>
      </c>
      <c r="B10" s="137">
        <f ca="1">G9</f>
        <v>425000</v>
      </c>
      <c r="C10" s="137">
        <f ca="1">IF(ISNA(MATCH($A10,CashFlow!$C$4:$AO$4,0))=TRUE,0,OFFSET(CashFlow!$B$38,0,MATCH($A10,CashFlow!$C$4:$AO$4,0),1,1))</f>
        <v>0</v>
      </c>
      <c r="D10" s="138">
        <f ca="1">IF($B$6="Yes",0,IF(ROW(C10)-ROW($C$9)&gt;$B$5*12,-PMT($B$4/12,$B$5*12,SUM(OFFSET(C10,0,0,-$B$5*12,1)),0,0),-PMT($B$4/12,$B$5*12,SUM(OFFSET(C10,0,0,ROW($C$8)-ROW(C10),1)),0,0)))</f>
        <v>11087.82878498939</v>
      </c>
      <c r="E10" s="138">
        <f ca="1">(G9+C10)*$B$4/12</f>
        <v>4072.9166666666665</v>
      </c>
      <c r="F10" s="138">
        <f t="shared" ref="F10:F73" ca="1" si="0">IF($B$6="Yes",0,D10-E10)</f>
        <v>7014.9121183227235</v>
      </c>
      <c r="G10" s="139">
        <f ca="1">IF(ROUND(SUM(B10:C10,-F10),0)=0,0,IF($B$6="Yes",SUM($C$9:C10),SUM(B10:C10,-F10)))</f>
        <v>417985.08788167726</v>
      </c>
      <c r="I10" s="140"/>
    </row>
    <row r="11" spans="1:9" s="102" customFormat="1" ht="16.149999999999999" customHeight="1" x14ac:dyDescent="0.25">
      <c r="A11" s="136">
        <f t="shared" ref="A11:A74" ca="1" si="1">DATE(YEAR(A10),MONTH(A10)+2,0)</f>
        <v>44316</v>
      </c>
      <c r="B11" s="137">
        <f t="shared" ref="B11:B74" ca="1" si="2">G10</f>
        <v>417985.08788167726</v>
      </c>
      <c r="C11" s="137">
        <f ca="1">IF(ISNA(MATCH($A11,CashFlow!$C$4:$AO$4,0))=TRUE,0,OFFSET(CashFlow!$B$38,0,MATCH($A11,CashFlow!$C$4:$AO$4,0),1,1))</f>
        <v>0</v>
      </c>
      <c r="D11" s="138">
        <f t="shared" ref="D11:D74" ca="1" si="3">IF($B$6="Yes",0,IF(ROW(C11)-ROW($C$9)&gt;$B$5*12,-PMT($B$4/12,$B$5*12,SUM(OFFSET(C11,0,0,-$B$5*12,1)),0,0),-PMT($B$4/12,$B$5*12,SUM(OFFSET(C11,0,0,ROW($C$8)-ROW(C11),1)),0,0)))</f>
        <v>11087.82878498939</v>
      </c>
      <c r="E11" s="138">
        <f t="shared" ref="E11:E74" ca="1" si="4">(G10+C11)*$B$4/12</f>
        <v>4005.6904255327408</v>
      </c>
      <c r="F11" s="138">
        <f t="shared" ca="1" si="0"/>
        <v>7082.1383594566487</v>
      </c>
      <c r="G11" s="139">
        <f ca="1">IF(ROUND(SUM(B11:C11,-F11),0)=0,0,IF($B$6="Yes",SUM($C$9:C11),SUM(B11:C11,-F11)))</f>
        <v>410902.94952222059</v>
      </c>
    </row>
    <row r="12" spans="1:9" s="102" customFormat="1" ht="16.149999999999999" customHeight="1" x14ac:dyDescent="0.25">
      <c r="A12" s="136">
        <f t="shared" ca="1" si="1"/>
        <v>44347</v>
      </c>
      <c r="B12" s="137">
        <f t="shared" ca="1" si="2"/>
        <v>410902.94952222059</v>
      </c>
      <c r="C12" s="137">
        <f ca="1">IF(ISNA(MATCH($A12,CashFlow!$C$4:$AO$4,0))=TRUE,0,OFFSET(CashFlow!$B$38,0,MATCH($A12,CashFlow!$C$4:$AO$4,0),1,1))</f>
        <v>0</v>
      </c>
      <c r="D12" s="138">
        <f t="shared" ca="1" si="3"/>
        <v>11087.82878498939</v>
      </c>
      <c r="E12" s="138">
        <f t="shared" ca="1" si="4"/>
        <v>3937.8199329212807</v>
      </c>
      <c r="F12" s="138">
        <f t="shared" ca="1" si="0"/>
        <v>7150.0088520681093</v>
      </c>
      <c r="G12" s="139">
        <f ca="1">IF(ROUND(SUM(B12:C12,-F12),0)=0,0,IF($B$6="Yes",SUM($C$9:C12),SUM(B12:C12,-F12)))</f>
        <v>403752.94067015249</v>
      </c>
    </row>
    <row r="13" spans="1:9" s="102" customFormat="1" ht="16.149999999999999" customHeight="1" x14ac:dyDescent="0.25">
      <c r="A13" s="136">
        <f t="shared" ca="1" si="1"/>
        <v>44377</v>
      </c>
      <c r="B13" s="137">
        <f t="shared" ca="1" si="2"/>
        <v>403752.94067015249</v>
      </c>
      <c r="C13" s="137">
        <f ca="1">IF(ISNA(MATCH($A13,CashFlow!$C$4:$AO$4,0))=TRUE,0,OFFSET(CashFlow!$B$38,0,MATCH($A13,CashFlow!$C$4:$AO$4,0),1,1))</f>
        <v>0</v>
      </c>
      <c r="D13" s="138">
        <f t="shared" ca="1" si="3"/>
        <v>11087.82878498939</v>
      </c>
      <c r="E13" s="138">
        <f t="shared" ca="1" si="4"/>
        <v>3869.2990147556284</v>
      </c>
      <c r="F13" s="138">
        <f t="shared" ca="1" si="0"/>
        <v>7218.5297702337612</v>
      </c>
      <c r="G13" s="139">
        <f ca="1">IF(ROUND(SUM(B13:C13,-F13),0)=0,0,IF($B$6="Yes",SUM($C$9:C13),SUM(B13:C13,-F13)))</f>
        <v>396534.4108999187</v>
      </c>
    </row>
    <row r="14" spans="1:9" s="102" customFormat="1" ht="16.149999999999999" customHeight="1" x14ac:dyDescent="0.25">
      <c r="A14" s="136">
        <f t="shared" ca="1" si="1"/>
        <v>44408</v>
      </c>
      <c r="B14" s="137">
        <f t="shared" ca="1" si="2"/>
        <v>396534.4108999187</v>
      </c>
      <c r="C14" s="137">
        <f ca="1">IF(ISNA(MATCH($A14,CashFlow!$C$4:$AO$4,0))=TRUE,0,OFFSET(CashFlow!$B$38,0,MATCH($A14,CashFlow!$C$4:$AO$4,0),1,1))</f>
        <v>0</v>
      </c>
      <c r="D14" s="138">
        <f t="shared" ca="1" si="3"/>
        <v>11087.82878498939</v>
      </c>
      <c r="E14" s="138">
        <f t="shared" ca="1" si="4"/>
        <v>3800.1214377908877</v>
      </c>
      <c r="F14" s="138">
        <f t="shared" ca="1" si="0"/>
        <v>7287.7073471985022</v>
      </c>
      <c r="G14" s="139">
        <f ca="1">IF(ROUND(SUM(B14:C14,-F14),0)=0,0,IF($B$6="Yes",SUM($C$9:C14),SUM(B14:C14,-F14)))</f>
        <v>389246.7035527202</v>
      </c>
    </row>
    <row r="15" spans="1:9" s="102" customFormat="1" ht="16.149999999999999" customHeight="1" x14ac:dyDescent="0.25">
      <c r="A15" s="136">
        <f t="shared" ca="1" si="1"/>
        <v>44439</v>
      </c>
      <c r="B15" s="137">
        <f t="shared" ca="1" si="2"/>
        <v>389246.7035527202</v>
      </c>
      <c r="C15" s="137">
        <f ca="1">IF(ISNA(MATCH($A15,CashFlow!$C$4:$AO$4,0))=TRUE,0,OFFSET(CashFlow!$B$38,0,MATCH($A15,CashFlow!$C$4:$AO$4,0),1,1))</f>
        <v>0</v>
      </c>
      <c r="D15" s="138">
        <f t="shared" ca="1" si="3"/>
        <v>11087.82878498939</v>
      </c>
      <c r="E15" s="138">
        <f t="shared" ca="1" si="4"/>
        <v>3730.2809090469018</v>
      </c>
      <c r="F15" s="138">
        <f t="shared" ca="1" si="0"/>
        <v>7357.5478759424877</v>
      </c>
      <c r="G15" s="139">
        <f ca="1">IF(ROUND(SUM(B15:C15,-F15),0)=0,0,IF($B$6="Yes",SUM($C$9:C15),SUM(B15:C15,-F15)))</f>
        <v>381889.15567677771</v>
      </c>
    </row>
    <row r="16" spans="1:9" s="102" customFormat="1" ht="16.149999999999999" customHeight="1" x14ac:dyDescent="0.25">
      <c r="A16" s="136">
        <f t="shared" ca="1" si="1"/>
        <v>44469</v>
      </c>
      <c r="B16" s="137">
        <f t="shared" ca="1" si="2"/>
        <v>381889.15567677771</v>
      </c>
      <c r="C16" s="137">
        <f ca="1">IF(ISNA(MATCH($A16,CashFlow!$C$4:$AO$4,0))=TRUE,0,OFFSET(CashFlow!$B$38,0,MATCH($A16,CashFlow!$C$4:$AO$4,0),1,1))</f>
        <v>0</v>
      </c>
      <c r="D16" s="138">
        <f t="shared" ca="1" si="3"/>
        <v>11087.82878498939</v>
      </c>
      <c r="E16" s="138">
        <f t="shared" ca="1" si="4"/>
        <v>3659.7710752357866</v>
      </c>
      <c r="F16" s="138">
        <f t="shared" ca="1" si="0"/>
        <v>7428.0577097536025</v>
      </c>
      <c r="G16" s="139">
        <f ca="1">IF(ROUND(SUM(B16:C16,-F16),0)=0,0,IF($B$6="Yes",SUM($C$9:C16),SUM(B16:C16,-F16)))</f>
        <v>374461.09796702408</v>
      </c>
    </row>
    <row r="17" spans="1:7" s="102" customFormat="1" ht="16.149999999999999" customHeight="1" x14ac:dyDescent="0.25">
      <c r="A17" s="136">
        <f t="shared" ca="1" si="1"/>
        <v>44500</v>
      </c>
      <c r="B17" s="137">
        <f t="shared" ca="1" si="2"/>
        <v>374461.09796702408</v>
      </c>
      <c r="C17" s="137">
        <f ca="1">IF(ISNA(MATCH($A17,CashFlow!$C$4:$AO$4,0))=TRUE,0,OFFSET(CashFlow!$B$38,0,MATCH($A17,CashFlow!$C$4:$AO$4,0),1,1))</f>
        <v>0</v>
      </c>
      <c r="D17" s="138">
        <f t="shared" ca="1" si="3"/>
        <v>11087.82878498939</v>
      </c>
      <c r="E17" s="138">
        <f t="shared" ca="1" si="4"/>
        <v>3588.5855221839811</v>
      </c>
      <c r="F17" s="138">
        <f t="shared" ca="1" si="0"/>
        <v>7499.2432628054084</v>
      </c>
      <c r="G17" s="139">
        <f ca="1">IF(ROUND(SUM(B17:C17,-F17),0)=0,0,IF($B$6="Yes",SUM($C$9:C17),SUM(B17:C17,-F17)))</f>
        <v>366961.85470421868</v>
      </c>
    </row>
    <row r="18" spans="1:7" s="102" customFormat="1" ht="16.149999999999999" customHeight="1" x14ac:dyDescent="0.25">
      <c r="A18" s="136">
        <f t="shared" ca="1" si="1"/>
        <v>44530</v>
      </c>
      <c r="B18" s="137">
        <f t="shared" ca="1" si="2"/>
        <v>366961.85470421868</v>
      </c>
      <c r="C18" s="137">
        <f ca="1">IF(ISNA(MATCH($A18,CashFlow!$C$4:$AO$4,0))=TRUE,0,OFFSET(CashFlow!$B$38,0,MATCH($A18,CashFlow!$C$4:$AO$4,0),1,1))</f>
        <v>0</v>
      </c>
      <c r="D18" s="138">
        <f t="shared" ca="1" si="3"/>
        <v>11087.82878498939</v>
      </c>
      <c r="E18" s="138">
        <f t="shared" ca="1" si="4"/>
        <v>3516.7177742487625</v>
      </c>
      <c r="F18" s="138">
        <f t="shared" ca="1" si="0"/>
        <v>7571.1110107406275</v>
      </c>
      <c r="G18" s="139">
        <f ca="1">IF(ROUND(SUM(B18:C18,-F18),0)=0,0,IF($B$6="Yes",SUM($C$9:C18),SUM(B18:C18,-F18)))</f>
        <v>359390.74369347806</v>
      </c>
    </row>
    <row r="19" spans="1:7" s="102" customFormat="1" ht="16.149999999999999" customHeight="1" x14ac:dyDescent="0.25">
      <c r="A19" s="136">
        <f t="shared" ca="1" si="1"/>
        <v>44561</v>
      </c>
      <c r="B19" s="137">
        <f t="shared" ca="1" si="2"/>
        <v>359390.74369347806</v>
      </c>
      <c r="C19" s="137">
        <f ca="1">IF(ISNA(MATCH($A19,CashFlow!$C$4:$AO$4,0))=TRUE,0,OFFSET(CashFlow!$B$38,0,MATCH($A19,CashFlow!$C$4:$AO$4,0),1,1))</f>
        <v>0</v>
      </c>
      <c r="D19" s="138">
        <f t="shared" ca="1" si="3"/>
        <v>11087.82878498939</v>
      </c>
      <c r="E19" s="138">
        <f t="shared" ca="1" si="4"/>
        <v>3444.1612937291648</v>
      </c>
      <c r="F19" s="138">
        <f t="shared" ca="1" si="0"/>
        <v>7643.6674912602248</v>
      </c>
      <c r="G19" s="139">
        <f ca="1">IF(ROUND(SUM(B19:C19,-F19),0)=0,0,IF($B$6="Yes",SUM($C$9:C19),SUM(B19:C19,-F19)))</f>
        <v>351747.07620221784</v>
      </c>
    </row>
    <row r="20" spans="1:7" ht="16.149999999999999" customHeight="1" x14ac:dyDescent="0.25">
      <c r="A20" s="136">
        <f t="shared" ca="1" si="1"/>
        <v>44592</v>
      </c>
      <c r="B20" s="137">
        <f t="shared" ca="1" si="2"/>
        <v>351747.07620221784</v>
      </c>
      <c r="C20" s="137">
        <f ca="1">IF(ISNA(MATCH($A20,CashFlow!$C$4:$AO$4,0))=TRUE,0,OFFSET(CashFlow!$B$38,0,MATCH($A20,CashFlow!$C$4:$AO$4,0),1,1))</f>
        <v>0</v>
      </c>
      <c r="D20" s="138">
        <f t="shared" ca="1" si="3"/>
        <v>11087.82878498939</v>
      </c>
      <c r="E20" s="138">
        <f t="shared" ca="1" si="4"/>
        <v>3370.9094802712548</v>
      </c>
      <c r="F20" s="138">
        <f t="shared" ca="1" si="0"/>
        <v>7716.9193047181343</v>
      </c>
      <c r="G20" s="139">
        <f ca="1">IF(ROUND(SUM(B20:C20,-F20),0)=0,0,IF($B$6="Yes",SUM($C$9:C20),SUM(B20:C20,-F20)))</f>
        <v>344030.15689749969</v>
      </c>
    </row>
    <row r="21" spans="1:7" ht="16.149999999999999" customHeight="1" x14ac:dyDescent="0.25">
      <c r="A21" s="136">
        <f t="shared" ca="1" si="1"/>
        <v>44620</v>
      </c>
      <c r="B21" s="137">
        <f t="shared" ca="1" si="2"/>
        <v>344030.15689749969</v>
      </c>
      <c r="C21" s="137">
        <f ca="1">IF(ISNA(MATCH($A21,CashFlow!$C$4:$AO$4,0))=TRUE,0,OFFSET(CashFlow!$B$38,0,MATCH($A21,CashFlow!$C$4:$AO$4,0),1,1))</f>
        <v>0</v>
      </c>
      <c r="D21" s="138">
        <f t="shared" ca="1" si="3"/>
        <v>11087.82878498939</v>
      </c>
      <c r="E21" s="138">
        <f t="shared" ca="1" si="4"/>
        <v>3296.9556702677055</v>
      </c>
      <c r="F21" s="138">
        <f t="shared" ca="1" si="0"/>
        <v>7790.873114721684</v>
      </c>
      <c r="G21" s="139">
        <f ca="1">IF(ROUND(SUM(B21:C21,-F21),0)=0,0,IF($B$6="Yes",SUM($C$9:C21),SUM(B21:C21,-F21)))</f>
        <v>336239.28378277802</v>
      </c>
    </row>
    <row r="22" spans="1:7" ht="16.149999999999999" customHeight="1" x14ac:dyDescent="0.25">
      <c r="A22" s="136">
        <f t="shared" ca="1" si="1"/>
        <v>44651</v>
      </c>
      <c r="B22" s="137">
        <f t="shared" ca="1" si="2"/>
        <v>336239.28378277802</v>
      </c>
      <c r="C22" s="137">
        <f ca="1">IF(ISNA(MATCH($A22,CashFlow!$C$4:$AO$4,0))=TRUE,0,OFFSET(CashFlow!$B$38,0,MATCH($A22,CashFlow!$C$4:$AO$4,0),1,1))</f>
        <v>0</v>
      </c>
      <c r="D22" s="138">
        <f t="shared" ca="1" si="3"/>
        <v>11087.82878498939</v>
      </c>
      <c r="E22" s="138">
        <f t="shared" ca="1" si="4"/>
        <v>3222.2931362516229</v>
      </c>
      <c r="F22" s="138">
        <f t="shared" ca="1" si="0"/>
        <v>7865.5356487377667</v>
      </c>
      <c r="G22" s="139">
        <f ca="1">IF(ROUND(SUM(B22:C22,-F22),0)=0,0,IF($B$6="Yes",SUM($C$9:C22),SUM(B22:C22,-F22)))</f>
        <v>328373.74813404027</v>
      </c>
    </row>
    <row r="23" spans="1:7" s="141" customFormat="1" ht="16.149999999999999" customHeight="1" x14ac:dyDescent="0.25">
      <c r="A23" s="136">
        <f t="shared" ca="1" si="1"/>
        <v>44681</v>
      </c>
      <c r="B23" s="137">
        <f t="shared" ca="1" si="2"/>
        <v>328373.74813404027</v>
      </c>
      <c r="C23" s="137">
        <f ca="1">IF(ISNA(MATCH($A23,CashFlow!$C$4:$AO$4,0))=TRUE,0,OFFSET(CashFlow!$B$38,0,MATCH($A23,CashFlow!$C$4:$AO$4,0),1,1))</f>
        <v>0</v>
      </c>
      <c r="D23" s="138">
        <f t="shared" ca="1" si="3"/>
        <v>11087.82878498939</v>
      </c>
      <c r="E23" s="138">
        <f t="shared" ca="1" si="4"/>
        <v>3146.9150862845527</v>
      </c>
      <c r="F23" s="138">
        <f t="shared" ca="1" si="0"/>
        <v>7940.9136987048369</v>
      </c>
      <c r="G23" s="139">
        <f ca="1">IF(ROUND(SUM(B23:C23,-F23),0)=0,0,IF($B$6="Yes",SUM($C$9:C23),SUM(B23:C23,-F23)))</f>
        <v>320432.83443533542</v>
      </c>
    </row>
    <row r="24" spans="1:7" ht="16.149999999999999" customHeight="1" x14ac:dyDescent="0.25">
      <c r="A24" s="136">
        <f t="shared" ca="1" si="1"/>
        <v>44712</v>
      </c>
      <c r="B24" s="137">
        <f t="shared" ca="1" si="2"/>
        <v>320432.83443533542</v>
      </c>
      <c r="C24" s="137">
        <f ca="1">IF(ISNA(MATCH($A24,CashFlow!$C$4:$AO$4,0))=TRUE,0,OFFSET(CashFlow!$B$38,0,MATCH($A24,CashFlow!$C$4:$AO$4,0),1,1))</f>
        <v>0</v>
      </c>
      <c r="D24" s="138">
        <f t="shared" ca="1" si="3"/>
        <v>11087.82878498939</v>
      </c>
      <c r="E24" s="138">
        <f t="shared" ca="1" si="4"/>
        <v>3070.8146633386314</v>
      </c>
      <c r="F24" s="138">
        <f t="shared" ca="1" si="0"/>
        <v>8017.0141216507582</v>
      </c>
      <c r="G24" s="139">
        <f ca="1">IF(ROUND(SUM(B24:C24,-F24),0)=0,0,IF($B$6="Yes",SUM($C$9:C24),SUM(B24:C24,-F24)))</f>
        <v>312415.82031368464</v>
      </c>
    </row>
    <row r="25" spans="1:7" ht="16.149999999999999" customHeight="1" x14ac:dyDescent="0.25">
      <c r="A25" s="136">
        <f t="shared" ca="1" si="1"/>
        <v>44742</v>
      </c>
      <c r="B25" s="137">
        <f t="shared" ca="1" si="2"/>
        <v>312415.82031368464</v>
      </c>
      <c r="C25" s="137">
        <f ca="1">IF(ISNA(MATCH($A25,CashFlow!$C$4:$AO$4,0))=TRUE,0,OFFSET(CashFlow!$B$38,0,MATCH($A25,CashFlow!$C$4:$AO$4,0),1,1))</f>
        <v>0</v>
      </c>
      <c r="D25" s="138">
        <f t="shared" ca="1" si="3"/>
        <v>11087.82878498939</v>
      </c>
      <c r="E25" s="138">
        <f t="shared" ca="1" si="4"/>
        <v>2993.9849446728113</v>
      </c>
      <c r="F25" s="138">
        <f t="shared" ca="1" si="0"/>
        <v>8093.8438403165783</v>
      </c>
      <c r="G25" s="139">
        <f ca="1">IF(ROUND(SUM(B25:C25,-F25),0)=0,0,IF($B$6="Yes",SUM($C$9:C25),SUM(B25:C25,-F25)))</f>
        <v>304321.97647336806</v>
      </c>
    </row>
    <row r="26" spans="1:7" ht="16.149999999999999" customHeight="1" x14ac:dyDescent="0.25">
      <c r="A26" s="136">
        <f t="shared" ca="1" si="1"/>
        <v>44773</v>
      </c>
      <c r="B26" s="137">
        <f t="shared" ca="1" si="2"/>
        <v>304321.97647336806</v>
      </c>
      <c r="C26" s="137">
        <f ca="1">IF(ISNA(MATCH($A26,CashFlow!$C$4:$AO$4,0))=TRUE,0,OFFSET(CashFlow!$B$38,0,MATCH($A26,CashFlow!$C$4:$AO$4,0),1,1))</f>
        <v>0</v>
      </c>
      <c r="D26" s="138">
        <f t="shared" ca="1" si="3"/>
        <v>11087.82878498939</v>
      </c>
      <c r="E26" s="138">
        <f t="shared" ca="1" si="4"/>
        <v>2916.4189412031105</v>
      </c>
      <c r="F26" s="138">
        <f t="shared" ca="1" si="0"/>
        <v>8171.4098437862795</v>
      </c>
      <c r="G26" s="139">
        <f ca="1">IF(ROUND(SUM(B26:C26,-F26),0)=0,0,IF($B$6="Yes",SUM($C$9:C26),SUM(B26:C26,-F26)))</f>
        <v>296150.56662958179</v>
      </c>
    </row>
    <row r="27" spans="1:7" ht="16.149999999999999" customHeight="1" x14ac:dyDescent="0.25">
      <c r="A27" s="136">
        <f t="shared" ca="1" si="1"/>
        <v>44804</v>
      </c>
      <c r="B27" s="137">
        <f t="shared" ca="1" si="2"/>
        <v>296150.56662958179</v>
      </c>
      <c r="C27" s="137">
        <f ca="1">IF(ISNA(MATCH($A27,CashFlow!$C$4:$AO$4,0))=TRUE,0,OFFSET(CashFlow!$B$38,0,MATCH($A27,CashFlow!$C$4:$AO$4,0),1,1))</f>
        <v>0</v>
      </c>
      <c r="D27" s="138">
        <f t="shared" ca="1" si="3"/>
        <v>11087.82878498939</v>
      </c>
      <c r="E27" s="138">
        <f t="shared" ca="1" si="4"/>
        <v>2838.1095968668255</v>
      </c>
      <c r="F27" s="138">
        <f t="shared" ca="1" si="0"/>
        <v>8249.7191881225644</v>
      </c>
      <c r="G27" s="139">
        <f ca="1">IF(ROUND(SUM(B27:C27,-F27),0)=0,0,IF($B$6="Yes",SUM($C$9:C27),SUM(B27:C27,-F27)))</f>
        <v>287900.84744145925</v>
      </c>
    </row>
    <row r="28" spans="1:7" ht="16.149999999999999" customHeight="1" x14ac:dyDescent="0.25">
      <c r="A28" s="136">
        <f t="shared" ca="1" si="1"/>
        <v>44834</v>
      </c>
      <c r="B28" s="137">
        <f t="shared" ca="1" si="2"/>
        <v>287900.84744145925</v>
      </c>
      <c r="C28" s="137">
        <f ca="1">IF(ISNA(MATCH($A28,CashFlow!$C$4:$AO$4,0))=TRUE,0,OFFSET(CashFlow!$B$38,0,MATCH($A28,CashFlow!$C$4:$AO$4,0),1,1))</f>
        <v>0</v>
      </c>
      <c r="D28" s="138">
        <f t="shared" ca="1" si="3"/>
        <v>11087.82878498939</v>
      </c>
      <c r="E28" s="138">
        <f t="shared" ca="1" si="4"/>
        <v>2759.0497879806512</v>
      </c>
      <c r="F28" s="138">
        <f t="shared" ca="1" si="0"/>
        <v>8328.7789970087379</v>
      </c>
      <c r="G28" s="139">
        <f ca="1">IF(ROUND(SUM(B28:C28,-F28),0)=0,0,IF($B$6="Yes",SUM($C$9:C28),SUM(B28:C28,-F28)))</f>
        <v>279572.0684444505</v>
      </c>
    </row>
    <row r="29" spans="1:7" ht="16.149999999999999" customHeight="1" x14ac:dyDescent="0.25">
      <c r="A29" s="136">
        <f t="shared" ca="1" si="1"/>
        <v>44865</v>
      </c>
      <c r="B29" s="137">
        <f t="shared" ca="1" si="2"/>
        <v>279572.0684444505</v>
      </c>
      <c r="C29" s="137">
        <f ca="1">IF(ISNA(MATCH($A29,CashFlow!$C$4:$AO$4,0))=TRUE,0,OFFSET(CashFlow!$B$38,0,MATCH($A29,CashFlow!$C$4:$AO$4,0),1,1))</f>
        <v>0</v>
      </c>
      <c r="D29" s="138">
        <f t="shared" ca="1" si="3"/>
        <v>11087.82878498939</v>
      </c>
      <c r="E29" s="138">
        <f t="shared" ca="1" si="4"/>
        <v>2679.2323225926507</v>
      </c>
      <c r="F29" s="138">
        <f t="shared" ca="1" si="0"/>
        <v>8408.5964623967393</v>
      </c>
      <c r="G29" s="139">
        <f ca="1">IF(ROUND(SUM(B29:C29,-F29),0)=0,0,IF($B$6="Yes",SUM($C$9:C29),SUM(B29:C29,-F29)))</f>
        <v>271163.47198205377</v>
      </c>
    </row>
    <row r="30" spans="1:7" ht="16.149999999999999" customHeight="1" x14ac:dyDescent="0.25">
      <c r="A30" s="136">
        <f t="shared" ca="1" si="1"/>
        <v>44895</v>
      </c>
      <c r="B30" s="137">
        <f t="shared" ca="1" si="2"/>
        <v>271163.47198205377</v>
      </c>
      <c r="C30" s="137">
        <f ca="1">IF(ISNA(MATCH($A30,CashFlow!$C$4:$AO$4,0))=TRUE,0,OFFSET(CashFlow!$B$38,0,MATCH($A30,CashFlow!$C$4:$AO$4,0),1,1))</f>
        <v>0</v>
      </c>
      <c r="D30" s="138">
        <f t="shared" ca="1" si="3"/>
        <v>11087.82878498939</v>
      </c>
      <c r="E30" s="138">
        <f t="shared" ca="1" si="4"/>
        <v>2598.6499398280152</v>
      </c>
      <c r="F30" s="138">
        <f t="shared" ca="1" si="0"/>
        <v>8489.1788451613738</v>
      </c>
      <c r="G30" s="139">
        <f ca="1">IF(ROUND(SUM(B30:C30,-F30),0)=0,0,IF($B$6="Yes",SUM($C$9:C30),SUM(B30:C30,-F30)))</f>
        <v>262674.29313689237</v>
      </c>
    </row>
    <row r="31" spans="1:7" ht="16.149999999999999" customHeight="1" x14ac:dyDescent="0.25">
      <c r="A31" s="136">
        <f t="shared" ca="1" si="1"/>
        <v>44926</v>
      </c>
      <c r="B31" s="137">
        <f t="shared" ca="1" si="2"/>
        <v>262674.29313689237</v>
      </c>
      <c r="C31" s="137">
        <f ca="1">IF(ISNA(MATCH($A31,CashFlow!$C$4:$AO$4,0))=TRUE,0,OFFSET(CashFlow!$B$38,0,MATCH($A31,CashFlow!$C$4:$AO$4,0),1,1))</f>
        <v>0</v>
      </c>
      <c r="D31" s="138">
        <f t="shared" ca="1" si="3"/>
        <v>11087.82878498939</v>
      </c>
      <c r="E31" s="138">
        <f t="shared" ca="1" si="4"/>
        <v>2517.295309228552</v>
      </c>
      <c r="F31" s="138">
        <f t="shared" ca="1" si="0"/>
        <v>8570.533475760838</v>
      </c>
      <c r="G31" s="139">
        <f ca="1">IF(ROUND(SUM(B31:C31,-F31),0)=0,0,IF($B$6="Yes",SUM($C$9:C31),SUM(B31:C31,-F31)))</f>
        <v>254103.75966113154</v>
      </c>
    </row>
    <row r="32" spans="1:7" ht="16.149999999999999" customHeight="1" x14ac:dyDescent="0.25">
      <c r="A32" s="136">
        <f t="shared" ca="1" si="1"/>
        <v>44957</v>
      </c>
      <c r="B32" s="137">
        <f t="shared" ca="1" si="2"/>
        <v>254103.75966113154</v>
      </c>
      <c r="C32" s="137">
        <f ca="1">IF(ISNA(MATCH($A32,CashFlow!$C$4:$AO$4,0))=TRUE,0,OFFSET(CashFlow!$B$38,0,MATCH($A32,CashFlow!$C$4:$AO$4,0),1,1))</f>
        <v>0</v>
      </c>
      <c r="D32" s="138">
        <f t="shared" ca="1" si="3"/>
        <v>11087.82878498939</v>
      </c>
      <c r="E32" s="138">
        <f t="shared" ca="1" si="4"/>
        <v>2435.1610300858442</v>
      </c>
      <c r="F32" s="138">
        <f t="shared" ca="1" si="0"/>
        <v>8652.6677549035448</v>
      </c>
      <c r="G32" s="139">
        <f ca="1">IF(ROUND(SUM(B32:C32,-F32),0)=0,0,IF($B$6="Yes",SUM($C$9:C32),SUM(B32:C32,-F32)))</f>
        <v>245451.09190622799</v>
      </c>
    </row>
    <row r="33" spans="1:7" ht="16.149999999999999" customHeight="1" x14ac:dyDescent="0.25">
      <c r="A33" s="136">
        <f t="shared" ca="1" si="1"/>
        <v>44985</v>
      </c>
      <c r="B33" s="137">
        <f t="shared" ca="1" si="2"/>
        <v>245451.09190622799</v>
      </c>
      <c r="C33" s="137">
        <f ca="1">IF(ISNA(MATCH($A33,CashFlow!$C$4:$AO$4,0))=TRUE,0,OFFSET(CashFlow!$B$38,0,MATCH($A33,CashFlow!$C$4:$AO$4,0),1,1))</f>
        <v>0</v>
      </c>
      <c r="D33" s="138">
        <f t="shared" ca="1" si="3"/>
        <v>11087.82878498939</v>
      </c>
      <c r="E33" s="138">
        <f t="shared" ca="1" si="4"/>
        <v>2352.2396307680183</v>
      </c>
      <c r="F33" s="138">
        <f t="shared" ca="1" si="0"/>
        <v>8735.5891542213722</v>
      </c>
      <c r="G33" s="139">
        <f ca="1">IF(ROUND(SUM(B33:C33,-F33),0)=0,0,IF($B$6="Yes",SUM($C$9:C33),SUM(B33:C33,-F33)))</f>
        <v>236715.50275200661</v>
      </c>
    </row>
    <row r="34" spans="1:7" ht="16.149999999999999" customHeight="1" x14ac:dyDescent="0.25">
      <c r="A34" s="136">
        <f t="shared" ca="1" si="1"/>
        <v>45016</v>
      </c>
      <c r="B34" s="137">
        <f t="shared" ca="1" si="2"/>
        <v>236715.50275200661</v>
      </c>
      <c r="C34" s="137">
        <f ca="1">IF(ISNA(MATCH($A34,CashFlow!$C$4:$AO$4,0))=TRUE,0,OFFSET(CashFlow!$B$38,0,MATCH($A34,CashFlow!$C$4:$AO$4,0),1,1))</f>
        <v>0</v>
      </c>
      <c r="D34" s="138">
        <f t="shared" ca="1" si="3"/>
        <v>11087.82878498939</v>
      </c>
      <c r="E34" s="138">
        <f t="shared" ca="1" si="4"/>
        <v>2268.5235680400633</v>
      </c>
      <c r="F34" s="138">
        <f t="shared" ca="1" si="0"/>
        <v>8819.3052169493258</v>
      </c>
      <c r="G34" s="139">
        <f ca="1">IF(ROUND(SUM(B34:C34,-F34),0)=0,0,IF($B$6="Yes",SUM($C$9:C34),SUM(B34:C34,-F34)))</f>
        <v>227896.19753505729</v>
      </c>
    </row>
    <row r="35" spans="1:7" ht="16.149999999999999" customHeight="1" x14ac:dyDescent="0.25">
      <c r="A35" s="136">
        <f t="shared" ca="1" si="1"/>
        <v>45046</v>
      </c>
      <c r="B35" s="137">
        <f t="shared" ca="1" si="2"/>
        <v>227896.19753505729</v>
      </c>
      <c r="C35" s="137">
        <f ca="1">IF(ISNA(MATCH($A35,CashFlow!$C$4:$AO$4,0))=TRUE,0,OFFSET(CashFlow!$B$38,0,MATCH($A35,CashFlow!$C$4:$AO$4,0),1,1))</f>
        <v>0</v>
      </c>
      <c r="D35" s="138">
        <f t="shared" ca="1" si="3"/>
        <v>11087.82878498939</v>
      </c>
      <c r="E35" s="138">
        <f t="shared" ca="1" si="4"/>
        <v>2184.0052263776324</v>
      </c>
      <c r="F35" s="138">
        <f t="shared" ca="1" si="0"/>
        <v>8903.8235586117571</v>
      </c>
      <c r="G35" s="139">
        <f ca="1">IF(ROUND(SUM(B35:C35,-F35),0)=0,0,IF($B$6="Yes",SUM($C$9:C35),SUM(B35:C35,-F35)))</f>
        <v>218992.37397644552</v>
      </c>
    </row>
    <row r="36" spans="1:7" ht="16.149999999999999" customHeight="1" x14ac:dyDescent="0.25">
      <c r="A36" s="136">
        <f t="shared" ca="1" si="1"/>
        <v>45077</v>
      </c>
      <c r="B36" s="137">
        <f t="shared" ca="1" si="2"/>
        <v>218992.37397644552</v>
      </c>
      <c r="C36" s="137">
        <f ca="1">IF(ISNA(MATCH($A36,CashFlow!$C$4:$AO$4,0))=TRUE,0,OFFSET(CashFlow!$B$38,0,MATCH($A36,CashFlow!$C$4:$AO$4,0),1,1))</f>
        <v>0</v>
      </c>
      <c r="D36" s="138">
        <f t="shared" ca="1" si="3"/>
        <v>11087.82878498939</v>
      </c>
      <c r="E36" s="138">
        <f t="shared" ca="1" si="4"/>
        <v>2098.6769172742697</v>
      </c>
      <c r="F36" s="138">
        <f t="shared" ca="1" si="0"/>
        <v>8989.1518677151198</v>
      </c>
      <c r="G36" s="139">
        <f ca="1">IF(ROUND(SUM(B36:C36,-F36),0)=0,0,IF($B$6="Yes",SUM($C$9:C36),SUM(B36:C36,-F36)))</f>
        <v>210003.22210873041</v>
      </c>
    </row>
    <row r="37" spans="1:7" ht="16.149999999999999" customHeight="1" x14ac:dyDescent="0.25">
      <c r="A37" s="136">
        <f t="shared" ca="1" si="1"/>
        <v>45107</v>
      </c>
      <c r="B37" s="137">
        <f t="shared" ca="1" si="2"/>
        <v>210003.22210873041</v>
      </c>
      <c r="C37" s="137">
        <f ca="1">IF(ISNA(MATCH($A37,CashFlow!$C$4:$AO$4,0))=TRUE,0,OFFSET(CashFlow!$B$38,0,MATCH($A37,CashFlow!$C$4:$AO$4,0),1,1))</f>
        <v>0</v>
      </c>
      <c r="D37" s="138">
        <f t="shared" ca="1" si="3"/>
        <v>11087.82878498939</v>
      </c>
      <c r="E37" s="138">
        <f t="shared" ca="1" si="4"/>
        <v>2012.530878542</v>
      </c>
      <c r="F37" s="138">
        <f t="shared" ca="1" si="0"/>
        <v>9075.2979064473893</v>
      </c>
      <c r="G37" s="139">
        <f ca="1">IF(ROUND(SUM(B37:C37,-F37),0)=0,0,IF($B$6="Yes",SUM($C$9:C37),SUM(B37:C37,-F37)))</f>
        <v>200927.92420228303</v>
      </c>
    </row>
    <row r="38" spans="1:7" ht="16.149999999999999" customHeight="1" x14ac:dyDescent="0.25">
      <c r="A38" s="136">
        <f t="shared" ca="1" si="1"/>
        <v>45138</v>
      </c>
      <c r="B38" s="137">
        <f t="shared" ca="1" si="2"/>
        <v>200927.92420228303</v>
      </c>
      <c r="C38" s="137">
        <f ca="1">IF(ISNA(MATCH($A38,CashFlow!$C$4:$AO$4,0))=TRUE,0,OFFSET(CashFlow!$B$38,0,MATCH($A38,CashFlow!$C$4:$AO$4,0),1,1))</f>
        <v>0</v>
      </c>
      <c r="D38" s="138">
        <f t="shared" ca="1" si="3"/>
        <v>11087.82878498939</v>
      </c>
      <c r="E38" s="138">
        <f t="shared" ca="1" si="4"/>
        <v>1925.5592736052124</v>
      </c>
      <c r="F38" s="138">
        <f t="shared" ca="1" si="0"/>
        <v>9162.2695113841764</v>
      </c>
      <c r="G38" s="139">
        <f ca="1">IF(ROUND(SUM(B38:C38,-F38),0)=0,0,IF($B$6="Yes",SUM($C$9:C38),SUM(B38:C38,-F38)))</f>
        <v>191765.65469089884</v>
      </c>
    </row>
    <row r="39" spans="1:7" ht="16.149999999999999" customHeight="1" x14ac:dyDescent="0.25">
      <c r="A39" s="136">
        <f t="shared" ca="1" si="1"/>
        <v>45169</v>
      </c>
      <c r="B39" s="137">
        <f t="shared" ca="1" si="2"/>
        <v>191765.65469089884</v>
      </c>
      <c r="C39" s="137">
        <f ca="1">IF(ISNA(MATCH($A39,CashFlow!$C$4:$AO$4,0))=TRUE,0,OFFSET(CashFlow!$B$38,0,MATCH($A39,CashFlow!$C$4:$AO$4,0),1,1))</f>
        <v>0</v>
      </c>
      <c r="D39" s="138">
        <f t="shared" ca="1" si="3"/>
        <v>11087.82878498939</v>
      </c>
      <c r="E39" s="138">
        <f t="shared" ca="1" si="4"/>
        <v>1837.7541907877805</v>
      </c>
      <c r="F39" s="138">
        <f t="shared" ca="1" si="0"/>
        <v>9250.0745942016092</v>
      </c>
      <c r="G39" s="139">
        <f ca="1">IF(ROUND(SUM(B39:C39,-F39),0)=0,0,IF($B$6="Yes",SUM($C$9:C39),SUM(B39:C39,-F39)))</f>
        <v>182515.58009669723</v>
      </c>
    </row>
    <row r="40" spans="1:7" ht="16.149999999999999" customHeight="1" x14ac:dyDescent="0.25">
      <c r="A40" s="136">
        <f t="shared" ca="1" si="1"/>
        <v>45199</v>
      </c>
      <c r="B40" s="137">
        <f t="shared" ca="1" si="2"/>
        <v>182515.58009669723</v>
      </c>
      <c r="C40" s="137">
        <f ca="1">IF(ISNA(MATCH($A40,CashFlow!$C$4:$AO$4,0))=TRUE,0,OFFSET(CashFlow!$B$38,0,MATCH($A40,CashFlow!$C$4:$AO$4,0),1,1))</f>
        <v>0</v>
      </c>
      <c r="D40" s="138">
        <f t="shared" ca="1" si="3"/>
        <v>11087.82878498939</v>
      </c>
      <c r="E40" s="138">
        <f t="shared" ca="1" si="4"/>
        <v>1749.1076425933486</v>
      </c>
      <c r="F40" s="138">
        <f t="shared" ca="1" si="0"/>
        <v>9338.7211423960416</v>
      </c>
      <c r="G40" s="139">
        <f ca="1">IF(ROUND(SUM(B40:C40,-F40),0)=0,0,IF($B$6="Yes",SUM($C$9:C40),SUM(B40:C40,-F40)))</f>
        <v>173176.85895430119</v>
      </c>
    </row>
    <row r="41" spans="1:7" ht="16.149999999999999" customHeight="1" x14ac:dyDescent="0.25">
      <c r="A41" s="136">
        <f t="shared" ca="1" si="1"/>
        <v>45230</v>
      </c>
      <c r="B41" s="137">
        <f t="shared" ca="1" si="2"/>
        <v>173176.85895430119</v>
      </c>
      <c r="C41" s="137">
        <f ca="1">IF(ISNA(MATCH($A41,CashFlow!$C$4:$AO$4,0))=TRUE,0,OFFSET(CashFlow!$B$38,0,MATCH($A41,CashFlow!$C$4:$AO$4,0),1,1))</f>
        <v>0</v>
      </c>
      <c r="D41" s="138">
        <f t="shared" ca="1" si="3"/>
        <v>11087.82878498939</v>
      </c>
      <c r="E41" s="138">
        <f t="shared" ca="1" si="4"/>
        <v>1659.6115649787198</v>
      </c>
      <c r="F41" s="138">
        <f t="shared" ca="1" si="0"/>
        <v>9428.2172200106688</v>
      </c>
      <c r="G41" s="139">
        <f ca="1">IF(ROUND(SUM(B41:C41,-F41),0)=0,0,IF($B$6="Yes",SUM($C$9:C41),SUM(B41:C41,-F41)))</f>
        <v>163748.64173429052</v>
      </c>
    </row>
    <row r="42" spans="1:7" ht="16.149999999999999" customHeight="1" x14ac:dyDescent="0.25">
      <c r="A42" s="136">
        <f t="shared" ca="1" si="1"/>
        <v>45260</v>
      </c>
      <c r="B42" s="137">
        <f t="shared" ca="1" si="2"/>
        <v>163748.64173429052</v>
      </c>
      <c r="C42" s="137">
        <f ca="1">IF(ISNA(MATCH($A42,CashFlow!$C$4:$AO$4,0))=TRUE,0,OFFSET(CashFlow!$B$38,0,MATCH($A42,CashFlow!$C$4:$AO$4,0),1,1))</f>
        <v>0</v>
      </c>
      <c r="D42" s="138">
        <f t="shared" ca="1" si="3"/>
        <v>11087.82878498939</v>
      </c>
      <c r="E42" s="138">
        <f t="shared" ca="1" si="4"/>
        <v>1569.2578166202841</v>
      </c>
      <c r="F42" s="138">
        <f t="shared" ca="1" si="0"/>
        <v>9518.5709683691057</v>
      </c>
      <c r="G42" s="139">
        <f ca="1">IF(ROUND(SUM(B42:C42,-F42),0)=0,0,IF($B$6="Yes",SUM($C$9:C42),SUM(B42:C42,-F42)))</f>
        <v>154230.07076592141</v>
      </c>
    </row>
    <row r="43" spans="1:7" ht="16.149999999999999" customHeight="1" x14ac:dyDescent="0.25">
      <c r="A43" s="136">
        <f t="shared" ca="1" si="1"/>
        <v>45291</v>
      </c>
      <c r="B43" s="137">
        <f t="shared" ca="1" si="2"/>
        <v>154230.07076592141</v>
      </c>
      <c r="C43" s="137">
        <f ca="1">IF(ISNA(MATCH($A43,CashFlow!$C$4:$AO$4,0))=TRUE,0,OFFSET(CashFlow!$B$38,0,MATCH($A43,CashFlow!$C$4:$AO$4,0),1,1))</f>
        <v>0</v>
      </c>
      <c r="D43" s="138">
        <f t="shared" ca="1" si="3"/>
        <v>11087.82878498939</v>
      </c>
      <c r="E43" s="138">
        <f t="shared" ca="1" si="4"/>
        <v>1478.0381781734134</v>
      </c>
      <c r="F43" s="138">
        <f t="shared" ca="1" si="0"/>
        <v>9609.7906068159755</v>
      </c>
      <c r="G43" s="139">
        <f ca="1">IF(ROUND(SUM(B43:C43,-F43),0)=0,0,IF($B$6="Yes",SUM($C$9:C43),SUM(B43:C43,-F43)))</f>
        <v>144620.28015910543</v>
      </c>
    </row>
    <row r="44" spans="1:7" ht="16.149999999999999" customHeight="1" x14ac:dyDescent="0.25">
      <c r="A44" s="136">
        <f t="shared" ca="1" si="1"/>
        <v>45322</v>
      </c>
      <c r="B44" s="137">
        <f t="shared" ca="1" si="2"/>
        <v>144620.28015910543</v>
      </c>
      <c r="C44" s="137">
        <f ca="1">IF(ISNA(MATCH($A44,CashFlow!$C$4:$AO$4,0))=TRUE,0,OFFSET(CashFlow!$B$38,0,MATCH($A44,CashFlow!$C$4:$AO$4,0),1,1))</f>
        <v>0</v>
      </c>
      <c r="D44" s="138">
        <f t="shared" ca="1" si="3"/>
        <v>11087.82878498939</v>
      </c>
      <c r="E44" s="138">
        <f t="shared" ca="1" si="4"/>
        <v>1385.9443515247604</v>
      </c>
      <c r="F44" s="138">
        <f t="shared" ca="1" si="0"/>
        <v>9701.8844334646292</v>
      </c>
      <c r="G44" s="139">
        <f ca="1">IF(ROUND(SUM(B44:C44,-F44),0)=0,0,IF($B$6="Yes",SUM($C$9:C44),SUM(B44:C44,-F44)))</f>
        <v>134918.39572564079</v>
      </c>
    </row>
    <row r="45" spans="1:7" ht="16.149999999999999" customHeight="1" x14ac:dyDescent="0.25">
      <c r="A45" s="136">
        <f t="shared" ca="1" si="1"/>
        <v>45351</v>
      </c>
      <c r="B45" s="137">
        <f t="shared" ca="1" si="2"/>
        <v>134918.39572564079</v>
      </c>
      <c r="C45" s="137">
        <f ca="1">IF(ISNA(MATCH($A45,CashFlow!$C$4:$AO$4,0))=TRUE,0,OFFSET(CashFlow!$B$38,0,MATCH($A45,CashFlow!$C$4:$AO$4,0),1,1))</f>
        <v>0</v>
      </c>
      <c r="D45" s="138">
        <f t="shared" ca="1" si="3"/>
        <v>11087.82878498939</v>
      </c>
      <c r="E45" s="138">
        <f t="shared" ca="1" si="4"/>
        <v>1292.967959037391</v>
      </c>
      <c r="F45" s="138">
        <f t="shared" ca="1" si="0"/>
        <v>9794.8608259519988</v>
      </c>
      <c r="G45" s="139">
        <f ca="1">IF(ROUND(SUM(B45:C45,-F45),0)=0,0,IF($B$6="Yes",SUM($C$9:C45),SUM(B45:C45,-F45)))</f>
        <v>125123.53489968879</v>
      </c>
    </row>
    <row r="46" spans="1:7" ht="16.149999999999999" customHeight="1" x14ac:dyDescent="0.25">
      <c r="A46" s="136">
        <f t="shared" ca="1" si="1"/>
        <v>45382</v>
      </c>
      <c r="B46" s="137">
        <f t="shared" ca="1" si="2"/>
        <v>125123.53489968879</v>
      </c>
      <c r="C46" s="137">
        <f ca="1">IF(ISNA(MATCH($A46,CashFlow!$C$4:$AO$4,0))=TRUE,0,OFFSET(CashFlow!$B$38,0,MATCH($A46,CashFlow!$C$4:$AO$4,0),1,1))</f>
        <v>0</v>
      </c>
      <c r="D46" s="138">
        <f t="shared" ca="1" si="3"/>
        <v>11087.82878498939</v>
      </c>
      <c r="E46" s="138">
        <f t="shared" ca="1" si="4"/>
        <v>1199.1005427886844</v>
      </c>
      <c r="F46" s="138">
        <f t="shared" ca="1" si="0"/>
        <v>9888.7282422007047</v>
      </c>
      <c r="G46" s="139">
        <f ca="1">IF(ROUND(SUM(B46:C46,-F46),0)=0,0,IF($B$6="Yes",SUM($C$9:C46),SUM(B46:C46,-F46)))</f>
        <v>115234.80665748808</v>
      </c>
    </row>
    <row r="47" spans="1:7" ht="16.149999999999999" customHeight="1" x14ac:dyDescent="0.25">
      <c r="A47" s="136">
        <f t="shared" ca="1" si="1"/>
        <v>45412</v>
      </c>
      <c r="B47" s="137">
        <f t="shared" ca="1" si="2"/>
        <v>115234.80665748808</v>
      </c>
      <c r="C47" s="137">
        <f ca="1">IF(ISNA(MATCH($A47,CashFlow!$C$4:$AO$4,0))=TRUE,0,OFFSET(CashFlow!$B$38,0,MATCH($A47,CashFlow!$C$4:$AO$4,0),1,1))</f>
        <v>0</v>
      </c>
      <c r="D47" s="138">
        <f t="shared" ca="1" si="3"/>
        <v>11087.82878498939</v>
      </c>
      <c r="E47" s="138">
        <f t="shared" ca="1" si="4"/>
        <v>1104.3335638009275</v>
      </c>
      <c r="F47" s="138">
        <f t="shared" ca="1" si="0"/>
        <v>9983.4952211884629</v>
      </c>
      <c r="G47" s="139">
        <f ca="1">IF(ROUND(SUM(B47:C47,-F47),0)=0,0,IF($B$6="Yes",SUM($C$9:C47),SUM(B47:C47,-F47)))</f>
        <v>105251.31143629961</v>
      </c>
    </row>
    <row r="48" spans="1:7" ht="16.149999999999999" customHeight="1" x14ac:dyDescent="0.25">
      <c r="A48" s="136">
        <f t="shared" ca="1" si="1"/>
        <v>45443</v>
      </c>
      <c r="B48" s="137">
        <f t="shared" ca="1" si="2"/>
        <v>105251.31143629961</v>
      </c>
      <c r="C48" s="137">
        <f ca="1">IF(ISNA(MATCH($A48,CashFlow!$C$4:$AO$4,0))=TRUE,0,OFFSET(CashFlow!$B$38,0,MATCH($A48,CashFlow!$C$4:$AO$4,0),1,1))</f>
        <v>0</v>
      </c>
      <c r="D48" s="138">
        <f t="shared" ca="1" si="3"/>
        <v>11087.82878498939</v>
      </c>
      <c r="E48" s="138">
        <f t="shared" ca="1" si="4"/>
        <v>1008.658401264538</v>
      </c>
      <c r="F48" s="138">
        <f t="shared" ca="1" si="0"/>
        <v>10079.170383724851</v>
      </c>
      <c r="G48" s="139">
        <f ca="1">IF(ROUND(SUM(B48:C48,-F48),0)=0,0,IF($B$6="Yes",SUM($C$9:C48),SUM(B48:C48,-F48)))</f>
        <v>95172.141052574763</v>
      </c>
    </row>
    <row r="49" spans="1:7" ht="16.149999999999999" customHeight="1" x14ac:dyDescent="0.25">
      <c r="A49" s="136">
        <f t="shared" ca="1" si="1"/>
        <v>45473</v>
      </c>
      <c r="B49" s="137">
        <f t="shared" ca="1" si="2"/>
        <v>95172.141052574763</v>
      </c>
      <c r="C49" s="137">
        <f ca="1">IF(ISNA(MATCH($A49,CashFlow!$C$4:$AO$4,0))=TRUE,0,OFFSET(CashFlow!$B$38,0,MATCH($A49,CashFlow!$C$4:$AO$4,0),1,1))</f>
        <v>0</v>
      </c>
      <c r="D49" s="138">
        <f t="shared" ca="1" si="3"/>
        <v>11087.82878498939</v>
      </c>
      <c r="E49" s="138">
        <f t="shared" ca="1" si="4"/>
        <v>912.06635175384156</v>
      </c>
      <c r="F49" s="138">
        <f t="shared" ca="1" si="0"/>
        <v>10175.762433235548</v>
      </c>
      <c r="G49" s="139">
        <f ca="1">IF(ROUND(SUM(B49:C49,-F49),0)=0,0,IF($B$6="Yes",SUM($C$9:C49),SUM(B49:C49,-F49)))</f>
        <v>84996.378619339215</v>
      </c>
    </row>
    <row r="50" spans="1:7" ht="16.149999999999999" customHeight="1" x14ac:dyDescent="0.25">
      <c r="A50" s="136">
        <f t="shared" ca="1" si="1"/>
        <v>45504</v>
      </c>
      <c r="B50" s="137">
        <f t="shared" ca="1" si="2"/>
        <v>84996.378619339215</v>
      </c>
      <c r="C50" s="137">
        <f ca="1">IF(ISNA(MATCH($A50,CashFlow!$C$4:$AO$4,0))=TRUE,0,OFFSET(CashFlow!$B$38,0,MATCH($A50,CashFlow!$C$4:$AO$4,0),1,1))</f>
        <v>0</v>
      </c>
      <c r="D50" s="138">
        <f t="shared" ca="1" si="3"/>
        <v>11087.82878498939</v>
      </c>
      <c r="E50" s="138">
        <f t="shared" ca="1" si="4"/>
        <v>814.54862843533419</v>
      </c>
      <c r="F50" s="138">
        <f t="shared" ca="1" si="0"/>
        <v>10273.280156554056</v>
      </c>
      <c r="G50" s="139">
        <f ca="1">IF(ROUND(SUM(B50:C50,-F50),0)=0,0,IF($B$6="Yes",SUM($C$9:C50),SUM(B50:C50,-F50)))</f>
        <v>74723.098462785158</v>
      </c>
    </row>
    <row r="51" spans="1:7" ht="16.149999999999999" customHeight="1" x14ac:dyDescent="0.25">
      <c r="A51" s="136">
        <f t="shared" ca="1" si="1"/>
        <v>45535</v>
      </c>
      <c r="B51" s="137">
        <f t="shared" ca="1" si="2"/>
        <v>74723.098462785158</v>
      </c>
      <c r="C51" s="137">
        <f ca="1">IF(ISNA(MATCH($A51,CashFlow!$C$4:$AO$4,0))=TRUE,0,OFFSET(CashFlow!$B$38,0,MATCH($A51,CashFlow!$C$4:$AO$4,0),1,1))</f>
        <v>0</v>
      </c>
      <c r="D51" s="138">
        <f t="shared" ca="1" si="3"/>
        <v>11087.82878498939</v>
      </c>
      <c r="E51" s="138">
        <f t="shared" ca="1" si="4"/>
        <v>716.09636026835778</v>
      </c>
      <c r="F51" s="138">
        <f t="shared" ca="1" si="0"/>
        <v>10371.732424721031</v>
      </c>
      <c r="G51" s="139">
        <f ca="1">IF(ROUND(SUM(B51:C51,-F51),0)=0,0,IF($B$6="Yes",SUM($C$9:C51),SUM(B51:C51,-F51)))</f>
        <v>64351.366038064123</v>
      </c>
    </row>
    <row r="52" spans="1:7" ht="16.149999999999999" customHeight="1" x14ac:dyDescent="0.25">
      <c r="A52" s="136">
        <f t="shared" ca="1" si="1"/>
        <v>45565</v>
      </c>
      <c r="B52" s="137">
        <f t="shared" ca="1" si="2"/>
        <v>64351.366038064123</v>
      </c>
      <c r="C52" s="137">
        <f ca="1">IF(ISNA(MATCH($A52,CashFlow!$C$4:$AO$4,0))=TRUE,0,OFFSET(CashFlow!$B$38,0,MATCH($A52,CashFlow!$C$4:$AO$4,0),1,1))</f>
        <v>0</v>
      </c>
      <c r="D52" s="138">
        <f t="shared" ca="1" si="3"/>
        <v>11087.82878498939</v>
      </c>
      <c r="E52" s="138">
        <f t="shared" ca="1" si="4"/>
        <v>616.70059119811447</v>
      </c>
      <c r="F52" s="138">
        <f t="shared" ca="1" si="0"/>
        <v>10471.128193791275</v>
      </c>
      <c r="G52" s="139">
        <f ca="1">IF(ROUND(SUM(B52:C52,-F52),0)=0,0,IF($B$6="Yes",SUM($C$9:C52),SUM(B52:C52,-F52)))</f>
        <v>53880.237844272851</v>
      </c>
    </row>
    <row r="53" spans="1:7" ht="16.149999999999999" customHeight="1" x14ac:dyDescent="0.25">
      <c r="A53" s="136">
        <f t="shared" ca="1" si="1"/>
        <v>45596</v>
      </c>
      <c r="B53" s="137">
        <f t="shared" ca="1" si="2"/>
        <v>53880.237844272851</v>
      </c>
      <c r="C53" s="137">
        <f ca="1">IF(ISNA(MATCH($A53,CashFlow!$C$4:$AO$4,0))=TRUE,0,OFFSET(CashFlow!$B$38,0,MATCH($A53,CashFlow!$C$4:$AO$4,0),1,1))</f>
        <v>0</v>
      </c>
      <c r="D53" s="138">
        <f t="shared" ca="1" si="3"/>
        <v>11087.82878498939</v>
      </c>
      <c r="E53" s="138">
        <f t="shared" ca="1" si="4"/>
        <v>516.35227934094814</v>
      </c>
      <c r="F53" s="138">
        <f t="shared" ca="1" si="0"/>
        <v>10571.476505648441</v>
      </c>
      <c r="G53" s="139">
        <f ca="1">IF(ROUND(SUM(B53:C53,-F53),0)=0,0,IF($B$6="Yes",SUM($C$9:C53),SUM(B53:C53,-F53)))</f>
        <v>43308.761338624412</v>
      </c>
    </row>
    <row r="54" spans="1:7" ht="16.149999999999999" customHeight="1" x14ac:dyDescent="0.25">
      <c r="A54" s="136">
        <f t="shared" ca="1" si="1"/>
        <v>45626</v>
      </c>
      <c r="B54" s="137">
        <f t="shared" ca="1" si="2"/>
        <v>43308.761338624412</v>
      </c>
      <c r="C54" s="137">
        <f ca="1">IF(ISNA(MATCH($A54,CashFlow!$C$4:$AO$4,0))=TRUE,0,OFFSET(CashFlow!$B$38,0,MATCH($A54,CashFlow!$C$4:$AO$4,0),1,1))</f>
        <v>0</v>
      </c>
      <c r="D54" s="138">
        <f t="shared" ca="1" si="3"/>
        <v>11087.82878498939</v>
      </c>
      <c r="E54" s="138">
        <f t="shared" ca="1" si="4"/>
        <v>415.04229616181732</v>
      </c>
      <c r="F54" s="138">
        <f t="shared" ca="1" si="0"/>
        <v>10672.786488827573</v>
      </c>
      <c r="G54" s="139">
        <f ca="1">IF(ROUND(SUM(B54:C54,-F54),0)=0,0,IF($B$6="Yes",SUM($C$9:C54),SUM(B54:C54,-F54)))</f>
        <v>32635.974849796839</v>
      </c>
    </row>
    <row r="55" spans="1:7" ht="16.149999999999999" customHeight="1" x14ac:dyDescent="0.25">
      <c r="A55" s="136">
        <f t="shared" ca="1" si="1"/>
        <v>45657</v>
      </c>
      <c r="B55" s="137">
        <f t="shared" ca="1" si="2"/>
        <v>32635.974849796839</v>
      </c>
      <c r="C55" s="137">
        <f ca="1">IF(ISNA(MATCH($A55,CashFlow!$C$4:$AO$4,0))=TRUE,0,OFFSET(CashFlow!$B$38,0,MATCH($A55,CashFlow!$C$4:$AO$4,0),1,1))</f>
        <v>0</v>
      </c>
      <c r="D55" s="138">
        <f t="shared" ca="1" si="3"/>
        <v>11087.82878498939</v>
      </c>
      <c r="E55" s="138">
        <f t="shared" ca="1" si="4"/>
        <v>312.76142564388641</v>
      </c>
      <c r="F55" s="138">
        <f t="shared" ca="1" si="0"/>
        <v>10775.067359345503</v>
      </c>
      <c r="G55" s="139">
        <f ca="1">IF(ROUND(SUM(B55:C55,-F55),0)=0,0,IF($B$6="Yes",SUM($C$9:C55),SUM(B55:C55,-F55)))</f>
        <v>21860.907490451336</v>
      </c>
    </row>
    <row r="56" spans="1:7" ht="16.149999999999999" customHeight="1" x14ac:dyDescent="0.25">
      <c r="A56" s="136">
        <f t="shared" ca="1" si="1"/>
        <v>45688</v>
      </c>
      <c r="B56" s="137">
        <f t="shared" ca="1" si="2"/>
        <v>21860.907490451336</v>
      </c>
      <c r="C56" s="137">
        <f ca="1">IF(ISNA(MATCH($A56,CashFlow!$C$4:$AO$4,0))=TRUE,0,OFFSET(CashFlow!$B$38,0,MATCH($A56,CashFlow!$C$4:$AO$4,0),1,1))</f>
        <v>0</v>
      </c>
      <c r="D56" s="138">
        <f t="shared" ca="1" si="3"/>
        <v>11087.82878498939</v>
      </c>
      <c r="E56" s="138">
        <f t="shared" ca="1" si="4"/>
        <v>209.50036345015863</v>
      </c>
      <c r="F56" s="138">
        <f t="shared" ca="1" si="0"/>
        <v>10878.32842153923</v>
      </c>
      <c r="G56" s="139">
        <f ca="1">IF(ROUND(SUM(B56:C56,-F56),0)=0,0,IF($B$6="Yes",SUM($C$9:C56),SUM(B56:C56,-F56)))</f>
        <v>10982.579068912106</v>
      </c>
    </row>
    <row r="57" spans="1:7" ht="16.149999999999999" customHeight="1" x14ac:dyDescent="0.25">
      <c r="A57" s="136">
        <f t="shared" ca="1" si="1"/>
        <v>45716</v>
      </c>
      <c r="B57" s="137">
        <f t="shared" ca="1" si="2"/>
        <v>10982.579068912106</v>
      </c>
      <c r="C57" s="137">
        <f ca="1">IF(ISNA(MATCH($A57,CashFlow!$C$4:$AO$4,0))=TRUE,0,OFFSET(CashFlow!$B$38,0,MATCH($A57,CashFlow!$C$4:$AO$4,0),1,1))</f>
        <v>0</v>
      </c>
      <c r="D57" s="138">
        <f t="shared" ca="1" si="3"/>
        <v>11087.82878498939</v>
      </c>
      <c r="E57" s="138">
        <f t="shared" ca="1" si="4"/>
        <v>105.24971607707435</v>
      </c>
      <c r="F57" s="138">
        <f t="shared" ca="1" si="0"/>
        <v>10982.579068912315</v>
      </c>
      <c r="G57" s="139">
        <f ca="1">IF(ROUND(SUM(B57:C57,-F57),0)=0,0,IF($B$6="Yes",SUM($C$9:C57),SUM(B57:C57,-F57)))</f>
        <v>0</v>
      </c>
    </row>
    <row r="58" spans="1:7" ht="16.149999999999999" customHeight="1" x14ac:dyDescent="0.25">
      <c r="A58" s="136">
        <f t="shared" ca="1" si="1"/>
        <v>45747</v>
      </c>
      <c r="B58" s="137">
        <f t="shared" ca="1" si="2"/>
        <v>0</v>
      </c>
      <c r="C58" s="137">
        <f ca="1">IF(ISNA(MATCH($A58,CashFlow!$C$4:$AO$4,0))=TRUE,0,OFFSET(CashFlow!$B$38,0,MATCH($A58,CashFlow!$C$4:$AO$4,0),1,1))</f>
        <v>0</v>
      </c>
      <c r="D58" s="138">
        <f t="shared" ca="1" si="3"/>
        <v>0</v>
      </c>
      <c r="E58" s="138">
        <f t="shared" ca="1" si="4"/>
        <v>0</v>
      </c>
      <c r="F58" s="138">
        <f t="shared" ca="1" si="0"/>
        <v>0</v>
      </c>
      <c r="G58" s="139">
        <f ca="1">IF(ROUND(SUM(B58:C58,-F58),0)=0,0,IF($B$6="Yes",SUM($C$9:C58),SUM(B58:C58,-F58)))</f>
        <v>0</v>
      </c>
    </row>
    <row r="59" spans="1:7" ht="16.149999999999999" customHeight="1" x14ac:dyDescent="0.25">
      <c r="A59" s="136">
        <f t="shared" ca="1" si="1"/>
        <v>45777</v>
      </c>
      <c r="B59" s="137">
        <f t="shared" ca="1" si="2"/>
        <v>0</v>
      </c>
      <c r="C59" s="137">
        <f ca="1">IF(ISNA(MATCH($A59,CashFlow!$C$4:$AO$4,0))=TRUE,0,OFFSET(CashFlow!$B$38,0,MATCH($A59,CashFlow!$C$4:$AO$4,0),1,1))</f>
        <v>0</v>
      </c>
      <c r="D59" s="138">
        <f t="shared" ca="1" si="3"/>
        <v>0</v>
      </c>
      <c r="E59" s="138">
        <f t="shared" ca="1" si="4"/>
        <v>0</v>
      </c>
      <c r="F59" s="138">
        <f t="shared" ca="1" si="0"/>
        <v>0</v>
      </c>
      <c r="G59" s="139">
        <f ca="1">IF(ROUND(SUM(B59:C59,-F59),0)=0,0,IF($B$6="Yes",SUM($C$9:C59),SUM(B59:C59,-F59)))</f>
        <v>0</v>
      </c>
    </row>
    <row r="60" spans="1:7" ht="16.149999999999999" customHeight="1" x14ac:dyDescent="0.25">
      <c r="A60" s="136">
        <f t="shared" ca="1" si="1"/>
        <v>45808</v>
      </c>
      <c r="B60" s="137">
        <f t="shared" ca="1" si="2"/>
        <v>0</v>
      </c>
      <c r="C60" s="137">
        <f ca="1">IF(ISNA(MATCH($A60,CashFlow!$C$4:$AO$4,0))=TRUE,0,OFFSET(CashFlow!$B$38,0,MATCH($A60,CashFlow!$C$4:$AO$4,0),1,1))</f>
        <v>0</v>
      </c>
      <c r="D60" s="138">
        <f t="shared" ca="1" si="3"/>
        <v>0</v>
      </c>
      <c r="E60" s="138">
        <f t="shared" ca="1" si="4"/>
        <v>0</v>
      </c>
      <c r="F60" s="138">
        <f t="shared" ca="1" si="0"/>
        <v>0</v>
      </c>
      <c r="G60" s="139">
        <f ca="1">IF(ROUND(SUM(B60:C60,-F60),0)=0,0,IF($B$6="Yes",SUM($C$9:C60),SUM(B60:C60,-F60)))</f>
        <v>0</v>
      </c>
    </row>
    <row r="61" spans="1:7" ht="16.149999999999999" customHeight="1" x14ac:dyDescent="0.25">
      <c r="A61" s="136">
        <f t="shared" ca="1" si="1"/>
        <v>45838</v>
      </c>
      <c r="B61" s="137">
        <f t="shared" ca="1" si="2"/>
        <v>0</v>
      </c>
      <c r="C61" s="137">
        <f ca="1">IF(ISNA(MATCH($A61,CashFlow!$C$4:$AO$4,0))=TRUE,0,OFFSET(CashFlow!$B$38,0,MATCH($A61,CashFlow!$C$4:$AO$4,0),1,1))</f>
        <v>0</v>
      </c>
      <c r="D61" s="138">
        <f t="shared" ca="1" si="3"/>
        <v>0</v>
      </c>
      <c r="E61" s="138">
        <f t="shared" ca="1" si="4"/>
        <v>0</v>
      </c>
      <c r="F61" s="138">
        <f t="shared" ca="1" si="0"/>
        <v>0</v>
      </c>
      <c r="G61" s="139">
        <f ca="1">IF(ROUND(SUM(B61:C61,-F61),0)=0,0,IF($B$6="Yes",SUM($C$9:C61),SUM(B61:C61,-F61)))</f>
        <v>0</v>
      </c>
    </row>
    <row r="62" spans="1:7" ht="16.149999999999999" customHeight="1" x14ac:dyDescent="0.25">
      <c r="A62" s="136">
        <f t="shared" ca="1" si="1"/>
        <v>45869</v>
      </c>
      <c r="B62" s="137">
        <f t="shared" ca="1" si="2"/>
        <v>0</v>
      </c>
      <c r="C62" s="137">
        <f ca="1">IF(ISNA(MATCH($A62,CashFlow!$C$4:$AO$4,0))=TRUE,0,OFFSET(CashFlow!$B$38,0,MATCH($A62,CashFlow!$C$4:$AO$4,0),1,1))</f>
        <v>0</v>
      </c>
      <c r="D62" s="138">
        <f t="shared" ca="1" si="3"/>
        <v>0</v>
      </c>
      <c r="E62" s="138">
        <f t="shared" ca="1" si="4"/>
        <v>0</v>
      </c>
      <c r="F62" s="138">
        <f t="shared" ca="1" si="0"/>
        <v>0</v>
      </c>
      <c r="G62" s="139">
        <f ca="1">IF(ROUND(SUM(B62:C62,-F62),0)=0,0,IF($B$6="Yes",SUM($C$9:C62),SUM(B62:C62,-F62)))</f>
        <v>0</v>
      </c>
    </row>
    <row r="63" spans="1:7" ht="16.149999999999999" customHeight="1" x14ac:dyDescent="0.25">
      <c r="A63" s="136">
        <f t="shared" ca="1" si="1"/>
        <v>45900</v>
      </c>
      <c r="B63" s="137">
        <f t="shared" ca="1" si="2"/>
        <v>0</v>
      </c>
      <c r="C63" s="137">
        <f ca="1">IF(ISNA(MATCH($A63,CashFlow!$C$4:$AO$4,0))=TRUE,0,OFFSET(CashFlow!$B$38,0,MATCH($A63,CashFlow!$C$4:$AO$4,0),1,1))</f>
        <v>0</v>
      </c>
      <c r="D63" s="138">
        <f t="shared" ca="1" si="3"/>
        <v>0</v>
      </c>
      <c r="E63" s="138">
        <f t="shared" ca="1" si="4"/>
        <v>0</v>
      </c>
      <c r="F63" s="138">
        <f t="shared" ca="1" si="0"/>
        <v>0</v>
      </c>
      <c r="G63" s="139">
        <f ca="1">IF(ROUND(SUM(B63:C63,-F63),0)=0,0,IF($B$6="Yes",SUM($C$9:C63),SUM(B63:C63,-F63)))</f>
        <v>0</v>
      </c>
    </row>
    <row r="64" spans="1:7" ht="16.149999999999999" customHeight="1" x14ac:dyDescent="0.25">
      <c r="A64" s="136">
        <f t="shared" ca="1" si="1"/>
        <v>45930</v>
      </c>
      <c r="B64" s="137">
        <f t="shared" ca="1" si="2"/>
        <v>0</v>
      </c>
      <c r="C64" s="137">
        <f ca="1">IF(ISNA(MATCH($A64,CashFlow!$C$4:$AO$4,0))=TRUE,0,OFFSET(CashFlow!$B$38,0,MATCH($A64,CashFlow!$C$4:$AO$4,0),1,1))</f>
        <v>0</v>
      </c>
      <c r="D64" s="138">
        <f t="shared" ca="1" si="3"/>
        <v>0</v>
      </c>
      <c r="E64" s="138">
        <f t="shared" ca="1" si="4"/>
        <v>0</v>
      </c>
      <c r="F64" s="138">
        <f t="shared" ca="1" si="0"/>
        <v>0</v>
      </c>
      <c r="G64" s="139">
        <f ca="1">IF(ROUND(SUM(B64:C64,-F64),0)=0,0,IF($B$6="Yes",SUM($C$9:C64),SUM(B64:C64,-F64)))</f>
        <v>0</v>
      </c>
    </row>
    <row r="65" spans="1:7" ht="16.149999999999999" customHeight="1" x14ac:dyDescent="0.25">
      <c r="A65" s="136">
        <f t="shared" ca="1" si="1"/>
        <v>45961</v>
      </c>
      <c r="B65" s="137">
        <f t="shared" ca="1" si="2"/>
        <v>0</v>
      </c>
      <c r="C65" s="137">
        <f ca="1">IF(ISNA(MATCH($A65,CashFlow!$C$4:$AO$4,0))=TRUE,0,OFFSET(CashFlow!$B$38,0,MATCH($A65,CashFlow!$C$4:$AO$4,0),1,1))</f>
        <v>0</v>
      </c>
      <c r="D65" s="138">
        <f t="shared" ca="1" si="3"/>
        <v>0</v>
      </c>
      <c r="E65" s="138">
        <f t="shared" ca="1" si="4"/>
        <v>0</v>
      </c>
      <c r="F65" s="138">
        <f t="shared" ca="1" si="0"/>
        <v>0</v>
      </c>
      <c r="G65" s="139">
        <f ca="1">IF(ROUND(SUM(B65:C65,-F65),0)=0,0,IF($B$6="Yes",SUM($C$9:C65),SUM(B65:C65,-F65)))</f>
        <v>0</v>
      </c>
    </row>
    <row r="66" spans="1:7" ht="16.149999999999999" customHeight="1" x14ac:dyDescent="0.25">
      <c r="A66" s="136">
        <f t="shared" ca="1" si="1"/>
        <v>45991</v>
      </c>
      <c r="B66" s="137">
        <f t="shared" ca="1" si="2"/>
        <v>0</v>
      </c>
      <c r="C66" s="137">
        <f ca="1">IF(ISNA(MATCH($A66,CashFlow!$C$4:$AO$4,0))=TRUE,0,OFFSET(CashFlow!$B$38,0,MATCH($A66,CashFlow!$C$4:$AO$4,0),1,1))</f>
        <v>0</v>
      </c>
      <c r="D66" s="138">
        <f t="shared" ca="1" si="3"/>
        <v>0</v>
      </c>
      <c r="E66" s="138">
        <f t="shared" ca="1" si="4"/>
        <v>0</v>
      </c>
      <c r="F66" s="138">
        <f t="shared" ca="1" si="0"/>
        <v>0</v>
      </c>
      <c r="G66" s="139">
        <f ca="1">IF(ROUND(SUM(B66:C66,-F66),0)=0,0,IF($B$6="Yes",SUM($C$9:C66),SUM(B66:C66,-F66)))</f>
        <v>0</v>
      </c>
    </row>
    <row r="67" spans="1:7" ht="16.149999999999999" customHeight="1" x14ac:dyDescent="0.25">
      <c r="A67" s="136">
        <f t="shared" ca="1" si="1"/>
        <v>46022</v>
      </c>
      <c r="B67" s="137">
        <f t="shared" ca="1" si="2"/>
        <v>0</v>
      </c>
      <c r="C67" s="137">
        <f ca="1">IF(ISNA(MATCH($A67,CashFlow!$C$4:$AO$4,0))=TRUE,0,OFFSET(CashFlow!$B$38,0,MATCH($A67,CashFlow!$C$4:$AO$4,0),1,1))</f>
        <v>0</v>
      </c>
      <c r="D67" s="138">
        <f t="shared" ca="1" si="3"/>
        <v>0</v>
      </c>
      <c r="E67" s="138">
        <f t="shared" ca="1" si="4"/>
        <v>0</v>
      </c>
      <c r="F67" s="138">
        <f t="shared" ca="1" si="0"/>
        <v>0</v>
      </c>
      <c r="G67" s="139">
        <f ca="1">IF(ROUND(SUM(B67:C67,-F67),0)=0,0,IF($B$6="Yes",SUM($C$9:C67),SUM(B67:C67,-F67)))</f>
        <v>0</v>
      </c>
    </row>
    <row r="68" spans="1:7" ht="16.149999999999999" customHeight="1" x14ac:dyDescent="0.25">
      <c r="A68" s="136">
        <f t="shared" ca="1" si="1"/>
        <v>46053</v>
      </c>
      <c r="B68" s="137">
        <f t="shared" ca="1" si="2"/>
        <v>0</v>
      </c>
      <c r="C68" s="137">
        <f ca="1">IF(ISNA(MATCH($A68,CashFlow!$C$4:$AO$4,0))=TRUE,0,OFFSET(CashFlow!$B$38,0,MATCH($A68,CashFlow!$C$4:$AO$4,0),1,1))</f>
        <v>0</v>
      </c>
      <c r="D68" s="138">
        <f t="shared" ca="1" si="3"/>
        <v>0</v>
      </c>
      <c r="E68" s="138">
        <f t="shared" ca="1" si="4"/>
        <v>0</v>
      </c>
      <c r="F68" s="138">
        <f t="shared" ca="1" si="0"/>
        <v>0</v>
      </c>
      <c r="G68" s="139">
        <f ca="1">IF(ROUND(SUM(B68:C68,-F68),0)=0,0,IF($B$6="Yes",SUM($C$9:C68),SUM(B68:C68,-F68)))</f>
        <v>0</v>
      </c>
    </row>
    <row r="69" spans="1:7" ht="16.149999999999999" customHeight="1" x14ac:dyDescent="0.25">
      <c r="A69" s="136">
        <f t="shared" ca="1" si="1"/>
        <v>46081</v>
      </c>
      <c r="B69" s="137">
        <f t="shared" ca="1" si="2"/>
        <v>0</v>
      </c>
      <c r="C69" s="137">
        <f ca="1">IF(ISNA(MATCH($A69,CashFlow!$C$4:$AO$4,0))=TRUE,0,OFFSET(CashFlow!$B$38,0,MATCH($A69,CashFlow!$C$4:$AO$4,0),1,1))</f>
        <v>0</v>
      </c>
      <c r="D69" s="138">
        <f t="shared" ca="1" si="3"/>
        <v>0</v>
      </c>
      <c r="E69" s="138">
        <f t="shared" ca="1" si="4"/>
        <v>0</v>
      </c>
      <c r="F69" s="138">
        <f t="shared" ca="1" si="0"/>
        <v>0</v>
      </c>
      <c r="G69" s="139">
        <f ca="1">IF(ROUND(SUM(B69:C69,-F69),0)=0,0,IF($B$6="Yes",SUM($C$9:C69),SUM(B69:C69,-F69)))</f>
        <v>0</v>
      </c>
    </row>
    <row r="70" spans="1:7" ht="16.149999999999999" customHeight="1" x14ac:dyDescent="0.25">
      <c r="A70" s="136">
        <f t="shared" ca="1" si="1"/>
        <v>46112</v>
      </c>
      <c r="B70" s="137">
        <f t="shared" ca="1" si="2"/>
        <v>0</v>
      </c>
      <c r="C70" s="137">
        <f ca="1">IF(ISNA(MATCH($A70,CashFlow!$C$4:$AO$4,0))=TRUE,0,OFFSET(CashFlow!$B$38,0,MATCH($A70,CashFlow!$C$4:$AO$4,0),1,1))</f>
        <v>0</v>
      </c>
      <c r="D70" s="138">
        <f t="shared" ca="1" si="3"/>
        <v>0</v>
      </c>
      <c r="E70" s="138">
        <f t="shared" ca="1" si="4"/>
        <v>0</v>
      </c>
      <c r="F70" s="138">
        <f t="shared" ca="1" si="0"/>
        <v>0</v>
      </c>
      <c r="G70" s="139">
        <f ca="1">IF(ROUND(SUM(B70:C70,-F70),0)=0,0,IF($B$6="Yes",SUM($C$9:C70),SUM(B70:C70,-F70)))</f>
        <v>0</v>
      </c>
    </row>
    <row r="71" spans="1:7" ht="16.149999999999999" customHeight="1" x14ac:dyDescent="0.25">
      <c r="A71" s="136">
        <f t="shared" ca="1" si="1"/>
        <v>46142</v>
      </c>
      <c r="B71" s="137">
        <f t="shared" ca="1" si="2"/>
        <v>0</v>
      </c>
      <c r="C71" s="137">
        <f ca="1">IF(ISNA(MATCH($A71,CashFlow!$C$4:$AO$4,0))=TRUE,0,OFFSET(CashFlow!$B$38,0,MATCH($A71,CashFlow!$C$4:$AO$4,0),1,1))</f>
        <v>0</v>
      </c>
      <c r="D71" s="138">
        <f t="shared" ca="1" si="3"/>
        <v>0</v>
      </c>
      <c r="E71" s="138">
        <f t="shared" ca="1" si="4"/>
        <v>0</v>
      </c>
      <c r="F71" s="138">
        <f t="shared" ca="1" si="0"/>
        <v>0</v>
      </c>
      <c r="G71" s="139">
        <f ca="1">IF(ROUND(SUM(B71:C71,-F71),0)=0,0,IF($B$6="Yes",SUM($C$9:C71),SUM(B71:C71,-F71)))</f>
        <v>0</v>
      </c>
    </row>
    <row r="72" spans="1:7" ht="16.149999999999999" customHeight="1" x14ac:dyDescent="0.25">
      <c r="A72" s="136">
        <f t="shared" ca="1" si="1"/>
        <v>46173</v>
      </c>
      <c r="B72" s="137">
        <f t="shared" ca="1" si="2"/>
        <v>0</v>
      </c>
      <c r="C72" s="137">
        <f ca="1">IF(ISNA(MATCH($A72,CashFlow!$C$4:$AO$4,0))=TRUE,0,OFFSET(CashFlow!$B$38,0,MATCH($A72,CashFlow!$C$4:$AO$4,0),1,1))</f>
        <v>0</v>
      </c>
      <c r="D72" s="138">
        <f t="shared" ca="1" si="3"/>
        <v>0</v>
      </c>
      <c r="E72" s="138">
        <f t="shared" ca="1" si="4"/>
        <v>0</v>
      </c>
      <c r="F72" s="138">
        <f t="shared" ca="1" si="0"/>
        <v>0</v>
      </c>
      <c r="G72" s="139">
        <f ca="1">IF(ROUND(SUM(B72:C72,-F72),0)=0,0,IF($B$6="Yes",SUM($C$9:C72),SUM(B72:C72,-F72)))</f>
        <v>0</v>
      </c>
    </row>
    <row r="73" spans="1:7" ht="16.149999999999999" customHeight="1" x14ac:dyDescent="0.25">
      <c r="A73" s="136">
        <f t="shared" ca="1" si="1"/>
        <v>46203</v>
      </c>
      <c r="B73" s="137">
        <f t="shared" ca="1" si="2"/>
        <v>0</v>
      </c>
      <c r="C73" s="137">
        <f ca="1">IF(ISNA(MATCH($A73,CashFlow!$C$4:$AO$4,0))=TRUE,0,OFFSET(CashFlow!$B$38,0,MATCH($A73,CashFlow!$C$4:$AO$4,0),1,1))</f>
        <v>0</v>
      </c>
      <c r="D73" s="138">
        <f t="shared" ca="1" si="3"/>
        <v>0</v>
      </c>
      <c r="E73" s="138">
        <f t="shared" ca="1" si="4"/>
        <v>0</v>
      </c>
      <c r="F73" s="138">
        <f t="shared" ca="1" si="0"/>
        <v>0</v>
      </c>
      <c r="G73" s="139">
        <f ca="1">IF(ROUND(SUM(B73:C73,-F73),0)=0,0,IF($B$6="Yes",SUM($C$9:C73),SUM(B73:C73,-F73)))</f>
        <v>0</v>
      </c>
    </row>
    <row r="74" spans="1:7" ht="16.149999999999999" customHeight="1" x14ac:dyDescent="0.25">
      <c r="A74" s="136">
        <f t="shared" ca="1" si="1"/>
        <v>46234</v>
      </c>
      <c r="B74" s="137">
        <f t="shared" ca="1" si="2"/>
        <v>0</v>
      </c>
      <c r="C74" s="137">
        <f ca="1">IF(ISNA(MATCH($A74,CashFlow!$C$4:$AO$4,0))=TRUE,0,OFFSET(CashFlow!$B$38,0,MATCH($A74,CashFlow!$C$4:$AO$4,0),1,1))</f>
        <v>0</v>
      </c>
      <c r="D74" s="138">
        <f t="shared" ca="1" si="3"/>
        <v>0</v>
      </c>
      <c r="E74" s="138">
        <f t="shared" ca="1" si="4"/>
        <v>0</v>
      </c>
      <c r="F74" s="138">
        <f t="shared" ref="F74:F137" ca="1" si="5">IF($B$6="Yes",0,D74-E74)</f>
        <v>0</v>
      </c>
      <c r="G74" s="139">
        <f ca="1">IF(ROUND(SUM(B74:C74,-F74),0)=0,0,IF($B$6="Yes",SUM($C$9:C74),SUM(B74:C74,-F74)))</f>
        <v>0</v>
      </c>
    </row>
    <row r="75" spans="1:7" ht="16.149999999999999" customHeight="1" x14ac:dyDescent="0.25">
      <c r="A75" s="136">
        <f t="shared" ref="A75:A125" ca="1" si="6">DATE(YEAR(A74),MONTH(A74)+2,0)</f>
        <v>46265</v>
      </c>
      <c r="B75" s="137">
        <f t="shared" ref="B75:B138" ca="1" si="7">G74</f>
        <v>0</v>
      </c>
      <c r="C75" s="137">
        <f ca="1">IF(ISNA(MATCH($A75,CashFlow!$C$4:$AO$4,0))=TRUE,0,OFFSET(CashFlow!$B$38,0,MATCH($A75,CashFlow!$C$4:$AO$4,0),1,1))</f>
        <v>0</v>
      </c>
      <c r="D75" s="138">
        <f t="shared" ref="D75:D138" ca="1" si="8">IF($B$6="Yes",0,IF(ROW(C75)-ROW($C$9)&gt;$B$5*12,-PMT($B$4/12,$B$5*12,SUM(OFFSET(C75,0,0,-$B$5*12,1)),0,0),-PMT($B$4/12,$B$5*12,SUM(OFFSET(C75,0,0,ROW($C$8)-ROW(C75),1)),0,0)))</f>
        <v>0</v>
      </c>
      <c r="E75" s="138">
        <f t="shared" ref="E75:E138" ca="1" si="9">(G74+C75)*$B$4/12</f>
        <v>0</v>
      </c>
      <c r="F75" s="138">
        <f t="shared" ca="1" si="5"/>
        <v>0</v>
      </c>
      <c r="G75" s="139">
        <f ca="1">IF(ROUND(SUM(B75:C75,-F75),0)=0,0,IF($B$6="Yes",SUM($C$9:C75),SUM(B75:C75,-F75)))</f>
        <v>0</v>
      </c>
    </row>
    <row r="76" spans="1:7" ht="16.149999999999999" customHeight="1" x14ac:dyDescent="0.25">
      <c r="A76" s="136">
        <f t="shared" ca="1" si="6"/>
        <v>46295</v>
      </c>
      <c r="B76" s="137">
        <f t="shared" ca="1" si="7"/>
        <v>0</v>
      </c>
      <c r="C76" s="137">
        <f ca="1">IF(ISNA(MATCH($A76,CashFlow!$C$4:$AO$4,0))=TRUE,0,OFFSET(CashFlow!$B$38,0,MATCH($A76,CashFlow!$C$4:$AO$4,0),1,1))</f>
        <v>0</v>
      </c>
      <c r="D76" s="138">
        <f t="shared" ca="1" si="8"/>
        <v>0</v>
      </c>
      <c r="E76" s="138">
        <f t="shared" ca="1" si="9"/>
        <v>0</v>
      </c>
      <c r="F76" s="138">
        <f t="shared" ca="1" si="5"/>
        <v>0</v>
      </c>
      <c r="G76" s="139">
        <f ca="1">IF(ROUND(SUM(B76:C76,-F76),0)=0,0,IF($B$6="Yes",SUM($C$9:C76),SUM(B76:C76,-F76)))</f>
        <v>0</v>
      </c>
    </row>
    <row r="77" spans="1:7" ht="16.149999999999999" customHeight="1" x14ac:dyDescent="0.25">
      <c r="A77" s="136">
        <f t="shared" ca="1" si="6"/>
        <v>46326</v>
      </c>
      <c r="B77" s="137">
        <f t="shared" ca="1" si="7"/>
        <v>0</v>
      </c>
      <c r="C77" s="137">
        <f ca="1">IF(ISNA(MATCH($A77,CashFlow!$C$4:$AO$4,0))=TRUE,0,OFFSET(CashFlow!$B$38,0,MATCH($A77,CashFlow!$C$4:$AO$4,0),1,1))</f>
        <v>0</v>
      </c>
      <c r="D77" s="138">
        <f t="shared" ca="1" si="8"/>
        <v>0</v>
      </c>
      <c r="E77" s="138">
        <f t="shared" ca="1" si="9"/>
        <v>0</v>
      </c>
      <c r="F77" s="138">
        <f t="shared" ca="1" si="5"/>
        <v>0</v>
      </c>
      <c r="G77" s="139">
        <f ca="1">IF(ROUND(SUM(B77:C77,-F77),0)=0,0,IF($B$6="Yes",SUM($C$9:C77),SUM(B77:C77,-F77)))</f>
        <v>0</v>
      </c>
    </row>
    <row r="78" spans="1:7" ht="16.149999999999999" customHeight="1" x14ac:dyDescent="0.25">
      <c r="A78" s="136">
        <f t="shared" ca="1" si="6"/>
        <v>46356</v>
      </c>
      <c r="B78" s="137">
        <f t="shared" ca="1" si="7"/>
        <v>0</v>
      </c>
      <c r="C78" s="137">
        <f ca="1">IF(ISNA(MATCH($A78,CashFlow!$C$4:$AO$4,0))=TRUE,0,OFFSET(CashFlow!$B$38,0,MATCH($A78,CashFlow!$C$4:$AO$4,0),1,1))</f>
        <v>0</v>
      </c>
      <c r="D78" s="138">
        <f t="shared" ca="1" si="8"/>
        <v>0</v>
      </c>
      <c r="E78" s="138">
        <f t="shared" ca="1" si="9"/>
        <v>0</v>
      </c>
      <c r="F78" s="138">
        <f t="shared" ca="1" si="5"/>
        <v>0</v>
      </c>
      <c r="G78" s="139">
        <f ca="1">IF(ROUND(SUM(B78:C78,-F78),0)=0,0,IF($B$6="Yes",SUM($C$9:C78),SUM(B78:C78,-F78)))</f>
        <v>0</v>
      </c>
    </row>
    <row r="79" spans="1:7" ht="16.149999999999999" customHeight="1" x14ac:dyDescent="0.25">
      <c r="A79" s="136">
        <f t="shared" ca="1" si="6"/>
        <v>46387</v>
      </c>
      <c r="B79" s="137">
        <f t="shared" ca="1" si="7"/>
        <v>0</v>
      </c>
      <c r="C79" s="137">
        <f ca="1">IF(ISNA(MATCH($A79,CashFlow!$C$4:$AO$4,0))=TRUE,0,OFFSET(CashFlow!$B$38,0,MATCH($A79,CashFlow!$C$4:$AO$4,0),1,1))</f>
        <v>0</v>
      </c>
      <c r="D79" s="138">
        <f t="shared" ca="1" si="8"/>
        <v>0</v>
      </c>
      <c r="E79" s="138">
        <f t="shared" ca="1" si="9"/>
        <v>0</v>
      </c>
      <c r="F79" s="138">
        <f t="shared" ca="1" si="5"/>
        <v>0</v>
      </c>
      <c r="G79" s="139">
        <f ca="1">IF(ROUND(SUM(B79:C79,-F79),0)=0,0,IF($B$6="Yes",SUM($C$9:C79),SUM(B79:C79,-F79)))</f>
        <v>0</v>
      </c>
    </row>
    <row r="80" spans="1:7" ht="16.149999999999999" customHeight="1" x14ac:dyDescent="0.25">
      <c r="A80" s="136">
        <f t="shared" ca="1" si="6"/>
        <v>46418</v>
      </c>
      <c r="B80" s="137">
        <f t="shared" ca="1" si="7"/>
        <v>0</v>
      </c>
      <c r="C80" s="137">
        <f ca="1">IF(ISNA(MATCH($A80,CashFlow!$C$4:$AO$4,0))=TRUE,0,OFFSET(CashFlow!$B$38,0,MATCH($A80,CashFlow!$C$4:$AO$4,0),1,1))</f>
        <v>0</v>
      </c>
      <c r="D80" s="138">
        <f t="shared" ca="1" si="8"/>
        <v>0</v>
      </c>
      <c r="E80" s="138">
        <f t="shared" ca="1" si="9"/>
        <v>0</v>
      </c>
      <c r="F80" s="138">
        <f t="shared" ca="1" si="5"/>
        <v>0</v>
      </c>
      <c r="G80" s="139">
        <f ca="1">IF(ROUND(SUM(B80:C80,-F80),0)=0,0,IF($B$6="Yes",SUM($C$9:C80),SUM(B80:C80,-F80)))</f>
        <v>0</v>
      </c>
    </row>
    <row r="81" spans="1:7" ht="16.149999999999999" customHeight="1" x14ac:dyDescent="0.25">
      <c r="A81" s="136">
        <f t="shared" ca="1" si="6"/>
        <v>46446</v>
      </c>
      <c r="B81" s="137">
        <f t="shared" ca="1" si="7"/>
        <v>0</v>
      </c>
      <c r="C81" s="137">
        <f ca="1">IF(ISNA(MATCH($A81,CashFlow!$C$4:$AO$4,0))=TRUE,0,OFFSET(CashFlow!$B$38,0,MATCH($A81,CashFlow!$C$4:$AO$4,0),1,1))</f>
        <v>0</v>
      </c>
      <c r="D81" s="138">
        <f t="shared" ca="1" si="8"/>
        <v>0</v>
      </c>
      <c r="E81" s="138">
        <f t="shared" ca="1" si="9"/>
        <v>0</v>
      </c>
      <c r="F81" s="138">
        <f t="shared" ca="1" si="5"/>
        <v>0</v>
      </c>
      <c r="G81" s="139">
        <f ca="1">IF(ROUND(SUM(B81:C81,-F81),0)=0,0,IF($B$6="Yes",SUM($C$9:C81),SUM(B81:C81,-F81)))</f>
        <v>0</v>
      </c>
    </row>
    <row r="82" spans="1:7" ht="16.149999999999999" customHeight="1" x14ac:dyDescent="0.25">
      <c r="A82" s="136">
        <f t="shared" ca="1" si="6"/>
        <v>46477</v>
      </c>
      <c r="B82" s="137">
        <f t="shared" ca="1" si="7"/>
        <v>0</v>
      </c>
      <c r="C82" s="137">
        <f ca="1">IF(ISNA(MATCH($A82,CashFlow!$C$4:$AO$4,0))=TRUE,0,OFFSET(CashFlow!$B$38,0,MATCH($A82,CashFlow!$C$4:$AO$4,0),1,1))</f>
        <v>0</v>
      </c>
      <c r="D82" s="138">
        <f t="shared" ca="1" si="8"/>
        <v>0</v>
      </c>
      <c r="E82" s="138">
        <f t="shared" ca="1" si="9"/>
        <v>0</v>
      </c>
      <c r="F82" s="138">
        <f t="shared" ca="1" si="5"/>
        <v>0</v>
      </c>
      <c r="G82" s="139">
        <f ca="1">IF(ROUND(SUM(B82:C82,-F82),0)=0,0,IF($B$6="Yes",SUM($C$9:C82),SUM(B82:C82,-F82)))</f>
        <v>0</v>
      </c>
    </row>
    <row r="83" spans="1:7" ht="16.149999999999999" customHeight="1" x14ac:dyDescent="0.25">
      <c r="A83" s="136">
        <f t="shared" ca="1" si="6"/>
        <v>46507</v>
      </c>
      <c r="B83" s="137">
        <f t="shared" ca="1" si="7"/>
        <v>0</v>
      </c>
      <c r="C83" s="137">
        <f ca="1">IF(ISNA(MATCH($A83,CashFlow!$C$4:$AO$4,0))=TRUE,0,OFFSET(CashFlow!$B$38,0,MATCH($A83,CashFlow!$C$4:$AO$4,0),1,1))</f>
        <v>0</v>
      </c>
      <c r="D83" s="138">
        <f t="shared" ca="1" si="8"/>
        <v>0</v>
      </c>
      <c r="E83" s="138">
        <f t="shared" ca="1" si="9"/>
        <v>0</v>
      </c>
      <c r="F83" s="138">
        <f t="shared" ca="1" si="5"/>
        <v>0</v>
      </c>
      <c r="G83" s="139">
        <f ca="1">IF(ROUND(SUM(B83:C83,-F83),0)=0,0,IF($B$6="Yes",SUM($C$9:C83),SUM(B83:C83,-F83)))</f>
        <v>0</v>
      </c>
    </row>
    <row r="84" spans="1:7" ht="16.149999999999999" customHeight="1" x14ac:dyDescent="0.25">
      <c r="A84" s="136">
        <f t="shared" ca="1" si="6"/>
        <v>46538</v>
      </c>
      <c r="B84" s="137">
        <f t="shared" ca="1" si="7"/>
        <v>0</v>
      </c>
      <c r="C84" s="137">
        <f ca="1">IF(ISNA(MATCH($A84,CashFlow!$C$4:$AO$4,0))=TRUE,0,OFFSET(CashFlow!$B$38,0,MATCH($A84,CashFlow!$C$4:$AO$4,0),1,1))</f>
        <v>0</v>
      </c>
      <c r="D84" s="138">
        <f t="shared" ca="1" si="8"/>
        <v>0</v>
      </c>
      <c r="E84" s="138">
        <f t="shared" ca="1" si="9"/>
        <v>0</v>
      </c>
      <c r="F84" s="138">
        <f t="shared" ca="1" si="5"/>
        <v>0</v>
      </c>
      <c r="G84" s="139">
        <f ca="1">IF(ROUND(SUM(B84:C84,-F84),0)=0,0,IF($B$6="Yes",SUM($C$9:C84),SUM(B84:C84,-F84)))</f>
        <v>0</v>
      </c>
    </row>
    <row r="85" spans="1:7" ht="16.149999999999999" customHeight="1" x14ac:dyDescent="0.25">
      <c r="A85" s="136">
        <f t="shared" ca="1" si="6"/>
        <v>46568</v>
      </c>
      <c r="B85" s="137">
        <f t="shared" ca="1" si="7"/>
        <v>0</v>
      </c>
      <c r="C85" s="137">
        <f ca="1">IF(ISNA(MATCH($A85,CashFlow!$C$4:$AO$4,0))=TRUE,0,OFFSET(CashFlow!$B$38,0,MATCH($A85,CashFlow!$C$4:$AO$4,0),1,1))</f>
        <v>0</v>
      </c>
      <c r="D85" s="138">
        <f t="shared" ca="1" si="8"/>
        <v>0</v>
      </c>
      <c r="E85" s="138">
        <f t="shared" ca="1" si="9"/>
        <v>0</v>
      </c>
      <c r="F85" s="138">
        <f t="shared" ca="1" si="5"/>
        <v>0</v>
      </c>
      <c r="G85" s="139">
        <f ca="1">IF(ROUND(SUM(B85:C85,-F85),0)=0,0,IF($B$6="Yes",SUM($C$9:C85),SUM(B85:C85,-F85)))</f>
        <v>0</v>
      </c>
    </row>
    <row r="86" spans="1:7" ht="16.149999999999999" customHeight="1" x14ac:dyDescent="0.25">
      <c r="A86" s="136">
        <f t="shared" ca="1" si="6"/>
        <v>46599</v>
      </c>
      <c r="B86" s="137">
        <f t="shared" ca="1" si="7"/>
        <v>0</v>
      </c>
      <c r="C86" s="137">
        <f ca="1">IF(ISNA(MATCH($A86,CashFlow!$C$4:$AO$4,0))=TRUE,0,OFFSET(CashFlow!$B$38,0,MATCH($A86,CashFlow!$C$4:$AO$4,0),1,1))</f>
        <v>0</v>
      </c>
      <c r="D86" s="138">
        <f t="shared" ca="1" si="8"/>
        <v>0</v>
      </c>
      <c r="E86" s="138">
        <f t="shared" ca="1" si="9"/>
        <v>0</v>
      </c>
      <c r="F86" s="138">
        <f t="shared" ca="1" si="5"/>
        <v>0</v>
      </c>
      <c r="G86" s="139">
        <f ca="1">IF(ROUND(SUM(B86:C86,-F86),0)=0,0,IF($B$6="Yes",SUM($C$9:C86),SUM(B86:C86,-F86)))</f>
        <v>0</v>
      </c>
    </row>
    <row r="87" spans="1:7" ht="16.149999999999999" customHeight="1" x14ac:dyDescent="0.25">
      <c r="A87" s="136">
        <f t="shared" ca="1" si="6"/>
        <v>46630</v>
      </c>
      <c r="B87" s="137">
        <f t="shared" ca="1" si="7"/>
        <v>0</v>
      </c>
      <c r="C87" s="137">
        <f ca="1">IF(ISNA(MATCH($A87,CashFlow!$C$4:$AO$4,0))=TRUE,0,OFFSET(CashFlow!$B$38,0,MATCH($A87,CashFlow!$C$4:$AO$4,0),1,1))</f>
        <v>0</v>
      </c>
      <c r="D87" s="138">
        <f t="shared" ca="1" si="8"/>
        <v>0</v>
      </c>
      <c r="E87" s="138">
        <f t="shared" ca="1" si="9"/>
        <v>0</v>
      </c>
      <c r="F87" s="138">
        <f t="shared" ca="1" si="5"/>
        <v>0</v>
      </c>
      <c r="G87" s="139">
        <f ca="1">IF(ROUND(SUM(B87:C87,-F87),0)=0,0,IF($B$6="Yes",SUM($C$9:C87),SUM(B87:C87,-F87)))</f>
        <v>0</v>
      </c>
    </row>
    <row r="88" spans="1:7" ht="16.149999999999999" customHeight="1" x14ac:dyDescent="0.25">
      <c r="A88" s="136">
        <f t="shared" ca="1" si="6"/>
        <v>46660</v>
      </c>
      <c r="B88" s="137">
        <f t="shared" ca="1" si="7"/>
        <v>0</v>
      </c>
      <c r="C88" s="137">
        <f ca="1">IF(ISNA(MATCH($A88,CashFlow!$C$4:$AO$4,0))=TRUE,0,OFFSET(CashFlow!$B$38,0,MATCH($A88,CashFlow!$C$4:$AO$4,0),1,1))</f>
        <v>0</v>
      </c>
      <c r="D88" s="138">
        <f t="shared" ca="1" si="8"/>
        <v>0</v>
      </c>
      <c r="E88" s="138">
        <f t="shared" ca="1" si="9"/>
        <v>0</v>
      </c>
      <c r="F88" s="138">
        <f t="shared" ca="1" si="5"/>
        <v>0</v>
      </c>
      <c r="G88" s="139">
        <f ca="1">IF(ROUND(SUM(B88:C88,-F88),0)=0,0,IF($B$6="Yes",SUM($C$9:C88),SUM(B88:C88,-F88)))</f>
        <v>0</v>
      </c>
    </row>
    <row r="89" spans="1:7" ht="16.149999999999999" customHeight="1" x14ac:dyDescent="0.25">
      <c r="A89" s="136">
        <f t="shared" ca="1" si="6"/>
        <v>46691</v>
      </c>
      <c r="B89" s="137">
        <f t="shared" ca="1" si="7"/>
        <v>0</v>
      </c>
      <c r="C89" s="137">
        <f ca="1">IF(ISNA(MATCH($A89,CashFlow!$C$4:$AO$4,0))=TRUE,0,OFFSET(CashFlow!$B$38,0,MATCH($A89,CashFlow!$C$4:$AO$4,0),1,1))</f>
        <v>0</v>
      </c>
      <c r="D89" s="138">
        <f t="shared" ca="1" si="8"/>
        <v>0</v>
      </c>
      <c r="E89" s="138">
        <f t="shared" ca="1" si="9"/>
        <v>0</v>
      </c>
      <c r="F89" s="138">
        <f t="shared" ca="1" si="5"/>
        <v>0</v>
      </c>
      <c r="G89" s="139">
        <f ca="1">IF(ROUND(SUM(B89:C89,-F89),0)=0,0,IF($B$6="Yes",SUM($C$9:C89),SUM(B89:C89,-F89)))</f>
        <v>0</v>
      </c>
    </row>
    <row r="90" spans="1:7" ht="16.149999999999999" customHeight="1" x14ac:dyDescent="0.25">
      <c r="A90" s="136">
        <f t="shared" ca="1" si="6"/>
        <v>46721</v>
      </c>
      <c r="B90" s="137">
        <f t="shared" ca="1" si="7"/>
        <v>0</v>
      </c>
      <c r="C90" s="137">
        <f ca="1">IF(ISNA(MATCH($A90,CashFlow!$C$4:$AO$4,0))=TRUE,0,OFFSET(CashFlow!$B$38,0,MATCH($A90,CashFlow!$C$4:$AO$4,0),1,1))</f>
        <v>0</v>
      </c>
      <c r="D90" s="138">
        <f t="shared" ca="1" si="8"/>
        <v>0</v>
      </c>
      <c r="E90" s="138">
        <f t="shared" ca="1" si="9"/>
        <v>0</v>
      </c>
      <c r="F90" s="138">
        <f t="shared" ca="1" si="5"/>
        <v>0</v>
      </c>
      <c r="G90" s="139">
        <f ca="1">IF(ROUND(SUM(B90:C90,-F90),0)=0,0,IF($B$6="Yes",SUM($C$9:C90),SUM(B90:C90,-F90)))</f>
        <v>0</v>
      </c>
    </row>
    <row r="91" spans="1:7" ht="16.149999999999999" customHeight="1" x14ac:dyDescent="0.25">
      <c r="A91" s="136">
        <f t="shared" ca="1" si="6"/>
        <v>46752</v>
      </c>
      <c r="B91" s="137">
        <f t="shared" ca="1" si="7"/>
        <v>0</v>
      </c>
      <c r="C91" s="137">
        <f ca="1">IF(ISNA(MATCH($A91,CashFlow!$C$4:$AO$4,0))=TRUE,0,OFFSET(CashFlow!$B$38,0,MATCH($A91,CashFlow!$C$4:$AO$4,0),1,1))</f>
        <v>0</v>
      </c>
      <c r="D91" s="138">
        <f t="shared" ca="1" si="8"/>
        <v>0</v>
      </c>
      <c r="E91" s="138">
        <f t="shared" ca="1" si="9"/>
        <v>0</v>
      </c>
      <c r="F91" s="138">
        <f t="shared" ca="1" si="5"/>
        <v>0</v>
      </c>
      <c r="G91" s="139">
        <f ca="1">IF(ROUND(SUM(B91:C91,-F91),0)=0,0,IF($B$6="Yes",SUM($C$9:C91),SUM(B91:C91,-F91)))</f>
        <v>0</v>
      </c>
    </row>
    <row r="92" spans="1:7" ht="16.149999999999999" customHeight="1" x14ac:dyDescent="0.25">
      <c r="A92" s="136">
        <f t="shared" ca="1" si="6"/>
        <v>46783</v>
      </c>
      <c r="B92" s="137">
        <f t="shared" ca="1" si="7"/>
        <v>0</v>
      </c>
      <c r="C92" s="137">
        <f ca="1">IF(ISNA(MATCH($A92,CashFlow!$C$4:$AO$4,0))=TRUE,0,OFFSET(CashFlow!$B$38,0,MATCH($A92,CashFlow!$C$4:$AO$4,0),1,1))</f>
        <v>0</v>
      </c>
      <c r="D92" s="138">
        <f t="shared" ca="1" si="8"/>
        <v>0</v>
      </c>
      <c r="E92" s="138">
        <f t="shared" ca="1" si="9"/>
        <v>0</v>
      </c>
      <c r="F92" s="138">
        <f t="shared" ca="1" si="5"/>
        <v>0</v>
      </c>
      <c r="G92" s="139">
        <f ca="1">IF(ROUND(SUM(B92:C92,-F92),0)=0,0,IF($B$6="Yes",SUM($C$9:C92),SUM(B92:C92,-F92)))</f>
        <v>0</v>
      </c>
    </row>
    <row r="93" spans="1:7" ht="16.149999999999999" customHeight="1" x14ac:dyDescent="0.25">
      <c r="A93" s="136">
        <f t="shared" ca="1" si="6"/>
        <v>46812</v>
      </c>
      <c r="B93" s="137">
        <f t="shared" ca="1" si="7"/>
        <v>0</v>
      </c>
      <c r="C93" s="137">
        <f ca="1">IF(ISNA(MATCH($A93,CashFlow!$C$4:$AO$4,0))=TRUE,0,OFFSET(CashFlow!$B$38,0,MATCH($A93,CashFlow!$C$4:$AO$4,0),1,1))</f>
        <v>0</v>
      </c>
      <c r="D93" s="138">
        <f t="shared" ca="1" si="8"/>
        <v>0</v>
      </c>
      <c r="E93" s="138">
        <f t="shared" ca="1" si="9"/>
        <v>0</v>
      </c>
      <c r="F93" s="138">
        <f t="shared" ca="1" si="5"/>
        <v>0</v>
      </c>
      <c r="G93" s="139">
        <f ca="1">IF(ROUND(SUM(B93:C93,-F93),0)=0,0,IF($B$6="Yes",SUM($C$9:C93),SUM(B93:C93,-F93)))</f>
        <v>0</v>
      </c>
    </row>
    <row r="94" spans="1:7" ht="16.149999999999999" customHeight="1" x14ac:dyDescent="0.25">
      <c r="A94" s="136">
        <f t="shared" ca="1" si="6"/>
        <v>46843</v>
      </c>
      <c r="B94" s="137">
        <f t="shared" ca="1" si="7"/>
        <v>0</v>
      </c>
      <c r="C94" s="137">
        <f ca="1">IF(ISNA(MATCH($A94,CashFlow!$C$4:$AO$4,0))=TRUE,0,OFFSET(CashFlow!$B$38,0,MATCH($A94,CashFlow!$C$4:$AO$4,0),1,1))</f>
        <v>0</v>
      </c>
      <c r="D94" s="138">
        <f t="shared" ca="1" si="8"/>
        <v>0</v>
      </c>
      <c r="E94" s="138">
        <f t="shared" ca="1" si="9"/>
        <v>0</v>
      </c>
      <c r="F94" s="138">
        <f t="shared" ca="1" si="5"/>
        <v>0</v>
      </c>
      <c r="G94" s="139">
        <f ca="1">IF(ROUND(SUM(B94:C94,-F94),0)=0,0,IF($B$6="Yes",SUM($C$9:C94),SUM(B94:C94,-F94)))</f>
        <v>0</v>
      </c>
    </row>
    <row r="95" spans="1:7" ht="16.149999999999999" customHeight="1" x14ac:dyDescent="0.25">
      <c r="A95" s="136">
        <f t="shared" ca="1" si="6"/>
        <v>46873</v>
      </c>
      <c r="B95" s="137">
        <f t="shared" ca="1" si="7"/>
        <v>0</v>
      </c>
      <c r="C95" s="137">
        <f ca="1">IF(ISNA(MATCH($A95,CashFlow!$C$4:$AO$4,0))=TRUE,0,OFFSET(CashFlow!$B$38,0,MATCH($A95,CashFlow!$C$4:$AO$4,0),1,1))</f>
        <v>0</v>
      </c>
      <c r="D95" s="138">
        <f t="shared" ca="1" si="8"/>
        <v>0</v>
      </c>
      <c r="E95" s="138">
        <f t="shared" ca="1" si="9"/>
        <v>0</v>
      </c>
      <c r="F95" s="138">
        <f t="shared" ca="1" si="5"/>
        <v>0</v>
      </c>
      <c r="G95" s="139">
        <f ca="1">IF(ROUND(SUM(B95:C95,-F95),0)=0,0,IF($B$6="Yes",SUM($C$9:C95),SUM(B95:C95,-F95)))</f>
        <v>0</v>
      </c>
    </row>
    <row r="96" spans="1:7" ht="16.149999999999999" customHeight="1" x14ac:dyDescent="0.25">
      <c r="A96" s="136">
        <f t="shared" ca="1" si="6"/>
        <v>46904</v>
      </c>
      <c r="B96" s="137">
        <f t="shared" ca="1" si="7"/>
        <v>0</v>
      </c>
      <c r="C96" s="137">
        <f ca="1">IF(ISNA(MATCH($A96,CashFlow!$C$4:$AO$4,0))=TRUE,0,OFFSET(CashFlow!$B$38,0,MATCH($A96,CashFlow!$C$4:$AO$4,0),1,1))</f>
        <v>0</v>
      </c>
      <c r="D96" s="138">
        <f t="shared" ca="1" si="8"/>
        <v>0</v>
      </c>
      <c r="E96" s="138">
        <f t="shared" ca="1" si="9"/>
        <v>0</v>
      </c>
      <c r="F96" s="138">
        <f t="shared" ca="1" si="5"/>
        <v>0</v>
      </c>
      <c r="G96" s="139">
        <f ca="1">IF(ROUND(SUM(B96:C96,-F96),0)=0,0,IF($B$6="Yes",SUM($C$9:C96),SUM(B96:C96,-F96)))</f>
        <v>0</v>
      </c>
    </row>
    <row r="97" spans="1:7" ht="16.149999999999999" customHeight="1" x14ac:dyDescent="0.25">
      <c r="A97" s="136">
        <f t="shared" ca="1" si="6"/>
        <v>46934</v>
      </c>
      <c r="B97" s="137">
        <f t="shared" ca="1" si="7"/>
        <v>0</v>
      </c>
      <c r="C97" s="137">
        <f ca="1">IF(ISNA(MATCH($A97,CashFlow!$C$4:$AO$4,0))=TRUE,0,OFFSET(CashFlow!$B$38,0,MATCH($A97,CashFlow!$C$4:$AO$4,0),1,1))</f>
        <v>0</v>
      </c>
      <c r="D97" s="138">
        <f t="shared" ca="1" si="8"/>
        <v>0</v>
      </c>
      <c r="E97" s="138">
        <f t="shared" ca="1" si="9"/>
        <v>0</v>
      </c>
      <c r="F97" s="138">
        <f t="shared" ca="1" si="5"/>
        <v>0</v>
      </c>
      <c r="G97" s="139">
        <f ca="1">IF(ROUND(SUM(B97:C97,-F97),0)=0,0,IF($B$6="Yes",SUM($C$9:C97),SUM(B97:C97,-F97)))</f>
        <v>0</v>
      </c>
    </row>
    <row r="98" spans="1:7" ht="16.149999999999999" customHeight="1" x14ac:dyDescent="0.25">
      <c r="A98" s="136">
        <f t="shared" ca="1" si="6"/>
        <v>46965</v>
      </c>
      <c r="B98" s="137">
        <f t="shared" ca="1" si="7"/>
        <v>0</v>
      </c>
      <c r="C98" s="137">
        <f ca="1">IF(ISNA(MATCH($A98,CashFlow!$C$4:$AO$4,0))=TRUE,0,OFFSET(CashFlow!$B$38,0,MATCH($A98,CashFlow!$C$4:$AO$4,0),1,1))</f>
        <v>0</v>
      </c>
      <c r="D98" s="138">
        <f t="shared" ca="1" si="8"/>
        <v>0</v>
      </c>
      <c r="E98" s="138">
        <f t="shared" ca="1" si="9"/>
        <v>0</v>
      </c>
      <c r="F98" s="138">
        <f t="shared" ca="1" si="5"/>
        <v>0</v>
      </c>
      <c r="G98" s="139">
        <f ca="1">IF(ROUND(SUM(B98:C98,-F98),0)=0,0,IF($B$6="Yes",SUM($C$9:C98),SUM(B98:C98,-F98)))</f>
        <v>0</v>
      </c>
    </row>
    <row r="99" spans="1:7" ht="16.149999999999999" customHeight="1" x14ac:dyDescent="0.25">
      <c r="A99" s="136">
        <f t="shared" ca="1" si="6"/>
        <v>46996</v>
      </c>
      <c r="B99" s="137">
        <f t="shared" ca="1" si="7"/>
        <v>0</v>
      </c>
      <c r="C99" s="137">
        <f ca="1">IF(ISNA(MATCH($A99,CashFlow!$C$4:$AO$4,0))=TRUE,0,OFFSET(CashFlow!$B$38,0,MATCH($A99,CashFlow!$C$4:$AO$4,0),1,1))</f>
        <v>0</v>
      </c>
      <c r="D99" s="138">
        <f t="shared" ca="1" si="8"/>
        <v>0</v>
      </c>
      <c r="E99" s="138">
        <f t="shared" ca="1" si="9"/>
        <v>0</v>
      </c>
      <c r="F99" s="138">
        <f t="shared" ca="1" si="5"/>
        <v>0</v>
      </c>
      <c r="G99" s="139">
        <f ca="1">IF(ROUND(SUM(B99:C99,-F99),0)=0,0,IF($B$6="Yes",SUM($C$9:C99),SUM(B99:C99,-F99)))</f>
        <v>0</v>
      </c>
    </row>
    <row r="100" spans="1:7" ht="16.149999999999999" customHeight="1" x14ac:dyDescent="0.25">
      <c r="A100" s="136">
        <f t="shared" ca="1" si="6"/>
        <v>47026</v>
      </c>
      <c r="B100" s="137">
        <f t="shared" ca="1" si="7"/>
        <v>0</v>
      </c>
      <c r="C100" s="137">
        <f ca="1">IF(ISNA(MATCH($A100,CashFlow!$C$4:$AO$4,0))=TRUE,0,OFFSET(CashFlow!$B$38,0,MATCH($A100,CashFlow!$C$4:$AO$4,0),1,1))</f>
        <v>0</v>
      </c>
      <c r="D100" s="138">
        <f t="shared" ca="1" si="8"/>
        <v>0</v>
      </c>
      <c r="E100" s="138">
        <f t="shared" ca="1" si="9"/>
        <v>0</v>
      </c>
      <c r="F100" s="138">
        <f t="shared" ca="1" si="5"/>
        <v>0</v>
      </c>
      <c r="G100" s="139">
        <f ca="1">IF(ROUND(SUM(B100:C100,-F100),0)=0,0,IF($B$6="Yes",SUM($C$9:C100),SUM(B100:C100,-F100)))</f>
        <v>0</v>
      </c>
    </row>
    <row r="101" spans="1:7" ht="16.149999999999999" customHeight="1" x14ac:dyDescent="0.25">
      <c r="A101" s="136">
        <f t="shared" ca="1" si="6"/>
        <v>47057</v>
      </c>
      <c r="B101" s="137">
        <f t="shared" ca="1" si="7"/>
        <v>0</v>
      </c>
      <c r="C101" s="137">
        <f ca="1">IF(ISNA(MATCH($A101,CashFlow!$C$4:$AO$4,0))=TRUE,0,OFFSET(CashFlow!$B$38,0,MATCH($A101,CashFlow!$C$4:$AO$4,0),1,1))</f>
        <v>0</v>
      </c>
      <c r="D101" s="138">
        <f t="shared" ca="1" si="8"/>
        <v>0</v>
      </c>
      <c r="E101" s="138">
        <f t="shared" ca="1" si="9"/>
        <v>0</v>
      </c>
      <c r="F101" s="138">
        <f t="shared" ca="1" si="5"/>
        <v>0</v>
      </c>
      <c r="G101" s="139">
        <f ca="1">IF(ROUND(SUM(B101:C101,-F101),0)=0,0,IF($B$6="Yes",SUM($C$9:C101),SUM(B101:C101,-F101)))</f>
        <v>0</v>
      </c>
    </row>
    <row r="102" spans="1:7" ht="16.149999999999999" customHeight="1" x14ac:dyDescent="0.25">
      <c r="A102" s="136">
        <f t="shared" ca="1" si="6"/>
        <v>47087</v>
      </c>
      <c r="B102" s="137">
        <f t="shared" ca="1" si="7"/>
        <v>0</v>
      </c>
      <c r="C102" s="137">
        <f ca="1">IF(ISNA(MATCH($A102,CashFlow!$C$4:$AO$4,0))=TRUE,0,OFFSET(CashFlow!$B$38,0,MATCH($A102,CashFlow!$C$4:$AO$4,0),1,1))</f>
        <v>0</v>
      </c>
      <c r="D102" s="138">
        <f t="shared" ca="1" si="8"/>
        <v>0</v>
      </c>
      <c r="E102" s="138">
        <f t="shared" ca="1" si="9"/>
        <v>0</v>
      </c>
      <c r="F102" s="138">
        <f t="shared" ca="1" si="5"/>
        <v>0</v>
      </c>
      <c r="G102" s="139">
        <f ca="1">IF(ROUND(SUM(B102:C102,-F102),0)=0,0,IF($B$6="Yes",SUM($C$9:C102),SUM(B102:C102,-F102)))</f>
        <v>0</v>
      </c>
    </row>
    <row r="103" spans="1:7" ht="16.149999999999999" customHeight="1" x14ac:dyDescent="0.25">
      <c r="A103" s="136">
        <f t="shared" ca="1" si="6"/>
        <v>47118</v>
      </c>
      <c r="B103" s="137">
        <f t="shared" ca="1" si="7"/>
        <v>0</v>
      </c>
      <c r="C103" s="137">
        <f ca="1">IF(ISNA(MATCH($A103,CashFlow!$C$4:$AO$4,0))=TRUE,0,OFFSET(CashFlow!$B$38,0,MATCH($A103,CashFlow!$C$4:$AO$4,0),1,1))</f>
        <v>0</v>
      </c>
      <c r="D103" s="138">
        <f t="shared" ca="1" si="8"/>
        <v>0</v>
      </c>
      <c r="E103" s="138">
        <f t="shared" ca="1" si="9"/>
        <v>0</v>
      </c>
      <c r="F103" s="138">
        <f t="shared" ca="1" si="5"/>
        <v>0</v>
      </c>
      <c r="G103" s="139">
        <f ca="1">IF(ROUND(SUM(B103:C103,-F103),0)=0,0,IF($B$6="Yes",SUM($C$9:C103),SUM(B103:C103,-F103)))</f>
        <v>0</v>
      </c>
    </row>
    <row r="104" spans="1:7" ht="16.149999999999999" customHeight="1" x14ac:dyDescent="0.25">
      <c r="A104" s="136">
        <f t="shared" ca="1" si="6"/>
        <v>47149</v>
      </c>
      <c r="B104" s="137">
        <f t="shared" ca="1" si="7"/>
        <v>0</v>
      </c>
      <c r="C104" s="137">
        <f ca="1">IF(ISNA(MATCH($A104,CashFlow!$C$4:$AO$4,0))=TRUE,0,OFFSET(CashFlow!$B$38,0,MATCH($A104,CashFlow!$C$4:$AO$4,0),1,1))</f>
        <v>0</v>
      </c>
      <c r="D104" s="138">
        <f t="shared" ca="1" si="8"/>
        <v>0</v>
      </c>
      <c r="E104" s="138">
        <f t="shared" ca="1" si="9"/>
        <v>0</v>
      </c>
      <c r="F104" s="138">
        <f t="shared" ca="1" si="5"/>
        <v>0</v>
      </c>
      <c r="G104" s="139">
        <f ca="1">IF(ROUND(SUM(B104:C104,-F104),0)=0,0,IF($B$6="Yes",SUM($C$9:C104),SUM(B104:C104,-F104)))</f>
        <v>0</v>
      </c>
    </row>
    <row r="105" spans="1:7" ht="16.149999999999999" customHeight="1" x14ac:dyDescent="0.25">
      <c r="A105" s="136">
        <f t="shared" ca="1" si="6"/>
        <v>47177</v>
      </c>
      <c r="B105" s="137">
        <f t="shared" ca="1" si="7"/>
        <v>0</v>
      </c>
      <c r="C105" s="137">
        <f ca="1">IF(ISNA(MATCH($A105,CashFlow!$C$4:$AO$4,0))=TRUE,0,OFFSET(CashFlow!$B$38,0,MATCH($A105,CashFlow!$C$4:$AO$4,0),1,1))</f>
        <v>0</v>
      </c>
      <c r="D105" s="138">
        <f t="shared" ca="1" si="8"/>
        <v>0</v>
      </c>
      <c r="E105" s="138">
        <f t="shared" ca="1" si="9"/>
        <v>0</v>
      </c>
      <c r="F105" s="138">
        <f t="shared" ca="1" si="5"/>
        <v>0</v>
      </c>
      <c r="G105" s="139">
        <f ca="1">IF(ROUND(SUM(B105:C105,-F105),0)=0,0,IF($B$6="Yes",SUM($C$9:C105),SUM(B105:C105,-F105)))</f>
        <v>0</v>
      </c>
    </row>
    <row r="106" spans="1:7" ht="16.149999999999999" customHeight="1" x14ac:dyDescent="0.25">
      <c r="A106" s="136">
        <f t="shared" ca="1" si="6"/>
        <v>47208</v>
      </c>
      <c r="B106" s="137">
        <f t="shared" ca="1" si="7"/>
        <v>0</v>
      </c>
      <c r="C106" s="137">
        <f ca="1">IF(ISNA(MATCH($A106,CashFlow!$C$4:$AO$4,0))=TRUE,0,OFFSET(CashFlow!$B$38,0,MATCH($A106,CashFlow!$C$4:$AO$4,0),1,1))</f>
        <v>0</v>
      </c>
      <c r="D106" s="138">
        <f t="shared" ca="1" si="8"/>
        <v>0</v>
      </c>
      <c r="E106" s="138">
        <f t="shared" ca="1" si="9"/>
        <v>0</v>
      </c>
      <c r="F106" s="138">
        <f t="shared" ca="1" si="5"/>
        <v>0</v>
      </c>
      <c r="G106" s="139">
        <f ca="1">IF(ROUND(SUM(B106:C106,-F106),0)=0,0,IF($B$6="Yes",SUM($C$9:C106),SUM(B106:C106,-F106)))</f>
        <v>0</v>
      </c>
    </row>
    <row r="107" spans="1:7" ht="16.149999999999999" customHeight="1" x14ac:dyDescent="0.25">
      <c r="A107" s="136">
        <f t="shared" ca="1" si="6"/>
        <v>47238</v>
      </c>
      <c r="B107" s="137">
        <f t="shared" ca="1" si="7"/>
        <v>0</v>
      </c>
      <c r="C107" s="137">
        <f ca="1">IF(ISNA(MATCH($A107,CashFlow!$C$4:$AO$4,0))=TRUE,0,OFFSET(CashFlow!$B$38,0,MATCH($A107,CashFlow!$C$4:$AO$4,0),1,1))</f>
        <v>0</v>
      </c>
      <c r="D107" s="138">
        <f t="shared" ca="1" si="8"/>
        <v>0</v>
      </c>
      <c r="E107" s="138">
        <f t="shared" ca="1" si="9"/>
        <v>0</v>
      </c>
      <c r="F107" s="138">
        <f t="shared" ca="1" si="5"/>
        <v>0</v>
      </c>
      <c r="G107" s="139">
        <f ca="1">IF(ROUND(SUM(B107:C107,-F107),0)=0,0,IF($B$6="Yes",SUM($C$9:C107),SUM(B107:C107,-F107)))</f>
        <v>0</v>
      </c>
    </row>
    <row r="108" spans="1:7" ht="16.149999999999999" customHeight="1" x14ac:dyDescent="0.25">
      <c r="A108" s="136">
        <f t="shared" ca="1" si="6"/>
        <v>47269</v>
      </c>
      <c r="B108" s="137">
        <f t="shared" ca="1" si="7"/>
        <v>0</v>
      </c>
      <c r="C108" s="137">
        <f ca="1">IF(ISNA(MATCH($A108,CashFlow!$C$4:$AO$4,0))=TRUE,0,OFFSET(CashFlow!$B$38,0,MATCH($A108,CashFlow!$C$4:$AO$4,0),1,1))</f>
        <v>0</v>
      </c>
      <c r="D108" s="138">
        <f t="shared" ca="1" si="8"/>
        <v>0</v>
      </c>
      <c r="E108" s="138">
        <f t="shared" ca="1" si="9"/>
        <v>0</v>
      </c>
      <c r="F108" s="138">
        <f t="shared" ca="1" si="5"/>
        <v>0</v>
      </c>
      <c r="G108" s="139">
        <f ca="1">IF(ROUND(SUM(B108:C108,-F108),0)=0,0,IF($B$6="Yes",SUM($C$9:C108),SUM(B108:C108,-F108)))</f>
        <v>0</v>
      </c>
    </row>
    <row r="109" spans="1:7" ht="16.149999999999999" customHeight="1" x14ac:dyDescent="0.25">
      <c r="A109" s="136">
        <f t="shared" ca="1" si="6"/>
        <v>47299</v>
      </c>
      <c r="B109" s="137">
        <f t="shared" ca="1" si="7"/>
        <v>0</v>
      </c>
      <c r="C109" s="137">
        <f ca="1">IF(ISNA(MATCH($A109,CashFlow!$C$4:$AO$4,0))=TRUE,0,OFFSET(CashFlow!$B$38,0,MATCH($A109,CashFlow!$C$4:$AO$4,0),1,1))</f>
        <v>0</v>
      </c>
      <c r="D109" s="138">
        <f t="shared" ca="1" si="8"/>
        <v>0</v>
      </c>
      <c r="E109" s="138">
        <f t="shared" ca="1" si="9"/>
        <v>0</v>
      </c>
      <c r="F109" s="138">
        <f t="shared" ca="1" si="5"/>
        <v>0</v>
      </c>
      <c r="G109" s="139">
        <f ca="1">IF(ROUND(SUM(B109:C109,-F109),0)=0,0,IF($B$6="Yes",SUM($C$9:C109),SUM(B109:C109,-F109)))</f>
        <v>0</v>
      </c>
    </row>
    <row r="110" spans="1:7" ht="16.149999999999999" customHeight="1" x14ac:dyDescent="0.25">
      <c r="A110" s="136">
        <f t="shared" ca="1" si="6"/>
        <v>47330</v>
      </c>
      <c r="B110" s="137">
        <f t="shared" ca="1" si="7"/>
        <v>0</v>
      </c>
      <c r="C110" s="137">
        <f ca="1">IF(ISNA(MATCH($A110,CashFlow!$C$4:$AO$4,0))=TRUE,0,OFFSET(CashFlow!$B$38,0,MATCH($A110,CashFlow!$C$4:$AO$4,0),1,1))</f>
        <v>0</v>
      </c>
      <c r="D110" s="138">
        <f t="shared" ca="1" si="8"/>
        <v>0</v>
      </c>
      <c r="E110" s="138">
        <f t="shared" ca="1" si="9"/>
        <v>0</v>
      </c>
      <c r="F110" s="138">
        <f t="shared" ca="1" si="5"/>
        <v>0</v>
      </c>
      <c r="G110" s="139">
        <f ca="1">IF(ROUND(SUM(B110:C110,-F110),0)=0,0,IF($B$6="Yes",SUM($C$9:C110),SUM(B110:C110,-F110)))</f>
        <v>0</v>
      </c>
    </row>
    <row r="111" spans="1:7" ht="16.149999999999999" customHeight="1" x14ac:dyDescent="0.25">
      <c r="A111" s="136">
        <f t="shared" ca="1" si="6"/>
        <v>47361</v>
      </c>
      <c r="B111" s="137">
        <f t="shared" ca="1" si="7"/>
        <v>0</v>
      </c>
      <c r="C111" s="137">
        <f ca="1">IF(ISNA(MATCH($A111,CashFlow!$C$4:$AO$4,0))=TRUE,0,OFFSET(CashFlow!$B$38,0,MATCH($A111,CashFlow!$C$4:$AO$4,0),1,1))</f>
        <v>0</v>
      </c>
      <c r="D111" s="138">
        <f t="shared" ca="1" si="8"/>
        <v>0</v>
      </c>
      <c r="E111" s="138">
        <f t="shared" ca="1" si="9"/>
        <v>0</v>
      </c>
      <c r="F111" s="138">
        <f t="shared" ca="1" si="5"/>
        <v>0</v>
      </c>
      <c r="G111" s="139">
        <f ca="1">IF(ROUND(SUM(B111:C111,-F111),0)=0,0,IF($B$6="Yes",SUM($C$9:C111),SUM(B111:C111,-F111)))</f>
        <v>0</v>
      </c>
    </row>
    <row r="112" spans="1:7" ht="16.149999999999999" customHeight="1" x14ac:dyDescent="0.25">
      <c r="A112" s="136">
        <f t="shared" ca="1" si="6"/>
        <v>47391</v>
      </c>
      <c r="B112" s="137">
        <f t="shared" ca="1" si="7"/>
        <v>0</v>
      </c>
      <c r="C112" s="137">
        <f ca="1">IF(ISNA(MATCH($A112,CashFlow!$C$4:$AO$4,0))=TRUE,0,OFFSET(CashFlow!$B$38,0,MATCH($A112,CashFlow!$C$4:$AO$4,0),1,1))</f>
        <v>0</v>
      </c>
      <c r="D112" s="138">
        <f t="shared" ca="1" si="8"/>
        <v>0</v>
      </c>
      <c r="E112" s="138">
        <f t="shared" ca="1" si="9"/>
        <v>0</v>
      </c>
      <c r="F112" s="138">
        <f t="shared" ca="1" si="5"/>
        <v>0</v>
      </c>
      <c r="G112" s="139">
        <f ca="1">IF(ROUND(SUM(B112:C112,-F112),0)=0,0,IF($B$6="Yes",SUM($C$9:C112),SUM(B112:C112,-F112)))</f>
        <v>0</v>
      </c>
    </row>
    <row r="113" spans="1:7" ht="16.149999999999999" customHeight="1" x14ac:dyDescent="0.25">
      <c r="A113" s="136">
        <f t="shared" ca="1" si="6"/>
        <v>47422</v>
      </c>
      <c r="B113" s="137">
        <f t="shared" ca="1" si="7"/>
        <v>0</v>
      </c>
      <c r="C113" s="137">
        <f ca="1">IF(ISNA(MATCH($A113,CashFlow!$C$4:$AO$4,0))=TRUE,0,OFFSET(CashFlow!$B$38,0,MATCH($A113,CashFlow!$C$4:$AO$4,0),1,1))</f>
        <v>0</v>
      </c>
      <c r="D113" s="138">
        <f t="shared" ca="1" si="8"/>
        <v>0</v>
      </c>
      <c r="E113" s="138">
        <f t="shared" ca="1" si="9"/>
        <v>0</v>
      </c>
      <c r="F113" s="138">
        <f t="shared" ca="1" si="5"/>
        <v>0</v>
      </c>
      <c r="G113" s="139">
        <f ca="1">IF(ROUND(SUM(B113:C113,-F113),0)=0,0,IF($B$6="Yes",SUM($C$9:C113),SUM(B113:C113,-F113)))</f>
        <v>0</v>
      </c>
    </row>
    <row r="114" spans="1:7" ht="16.149999999999999" customHeight="1" x14ac:dyDescent="0.25">
      <c r="A114" s="136">
        <f t="shared" ca="1" si="6"/>
        <v>47452</v>
      </c>
      <c r="B114" s="137">
        <f t="shared" ca="1" si="7"/>
        <v>0</v>
      </c>
      <c r="C114" s="137">
        <f ca="1">IF(ISNA(MATCH($A114,CashFlow!$C$4:$AO$4,0))=TRUE,0,OFFSET(CashFlow!$B$38,0,MATCH($A114,CashFlow!$C$4:$AO$4,0),1,1))</f>
        <v>0</v>
      </c>
      <c r="D114" s="138">
        <f t="shared" ca="1" si="8"/>
        <v>0</v>
      </c>
      <c r="E114" s="138">
        <f t="shared" ca="1" si="9"/>
        <v>0</v>
      </c>
      <c r="F114" s="138">
        <f t="shared" ca="1" si="5"/>
        <v>0</v>
      </c>
      <c r="G114" s="139">
        <f ca="1">IF(ROUND(SUM(B114:C114,-F114),0)=0,0,IF($B$6="Yes",SUM($C$9:C114),SUM(B114:C114,-F114)))</f>
        <v>0</v>
      </c>
    </row>
    <row r="115" spans="1:7" ht="16.149999999999999" customHeight="1" x14ac:dyDescent="0.25">
      <c r="A115" s="136">
        <f t="shared" ca="1" si="6"/>
        <v>47483</v>
      </c>
      <c r="B115" s="137">
        <f t="shared" ca="1" si="7"/>
        <v>0</v>
      </c>
      <c r="C115" s="137">
        <f ca="1">IF(ISNA(MATCH($A115,CashFlow!$C$4:$AO$4,0))=TRUE,0,OFFSET(CashFlow!$B$38,0,MATCH($A115,CashFlow!$C$4:$AO$4,0),1,1))</f>
        <v>0</v>
      </c>
      <c r="D115" s="138">
        <f t="shared" ca="1" si="8"/>
        <v>0</v>
      </c>
      <c r="E115" s="138">
        <f t="shared" ca="1" si="9"/>
        <v>0</v>
      </c>
      <c r="F115" s="138">
        <f t="shared" ca="1" si="5"/>
        <v>0</v>
      </c>
      <c r="G115" s="139">
        <f ca="1">IF(ROUND(SUM(B115:C115,-F115),0)=0,0,IF($B$6="Yes",SUM($C$9:C115),SUM(B115:C115,-F115)))</f>
        <v>0</v>
      </c>
    </row>
    <row r="116" spans="1:7" ht="16.149999999999999" customHeight="1" x14ac:dyDescent="0.25">
      <c r="A116" s="136">
        <f t="shared" ca="1" si="6"/>
        <v>47514</v>
      </c>
      <c r="B116" s="137">
        <f t="shared" ca="1" si="7"/>
        <v>0</v>
      </c>
      <c r="C116" s="137">
        <f ca="1">IF(ISNA(MATCH($A116,CashFlow!$C$4:$AO$4,0))=TRUE,0,OFFSET(CashFlow!$B$38,0,MATCH($A116,CashFlow!$C$4:$AO$4,0),1,1))</f>
        <v>0</v>
      </c>
      <c r="D116" s="138">
        <f t="shared" ca="1" si="8"/>
        <v>0</v>
      </c>
      <c r="E116" s="138">
        <f t="shared" ca="1" si="9"/>
        <v>0</v>
      </c>
      <c r="F116" s="138">
        <f t="shared" ca="1" si="5"/>
        <v>0</v>
      </c>
      <c r="G116" s="139">
        <f ca="1">IF(ROUND(SUM(B116:C116,-F116),0)=0,0,IF($B$6="Yes",SUM($C$9:C116),SUM(B116:C116,-F116)))</f>
        <v>0</v>
      </c>
    </row>
    <row r="117" spans="1:7" ht="16.149999999999999" customHeight="1" x14ac:dyDescent="0.25">
      <c r="A117" s="136">
        <f t="shared" ca="1" si="6"/>
        <v>47542</v>
      </c>
      <c r="B117" s="137">
        <f t="shared" ca="1" si="7"/>
        <v>0</v>
      </c>
      <c r="C117" s="137">
        <f ca="1">IF(ISNA(MATCH($A117,CashFlow!$C$4:$AO$4,0))=TRUE,0,OFFSET(CashFlow!$B$38,0,MATCH($A117,CashFlow!$C$4:$AO$4,0),1,1))</f>
        <v>0</v>
      </c>
      <c r="D117" s="138">
        <f t="shared" ca="1" si="8"/>
        <v>0</v>
      </c>
      <c r="E117" s="138">
        <f t="shared" ca="1" si="9"/>
        <v>0</v>
      </c>
      <c r="F117" s="138">
        <f t="shared" ca="1" si="5"/>
        <v>0</v>
      </c>
      <c r="G117" s="139">
        <f ca="1">IF(ROUND(SUM(B117:C117,-F117),0)=0,0,IF($B$6="Yes",SUM($C$9:C117),SUM(B117:C117,-F117)))</f>
        <v>0</v>
      </c>
    </row>
    <row r="118" spans="1:7" ht="16.149999999999999" customHeight="1" x14ac:dyDescent="0.25">
      <c r="A118" s="136">
        <f t="shared" ca="1" si="6"/>
        <v>47573</v>
      </c>
      <c r="B118" s="137">
        <f t="shared" ca="1" si="7"/>
        <v>0</v>
      </c>
      <c r="C118" s="137">
        <f ca="1">IF(ISNA(MATCH($A118,CashFlow!$C$4:$AO$4,0))=TRUE,0,OFFSET(CashFlow!$B$38,0,MATCH($A118,CashFlow!$C$4:$AO$4,0),1,1))</f>
        <v>0</v>
      </c>
      <c r="D118" s="138">
        <f t="shared" ca="1" si="8"/>
        <v>0</v>
      </c>
      <c r="E118" s="138">
        <f t="shared" ca="1" si="9"/>
        <v>0</v>
      </c>
      <c r="F118" s="138">
        <f t="shared" ca="1" si="5"/>
        <v>0</v>
      </c>
      <c r="G118" s="139">
        <f ca="1">IF(ROUND(SUM(B118:C118,-F118),0)=0,0,IF($B$6="Yes",SUM($C$9:C118),SUM(B118:C118,-F118)))</f>
        <v>0</v>
      </c>
    </row>
    <row r="119" spans="1:7" ht="16.149999999999999" customHeight="1" x14ac:dyDescent="0.25">
      <c r="A119" s="136">
        <f t="shared" ca="1" si="6"/>
        <v>47603</v>
      </c>
      <c r="B119" s="137">
        <f t="shared" ca="1" si="7"/>
        <v>0</v>
      </c>
      <c r="C119" s="137">
        <f ca="1">IF(ISNA(MATCH($A119,CashFlow!$C$4:$AO$4,0))=TRUE,0,OFFSET(CashFlow!$B$38,0,MATCH($A119,CashFlow!$C$4:$AO$4,0),1,1))</f>
        <v>0</v>
      </c>
      <c r="D119" s="138">
        <f t="shared" ca="1" si="8"/>
        <v>0</v>
      </c>
      <c r="E119" s="138">
        <f t="shared" ca="1" si="9"/>
        <v>0</v>
      </c>
      <c r="F119" s="138">
        <f t="shared" ca="1" si="5"/>
        <v>0</v>
      </c>
      <c r="G119" s="139">
        <f ca="1">IF(ROUND(SUM(B119:C119,-F119),0)=0,0,IF($B$6="Yes",SUM($C$9:C119),SUM(B119:C119,-F119)))</f>
        <v>0</v>
      </c>
    </row>
    <row r="120" spans="1:7" ht="16.149999999999999" customHeight="1" x14ac:dyDescent="0.25">
      <c r="A120" s="136">
        <f t="shared" ca="1" si="6"/>
        <v>47634</v>
      </c>
      <c r="B120" s="137">
        <f t="shared" ca="1" si="7"/>
        <v>0</v>
      </c>
      <c r="C120" s="137">
        <f ca="1">IF(ISNA(MATCH($A120,CashFlow!$C$4:$AO$4,0))=TRUE,0,OFFSET(CashFlow!$B$38,0,MATCH($A120,CashFlow!$C$4:$AO$4,0),1,1))</f>
        <v>0</v>
      </c>
      <c r="D120" s="138">
        <f t="shared" ca="1" si="8"/>
        <v>0</v>
      </c>
      <c r="E120" s="138">
        <f t="shared" ca="1" si="9"/>
        <v>0</v>
      </c>
      <c r="F120" s="138">
        <f t="shared" ca="1" si="5"/>
        <v>0</v>
      </c>
      <c r="G120" s="139">
        <f ca="1">IF(ROUND(SUM(B120:C120,-F120),0)=0,0,IF($B$6="Yes",SUM($C$9:C120),SUM(B120:C120,-F120)))</f>
        <v>0</v>
      </c>
    </row>
    <row r="121" spans="1:7" ht="16.149999999999999" customHeight="1" x14ac:dyDescent="0.25">
      <c r="A121" s="136">
        <f t="shared" ca="1" si="6"/>
        <v>47664</v>
      </c>
      <c r="B121" s="137">
        <f t="shared" ca="1" si="7"/>
        <v>0</v>
      </c>
      <c r="C121" s="137">
        <f ca="1">IF(ISNA(MATCH($A121,CashFlow!$C$4:$AO$4,0))=TRUE,0,OFFSET(CashFlow!$B$38,0,MATCH($A121,CashFlow!$C$4:$AO$4,0),1,1))</f>
        <v>0</v>
      </c>
      <c r="D121" s="138">
        <f t="shared" ca="1" si="8"/>
        <v>0</v>
      </c>
      <c r="E121" s="138">
        <f t="shared" ca="1" si="9"/>
        <v>0</v>
      </c>
      <c r="F121" s="138">
        <f t="shared" ca="1" si="5"/>
        <v>0</v>
      </c>
      <c r="G121" s="139">
        <f ca="1">IF(ROUND(SUM(B121:C121,-F121),0)=0,0,IF($B$6="Yes",SUM($C$9:C121),SUM(B121:C121,-F121)))</f>
        <v>0</v>
      </c>
    </row>
    <row r="122" spans="1:7" ht="16.149999999999999" customHeight="1" x14ac:dyDescent="0.25">
      <c r="A122" s="136">
        <f t="shared" ca="1" si="6"/>
        <v>47695</v>
      </c>
      <c r="B122" s="137">
        <f t="shared" ca="1" si="7"/>
        <v>0</v>
      </c>
      <c r="C122" s="137">
        <f ca="1">IF(ISNA(MATCH($A122,CashFlow!$C$4:$AO$4,0))=TRUE,0,OFFSET(CashFlow!$B$38,0,MATCH($A122,CashFlow!$C$4:$AO$4,0),1,1))</f>
        <v>0</v>
      </c>
      <c r="D122" s="138">
        <f t="shared" ca="1" si="8"/>
        <v>0</v>
      </c>
      <c r="E122" s="138">
        <f t="shared" ca="1" si="9"/>
        <v>0</v>
      </c>
      <c r="F122" s="138">
        <f t="shared" ca="1" si="5"/>
        <v>0</v>
      </c>
      <c r="G122" s="139">
        <f ca="1">IF(ROUND(SUM(B122:C122,-F122),0)=0,0,IF($B$6="Yes",SUM($C$9:C122),SUM(B122:C122,-F122)))</f>
        <v>0</v>
      </c>
    </row>
    <row r="123" spans="1:7" ht="16.149999999999999" customHeight="1" x14ac:dyDescent="0.25">
      <c r="A123" s="136">
        <f t="shared" ca="1" si="6"/>
        <v>47726</v>
      </c>
      <c r="B123" s="137">
        <f t="shared" ca="1" si="7"/>
        <v>0</v>
      </c>
      <c r="C123" s="137">
        <f ca="1">IF(ISNA(MATCH($A123,CashFlow!$C$4:$AO$4,0))=TRUE,0,OFFSET(CashFlow!$B$38,0,MATCH($A123,CashFlow!$C$4:$AO$4,0),1,1))</f>
        <v>0</v>
      </c>
      <c r="D123" s="138">
        <f t="shared" ca="1" si="8"/>
        <v>0</v>
      </c>
      <c r="E123" s="138">
        <f t="shared" ca="1" si="9"/>
        <v>0</v>
      </c>
      <c r="F123" s="138">
        <f t="shared" ca="1" si="5"/>
        <v>0</v>
      </c>
      <c r="G123" s="139">
        <f ca="1">IF(ROUND(SUM(B123:C123,-F123),0)=0,0,IF($B$6="Yes",SUM($C$9:C123),SUM(B123:C123,-F123)))</f>
        <v>0</v>
      </c>
    </row>
    <row r="124" spans="1:7" ht="16.149999999999999" customHeight="1" x14ac:dyDescent="0.25">
      <c r="A124" s="136">
        <f t="shared" ca="1" si="6"/>
        <v>47756</v>
      </c>
      <c r="B124" s="137">
        <f t="shared" ca="1" si="7"/>
        <v>0</v>
      </c>
      <c r="C124" s="137">
        <f ca="1">IF(ISNA(MATCH($A124,CashFlow!$C$4:$AO$4,0))=TRUE,0,OFFSET(CashFlow!$B$38,0,MATCH($A124,CashFlow!$C$4:$AO$4,0),1,1))</f>
        <v>0</v>
      </c>
      <c r="D124" s="138">
        <f t="shared" ca="1" si="8"/>
        <v>0</v>
      </c>
      <c r="E124" s="138">
        <f t="shared" ca="1" si="9"/>
        <v>0</v>
      </c>
      <c r="F124" s="138">
        <f t="shared" ca="1" si="5"/>
        <v>0</v>
      </c>
      <c r="G124" s="139">
        <f ca="1">IF(ROUND(SUM(B124:C124,-F124),0)=0,0,IF($B$6="Yes",SUM($C$9:C124),SUM(B124:C124,-F124)))</f>
        <v>0</v>
      </c>
    </row>
    <row r="125" spans="1:7" ht="16.149999999999999" customHeight="1" x14ac:dyDescent="0.25">
      <c r="A125" s="136">
        <f t="shared" ca="1" si="6"/>
        <v>47787</v>
      </c>
      <c r="B125" s="137">
        <f t="shared" ca="1" si="7"/>
        <v>0</v>
      </c>
      <c r="C125" s="137">
        <f ca="1">IF(ISNA(MATCH($A125,CashFlow!$C$4:$AO$4,0))=TRUE,0,OFFSET(CashFlow!$B$38,0,MATCH($A125,CashFlow!$C$4:$AO$4,0),1,1))</f>
        <v>0</v>
      </c>
      <c r="D125" s="138">
        <f t="shared" ca="1" si="8"/>
        <v>0</v>
      </c>
      <c r="E125" s="138">
        <f t="shared" ca="1" si="9"/>
        <v>0</v>
      </c>
      <c r="F125" s="138">
        <f t="shared" ca="1" si="5"/>
        <v>0</v>
      </c>
      <c r="G125" s="139">
        <f ca="1">IF(ROUND(SUM(B125:C125,-F125),0)=0,0,IF($B$6="Yes",SUM($C$9:C125),SUM(B125:C125,-F125)))</f>
        <v>0</v>
      </c>
    </row>
    <row r="126" spans="1:7" ht="16.149999999999999" customHeight="1" x14ac:dyDescent="0.25">
      <c r="A126" s="136">
        <f ca="1">DATE(YEAR(A125),MONTH(A125)+2,0)</f>
        <v>47817</v>
      </c>
      <c r="B126" s="137">
        <f t="shared" ca="1" si="7"/>
        <v>0</v>
      </c>
      <c r="C126" s="137">
        <f ca="1">IF(ISNA(MATCH($A126,CashFlow!$C$4:$AO$4,0))=TRUE,0,OFFSET(CashFlow!$B$38,0,MATCH($A126,CashFlow!$C$4:$AO$4,0),1,1))</f>
        <v>0</v>
      </c>
      <c r="D126" s="138">
        <f t="shared" ca="1" si="8"/>
        <v>0</v>
      </c>
      <c r="E126" s="138">
        <f t="shared" ca="1" si="9"/>
        <v>0</v>
      </c>
      <c r="F126" s="138">
        <f t="shared" ca="1" si="5"/>
        <v>0</v>
      </c>
      <c r="G126" s="139">
        <f ca="1">IF(ROUND(SUM(B126:C126,-F126),0)=0,0,IF($B$6="Yes",SUM($C$9:C126),SUM(B126:C126,-F126)))</f>
        <v>0</v>
      </c>
    </row>
    <row r="127" spans="1:7" ht="16.149999999999999" customHeight="1" x14ac:dyDescent="0.25">
      <c r="A127" s="136">
        <f ca="1">DATE(YEAR(A126),MONTH(A126)+2,0)</f>
        <v>47848</v>
      </c>
      <c r="B127" s="137">
        <f t="shared" ca="1" si="7"/>
        <v>0</v>
      </c>
      <c r="C127" s="137">
        <f ca="1">IF(ISNA(MATCH($A127,CashFlow!$C$4:$AO$4,0))=TRUE,0,OFFSET(CashFlow!$B$38,0,MATCH($A127,CashFlow!$C$4:$AO$4,0),1,1))</f>
        <v>0</v>
      </c>
      <c r="D127" s="138">
        <f t="shared" ca="1" si="8"/>
        <v>0</v>
      </c>
      <c r="E127" s="138">
        <f t="shared" ca="1" si="9"/>
        <v>0</v>
      </c>
      <c r="F127" s="138">
        <f t="shared" ca="1" si="5"/>
        <v>0</v>
      </c>
      <c r="G127" s="139">
        <f ca="1">IF(ROUND(SUM(B127:C127,-F127),0)=0,0,IF($B$6="Yes",SUM($C$9:C127),SUM(B127:C127,-F127)))</f>
        <v>0</v>
      </c>
    </row>
    <row r="128" spans="1:7" ht="16.149999999999999" customHeight="1" x14ac:dyDescent="0.25">
      <c r="A128" s="136">
        <f ca="1">DATE(YEAR(A127),MONTH(A127)+2,0)</f>
        <v>47879</v>
      </c>
      <c r="B128" s="137">
        <f t="shared" ca="1" si="7"/>
        <v>0</v>
      </c>
      <c r="C128" s="137">
        <f ca="1">IF(ISNA(MATCH($A128,CashFlow!$C$4:$AO$4,0))=TRUE,0,OFFSET(CashFlow!$B$38,0,MATCH($A128,CashFlow!$C$4:$AO$4,0),1,1))</f>
        <v>0</v>
      </c>
      <c r="D128" s="138">
        <f t="shared" ca="1" si="8"/>
        <v>0</v>
      </c>
      <c r="E128" s="138">
        <f t="shared" ca="1" si="9"/>
        <v>0</v>
      </c>
      <c r="F128" s="138">
        <f t="shared" ca="1" si="5"/>
        <v>0</v>
      </c>
      <c r="G128" s="139">
        <f ca="1">IF(ROUND(SUM(B128:C128,-F128),0)=0,0,IF($B$6="Yes",SUM($C$9:C128),SUM(B128:C128,-F128)))</f>
        <v>0</v>
      </c>
    </row>
    <row r="129" spans="1:7" ht="16.149999999999999" customHeight="1" x14ac:dyDescent="0.25">
      <c r="A129" s="136">
        <f t="shared" ref="A129:A165" ca="1" si="10">DATE(YEAR(A128),MONTH(A128)+2,0)</f>
        <v>47907</v>
      </c>
      <c r="B129" s="137">
        <f t="shared" ca="1" si="7"/>
        <v>0</v>
      </c>
      <c r="C129" s="137">
        <f ca="1">IF(ISNA(MATCH($A129,CashFlow!$C$4:$AO$4,0))=TRUE,0,OFFSET(CashFlow!$B$38,0,MATCH($A129,CashFlow!$C$4:$AO$4,0),1,1))</f>
        <v>0</v>
      </c>
      <c r="D129" s="138">
        <f t="shared" ca="1" si="8"/>
        <v>0</v>
      </c>
      <c r="E129" s="138">
        <f t="shared" ca="1" si="9"/>
        <v>0</v>
      </c>
      <c r="F129" s="138">
        <f t="shared" ca="1" si="5"/>
        <v>0</v>
      </c>
      <c r="G129" s="139">
        <f ca="1">IF(ROUND(SUM(B129:C129,-F129),0)=0,0,IF($B$6="Yes",SUM($C$9:C129),SUM(B129:C129,-F129)))</f>
        <v>0</v>
      </c>
    </row>
    <row r="130" spans="1:7" ht="16.149999999999999" customHeight="1" x14ac:dyDescent="0.25">
      <c r="A130" s="136">
        <f t="shared" ca="1" si="10"/>
        <v>47938</v>
      </c>
      <c r="B130" s="137">
        <f t="shared" ca="1" si="7"/>
        <v>0</v>
      </c>
      <c r="C130" s="137">
        <f ca="1">IF(ISNA(MATCH($A130,CashFlow!$C$4:$AO$4,0))=TRUE,0,OFFSET(CashFlow!$B$38,0,MATCH($A130,CashFlow!$C$4:$AO$4,0),1,1))</f>
        <v>0</v>
      </c>
      <c r="D130" s="138">
        <f t="shared" ca="1" si="8"/>
        <v>0</v>
      </c>
      <c r="E130" s="138">
        <f t="shared" ca="1" si="9"/>
        <v>0</v>
      </c>
      <c r="F130" s="138">
        <f t="shared" ca="1" si="5"/>
        <v>0</v>
      </c>
      <c r="G130" s="139">
        <f ca="1">IF(ROUND(SUM(B130:C130,-F130),0)=0,0,IF($B$6="Yes",SUM($C$9:C130),SUM(B130:C130,-F130)))</f>
        <v>0</v>
      </c>
    </row>
    <row r="131" spans="1:7" ht="16.149999999999999" customHeight="1" x14ac:dyDescent="0.25">
      <c r="A131" s="136">
        <f t="shared" ca="1" si="10"/>
        <v>47968</v>
      </c>
      <c r="B131" s="137">
        <f t="shared" ca="1" si="7"/>
        <v>0</v>
      </c>
      <c r="C131" s="137">
        <f ca="1">IF(ISNA(MATCH($A131,CashFlow!$C$4:$AO$4,0))=TRUE,0,OFFSET(CashFlow!$B$38,0,MATCH($A131,CashFlow!$C$4:$AO$4,0),1,1))</f>
        <v>0</v>
      </c>
      <c r="D131" s="138">
        <f t="shared" ca="1" si="8"/>
        <v>0</v>
      </c>
      <c r="E131" s="138">
        <f t="shared" ca="1" si="9"/>
        <v>0</v>
      </c>
      <c r="F131" s="138">
        <f t="shared" ca="1" si="5"/>
        <v>0</v>
      </c>
      <c r="G131" s="139">
        <f ca="1">IF(ROUND(SUM(B131:C131,-F131),0)=0,0,IF($B$6="Yes",SUM($C$9:C131),SUM(B131:C131,-F131)))</f>
        <v>0</v>
      </c>
    </row>
    <row r="132" spans="1:7" ht="16.149999999999999" customHeight="1" x14ac:dyDescent="0.25">
      <c r="A132" s="136">
        <f t="shared" ca="1" si="10"/>
        <v>47999</v>
      </c>
      <c r="B132" s="137">
        <f t="shared" ca="1" si="7"/>
        <v>0</v>
      </c>
      <c r="C132" s="137">
        <f ca="1">IF(ISNA(MATCH($A132,CashFlow!$C$4:$AO$4,0))=TRUE,0,OFFSET(CashFlow!$B$38,0,MATCH($A132,CashFlow!$C$4:$AO$4,0),1,1))</f>
        <v>0</v>
      </c>
      <c r="D132" s="138">
        <f t="shared" ca="1" si="8"/>
        <v>0</v>
      </c>
      <c r="E132" s="138">
        <f t="shared" ca="1" si="9"/>
        <v>0</v>
      </c>
      <c r="F132" s="138">
        <f t="shared" ca="1" si="5"/>
        <v>0</v>
      </c>
      <c r="G132" s="139">
        <f ca="1">IF(ROUND(SUM(B132:C132,-F132),0)=0,0,IF($B$6="Yes",SUM($C$9:C132),SUM(B132:C132,-F132)))</f>
        <v>0</v>
      </c>
    </row>
    <row r="133" spans="1:7" ht="16.149999999999999" customHeight="1" x14ac:dyDescent="0.25">
      <c r="A133" s="136">
        <f t="shared" ca="1" si="10"/>
        <v>48029</v>
      </c>
      <c r="B133" s="137">
        <f t="shared" ca="1" si="7"/>
        <v>0</v>
      </c>
      <c r="C133" s="137">
        <f ca="1">IF(ISNA(MATCH($A133,CashFlow!$C$4:$AO$4,0))=TRUE,0,OFFSET(CashFlow!$B$38,0,MATCH($A133,CashFlow!$C$4:$AO$4,0),1,1))</f>
        <v>0</v>
      </c>
      <c r="D133" s="138">
        <f t="shared" ca="1" si="8"/>
        <v>0</v>
      </c>
      <c r="E133" s="138">
        <f t="shared" ca="1" si="9"/>
        <v>0</v>
      </c>
      <c r="F133" s="138">
        <f t="shared" ca="1" si="5"/>
        <v>0</v>
      </c>
      <c r="G133" s="139">
        <f ca="1">IF(ROUND(SUM(B133:C133,-F133),0)=0,0,IF($B$6="Yes",SUM($C$9:C133),SUM(B133:C133,-F133)))</f>
        <v>0</v>
      </c>
    </row>
    <row r="134" spans="1:7" ht="16.149999999999999" customHeight="1" x14ac:dyDescent="0.25">
      <c r="A134" s="136">
        <f t="shared" ca="1" si="10"/>
        <v>48060</v>
      </c>
      <c r="B134" s="137">
        <f t="shared" ca="1" si="7"/>
        <v>0</v>
      </c>
      <c r="C134" s="137">
        <f ca="1">IF(ISNA(MATCH($A134,CashFlow!$C$4:$AO$4,0))=TRUE,0,OFFSET(CashFlow!$B$38,0,MATCH($A134,CashFlow!$C$4:$AO$4,0),1,1))</f>
        <v>0</v>
      </c>
      <c r="D134" s="138">
        <f t="shared" ca="1" si="8"/>
        <v>0</v>
      </c>
      <c r="E134" s="138">
        <f t="shared" ca="1" si="9"/>
        <v>0</v>
      </c>
      <c r="F134" s="138">
        <f t="shared" ca="1" si="5"/>
        <v>0</v>
      </c>
      <c r="G134" s="139">
        <f ca="1">IF(ROUND(SUM(B134:C134,-F134),0)=0,0,IF($B$6="Yes",SUM($C$9:C134),SUM(B134:C134,-F134)))</f>
        <v>0</v>
      </c>
    </row>
    <row r="135" spans="1:7" ht="16.149999999999999" customHeight="1" x14ac:dyDescent="0.25">
      <c r="A135" s="136">
        <f t="shared" ca="1" si="10"/>
        <v>48091</v>
      </c>
      <c r="B135" s="137">
        <f t="shared" ca="1" si="7"/>
        <v>0</v>
      </c>
      <c r="C135" s="137">
        <f ca="1">IF(ISNA(MATCH($A135,CashFlow!$C$4:$AO$4,0))=TRUE,0,OFFSET(CashFlow!$B$38,0,MATCH($A135,CashFlow!$C$4:$AO$4,0),1,1))</f>
        <v>0</v>
      </c>
      <c r="D135" s="138">
        <f t="shared" ca="1" si="8"/>
        <v>0</v>
      </c>
      <c r="E135" s="138">
        <f t="shared" ca="1" si="9"/>
        <v>0</v>
      </c>
      <c r="F135" s="138">
        <f t="shared" ca="1" si="5"/>
        <v>0</v>
      </c>
      <c r="G135" s="139">
        <f ca="1">IF(ROUND(SUM(B135:C135,-F135),0)=0,0,IF($B$6="Yes",SUM($C$9:C135),SUM(B135:C135,-F135)))</f>
        <v>0</v>
      </c>
    </row>
    <row r="136" spans="1:7" ht="16.149999999999999" customHeight="1" x14ac:dyDescent="0.25">
      <c r="A136" s="136">
        <f t="shared" ca="1" si="10"/>
        <v>48121</v>
      </c>
      <c r="B136" s="137">
        <f t="shared" ca="1" si="7"/>
        <v>0</v>
      </c>
      <c r="C136" s="137">
        <f ca="1">IF(ISNA(MATCH($A136,CashFlow!$C$4:$AO$4,0))=TRUE,0,OFFSET(CashFlow!$B$38,0,MATCH($A136,CashFlow!$C$4:$AO$4,0),1,1))</f>
        <v>0</v>
      </c>
      <c r="D136" s="138">
        <f t="shared" ca="1" si="8"/>
        <v>0</v>
      </c>
      <c r="E136" s="138">
        <f t="shared" ca="1" si="9"/>
        <v>0</v>
      </c>
      <c r="F136" s="138">
        <f t="shared" ca="1" si="5"/>
        <v>0</v>
      </c>
      <c r="G136" s="139">
        <f ca="1">IF(ROUND(SUM(B136:C136,-F136),0)=0,0,IF($B$6="Yes",SUM($C$9:C136),SUM(B136:C136,-F136)))</f>
        <v>0</v>
      </c>
    </row>
    <row r="137" spans="1:7" ht="16.149999999999999" customHeight="1" x14ac:dyDescent="0.25">
      <c r="A137" s="136">
        <f t="shared" ca="1" si="10"/>
        <v>48152</v>
      </c>
      <c r="B137" s="137">
        <f t="shared" ca="1" si="7"/>
        <v>0</v>
      </c>
      <c r="C137" s="137">
        <f ca="1">IF(ISNA(MATCH($A137,CashFlow!$C$4:$AO$4,0))=TRUE,0,OFFSET(CashFlow!$B$38,0,MATCH($A137,CashFlow!$C$4:$AO$4,0),1,1))</f>
        <v>0</v>
      </c>
      <c r="D137" s="138">
        <f t="shared" ca="1" si="8"/>
        <v>0</v>
      </c>
      <c r="E137" s="138">
        <f t="shared" ca="1" si="9"/>
        <v>0</v>
      </c>
      <c r="F137" s="138">
        <f t="shared" ca="1" si="5"/>
        <v>0</v>
      </c>
      <c r="G137" s="139">
        <f ca="1">IF(ROUND(SUM(B137:C137,-F137),0)=0,0,IF($B$6="Yes",SUM($C$9:C137),SUM(B137:C137,-F137)))</f>
        <v>0</v>
      </c>
    </row>
    <row r="138" spans="1:7" ht="16.149999999999999" customHeight="1" x14ac:dyDescent="0.25">
      <c r="A138" s="136">
        <f t="shared" ca="1" si="10"/>
        <v>48182</v>
      </c>
      <c r="B138" s="137">
        <f t="shared" ca="1" si="7"/>
        <v>0</v>
      </c>
      <c r="C138" s="137">
        <f ca="1">IF(ISNA(MATCH($A138,CashFlow!$C$4:$AO$4,0))=TRUE,0,OFFSET(CashFlow!$B$38,0,MATCH($A138,CashFlow!$C$4:$AO$4,0),1,1))</f>
        <v>0</v>
      </c>
      <c r="D138" s="138">
        <f t="shared" ca="1" si="8"/>
        <v>0</v>
      </c>
      <c r="E138" s="138">
        <f t="shared" ca="1" si="9"/>
        <v>0</v>
      </c>
      <c r="F138" s="138">
        <f t="shared" ref="F138:F165" ca="1" si="11">IF($B$6="Yes",0,D138-E138)</f>
        <v>0</v>
      </c>
      <c r="G138" s="139">
        <f ca="1">IF(ROUND(SUM(B138:C138,-F138),0)=0,0,IF($B$6="Yes",SUM($C$9:C138),SUM(B138:C138,-F138)))</f>
        <v>0</v>
      </c>
    </row>
    <row r="139" spans="1:7" ht="16.149999999999999" customHeight="1" x14ac:dyDescent="0.25">
      <c r="A139" s="136">
        <f t="shared" ca="1" si="10"/>
        <v>48213</v>
      </c>
      <c r="B139" s="137">
        <f t="shared" ref="B139:B165" ca="1" si="12">G138</f>
        <v>0</v>
      </c>
      <c r="C139" s="137">
        <f ca="1">IF(ISNA(MATCH($A139,CashFlow!$C$4:$AO$4,0))=TRUE,0,OFFSET(CashFlow!$B$38,0,MATCH($A139,CashFlow!$C$4:$AO$4,0),1,1))</f>
        <v>0</v>
      </c>
      <c r="D139" s="138">
        <f t="shared" ref="D139:D165" ca="1" si="13">IF($B$6="Yes",0,IF(ROW(C139)-ROW($C$9)&gt;$B$5*12,-PMT($B$4/12,$B$5*12,SUM(OFFSET(C139,0,0,-$B$5*12,1)),0,0),-PMT($B$4/12,$B$5*12,SUM(OFFSET(C139,0,0,ROW($C$8)-ROW(C139),1)),0,0)))</f>
        <v>0</v>
      </c>
      <c r="E139" s="138">
        <f t="shared" ref="E139:E165" ca="1" si="14">(G138+C139)*$B$4/12</f>
        <v>0</v>
      </c>
      <c r="F139" s="138">
        <f t="shared" ca="1" si="11"/>
        <v>0</v>
      </c>
      <c r="G139" s="139">
        <f ca="1">IF(ROUND(SUM(B139:C139,-F139),0)=0,0,IF($B$6="Yes",SUM($C$9:C139),SUM(B139:C139,-F139)))</f>
        <v>0</v>
      </c>
    </row>
    <row r="140" spans="1:7" ht="16.149999999999999" customHeight="1" x14ac:dyDescent="0.25">
      <c r="A140" s="136">
        <f t="shared" ca="1" si="10"/>
        <v>48244</v>
      </c>
      <c r="B140" s="137">
        <f t="shared" ca="1" si="12"/>
        <v>0</v>
      </c>
      <c r="C140" s="137">
        <f ca="1">IF(ISNA(MATCH($A140,CashFlow!$C$4:$AO$4,0))=TRUE,0,OFFSET(CashFlow!$B$38,0,MATCH($A140,CashFlow!$C$4:$AO$4,0),1,1))</f>
        <v>0</v>
      </c>
      <c r="D140" s="138">
        <f t="shared" ca="1" si="13"/>
        <v>0</v>
      </c>
      <c r="E140" s="138">
        <f t="shared" ca="1" si="14"/>
        <v>0</v>
      </c>
      <c r="F140" s="138">
        <f t="shared" ca="1" si="11"/>
        <v>0</v>
      </c>
      <c r="G140" s="139">
        <f ca="1">IF(ROUND(SUM(B140:C140,-F140),0)=0,0,IF($B$6="Yes",SUM($C$9:C140),SUM(B140:C140,-F140)))</f>
        <v>0</v>
      </c>
    </row>
    <row r="141" spans="1:7" ht="16.149999999999999" customHeight="1" x14ac:dyDescent="0.25">
      <c r="A141" s="136">
        <f t="shared" ca="1" si="10"/>
        <v>48273</v>
      </c>
      <c r="B141" s="137">
        <f t="shared" ca="1" si="12"/>
        <v>0</v>
      </c>
      <c r="C141" s="137">
        <f ca="1">IF(ISNA(MATCH($A141,CashFlow!$C$4:$AO$4,0))=TRUE,0,OFFSET(CashFlow!$B$38,0,MATCH($A141,CashFlow!$C$4:$AO$4,0),1,1))</f>
        <v>0</v>
      </c>
      <c r="D141" s="138">
        <f t="shared" ca="1" si="13"/>
        <v>0</v>
      </c>
      <c r="E141" s="138">
        <f t="shared" ca="1" si="14"/>
        <v>0</v>
      </c>
      <c r="F141" s="138">
        <f t="shared" ca="1" si="11"/>
        <v>0</v>
      </c>
      <c r="G141" s="139">
        <f ca="1">IF(ROUND(SUM(B141:C141,-F141),0)=0,0,IF($B$6="Yes",SUM($C$9:C141),SUM(B141:C141,-F141)))</f>
        <v>0</v>
      </c>
    </row>
    <row r="142" spans="1:7" ht="16.149999999999999" customHeight="1" x14ac:dyDescent="0.25">
      <c r="A142" s="136">
        <f t="shared" ca="1" si="10"/>
        <v>48304</v>
      </c>
      <c r="B142" s="137">
        <f t="shared" ca="1" si="12"/>
        <v>0</v>
      </c>
      <c r="C142" s="137">
        <f ca="1">IF(ISNA(MATCH($A142,CashFlow!$C$4:$AO$4,0))=TRUE,0,OFFSET(CashFlow!$B$38,0,MATCH($A142,CashFlow!$C$4:$AO$4,0),1,1))</f>
        <v>0</v>
      </c>
      <c r="D142" s="138">
        <f t="shared" ca="1" si="13"/>
        <v>0</v>
      </c>
      <c r="E142" s="138">
        <f t="shared" ca="1" si="14"/>
        <v>0</v>
      </c>
      <c r="F142" s="138">
        <f t="shared" ca="1" si="11"/>
        <v>0</v>
      </c>
      <c r="G142" s="139">
        <f ca="1">IF(ROUND(SUM(B142:C142,-F142),0)=0,0,IF($B$6="Yes",SUM($C$9:C142),SUM(B142:C142,-F142)))</f>
        <v>0</v>
      </c>
    </row>
    <row r="143" spans="1:7" ht="16.149999999999999" customHeight="1" x14ac:dyDescent="0.25">
      <c r="A143" s="136">
        <f t="shared" ca="1" si="10"/>
        <v>48334</v>
      </c>
      <c r="B143" s="137">
        <f t="shared" ca="1" si="12"/>
        <v>0</v>
      </c>
      <c r="C143" s="137">
        <f ca="1">IF(ISNA(MATCH($A143,CashFlow!$C$4:$AO$4,0))=TRUE,0,OFFSET(CashFlow!$B$38,0,MATCH($A143,CashFlow!$C$4:$AO$4,0),1,1))</f>
        <v>0</v>
      </c>
      <c r="D143" s="138">
        <f t="shared" ca="1" si="13"/>
        <v>0</v>
      </c>
      <c r="E143" s="138">
        <f t="shared" ca="1" si="14"/>
        <v>0</v>
      </c>
      <c r="F143" s="138">
        <f t="shared" ca="1" si="11"/>
        <v>0</v>
      </c>
      <c r="G143" s="139">
        <f ca="1">IF(ROUND(SUM(B143:C143,-F143),0)=0,0,IF($B$6="Yes",SUM($C$9:C143),SUM(B143:C143,-F143)))</f>
        <v>0</v>
      </c>
    </row>
    <row r="144" spans="1:7" ht="16.149999999999999" customHeight="1" x14ac:dyDescent="0.25">
      <c r="A144" s="136">
        <f t="shared" ca="1" si="10"/>
        <v>48365</v>
      </c>
      <c r="B144" s="137">
        <f t="shared" ca="1" si="12"/>
        <v>0</v>
      </c>
      <c r="C144" s="137">
        <f ca="1">IF(ISNA(MATCH($A144,CashFlow!$C$4:$AO$4,0))=TRUE,0,OFFSET(CashFlow!$B$38,0,MATCH($A144,CashFlow!$C$4:$AO$4,0),1,1))</f>
        <v>0</v>
      </c>
      <c r="D144" s="138">
        <f t="shared" ca="1" si="13"/>
        <v>0</v>
      </c>
      <c r="E144" s="138">
        <f t="shared" ca="1" si="14"/>
        <v>0</v>
      </c>
      <c r="F144" s="138">
        <f t="shared" ca="1" si="11"/>
        <v>0</v>
      </c>
      <c r="G144" s="139">
        <f ca="1">IF(ROUND(SUM(B144:C144,-F144),0)=0,0,IF($B$6="Yes",SUM($C$9:C144),SUM(B144:C144,-F144)))</f>
        <v>0</v>
      </c>
    </row>
    <row r="145" spans="1:7" ht="16.149999999999999" customHeight="1" x14ac:dyDescent="0.25">
      <c r="A145" s="136">
        <f t="shared" ca="1" si="10"/>
        <v>48395</v>
      </c>
      <c r="B145" s="137">
        <f t="shared" ca="1" si="12"/>
        <v>0</v>
      </c>
      <c r="C145" s="137">
        <f ca="1">IF(ISNA(MATCH($A145,CashFlow!$C$4:$AO$4,0))=TRUE,0,OFFSET(CashFlow!$B$38,0,MATCH($A145,CashFlow!$C$4:$AO$4,0),1,1))</f>
        <v>0</v>
      </c>
      <c r="D145" s="138">
        <f t="shared" ca="1" si="13"/>
        <v>0</v>
      </c>
      <c r="E145" s="138">
        <f t="shared" ca="1" si="14"/>
        <v>0</v>
      </c>
      <c r="F145" s="138">
        <f t="shared" ca="1" si="11"/>
        <v>0</v>
      </c>
      <c r="G145" s="139">
        <f ca="1">IF(ROUND(SUM(B145:C145,-F145),0)=0,0,IF($B$6="Yes",SUM($C$9:C145),SUM(B145:C145,-F145)))</f>
        <v>0</v>
      </c>
    </row>
    <row r="146" spans="1:7" ht="16.149999999999999" customHeight="1" x14ac:dyDescent="0.25">
      <c r="A146" s="136">
        <f t="shared" ca="1" si="10"/>
        <v>48426</v>
      </c>
      <c r="B146" s="137">
        <f t="shared" ca="1" si="12"/>
        <v>0</v>
      </c>
      <c r="C146" s="137">
        <f ca="1">IF(ISNA(MATCH($A146,CashFlow!$C$4:$AO$4,0))=TRUE,0,OFFSET(CashFlow!$B$38,0,MATCH($A146,CashFlow!$C$4:$AO$4,0),1,1))</f>
        <v>0</v>
      </c>
      <c r="D146" s="138">
        <f t="shared" ca="1" si="13"/>
        <v>0</v>
      </c>
      <c r="E146" s="138">
        <f t="shared" ca="1" si="14"/>
        <v>0</v>
      </c>
      <c r="F146" s="138">
        <f t="shared" ca="1" si="11"/>
        <v>0</v>
      </c>
      <c r="G146" s="139">
        <f ca="1">IF(ROUND(SUM(B146:C146,-F146),0)=0,0,IF($B$6="Yes",SUM($C$9:C146),SUM(B146:C146,-F146)))</f>
        <v>0</v>
      </c>
    </row>
    <row r="147" spans="1:7" ht="16.149999999999999" customHeight="1" x14ac:dyDescent="0.25">
      <c r="A147" s="136">
        <f t="shared" ca="1" si="10"/>
        <v>48457</v>
      </c>
      <c r="B147" s="137">
        <f t="shared" ca="1" si="12"/>
        <v>0</v>
      </c>
      <c r="C147" s="137">
        <f ca="1">IF(ISNA(MATCH($A147,CashFlow!$C$4:$AO$4,0))=TRUE,0,OFFSET(CashFlow!$B$38,0,MATCH($A147,CashFlow!$C$4:$AO$4,0),1,1))</f>
        <v>0</v>
      </c>
      <c r="D147" s="138">
        <f t="shared" ca="1" si="13"/>
        <v>0</v>
      </c>
      <c r="E147" s="138">
        <f t="shared" ca="1" si="14"/>
        <v>0</v>
      </c>
      <c r="F147" s="138">
        <f t="shared" ca="1" si="11"/>
        <v>0</v>
      </c>
      <c r="G147" s="139">
        <f ca="1">IF(ROUND(SUM(B147:C147,-F147),0)=0,0,IF($B$6="Yes",SUM($C$9:C147),SUM(B147:C147,-F147)))</f>
        <v>0</v>
      </c>
    </row>
    <row r="148" spans="1:7" ht="16.149999999999999" customHeight="1" x14ac:dyDescent="0.25">
      <c r="A148" s="136">
        <f t="shared" ca="1" si="10"/>
        <v>48487</v>
      </c>
      <c r="B148" s="137">
        <f t="shared" ca="1" si="12"/>
        <v>0</v>
      </c>
      <c r="C148" s="137">
        <f ca="1">IF(ISNA(MATCH($A148,CashFlow!$C$4:$AO$4,0))=TRUE,0,OFFSET(CashFlow!$B$38,0,MATCH($A148,CashFlow!$C$4:$AO$4,0),1,1))</f>
        <v>0</v>
      </c>
      <c r="D148" s="138">
        <f t="shared" ca="1" si="13"/>
        <v>0</v>
      </c>
      <c r="E148" s="138">
        <f t="shared" ca="1" si="14"/>
        <v>0</v>
      </c>
      <c r="F148" s="138">
        <f t="shared" ca="1" si="11"/>
        <v>0</v>
      </c>
      <c r="G148" s="139">
        <f ca="1">IF(ROUND(SUM(B148:C148,-F148),0)=0,0,IF($B$6="Yes",SUM($C$9:C148),SUM(B148:C148,-F148)))</f>
        <v>0</v>
      </c>
    </row>
    <row r="149" spans="1:7" ht="16.149999999999999" customHeight="1" x14ac:dyDescent="0.25">
      <c r="A149" s="136">
        <f t="shared" ca="1" si="10"/>
        <v>48518</v>
      </c>
      <c r="B149" s="137">
        <f t="shared" ca="1" si="12"/>
        <v>0</v>
      </c>
      <c r="C149" s="137">
        <f ca="1">IF(ISNA(MATCH($A149,CashFlow!$C$4:$AO$4,0))=TRUE,0,OFFSET(CashFlow!$B$38,0,MATCH($A149,CashFlow!$C$4:$AO$4,0),1,1))</f>
        <v>0</v>
      </c>
      <c r="D149" s="138">
        <f t="shared" ca="1" si="13"/>
        <v>0</v>
      </c>
      <c r="E149" s="138">
        <f t="shared" ca="1" si="14"/>
        <v>0</v>
      </c>
      <c r="F149" s="138">
        <f t="shared" ca="1" si="11"/>
        <v>0</v>
      </c>
      <c r="G149" s="139">
        <f ca="1">IF(ROUND(SUM(B149:C149,-F149),0)=0,0,IF($B$6="Yes",SUM($C$9:C149),SUM(B149:C149,-F149)))</f>
        <v>0</v>
      </c>
    </row>
    <row r="150" spans="1:7" ht="16.149999999999999" customHeight="1" x14ac:dyDescent="0.25">
      <c r="A150" s="136">
        <f t="shared" ca="1" si="10"/>
        <v>48548</v>
      </c>
      <c r="B150" s="137">
        <f t="shared" ca="1" si="12"/>
        <v>0</v>
      </c>
      <c r="C150" s="137">
        <f ca="1">IF(ISNA(MATCH($A150,CashFlow!$C$4:$AO$4,0))=TRUE,0,OFFSET(CashFlow!$B$38,0,MATCH($A150,CashFlow!$C$4:$AO$4,0),1,1))</f>
        <v>0</v>
      </c>
      <c r="D150" s="138">
        <f t="shared" ca="1" si="13"/>
        <v>0</v>
      </c>
      <c r="E150" s="138">
        <f t="shared" ca="1" si="14"/>
        <v>0</v>
      </c>
      <c r="F150" s="138">
        <f t="shared" ca="1" si="11"/>
        <v>0</v>
      </c>
      <c r="G150" s="139">
        <f ca="1">IF(ROUND(SUM(B150:C150,-F150),0)=0,0,IF($B$6="Yes",SUM($C$9:C150),SUM(B150:C150,-F150)))</f>
        <v>0</v>
      </c>
    </row>
    <row r="151" spans="1:7" ht="16.149999999999999" customHeight="1" x14ac:dyDescent="0.25">
      <c r="A151" s="136">
        <f t="shared" ca="1" si="10"/>
        <v>48579</v>
      </c>
      <c r="B151" s="137">
        <f t="shared" ca="1" si="12"/>
        <v>0</v>
      </c>
      <c r="C151" s="137">
        <f ca="1">IF(ISNA(MATCH($A151,CashFlow!$C$4:$AO$4,0))=TRUE,0,OFFSET(CashFlow!$B$38,0,MATCH($A151,CashFlow!$C$4:$AO$4,0),1,1))</f>
        <v>0</v>
      </c>
      <c r="D151" s="138">
        <f t="shared" ca="1" si="13"/>
        <v>0</v>
      </c>
      <c r="E151" s="138">
        <f t="shared" ca="1" si="14"/>
        <v>0</v>
      </c>
      <c r="F151" s="138">
        <f t="shared" ca="1" si="11"/>
        <v>0</v>
      </c>
      <c r="G151" s="139">
        <f ca="1">IF(ROUND(SUM(B151:C151,-F151),0)=0,0,IF($B$6="Yes",SUM($C$9:C151),SUM(B151:C151,-F151)))</f>
        <v>0</v>
      </c>
    </row>
    <row r="152" spans="1:7" ht="16.149999999999999" customHeight="1" x14ac:dyDescent="0.25">
      <c r="A152" s="136">
        <f t="shared" ca="1" si="10"/>
        <v>48610</v>
      </c>
      <c r="B152" s="137">
        <f t="shared" ca="1" si="12"/>
        <v>0</v>
      </c>
      <c r="C152" s="137">
        <f ca="1">IF(ISNA(MATCH($A152,CashFlow!$C$4:$AO$4,0))=TRUE,0,OFFSET(CashFlow!$B$38,0,MATCH($A152,CashFlow!$C$4:$AO$4,0),1,1))</f>
        <v>0</v>
      </c>
      <c r="D152" s="138">
        <f t="shared" ca="1" si="13"/>
        <v>0</v>
      </c>
      <c r="E152" s="138">
        <f t="shared" ca="1" si="14"/>
        <v>0</v>
      </c>
      <c r="F152" s="138">
        <f t="shared" ca="1" si="11"/>
        <v>0</v>
      </c>
      <c r="G152" s="139">
        <f ca="1">IF(ROUND(SUM(B152:C152,-F152),0)=0,0,IF($B$6="Yes",SUM($C$9:C152),SUM(B152:C152,-F152)))</f>
        <v>0</v>
      </c>
    </row>
    <row r="153" spans="1:7" ht="16.149999999999999" customHeight="1" x14ac:dyDescent="0.25">
      <c r="A153" s="136">
        <f t="shared" ca="1" si="10"/>
        <v>48638</v>
      </c>
      <c r="B153" s="137">
        <f t="shared" ca="1" si="12"/>
        <v>0</v>
      </c>
      <c r="C153" s="137">
        <f ca="1">IF(ISNA(MATCH($A153,CashFlow!$C$4:$AO$4,0))=TRUE,0,OFFSET(CashFlow!$B$38,0,MATCH($A153,CashFlow!$C$4:$AO$4,0),1,1))</f>
        <v>0</v>
      </c>
      <c r="D153" s="138">
        <f t="shared" ca="1" si="13"/>
        <v>0</v>
      </c>
      <c r="E153" s="138">
        <f t="shared" ca="1" si="14"/>
        <v>0</v>
      </c>
      <c r="F153" s="138">
        <f t="shared" ca="1" si="11"/>
        <v>0</v>
      </c>
      <c r="G153" s="139">
        <f ca="1">IF(ROUND(SUM(B153:C153,-F153),0)=0,0,IF($B$6="Yes",SUM($C$9:C153),SUM(B153:C153,-F153)))</f>
        <v>0</v>
      </c>
    </row>
    <row r="154" spans="1:7" ht="16.149999999999999" customHeight="1" x14ac:dyDescent="0.25">
      <c r="A154" s="136">
        <f t="shared" ca="1" si="10"/>
        <v>48669</v>
      </c>
      <c r="B154" s="137">
        <f t="shared" ca="1" si="12"/>
        <v>0</v>
      </c>
      <c r="C154" s="137">
        <f ca="1">IF(ISNA(MATCH($A154,CashFlow!$C$4:$AO$4,0))=TRUE,0,OFFSET(CashFlow!$B$38,0,MATCH($A154,CashFlow!$C$4:$AO$4,0),1,1))</f>
        <v>0</v>
      </c>
      <c r="D154" s="138">
        <f t="shared" ca="1" si="13"/>
        <v>0</v>
      </c>
      <c r="E154" s="138">
        <f t="shared" ca="1" si="14"/>
        <v>0</v>
      </c>
      <c r="F154" s="138">
        <f t="shared" ca="1" si="11"/>
        <v>0</v>
      </c>
      <c r="G154" s="139">
        <f ca="1">IF(ROUND(SUM(B154:C154,-F154),0)=0,0,IF($B$6="Yes",SUM($C$9:C154),SUM(B154:C154,-F154)))</f>
        <v>0</v>
      </c>
    </row>
    <row r="155" spans="1:7" ht="16.149999999999999" customHeight="1" x14ac:dyDescent="0.25">
      <c r="A155" s="136">
        <f t="shared" ca="1" si="10"/>
        <v>48699</v>
      </c>
      <c r="B155" s="137">
        <f t="shared" ca="1" si="12"/>
        <v>0</v>
      </c>
      <c r="C155" s="137">
        <f ca="1">IF(ISNA(MATCH($A155,CashFlow!$C$4:$AO$4,0))=TRUE,0,OFFSET(CashFlow!$B$38,0,MATCH($A155,CashFlow!$C$4:$AO$4,0),1,1))</f>
        <v>0</v>
      </c>
      <c r="D155" s="138">
        <f t="shared" ca="1" si="13"/>
        <v>0</v>
      </c>
      <c r="E155" s="138">
        <f t="shared" ca="1" si="14"/>
        <v>0</v>
      </c>
      <c r="F155" s="138">
        <f t="shared" ca="1" si="11"/>
        <v>0</v>
      </c>
      <c r="G155" s="139">
        <f ca="1">IF(ROUND(SUM(B155:C155,-F155),0)=0,0,IF($B$6="Yes",SUM($C$9:C155),SUM(B155:C155,-F155)))</f>
        <v>0</v>
      </c>
    </row>
    <row r="156" spans="1:7" ht="16.149999999999999" customHeight="1" x14ac:dyDescent="0.25">
      <c r="A156" s="136">
        <f t="shared" ca="1" si="10"/>
        <v>48730</v>
      </c>
      <c r="B156" s="137">
        <f t="shared" ca="1" si="12"/>
        <v>0</v>
      </c>
      <c r="C156" s="137">
        <f ca="1">IF(ISNA(MATCH($A156,CashFlow!$C$4:$AO$4,0))=TRUE,0,OFFSET(CashFlow!$B$38,0,MATCH($A156,CashFlow!$C$4:$AO$4,0),1,1))</f>
        <v>0</v>
      </c>
      <c r="D156" s="138">
        <f t="shared" ca="1" si="13"/>
        <v>0</v>
      </c>
      <c r="E156" s="138">
        <f t="shared" ca="1" si="14"/>
        <v>0</v>
      </c>
      <c r="F156" s="138">
        <f t="shared" ca="1" si="11"/>
        <v>0</v>
      </c>
      <c r="G156" s="139">
        <f ca="1">IF(ROUND(SUM(B156:C156,-F156),0)=0,0,IF($B$6="Yes",SUM($C$9:C156),SUM(B156:C156,-F156)))</f>
        <v>0</v>
      </c>
    </row>
    <row r="157" spans="1:7" ht="16.149999999999999" customHeight="1" x14ac:dyDescent="0.25">
      <c r="A157" s="136">
        <f t="shared" ca="1" si="10"/>
        <v>48760</v>
      </c>
      <c r="B157" s="137">
        <f t="shared" ca="1" si="12"/>
        <v>0</v>
      </c>
      <c r="C157" s="137">
        <f ca="1">IF(ISNA(MATCH($A157,CashFlow!$C$4:$AO$4,0))=TRUE,0,OFFSET(CashFlow!$B$38,0,MATCH($A157,CashFlow!$C$4:$AO$4,0),1,1))</f>
        <v>0</v>
      </c>
      <c r="D157" s="138">
        <f t="shared" ca="1" si="13"/>
        <v>0</v>
      </c>
      <c r="E157" s="138">
        <f t="shared" ca="1" si="14"/>
        <v>0</v>
      </c>
      <c r="F157" s="138">
        <f t="shared" ca="1" si="11"/>
        <v>0</v>
      </c>
      <c r="G157" s="139">
        <f ca="1">IF(ROUND(SUM(B157:C157,-F157),0)=0,0,IF($B$6="Yes",SUM($C$9:C157),SUM(B157:C157,-F157)))</f>
        <v>0</v>
      </c>
    </row>
    <row r="158" spans="1:7" ht="16.149999999999999" customHeight="1" x14ac:dyDescent="0.25">
      <c r="A158" s="136">
        <f t="shared" ca="1" si="10"/>
        <v>48791</v>
      </c>
      <c r="B158" s="137">
        <f t="shared" ca="1" si="12"/>
        <v>0</v>
      </c>
      <c r="C158" s="137">
        <f ca="1">IF(ISNA(MATCH($A158,CashFlow!$C$4:$AO$4,0))=TRUE,0,OFFSET(CashFlow!$B$38,0,MATCH($A158,CashFlow!$C$4:$AO$4,0),1,1))</f>
        <v>0</v>
      </c>
      <c r="D158" s="138">
        <f t="shared" ca="1" si="13"/>
        <v>0</v>
      </c>
      <c r="E158" s="138">
        <f t="shared" ca="1" si="14"/>
        <v>0</v>
      </c>
      <c r="F158" s="138">
        <f t="shared" ca="1" si="11"/>
        <v>0</v>
      </c>
      <c r="G158" s="139">
        <f ca="1">IF(ROUND(SUM(B158:C158,-F158),0)=0,0,IF($B$6="Yes",SUM($C$9:C158),SUM(B158:C158,-F158)))</f>
        <v>0</v>
      </c>
    </row>
    <row r="159" spans="1:7" ht="16.149999999999999" customHeight="1" x14ac:dyDescent="0.25">
      <c r="A159" s="136">
        <f t="shared" ca="1" si="10"/>
        <v>48822</v>
      </c>
      <c r="B159" s="137">
        <f t="shared" ca="1" si="12"/>
        <v>0</v>
      </c>
      <c r="C159" s="137">
        <f ca="1">IF(ISNA(MATCH($A159,CashFlow!$C$4:$AO$4,0))=TRUE,0,OFFSET(CashFlow!$B$38,0,MATCH($A159,CashFlow!$C$4:$AO$4,0),1,1))</f>
        <v>0</v>
      </c>
      <c r="D159" s="138">
        <f t="shared" ca="1" si="13"/>
        <v>0</v>
      </c>
      <c r="E159" s="138">
        <f t="shared" ca="1" si="14"/>
        <v>0</v>
      </c>
      <c r="F159" s="138">
        <f t="shared" ca="1" si="11"/>
        <v>0</v>
      </c>
      <c r="G159" s="139">
        <f ca="1">IF(ROUND(SUM(B159:C159,-F159),0)=0,0,IF($B$6="Yes",SUM($C$9:C159),SUM(B159:C159,-F159)))</f>
        <v>0</v>
      </c>
    </row>
    <row r="160" spans="1:7" ht="16.149999999999999" customHeight="1" x14ac:dyDescent="0.25">
      <c r="A160" s="136">
        <f t="shared" ca="1" si="10"/>
        <v>48852</v>
      </c>
      <c r="B160" s="137">
        <f t="shared" ca="1" si="12"/>
        <v>0</v>
      </c>
      <c r="C160" s="137">
        <f ca="1">IF(ISNA(MATCH($A160,CashFlow!$C$4:$AO$4,0))=TRUE,0,OFFSET(CashFlow!$B$38,0,MATCH($A160,CashFlow!$C$4:$AO$4,0),1,1))</f>
        <v>0</v>
      </c>
      <c r="D160" s="138">
        <f t="shared" ca="1" si="13"/>
        <v>0</v>
      </c>
      <c r="E160" s="138">
        <f t="shared" ca="1" si="14"/>
        <v>0</v>
      </c>
      <c r="F160" s="138">
        <f t="shared" ca="1" si="11"/>
        <v>0</v>
      </c>
      <c r="G160" s="139">
        <f ca="1">IF(ROUND(SUM(B160:C160,-F160),0)=0,0,IF($B$6="Yes",SUM($C$9:C160),SUM(B160:C160,-F160)))</f>
        <v>0</v>
      </c>
    </row>
    <row r="161" spans="1:7" ht="16.149999999999999" customHeight="1" x14ac:dyDescent="0.25">
      <c r="A161" s="136">
        <f t="shared" ca="1" si="10"/>
        <v>48883</v>
      </c>
      <c r="B161" s="137">
        <f t="shared" ca="1" si="12"/>
        <v>0</v>
      </c>
      <c r="C161" s="137">
        <f ca="1">IF(ISNA(MATCH($A161,CashFlow!$C$4:$AO$4,0))=TRUE,0,OFFSET(CashFlow!$B$38,0,MATCH($A161,CashFlow!$C$4:$AO$4,0),1,1))</f>
        <v>0</v>
      </c>
      <c r="D161" s="138">
        <f t="shared" ca="1" si="13"/>
        <v>0</v>
      </c>
      <c r="E161" s="138">
        <f t="shared" ca="1" si="14"/>
        <v>0</v>
      </c>
      <c r="F161" s="138">
        <f t="shared" ca="1" si="11"/>
        <v>0</v>
      </c>
      <c r="G161" s="139">
        <f ca="1">IF(ROUND(SUM(B161:C161,-F161),0)=0,0,IF($B$6="Yes",SUM($C$9:C161),SUM(B161:C161,-F161)))</f>
        <v>0</v>
      </c>
    </row>
    <row r="162" spans="1:7" ht="16.149999999999999" customHeight="1" x14ac:dyDescent="0.25">
      <c r="A162" s="136">
        <f t="shared" ca="1" si="10"/>
        <v>48913</v>
      </c>
      <c r="B162" s="137">
        <f t="shared" ca="1" si="12"/>
        <v>0</v>
      </c>
      <c r="C162" s="137">
        <f ca="1">IF(ISNA(MATCH($A162,CashFlow!$C$4:$AO$4,0))=TRUE,0,OFFSET(CashFlow!$B$38,0,MATCH($A162,CashFlow!$C$4:$AO$4,0),1,1))</f>
        <v>0</v>
      </c>
      <c r="D162" s="138">
        <f t="shared" ca="1" si="13"/>
        <v>0</v>
      </c>
      <c r="E162" s="138">
        <f t="shared" ca="1" si="14"/>
        <v>0</v>
      </c>
      <c r="F162" s="138">
        <f t="shared" ca="1" si="11"/>
        <v>0</v>
      </c>
      <c r="G162" s="139">
        <f ca="1">IF(ROUND(SUM(B162:C162,-F162),0)=0,0,IF($B$6="Yes",SUM($C$9:C162),SUM(B162:C162,-F162)))</f>
        <v>0</v>
      </c>
    </row>
    <row r="163" spans="1:7" ht="16.149999999999999" customHeight="1" x14ac:dyDescent="0.25">
      <c r="A163" s="136">
        <f t="shared" ca="1" si="10"/>
        <v>48944</v>
      </c>
      <c r="B163" s="137">
        <f t="shared" ca="1" si="12"/>
        <v>0</v>
      </c>
      <c r="C163" s="137">
        <f ca="1">IF(ISNA(MATCH($A163,CashFlow!$C$4:$AO$4,0))=TRUE,0,OFFSET(CashFlow!$B$38,0,MATCH($A163,CashFlow!$C$4:$AO$4,0),1,1))</f>
        <v>0</v>
      </c>
      <c r="D163" s="138">
        <f t="shared" ca="1" si="13"/>
        <v>0</v>
      </c>
      <c r="E163" s="138">
        <f t="shared" ca="1" si="14"/>
        <v>0</v>
      </c>
      <c r="F163" s="138">
        <f t="shared" ca="1" si="11"/>
        <v>0</v>
      </c>
      <c r="G163" s="139">
        <f ca="1">IF(ROUND(SUM(B163:C163,-F163),0)=0,0,IF($B$6="Yes",SUM($C$9:C163),SUM(B163:C163,-F163)))</f>
        <v>0</v>
      </c>
    </row>
    <row r="164" spans="1:7" ht="16.149999999999999" customHeight="1" x14ac:dyDescent="0.25">
      <c r="A164" s="136">
        <f t="shared" ca="1" si="10"/>
        <v>48975</v>
      </c>
      <c r="B164" s="137">
        <f t="shared" ca="1" si="12"/>
        <v>0</v>
      </c>
      <c r="C164" s="137">
        <f ca="1">IF(ISNA(MATCH($A164,CashFlow!$C$4:$AO$4,0))=TRUE,0,OFFSET(CashFlow!$B$38,0,MATCH($A164,CashFlow!$C$4:$AO$4,0),1,1))</f>
        <v>0</v>
      </c>
      <c r="D164" s="138">
        <f t="shared" ca="1" si="13"/>
        <v>0</v>
      </c>
      <c r="E164" s="138">
        <f t="shared" ca="1" si="14"/>
        <v>0</v>
      </c>
      <c r="F164" s="138">
        <f t="shared" ca="1" si="11"/>
        <v>0</v>
      </c>
      <c r="G164" s="139">
        <f ca="1">IF(ROUND(SUM(B164:C164,-F164),0)=0,0,IF($B$6="Yes",SUM($C$9:C164),SUM(B164:C164,-F164)))</f>
        <v>0</v>
      </c>
    </row>
    <row r="165" spans="1:7" ht="16.149999999999999" customHeight="1" x14ac:dyDescent="0.25">
      <c r="A165" s="136">
        <f t="shared" ca="1" si="10"/>
        <v>49003</v>
      </c>
      <c r="B165" s="137">
        <f t="shared" ca="1" si="12"/>
        <v>0</v>
      </c>
      <c r="C165" s="137">
        <f ca="1">IF(ISNA(MATCH($A165,CashFlow!$C$4:$AO$4,0))=TRUE,0,OFFSET(CashFlow!$B$38,0,MATCH($A165,CashFlow!$C$4:$AO$4,0),1,1))</f>
        <v>0</v>
      </c>
      <c r="D165" s="138">
        <f t="shared" ca="1" si="13"/>
        <v>0</v>
      </c>
      <c r="E165" s="138">
        <f t="shared" ca="1" si="14"/>
        <v>0</v>
      </c>
      <c r="F165" s="138">
        <f t="shared" ca="1" si="11"/>
        <v>0</v>
      </c>
      <c r="G165" s="139">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85546875" defaultRowHeight="16.5" x14ac:dyDescent="0.3"/>
  <cols>
    <col min="1" max="14" width="15.7109375" style="1" customWidth="1"/>
    <col min="15" max="16384" width="8.8554687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360"/>
  <sheetViews>
    <sheetView zoomScaleNormal="100" workbookViewId="0">
      <pane ySplit="3" topLeftCell="A4" activePane="bottomLeft" state="frozen"/>
      <selection pane="bottomLeft"/>
    </sheetView>
  </sheetViews>
  <sheetFormatPr defaultColWidth="9.140625" defaultRowHeight="12.75" x14ac:dyDescent="0.2"/>
  <cols>
    <col min="1" max="1" width="109.7109375" style="172" customWidth="1"/>
    <col min="2" max="2" width="50.7109375" style="167" customWidth="1"/>
    <col min="3" max="19" width="20.7109375" style="167" customWidth="1"/>
    <col min="20" max="16384" width="9.140625" style="167"/>
  </cols>
  <sheetData>
    <row r="1" spans="1:1" ht="15.75" x14ac:dyDescent="0.25">
      <c r="A1" s="178" t="s">
        <v>49</v>
      </c>
    </row>
    <row r="2" spans="1:1" ht="15" customHeight="1" x14ac:dyDescent="0.2">
      <c r="A2" s="168" t="s">
        <v>48</v>
      </c>
    </row>
    <row r="3" spans="1:1" ht="15" customHeight="1" x14ac:dyDescent="0.2">
      <c r="A3" s="179" t="s">
        <v>27</v>
      </c>
    </row>
    <row r="4" spans="1:1" x14ac:dyDescent="0.2">
      <c r="A4" s="169"/>
    </row>
    <row r="5" spans="1:1" ht="76.5" x14ac:dyDescent="0.2">
      <c r="A5" s="170" t="s">
        <v>398</v>
      </c>
    </row>
    <row r="6" spans="1:1" x14ac:dyDescent="0.2">
      <c r="A6" s="170"/>
    </row>
    <row r="7" spans="1:1" ht="38.25" x14ac:dyDescent="0.2">
      <c r="A7" s="171" t="s">
        <v>345</v>
      </c>
    </row>
    <row r="9" spans="1:1" x14ac:dyDescent="0.2">
      <c r="A9" s="172" t="s">
        <v>399</v>
      </c>
    </row>
    <row r="10" spans="1:1" x14ac:dyDescent="0.2">
      <c r="A10" s="173" t="s">
        <v>401</v>
      </c>
    </row>
    <row r="11" spans="1:1" ht="51" x14ac:dyDescent="0.2">
      <c r="A11" s="173" t="s">
        <v>402</v>
      </c>
    </row>
    <row r="12" spans="1:1" ht="25.5" x14ac:dyDescent="0.2">
      <c r="A12" s="173" t="s">
        <v>403</v>
      </c>
    </row>
    <row r="13" spans="1:1" ht="25.5" x14ac:dyDescent="0.2">
      <c r="A13" s="173" t="s">
        <v>404</v>
      </c>
    </row>
    <row r="14" spans="1:1" ht="38.25" x14ac:dyDescent="0.2">
      <c r="A14" s="173" t="s">
        <v>405</v>
      </c>
    </row>
    <row r="16" spans="1:1" ht="38.25" x14ac:dyDescent="0.2">
      <c r="A16" s="174" t="s">
        <v>346</v>
      </c>
    </row>
    <row r="18" spans="1:1" x14ac:dyDescent="0.2">
      <c r="A18" s="173" t="s">
        <v>230</v>
      </c>
    </row>
    <row r="20" spans="1:1" x14ac:dyDescent="0.2">
      <c r="A20" s="174" t="s">
        <v>232</v>
      </c>
    </row>
    <row r="22" spans="1:1" ht="51" x14ac:dyDescent="0.2">
      <c r="A22" s="172" t="s">
        <v>231</v>
      </c>
    </row>
    <row r="24" spans="1:1" x14ac:dyDescent="0.2">
      <c r="A24" s="174" t="s">
        <v>233</v>
      </c>
    </row>
    <row r="25" spans="1:1" x14ac:dyDescent="0.2">
      <c r="A25" s="174"/>
    </row>
    <row r="26" spans="1:1" ht="38.25" x14ac:dyDescent="0.2">
      <c r="A26" s="172" t="s">
        <v>234</v>
      </c>
    </row>
    <row r="28" spans="1:1" x14ac:dyDescent="0.2">
      <c r="A28" s="173" t="s">
        <v>229</v>
      </c>
    </row>
    <row r="30" spans="1:1" x14ac:dyDescent="0.2">
      <c r="A30" s="172" t="s">
        <v>246</v>
      </c>
    </row>
    <row r="32" spans="1:1" x14ac:dyDescent="0.2">
      <c r="A32" s="174" t="s">
        <v>235</v>
      </c>
    </row>
    <row r="34" spans="1:1" ht="51" x14ac:dyDescent="0.2">
      <c r="A34" s="172" t="s">
        <v>236</v>
      </c>
    </row>
    <row r="36" spans="1:1" ht="51" x14ac:dyDescent="0.2">
      <c r="A36" s="172" t="s">
        <v>263</v>
      </c>
    </row>
    <row r="38" spans="1:1" ht="38.25" x14ac:dyDescent="0.2">
      <c r="A38" s="174" t="s">
        <v>264</v>
      </c>
    </row>
    <row r="39" spans="1:1" x14ac:dyDescent="0.2">
      <c r="A39" s="174"/>
    </row>
    <row r="40" spans="1:1" ht="38.25" x14ac:dyDescent="0.2">
      <c r="A40" s="174" t="s">
        <v>347</v>
      </c>
    </row>
    <row r="42" spans="1:1" x14ac:dyDescent="0.2">
      <c r="A42" s="174" t="s">
        <v>237</v>
      </c>
    </row>
    <row r="44" spans="1:1" ht="38.25" x14ac:dyDescent="0.2">
      <c r="A44" s="172" t="s">
        <v>406</v>
      </c>
    </row>
    <row r="46" spans="1:1" s="175" customFormat="1" x14ac:dyDescent="0.2">
      <c r="A46" s="174" t="s">
        <v>135</v>
      </c>
    </row>
    <row r="48" spans="1:1" ht="51" x14ac:dyDescent="0.2">
      <c r="A48" s="172" t="s">
        <v>238</v>
      </c>
    </row>
    <row r="50" spans="1:1" ht="38.25" x14ac:dyDescent="0.2">
      <c r="A50" s="174" t="s">
        <v>348</v>
      </c>
    </row>
    <row r="52" spans="1:1" x14ac:dyDescent="0.2">
      <c r="A52" s="174" t="s">
        <v>175</v>
      </c>
    </row>
    <row r="54" spans="1:1" ht="51" x14ac:dyDescent="0.2">
      <c r="A54" s="172" t="s">
        <v>239</v>
      </c>
    </row>
    <row r="56" spans="1:1" ht="38.25" x14ac:dyDescent="0.2">
      <c r="A56" s="174" t="s">
        <v>348</v>
      </c>
    </row>
    <row r="58" spans="1:1" ht="51" x14ac:dyDescent="0.2">
      <c r="A58" s="174" t="s">
        <v>340</v>
      </c>
    </row>
    <row r="60" spans="1:1" s="175" customFormat="1" x14ac:dyDescent="0.2">
      <c r="A60" s="174" t="s">
        <v>147</v>
      </c>
    </row>
    <row r="62" spans="1:1" ht="51" x14ac:dyDescent="0.2">
      <c r="A62" s="172" t="s">
        <v>349</v>
      </c>
    </row>
    <row r="64" spans="1:1" ht="38.25" x14ac:dyDescent="0.2">
      <c r="A64" s="172" t="s">
        <v>407</v>
      </c>
    </row>
    <row r="66" spans="1:1" ht="76.5" x14ac:dyDescent="0.2">
      <c r="A66" s="172" t="s">
        <v>240</v>
      </c>
    </row>
    <row r="68" spans="1:1" x14ac:dyDescent="0.2">
      <c r="A68" s="174" t="s">
        <v>158</v>
      </c>
    </row>
    <row r="70" spans="1:1" ht="38.25" x14ac:dyDescent="0.2">
      <c r="A70" s="172" t="s">
        <v>241</v>
      </c>
    </row>
    <row r="72" spans="1:1" ht="38.25" x14ac:dyDescent="0.2">
      <c r="A72" s="172" t="s">
        <v>242</v>
      </c>
    </row>
    <row r="74" spans="1:1" ht="51" x14ac:dyDescent="0.2">
      <c r="A74" s="172" t="s">
        <v>243</v>
      </c>
    </row>
    <row r="76" spans="1:1" ht="38.25" x14ac:dyDescent="0.2">
      <c r="A76" s="172" t="s">
        <v>265</v>
      </c>
    </row>
    <row r="78" spans="1:1" ht="51" x14ac:dyDescent="0.2">
      <c r="A78" s="172" t="s">
        <v>244</v>
      </c>
    </row>
    <row r="80" spans="1:1" ht="76.5" x14ac:dyDescent="0.2">
      <c r="A80" s="172" t="s">
        <v>245</v>
      </c>
    </row>
    <row r="82" spans="1:1" x14ac:dyDescent="0.2">
      <c r="A82" s="174" t="s">
        <v>37</v>
      </c>
    </row>
    <row r="84" spans="1:1" ht="38.25" x14ac:dyDescent="0.2">
      <c r="A84" s="172" t="s">
        <v>266</v>
      </c>
    </row>
    <row r="86" spans="1:1" ht="51" x14ac:dyDescent="0.2">
      <c r="A86" s="172" t="s">
        <v>408</v>
      </c>
    </row>
    <row r="88" spans="1:1" ht="63.75" x14ac:dyDescent="0.2">
      <c r="A88" s="172" t="s">
        <v>247</v>
      </c>
    </row>
    <row r="90" spans="1:1" ht="51" x14ac:dyDescent="0.2">
      <c r="A90" s="172" t="s">
        <v>248</v>
      </c>
    </row>
    <row r="92" spans="1:1" ht="38.25" x14ac:dyDescent="0.2">
      <c r="A92" s="174" t="s">
        <v>249</v>
      </c>
    </row>
    <row r="94" spans="1:1" ht="38.25" x14ac:dyDescent="0.2">
      <c r="A94" s="174" t="s">
        <v>250</v>
      </c>
    </row>
    <row r="96" spans="1:1" x14ac:dyDescent="0.2">
      <c r="A96" s="174" t="s">
        <v>251</v>
      </c>
    </row>
    <row r="98" spans="1:1" ht="25.5" x14ac:dyDescent="0.2">
      <c r="A98" s="172" t="s">
        <v>267</v>
      </c>
    </row>
    <row r="100" spans="1:1" ht="63.75" x14ac:dyDescent="0.2">
      <c r="A100" s="172" t="s">
        <v>350</v>
      </c>
    </row>
    <row r="102" spans="1:1" ht="51" x14ac:dyDescent="0.2">
      <c r="A102" s="172" t="s">
        <v>389</v>
      </c>
    </row>
    <row r="104" spans="1:1" ht="38.25" x14ac:dyDescent="0.2">
      <c r="A104" s="174" t="s">
        <v>351</v>
      </c>
    </row>
    <row r="106" spans="1:1" ht="63.75" x14ac:dyDescent="0.2">
      <c r="A106" s="174" t="s">
        <v>409</v>
      </c>
    </row>
    <row r="108" spans="1:1" x14ac:dyDescent="0.2">
      <c r="A108" s="173" t="s">
        <v>269</v>
      </c>
    </row>
    <row r="110" spans="1:1" x14ac:dyDescent="0.2">
      <c r="A110" s="172" t="s">
        <v>271</v>
      </c>
    </row>
    <row r="112" spans="1:1" x14ac:dyDescent="0.2">
      <c r="A112" s="174" t="s">
        <v>270</v>
      </c>
    </row>
    <row r="113" spans="1:1" x14ac:dyDescent="0.2">
      <c r="A113" s="174"/>
    </row>
    <row r="114" spans="1:1" ht="38.25" x14ac:dyDescent="0.2">
      <c r="A114" s="172" t="s">
        <v>352</v>
      </c>
    </row>
    <row r="115" spans="1:1" x14ac:dyDescent="0.2">
      <c r="A115" s="174"/>
    </row>
    <row r="116" spans="1:1" ht="51" x14ac:dyDescent="0.2">
      <c r="A116" s="172" t="s">
        <v>353</v>
      </c>
    </row>
    <row r="118" spans="1:1" ht="38.25" x14ac:dyDescent="0.2">
      <c r="A118" s="172" t="s">
        <v>272</v>
      </c>
    </row>
    <row r="120" spans="1:1" ht="25.5" x14ac:dyDescent="0.2">
      <c r="A120" s="174" t="s">
        <v>287</v>
      </c>
    </row>
    <row r="122" spans="1:1" x14ac:dyDescent="0.2">
      <c r="A122" s="174" t="s">
        <v>91</v>
      </c>
    </row>
    <row r="124" spans="1:1" ht="25.5" x14ac:dyDescent="0.2">
      <c r="A124" s="172" t="s">
        <v>410</v>
      </c>
    </row>
    <row r="126" spans="1:1" ht="51" x14ac:dyDescent="0.2">
      <c r="A126" s="172" t="s">
        <v>273</v>
      </c>
    </row>
    <row r="128" spans="1:1" ht="25.5" x14ac:dyDescent="0.2">
      <c r="A128" s="174" t="s">
        <v>354</v>
      </c>
    </row>
    <row r="130" spans="1:1" x14ac:dyDescent="0.2">
      <c r="A130" s="174" t="s">
        <v>278</v>
      </c>
    </row>
    <row r="132" spans="1:1" ht="51" x14ac:dyDescent="0.2">
      <c r="A132" s="172" t="s">
        <v>355</v>
      </c>
    </row>
    <row r="134" spans="1:1" ht="63.75" x14ac:dyDescent="0.2">
      <c r="A134" s="174" t="s">
        <v>358</v>
      </c>
    </row>
    <row r="136" spans="1:1" ht="51" x14ac:dyDescent="0.2">
      <c r="A136" s="174" t="s">
        <v>274</v>
      </c>
    </row>
    <row r="138" spans="1:1" ht="25.5" x14ac:dyDescent="0.2">
      <c r="A138" s="174" t="s">
        <v>356</v>
      </c>
    </row>
    <row r="140" spans="1:1" ht="51" x14ac:dyDescent="0.2">
      <c r="A140" s="172" t="s">
        <v>275</v>
      </c>
    </row>
    <row r="142" spans="1:1" x14ac:dyDescent="0.2">
      <c r="A142" s="174" t="s">
        <v>279</v>
      </c>
    </row>
    <row r="144" spans="1:1" ht="63.75" x14ac:dyDescent="0.2">
      <c r="A144" s="172" t="s">
        <v>357</v>
      </c>
    </row>
    <row r="146" spans="1:1" ht="63.75" x14ac:dyDescent="0.2">
      <c r="A146" s="174" t="s">
        <v>359</v>
      </c>
    </row>
    <row r="148" spans="1:1" ht="51" x14ac:dyDescent="0.2">
      <c r="A148" s="174" t="s">
        <v>360</v>
      </c>
    </row>
    <row r="150" spans="1:1" ht="38.25" x14ac:dyDescent="0.2">
      <c r="A150" s="172" t="s">
        <v>361</v>
      </c>
    </row>
    <row r="152" spans="1:1" ht="51" x14ac:dyDescent="0.2">
      <c r="A152" s="172" t="s">
        <v>341</v>
      </c>
    </row>
    <row r="154" spans="1:1" ht="51" x14ac:dyDescent="0.2">
      <c r="A154" s="174" t="s">
        <v>362</v>
      </c>
    </row>
    <row r="156" spans="1:1" ht="38.25" x14ac:dyDescent="0.2">
      <c r="A156" s="174" t="s">
        <v>276</v>
      </c>
    </row>
    <row r="158" spans="1:1" ht="25.5" x14ac:dyDescent="0.2">
      <c r="A158" s="174" t="s">
        <v>363</v>
      </c>
    </row>
    <row r="160" spans="1:1" ht="38.25" x14ac:dyDescent="0.2">
      <c r="A160" s="172" t="s">
        <v>277</v>
      </c>
    </row>
    <row r="162" spans="1:1" x14ac:dyDescent="0.2">
      <c r="A162" s="174" t="s">
        <v>280</v>
      </c>
    </row>
    <row r="164" spans="1:1" ht="51" x14ac:dyDescent="0.2">
      <c r="A164" s="172" t="s">
        <v>390</v>
      </c>
    </row>
    <row r="166" spans="1:1" x14ac:dyDescent="0.2">
      <c r="A166" s="174" t="s">
        <v>281</v>
      </c>
    </row>
    <row r="168" spans="1:1" ht="38.25" x14ac:dyDescent="0.2">
      <c r="A168" s="172" t="s">
        <v>364</v>
      </c>
    </row>
    <row r="170" spans="1:1" x14ac:dyDescent="0.2">
      <c r="A170" s="174" t="s">
        <v>282</v>
      </c>
    </row>
    <row r="172" spans="1:1" ht="51" x14ac:dyDescent="0.2">
      <c r="A172" s="172" t="s">
        <v>283</v>
      </c>
    </row>
    <row r="174" spans="1:1" ht="25.5" x14ac:dyDescent="0.2">
      <c r="A174" s="174" t="s">
        <v>284</v>
      </c>
    </row>
    <row r="176" spans="1:1" x14ac:dyDescent="0.2">
      <c r="A176" s="174" t="s">
        <v>285</v>
      </c>
    </row>
    <row r="178" spans="1:1" ht="25.5" x14ac:dyDescent="0.2">
      <c r="A178" s="172" t="s">
        <v>286</v>
      </c>
    </row>
    <row r="180" spans="1:1" x14ac:dyDescent="0.2">
      <c r="A180" s="174" t="s">
        <v>288</v>
      </c>
    </row>
    <row r="182" spans="1:1" ht="51" x14ac:dyDescent="0.2">
      <c r="A182" s="172" t="s">
        <v>365</v>
      </c>
    </row>
    <row r="184" spans="1:1" ht="51" x14ac:dyDescent="0.2">
      <c r="A184" s="174" t="s">
        <v>366</v>
      </c>
    </row>
    <row r="186" spans="1:1" ht="51" x14ac:dyDescent="0.2">
      <c r="A186" s="172" t="s">
        <v>411</v>
      </c>
    </row>
    <row r="188" spans="1:1" ht="38.25" x14ac:dyDescent="0.2">
      <c r="A188" s="174" t="s">
        <v>367</v>
      </c>
    </row>
    <row r="190" spans="1:1" ht="38.25" x14ac:dyDescent="0.2">
      <c r="A190" s="172" t="s">
        <v>289</v>
      </c>
    </row>
    <row r="192" spans="1:1" ht="38.25" x14ac:dyDescent="0.2">
      <c r="A192" s="172" t="s">
        <v>368</v>
      </c>
    </row>
    <row r="193" spans="1:1" x14ac:dyDescent="0.2">
      <c r="A193" s="173"/>
    </row>
    <row r="194" spans="1:1" ht="25.5" x14ac:dyDescent="0.2">
      <c r="A194" s="172" t="s">
        <v>291</v>
      </c>
    </row>
    <row r="196" spans="1:1" x14ac:dyDescent="0.2">
      <c r="A196" s="174" t="s">
        <v>292</v>
      </c>
    </row>
    <row r="197" spans="1:1" x14ac:dyDescent="0.2">
      <c r="A197" s="174"/>
    </row>
    <row r="198" spans="1:1" ht="38.25" x14ac:dyDescent="0.2">
      <c r="A198" s="172" t="s">
        <v>293</v>
      </c>
    </row>
    <row r="199" spans="1:1" x14ac:dyDescent="0.2">
      <c r="A199" s="174"/>
    </row>
    <row r="200" spans="1:1" x14ac:dyDescent="0.2">
      <c r="A200" s="174" t="s">
        <v>294</v>
      </c>
    </row>
    <row r="201" spans="1:1" x14ac:dyDescent="0.2">
      <c r="A201" s="174"/>
    </row>
    <row r="202" spans="1:1" ht="38.25" x14ac:dyDescent="0.2">
      <c r="A202" s="172" t="s">
        <v>297</v>
      </c>
    </row>
    <row r="204" spans="1:1" ht="63.75" x14ac:dyDescent="0.2">
      <c r="A204" s="172" t="s">
        <v>391</v>
      </c>
    </row>
    <row r="206" spans="1:1" ht="51" x14ac:dyDescent="0.2">
      <c r="A206" s="174" t="s">
        <v>295</v>
      </c>
    </row>
    <row r="207" spans="1:1" x14ac:dyDescent="0.2">
      <c r="A207" s="174"/>
    </row>
    <row r="208" spans="1:1" ht="38.25" x14ac:dyDescent="0.2">
      <c r="A208" s="172" t="s">
        <v>296</v>
      </c>
    </row>
    <row r="210" spans="1:1" ht="25.5" x14ac:dyDescent="0.2">
      <c r="A210" s="172" t="s">
        <v>392</v>
      </c>
    </row>
    <row r="212" spans="1:1" ht="76.5" x14ac:dyDescent="0.2">
      <c r="A212" s="174" t="s">
        <v>369</v>
      </c>
    </row>
    <row r="214" spans="1:1" ht="51" x14ac:dyDescent="0.2">
      <c r="A214" s="174" t="s">
        <v>298</v>
      </c>
    </row>
    <row r="216" spans="1:1" ht="38.25" x14ac:dyDescent="0.2">
      <c r="A216" s="172" t="s">
        <v>342</v>
      </c>
    </row>
    <row r="218" spans="1:1" ht="51" x14ac:dyDescent="0.2">
      <c r="A218" s="172" t="s">
        <v>343</v>
      </c>
    </row>
    <row r="220" spans="1:1" ht="63.75" x14ac:dyDescent="0.2">
      <c r="A220" s="174" t="s">
        <v>299</v>
      </c>
    </row>
    <row r="222" spans="1:1" ht="51" x14ac:dyDescent="0.2">
      <c r="A222" s="174" t="s">
        <v>300</v>
      </c>
    </row>
    <row r="224" spans="1:1" ht="25.5" x14ac:dyDescent="0.2">
      <c r="A224" s="174" t="s">
        <v>370</v>
      </c>
    </row>
    <row r="226" spans="1:1" ht="51" x14ac:dyDescent="0.2">
      <c r="A226" s="172" t="s">
        <v>301</v>
      </c>
    </row>
    <row r="228" spans="1:1" x14ac:dyDescent="0.2">
      <c r="A228" s="174" t="s">
        <v>302</v>
      </c>
    </row>
    <row r="230" spans="1:1" ht="51" x14ac:dyDescent="0.2">
      <c r="A230" s="172" t="s">
        <v>371</v>
      </c>
    </row>
    <row r="232" spans="1:1" ht="51" x14ac:dyDescent="0.2">
      <c r="A232" s="172" t="s">
        <v>372</v>
      </c>
    </row>
    <row r="234" spans="1:1" ht="38.25" x14ac:dyDescent="0.2">
      <c r="A234" s="172" t="s">
        <v>393</v>
      </c>
    </row>
    <row r="236" spans="1:1" ht="51" x14ac:dyDescent="0.2">
      <c r="A236" s="172" t="s">
        <v>373</v>
      </c>
    </row>
    <row r="238" spans="1:1" ht="38.25" x14ac:dyDescent="0.2">
      <c r="A238" s="174" t="s">
        <v>303</v>
      </c>
    </row>
    <row r="240" spans="1:1" ht="25.5" x14ac:dyDescent="0.2">
      <c r="A240" s="174" t="s">
        <v>304</v>
      </c>
    </row>
    <row r="242" spans="1:1" ht="38.25" x14ac:dyDescent="0.2">
      <c r="A242" s="172" t="s">
        <v>394</v>
      </c>
    </row>
    <row r="244" spans="1:1" ht="63.75" x14ac:dyDescent="0.2">
      <c r="A244" s="174" t="s">
        <v>374</v>
      </c>
    </row>
    <row r="246" spans="1:1" ht="51" x14ac:dyDescent="0.2">
      <c r="A246" s="172" t="s">
        <v>306</v>
      </c>
    </row>
    <row r="248" spans="1:1" ht="25.5" x14ac:dyDescent="0.2">
      <c r="A248" s="172" t="s">
        <v>375</v>
      </c>
    </row>
    <row r="250" spans="1:1" ht="25.5" x14ac:dyDescent="0.2">
      <c r="A250" s="174" t="s">
        <v>308</v>
      </c>
    </row>
    <row r="252" spans="1:1" ht="51" x14ac:dyDescent="0.2">
      <c r="A252" s="174" t="s">
        <v>307</v>
      </c>
    </row>
    <row r="254" spans="1:1" ht="38.25" x14ac:dyDescent="0.2">
      <c r="A254" s="174" t="s">
        <v>313</v>
      </c>
    </row>
    <row r="256" spans="1:1" x14ac:dyDescent="0.2">
      <c r="A256" s="174" t="s">
        <v>309</v>
      </c>
    </row>
    <row r="258" spans="1:1" ht="51" x14ac:dyDescent="0.2">
      <c r="A258" s="172" t="s">
        <v>376</v>
      </c>
    </row>
    <row r="260" spans="1:1" ht="38.25" x14ac:dyDescent="0.2">
      <c r="A260" s="172" t="s">
        <v>310</v>
      </c>
    </row>
    <row r="262" spans="1:1" ht="63.75" x14ac:dyDescent="0.2">
      <c r="A262" s="172" t="s">
        <v>377</v>
      </c>
    </row>
    <row r="264" spans="1:1" ht="51" x14ac:dyDescent="0.2">
      <c r="A264" s="172" t="s">
        <v>378</v>
      </c>
    </row>
    <row r="266" spans="1:1" ht="51" x14ac:dyDescent="0.2">
      <c r="A266" s="174" t="s">
        <v>379</v>
      </c>
    </row>
    <row r="268" spans="1:1" ht="51" x14ac:dyDescent="0.2">
      <c r="A268" s="172" t="s">
        <v>311</v>
      </c>
    </row>
    <row r="270" spans="1:1" ht="38.25" x14ac:dyDescent="0.2">
      <c r="A270" s="172" t="s">
        <v>312</v>
      </c>
    </row>
    <row r="272" spans="1:1" ht="38.25" x14ac:dyDescent="0.2">
      <c r="A272" s="174" t="s">
        <v>380</v>
      </c>
    </row>
    <row r="274" spans="1:1" ht="51" x14ac:dyDescent="0.2">
      <c r="A274" s="174" t="s">
        <v>412</v>
      </c>
    </row>
    <row r="276" spans="1:1" ht="38.25" x14ac:dyDescent="0.2">
      <c r="A276" s="174" t="s">
        <v>314</v>
      </c>
    </row>
    <row r="278" spans="1:1" ht="51" x14ac:dyDescent="0.2">
      <c r="A278" s="172" t="s">
        <v>315</v>
      </c>
    </row>
    <row r="280" spans="1:1" x14ac:dyDescent="0.2">
      <c r="A280" s="174" t="s">
        <v>316</v>
      </c>
    </row>
    <row r="282" spans="1:1" ht="51" x14ac:dyDescent="0.2">
      <c r="A282" s="172" t="s">
        <v>395</v>
      </c>
    </row>
    <row r="284" spans="1:1" x14ac:dyDescent="0.2">
      <c r="A284" s="174" t="s">
        <v>317</v>
      </c>
    </row>
    <row r="286" spans="1:1" ht="25.5" x14ac:dyDescent="0.2">
      <c r="A286" s="172" t="s">
        <v>318</v>
      </c>
    </row>
    <row r="288" spans="1:1" ht="51" x14ac:dyDescent="0.2">
      <c r="A288" s="172" t="s">
        <v>319</v>
      </c>
    </row>
    <row r="290" spans="1:1" ht="38.25" x14ac:dyDescent="0.2">
      <c r="A290" s="172" t="s">
        <v>320</v>
      </c>
    </row>
    <row r="292" spans="1:1" ht="51" x14ac:dyDescent="0.2">
      <c r="A292" s="172" t="s">
        <v>321</v>
      </c>
    </row>
    <row r="294" spans="1:1" ht="76.5" x14ac:dyDescent="0.2">
      <c r="A294" s="174" t="s">
        <v>322</v>
      </c>
    </row>
    <row r="296" spans="1:1" ht="51" x14ac:dyDescent="0.2">
      <c r="A296" s="172" t="s">
        <v>323</v>
      </c>
    </row>
    <row r="298" spans="1:1" ht="38.25" x14ac:dyDescent="0.2">
      <c r="A298" s="172" t="s">
        <v>381</v>
      </c>
    </row>
    <row r="300" spans="1:1" ht="38.25" x14ac:dyDescent="0.2">
      <c r="A300" s="174" t="s">
        <v>382</v>
      </c>
    </row>
    <row r="302" spans="1:1" x14ac:dyDescent="0.2">
      <c r="A302" s="174" t="s">
        <v>324</v>
      </c>
    </row>
    <row r="304" spans="1:1" ht="51" x14ac:dyDescent="0.2">
      <c r="A304" s="172" t="s">
        <v>325</v>
      </c>
    </row>
    <row r="306" spans="1:1" ht="25.5" x14ac:dyDescent="0.2">
      <c r="A306" s="172" t="s">
        <v>413</v>
      </c>
    </row>
    <row r="308" spans="1:1" ht="51" x14ac:dyDescent="0.2">
      <c r="A308" s="172" t="s">
        <v>327</v>
      </c>
    </row>
    <row r="310" spans="1:1" ht="76.5" x14ac:dyDescent="0.2">
      <c r="A310" s="174" t="s">
        <v>344</v>
      </c>
    </row>
    <row r="312" spans="1:1" ht="38.25" x14ac:dyDescent="0.2">
      <c r="A312" s="172" t="s">
        <v>326</v>
      </c>
    </row>
    <row r="314" spans="1:1" ht="38.25" x14ac:dyDescent="0.2">
      <c r="A314" s="172" t="s">
        <v>328</v>
      </c>
    </row>
    <row r="316" spans="1:1" ht="38.25" x14ac:dyDescent="0.2">
      <c r="A316" s="172" t="s">
        <v>329</v>
      </c>
    </row>
    <row r="318" spans="1:1" ht="38.25" x14ac:dyDescent="0.2">
      <c r="A318" s="172" t="s">
        <v>414</v>
      </c>
    </row>
    <row r="320" spans="1:1" ht="38.25" x14ac:dyDescent="0.2">
      <c r="A320" s="174" t="s">
        <v>330</v>
      </c>
    </row>
    <row r="322" spans="1:1" ht="51" x14ac:dyDescent="0.2">
      <c r="A322" s="174" t="s">
        <v>331</v>
      </c>
    </row>
    <row r="324" spans="1:1" ht="63.75" x14ac:dyDescent="0.2">
      <c r="A324" s="174" t="s">
        <v>383</v>
      </c>
    </row>
    <row r="326" spans="1:1" ht="63.75" x14ac:dyDescent="0.2">
      <c r="A326" s="174" t="s">
        <v>332</v>
      </c>
    </row>
    <row r="327" spans="1:1" x14ac:dyDescent="0.2">
      <c r="A327" s="174"/>
    </row>
    <row r="328" spans="1:1" x14ac:dyDescent="0.2">
      <c r="A328" s="174" t="s">
        <v>335</v>
      </c>
    </row>
    <row r="329" spans="1:1" x14ac:dyDescent="0.2">
      <c r="A329" s="174"/>
    </row>
    <row r="330" spans="1:1" ht="51" x14ac:dyDescent="0.2">
      <c r="A330" s="172" t="s">
        <v>336</v>
      </c>
    </row>
    <row r="331" spans="1:1" x14ac:dyDescent="0.2">
      <c r="A331" s="174"/>
    </row>
    <row r="332" spans="1:1" ht="25.5" x14ac:dyDescent="0.2">
      <c r="A332" s="172" t="s">
        <v>337</v>
      </c>
    </row>
    <row r="333" spans="1:1" x14ac:dyDescent="0.2">
      <c r="A333" s="174"/>
    </row>
    <row r="334" spans="1:1" ht="38.25" x14ac:dyDescent="0.2">
      <c r="A334" s="172" t="s">
        <v>338</v>
      </c>
    </row>
    <row r="335" spans="1:1" x14ac:dyDescent="0.2">
      <c r="A335" s="174"/>
    </row>
    <row r="336" spans="1:1" x14ac:dyDescent="0.2">
      <c r="A336" s="174" t="s">
        <v>339</v>
      </c>
    </row>
    <row r="338" spans="1:1" ht="51" x14ac:dyDescent="0.2">
      <c r="A338" s="172" t="s">
        <v>415</v>
      </c>
    </row>
    <row r="340" spans="1:1" x14ac:dyDescent="0.2">
      <c r="A340" s="173" t="s">
        <v>333</v>
      </c>
    </row>
    <row r="342" spans="1:1" ht="38.25" x14ac:dyDescent="0.2">
      <c r="A342" s="172" t="s">
        <v>416</v>
      </c>
    </row>
    <row r="344" spans="1:1" ht="38.25" x14ac:dyDescent="0.2">
      <c r="A344" s="172" t="s">
        <v>417</v>
      </c>
    </row>
    <row r="346" spans="1:1" ht="51" x14ac:dyDescent="0.2">
      <c r="A346" s="174" t="s">
        <v>418</v>
      </c>
    </row>
    <row r="348" spans="1:1" x14ac:dyDescent="0.2">
      <c r="A348" s="173" t="s">
        <v>334</v>
      </c>
    </row>
    <row r="350" spans="1:1" ht="51" x14ac:dyDescent="0.2">
      <c r="A350" s="172" t="s">
        <v>396</v>
      </c>
    </row>
    <row r="352" spans="1:1" ht="38.25" x14ac:dyDescent="0.2">
      <c r="A352" s="174" t="s">
        <v>384</v>
      </c>
    </row>
    <row r="354" spans="1:1" x14ac:dyDescent="0.2">
      <c r="A354" s="176" t="s">
        <v>28</v>
      </c>
    </row>
    <row r="356" spans="1:1" ht="63.75" x14ac:dyDescent="0.2">
      <c r="A356" s="172" t="s">
        <v>61</v>
      </c>
    </row>
    <row r="358" spans="1:1" s="177" customFormat="1" x14ac:dyDescent="0.2">
      <c r="A358" s="173" t="s">
        <v>88</v>
      </c>
    </row>
    <row r="359" spans="1:1" s="177" customFormat="1" x14ac:dyDescent="0.2">
      <c r="A359" s="173"/>
    </row>
    <row r="360" spans="1:1" s="177" customFormat="1" ht="76.5" x14ac:dyDescent="0.2">
      <c r="A360" s="172" t="s">
        <v>89</v>
      </c>
    </row>
  </sheetData>
  <sheetProtection selectLockedCells="1"/>
  <phoneticPr fontId="3" type="noConversion"/>
  <hyperlinks>
    <hyperlink ref="A3" r:id="rId1" xr:uid="{00000000-0004-0000-0300-000000000000}"/>
  </hyperlinks>
  <pageMargins left="0.55118110236220474" right="0.55118110236220474" top="0.59055118110236227" bottom="0.59055118110236227" header="0.39370078740157483" footer="0.39370078740157483"/>
  <pageSetup paperSize="9" scale="84" fitToHeight="0" orientation="portrait"/>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112"/>
  <sheetViews>
    <sheetView zoomScale="95" zoomScaleNormal="95" workbookViewId="0">
      <pane ySplit="3" topLeftCell="A4" activePane="bottomLeft" state="frozen"/>
      <selection pane="bottomLeft" activeCell="C4" sqref="C4:E4"/>
    </sheetView>
  </sheetViews>
  <sheetFormatPr defaultColWidth="9.140625" defaultRowHeight="16.149999999999999" customHeight="1" x14ac:dyDescent="0.3"/>
  <cols>
    <col min="1" max="1" width="5.7109375" style="143" customWidth="1"/>
    <col min="2" max="2" width="35.7109375" style="14" customWidth="1"/>
    <col min="3" max="3" width="15.7109375" style="11" customWidth="1"/>
    <col min="4" max="7" width="15.7109375" style="4" customWidth="1"/>
    <col min="8" max="8" width="8.7109375" style="4" customWidth="1"/>
    <col min="9" max="9" width="15.7109375" style="4" customWidth="1"/>
    <col min="10" max="15" width="15.7109375" style="5" customWidth="1"/>
    <col min="16" max="16384" width="9.140625" style="5"/>
  </cols>
  <sheetData>
    <row r="1" spans="1:9" ht="16.149999999999999" customHeight="1" x14ac:dyDescent="0.3">
      <c r="B1" s="142" t="str">
        <f>IF(ISBLANK($C$4),"Example Limited",$C$4)</f>
        <v>Example (Pty) Limited</v>
      </c>
      <c r="C1" s="3"/>
    </row>
    <row r="2" spans="1:9" ht="16.149999999999999" customHeight="1" x14ac:dyDescent="0.3">
      <c r="B2" s="6" t="s">
        <v>63</v>
      </c>
      <c r="C2" s="3"/>
    </row>
    <row r="4" spans="1:9" ht="16.149999999999999" customHeight="1" x14ac:dyDescent="0.3">
      <c r="B4" s="2" t="s">
        <v>62</v>
      </c>
      <c r="C4" s="180" t="s">
        <v>388</v>
      </c>
      <c r="D4" s="181"/>
      <c r="E4" s="182"/>
    </row>
    <row r="5" spans="1:9" s="10" customFormat="1" ht="16.149999999999999" customHeight="1" x14ac:dyDescent="0.25">
      <c r="A5" s="144"/>
      <c r="B5" s="2" t="s">
        <v>45</v>
      </c>
      <c r="C5" s="7">
        <v>44256</v>
      </c>
      <c r="D5" s="8"/>
      <c r="E5" s="8"/>
      <c r="F5" s="8"/>
      <c r="G5" s="9"/>
      <c r="H5" s="9"/>
      <c r="I5" s="9"/>
    </row>
    <row r="6" spans="1:9" s="10" customFormat="1" ht="16.149999999999999" customHeight="1" x14ac:dyDescent="0.25">
      <c r="A6" s="144"/>
      <c r="B6" s="2"/>
      <c r="C6" s="5"/>
      <c r="D6" s="8"/>
      <c r="E6" s="8"/>
      <c r="F6" s="8"/>
      <c r="G6" s="9"/>
      <c r="H6" s="9"/>
      <c r="I6" s="9"/>
    </row>
    <row r="7" spans="1:9" s="10" customFormat="1" ht="16.149999999999999" customHeight="1" x14ac:dyDescent="0.25">
      <c r="A7" s="144"/>
      <c r="B7" s="2" t="s">
        <v>215</v>
      </c>
      <c r="C7" s="5"/>
      <c r="D7" s="8"/>
      <c r="E7" s="8"/>
      <c r="F7" s="8"/>
      <c r="G7" s="9"/>
      <c r="H7" s="9"/>
      <c r="I7" s="9"/>
    </row>
    <row r="8" spans="1:9" s="10" customFormat="1" ht="16.149999999999999" customHeight="1" x14ac:dyDescent="0.25">
      <c r="A8" s="144"/>
      <c r="B8" s="2" t="s">
        <v>1</v>
      </c>
      <c r="C8" s="3"/>
      <c r="D8" s="8"/>
      <c r="E8" s="8"/>
      <c r="F8" s="8"/>
      <c r="G8" s="9"/>
      <c r="H8" s="9"/>
      <c r="I8" s="9"/>
    </row>
    <row r="9" spans="1:9" ht="16.149999999999999" customHeight="1" x14ac:dyDescent="0.3">
      <c r="B9" s="6" t="s">
        <v>86</v>
      </c>
      <c r="D9" s="12"/>
    </row>
    <row r="10" spans="1:9" ht="16.149999999999999" customHeight="1" x14ac:dyDescent="0.3">
      <c r="B10" s="2" t="s">
        <v>2</v>
      </c>
      <c r="C10" s="3"/>
    </row>
    <row r="11" spans="1:9" ht="16.149999999999999" customHeight="1" x14ac:dyDescent="0.3">
      <c r="B11" s="6" t="s">
        <v>87</v>
      </c>
      <c r="D11" s="13"/>
      <c r="E11" s="13"/>
      <c r="F11" s="13"/>
    </row>
    <row r="12" spans="1:9" ht="16.149999999999999" customHeight="1" x14ac:dyDescent="0.3">
      <c r="B12" s="2" t="s">
        <v>237</v>
      </c>
      <c r="D12" s="13"/>
      <c r="E12" s="13"/>
      <c r="F12" s="13"/>
    </row>
    <row r="13" spans="1:9" ht="16.149999999999999" customHeight="1" x14ac:dyDescent="0.3">
      <c r="B13" s="6" t="s">
        <v>387</v>
      </c>
      <c r="D13" s="13"/>
      <c r="E13" s="13"/>
      <c r="F13" s="13"/>
    </row>
    <row r="14" spans="1:9" ht="16.149999999999999" customHeight="1" x14ac:dyDescent="0.3">
      <c r="B14" s="2" t="s">
        <v>135</v>
      </c>
      <c r="C14" s="3"/>
    </row>
    <row r="15" spans="1:9" ht="16.149999999999999" customHeight="1" x14ac:dyDescent="0.3">
      <c r="B15" s="6" t="s">
        <v>183</v>
      </c>
      <c r="D15" s="12"/>
    </row>
    <row r="16" spans="1:9" ht="16.149999999999999" customHeight="1" x14ac:dyDescent="0.3">
      <c r="B16" s="2" t="s">
        <v>175</v>
      </c>
      <c r="D16" s="12"/>
    </row>
    <row r="17" spans="1:4" ht="16.149999999999999" customHeight="1" x14ac:dyDescent="0.3">
      <c r="B17" s="6" t="s">
        <v>184</v>
      </c>
      <c r="D17" s="12"/>
    </row>
    <row r="18" spans="1:4" ht="16.149999999999999" customHeight="1" x14ac:dyDescent="0.3">
      <c r="B18" s="2" t="s">
        <v>147</v>
      </c>
      <c r="D18" s="12"/>
    </row>
    <row r="19" spans="1:4" ht="16.149999999999999" customHeight="1" x14ac:dyDescent="0.3">
      <c r="B19" s="6" t="s">
        <v>386</v>
      </c>
      <c r="D19" s="12"/>
    </row>
    <row r="20" spans="1:4" ht="16.149999999999999" customHeight="1" x14ac:dyDescent="0.3">
      <c r="B20" s="2" t="s">
        <v>385</v>
      </c>
      <c r="D20" s="12"/>
    </row>
    <row r="21" spans="1:4" ht="16.149999999999999" customHeight="1" x14ac:dyDescent="0.3">
      <c r="B21" s="6" t="s">
        <v>216</v>
      </c>
      <c r="D21" s="12"/>
    </row>
    <row r="22" spans="1:4" ht="16.149999999999999" customHeight="1" x14ac:dyDescent="0.3">
      <c r="B22" s="6"/>
      <c r="D22" s="12"/>
    </row>
    <row r="23" spans="1:4" ht="16.149999999999999" customHeight="1" x14ac:dyDescent="0.3">
      <c r="B23" s="2" t="s">
        <v>217</v>
      </c>
      <c r="D23" s="12"/>
    </row>
    <row r="24" spans="1:4" ht="16.149999999999999" customHeight="1" x14ac:dyDescent="0.3">
      <c r="B24" s="6" t="s">
        <v>218</v>
      </c>
      <c r="D24" s="12"/>
    </row>
    <row r="25" spans="1:4" ht="16.149999999999999" customHeight="1" x14ac:dyDescent="0.3">
      <c r="B25" s="6" t="s">
        <v>219</v>
      </c>
      <c r="D25" s="12"/>
    </row>
    <row r="26" spans="1:4" ht="16.149999999999999" customHeight="1" x14ac:dyDescent="0.3">
      <c r="A26" s="143" t="s">
        <v>116</v>
      </c>
      <c r="B26" s="14" t="s">
        <v>101</v>
      </c>
      <c r="D26" s="12"/>
    </row>
    <row r="27" spans="1:4" ht="16.149999999999999" customHeight="1" x14ac:dyDescent="0.3">
      <c r="A27" s="145" t="s">
        <v>118</v>
      </c>
      <c r="B27" s="14" t="s">
        <v>93</v>
      </c>
      <c r="D27" s="12"/>
    </row>
    <row r="28" spans="1:4" ht="16.149999999999999" customHeight="1" x14ac:dyDescent="0.3">
      <c r="A28" s="145" t="s">
        <v>122</v>
      </c>
      <c r="B28" s="14" t="s">
        <v>97</v>
      </c>
      <c r="D28" s="12"/>
    </row>
    <row r="29" spans="1:4" ht="16.149999999999999" customHeight="1" x14ac:dyDescent="0.3">
      <c r="A29" s="143" t="s">
        <v>117</v>
      </c>
      <c r="B29" s="14" t="s">
        <v>181</v>
      </c>
      <c r="D29" s="12"/>
    </row>
    <row r="30" spans="1:4" ht="16.149999999999999" customHeight="1" x14ac:dyDescent="0.3">
      <c r="A30" s="143" t="s">
        <v>132</v>
      </c>
      <c r="B30" s="14" t="s">
        <v>107</v>
      </c>
      <c r="D30" s="12"/>
    </row>
    <row r="31" spans="1:4" ht="16.149999999999999" customHeight="1" x14ac:dyDescent="0.3">
      <c r="A31" s="145" t="s">
        <v>110</v>
      </c>
      <c r="B31" s="14" t="s">
        <v>78</v>
      </c>
      <c r="D31" s="12"/>
    </row>
    <row r="32" spans="1:4" ht="16.149999999999999" customHeight="1" x14ac:dyDescent="0.3">
      <c r="A32" s="145" t="s">
        <v>114</v>
      </c>
      <c r="B32" s="14" t="s">
        <v>136</v>
      </c>
      <c r="D32" s="12"/>
    </row>
    <row r="33" spans="1:6" ht="16.149999999999999" customHeight="1" x14ac:dyDescent="0.3">
      <c r="A33" s="145" t="s">
        <v>115</v>
      </c>
      <c r="B33" s="14" t="s">
        <v>137</v>
      </c>
      <c r="D33" s="12"/>
    </row>
    <row r="34" spans="1:6" ht="16.149999999999999" customHeight="1" x14ac:dyDescent="0.3">
      <c r="A34" s="143" t="s">
        <v>124</v>
      </c>
      <c r="B34" s="14" t="s">
        <v>81</v>
      </c>
      <c r="D34" s="12"/>
    </row>
    <row r="35" spans="1:6" ht="16.149999999999999" customHeight="1" x14ac:dyDescent="0.3">
      <c r="A35" s="143" t="s">
        <v>126</v>
      </c>
      <c r="B35" s="14" t="s">
        <v>220</v>
      </c>
      <c r="D35" s="12"/>
    </row>
    <row r="36" spans="1:6" ht="16.149999999999999" customHeight="1" x14ac:dyDescent="0.3">
      <c r="A36" s="143" t="s">
        <v>127</v>
      </c>
      <c r="B36" s="14" t="s">
        <v>221</v>
      </c>
      <c r="D36" s="12"/>
    </row>
    <row r="37" spans="1:6" ht="16.149999999999999" customHeight="1" x14ac:dyDescent="0.3">
      <c r="A37" s="143" t="s">
        <v>128</v>
      </c>
      <c r="B37" s="14" t="s">
        <v>222</v>
      </c>
      <c r="D37" s="12"/>
    </row>
    <row r="38" spans="1:6" ht="16.149999999999999" customHeight="1" x14ac:dyDescent="0.3">
      <c r="A38" s="143" t="s">
        <v>138</v>
      </c>
      <c r="B38" s="14" t="s">
        <v>223</v>
      </c>
      <c r="D38" s="12"/>
    </row>
    <row r="39" spans="1:6" ht="16.149999999999999" customHeight="1" x14ac:dyDescent="0.3">
      <c r="D39" s="12"/>
    </row>
    <row r="40" spans="1:6" ht="16.149999999999999" customHeight="1" x14ac:dyDescent="0.3">
      <c r="B40" s="15" t="s">
        <v>224</v>
      </c>
      <c r="D40" s="12"/>
    </row>
    <row r="41" spans="1:6" ht="16.149999999999999" customHeight="1" x14ac:dyDescent="0.3">
      <c r="B41" s="2" t="s">
        <v>26</v>
      </c>
      <c r="C41" s="3"/>
    </row>
    <row r="42" spans="1:6" ht="16.149999999999999" customHeight="1" x14ac:dyDescent="0.3">
      <c r="B42" s="14" t="s">
        <v>31</v>
      </c>
      <c r="C42" s="16">
        <v>30</v>
      </c>
      <c r="E42" s="12"/>
      <c r="F42" s="12"/>
    </row>
    <row r="43" spans="1:6" ht="16.149999999999999" customHeight="1" x14ac:dyDescent="0.3">
      <c r="B43" s="14" t="s">
        <v>29</v>
      </c>
      <c r="C43" s="16">
        <v>25</v>
      </c>
      <c r="E43" s="12"/>
      <c r="F43" s="12"/>
    </row>
    <row r="44" spans="1:6" ht="16.149999999999999" customHeight="1" x14ac:dyDescent="0.3">
      <c r="B44" s="14" t="s">
        <v>30</v>
      </c>
      <c r="C44" s="16">
        <v>20</v>
      </c>
      <c r="E44" s="12"/>
      <c r="F44" s="12"/>
    </row>
    <row r="45" spans="1:6" ht="16.149999999999999" customHeight="1" x14ac:dyDescent="0.3">
      <c r="B45" s="14" t="s">
        <v>212</v>
      </c>
      <c r="C45" s="5"/>
      <c r="E45" s="12"/>
      <c r="F45" s="12"/>
    </row>
    <row r="46" spans="1:6" ht="16.149999999999999" customHeight="1" x14ac:dyDescent="0.3">
      <c r="B46" s="14" t="s">
        <v>213</v>
      </c>
      <c r="C46" s="17">
        <v>0.2</v>
      </c>
      <c r="E46" s="12"/>
      <c r="F46" s="12"/>
    </row>
    <row r="47" spans="1:6" ht="16.149999999999999" customHeight="1" x14ac:dyDescent="0.3">
      <c r="B47" s="14" t="s">
        <v>188</v>
      </c>
      <c r="C47" s="16">
        <v>1</v>
      </c>
      <c r="E47" s="12"/>
      <c r="F47" s="12"/>
    </row>
    <row r="48" spans="1:6" ht="16.149999999999999" customHeight="1" x14ac:dyDescent="0.3">
      <c r="B48" s="14" t="s">
        <v>189</v>
      </c>
      <c r="C48" s="16">
        <v>1</v>
      </c>
      <c r="E48" s="12"/>
      <c r="F48" s="12"/>
    </row>
    <row r="49" spans="1:7" ht="16.149999999999999" customHeight="1" x14ac:dyDescent="0.3">
      <c r="B49" s="14" t="s">
        <v>209</v>
      </c>
      <c r="C49" s="16" t="s">
        <v>210</v>
      </c>
      <c r="D49" s="18">
        <f>IF(C49="Current",1,0)</f>
        <v>0</v>
      </c>
      <c r="E49" s="12"/>
      <c r="F49" s="12"/>
    </row>
    <row r="50" spans="1:7" ht="16.149999999999999" customHeight="1" x14ac:dyDescent="0.3">
      <c r="B50" s="2" t="s">
        <v>108</v>
      </c>
      <c r="C50" s="19"/>
      <c r="D50" s="20"/>
    </row>
    <row r="51" spans="1:7" ht="16.149999999999999" customHeight="1" x14ac:dyDescent="0.3">
      <c r="B51" s="6" t="s">
        <v>190</v>
      </c>
      <c r="C51" s="19"/>
      <c r="D51" s="5"/>
      <c r="E51" s="21"/>
      <c r="F51" s="21"/>
      <c r="G51" s="21"/>
    </row>
    <row r="52" spans="1:7" ht="16.149999999999999" customHeight="1" x14ac:dyDescent="0.3">
      <c r="A52" s="143" t="s">
        <v>186</v>
      </c>
      <c r="B52" s="22" t="s">
        <v>191</v>
      </c>
      <c r="C52" s="23">
        <v>0.15</v>
      </c>
      <c r="D52" s="5"/>
    </row>
    <row r="53" spans="1:7" ht="16.149999999999999" customHeight="1" x14ac:dyDescent="0.3">
      <c r="A53" s="143" t="s">
        <v>187</v>
      </c>
      <c r="B53" s="22" t="s">
        <v>200</v>
      </c>
      <c r="C53" s="23">
        <v>0</v>
      </c>
      <c r="D53" s="5"/>
    </row>
    <row r="54" spans="1:7" ht="16.149999999999999" customHeight="1" x14ac:dyDescent="0.3">
      <c r="A54" s="143" t="s">
        <v>198</v>
      </c>
      <c r="B54" s="22" t="s">
        <v>192</v>
      </c>
      <c r="C54" s="23">
        <v>0</v>
      </c>
      <c r="D54" s="5"/>
    </row>
    <row r="55" spans="1:7" ht="16.149999999999999" customHeight="1" x14ac:dyDescent="0.3">
      <c r="A55" s="143" t="s">
        <v>201</v>
      </c>
      <c r="B55" s="22" t="s">
        <v>193</v>
      </c>
      <c r="C55" s="23">
        <v>0</v>
      </c>
      <c r="D55" s="5"/>
    </row>
    <row r="56" spans="1:7" ht="16.149999999999999" customHeight="1" x14ac:dyDescent="0.3">
      <c r="B56" s="14" t="s">
        <v>188</v>
      </c>
      <c r="C56" s="16">
        <v>2</v>
      </c>
    </row>
    <row r="57" spans="1:7" ht="16.149999999999999" customHeight="1" x14ac:dyDescent="0.3">
      <c r="B57" s="14" t="s">
        <v>189</v>
      </c>
      <c r="C57" s="16">
        <v>1</v>
      </c>
    </row>
    <row r="58" spans="1:7" ht="16.149999999999999" customHeight="1" x14ac:dyDescent="0.3">
      <c r="B58" s="14" t="s">
        <v>209</v>
      </c>
      <c r="C58" s="16" t="s">
        <v>210</v>
      </c>
      <c r="D58" s="18">
        <f>IF(C58="Current",1,0)</f>
        <v>0</v>
      </c>
    </row>
    <row r="59" spans="1:7" ht="16.149999999999999" customHeight="1" x14ac:dyDescent="0.3">
      <c r="B59" s="2" t="s">
        <v>206</v>
      </c>
      <c r="C59" s="5"/>
      <c r="D59" s="5"/>
      <c r="E59" s="5"/>
      <c r="F59" s="5"/>
      <c r="G59" s="5"/>
    </row>
    <row r="60" spans="1:7" ht="16.149999999999999" customHeight="1" x14ac:dyDescent="0.3">
      <c r="B60" s="14" t="s">
        <v>32</v>
      </c>
      <c r="C60" s="17">
        <v>0.28000000000000003</v>
      </c>
    </row>
    <row r="61" spans="1:7" ht="16.149999999999999" customHeight="1" x14ac:dyDescent="0.3">
      <c r="B61" s="14" t="s">
        <v>214</v>
      </c>
      <c r="C61" s="16">
        <v>0</v>
      </c>
    </row>
    <row r="62" spans="1:7" ht="16.149999999999999" customHeight="1" x14ac:dyDescent="0.3">
      <c r="B62" s="14" t="s">
        <v>188</v>
      </c>
      <c r="C62" s="16">
        <v>6</v>
      </c>
    </row>
    <row r="63" spans="1:7" ht="16.149999999999999" customHeight="1" x14ac:dyDescent="0.3">
      <c r="B63" s="14" t="s">
        <v>189</v>
      </c>
      <c r="C63" s="16">
        <v>2</v>
      </c>
    </row>
    <row r="64" spans="1:7" ht="16.149999999999999" customHeight="1" x14ac:dyDescent="0.3">
      <c r="B64" s="14" t="s">
        <v>209</v>
      </c>
      <c r="C64" s="16" t="s">
        <v>208</v>
      </c>
      <c r="D64" s="18">
        <f>IF(C64="Subsequent",0,1)</f>
        <v>1</v>
      </c>
    </row>
    <row r="65" spans="1:6" ht="16.149999999999999" customHeight="1" x14ac:dyDescent="0.3">
      <c r="B65" s="6" t="s">
        <v>225</v>
      </c>
      <c r="C65" s="5"/>
      <c r="D65" s="18"/>
      <c r="E65" s="12"/>
      <c r="F65" s="12"/>
    </row>
    <row r="66" spans="1:6" ht="16.149999999999999" customHeight="1" x14ac:dyDescent="0.3">
      <c r="B66" s="2" t="s">
        <v>50</v>
      </c>
      <c r="C66" s="24" t="s">
        <v>133</v>
      </c>
      <c r="D66" s="24" t="s">
        <v>155</v>
      </c>
      <c r="E66" s="24" t="s">
        <v>156</v>
      </c>
      <c r="F66" s="24" t="s">
        <v>157</v>
      </c>
    </row>
    <row r="67" spans="1:6" ht="16.149999999999999" customHeight="1" x14ac:dyDescent="0.3">
      <c r="B67" s="25" t="s">
        <v>33</v>
      </c>
      <c r="C67" s="26">
        <v>0.10249999999999999</v>
      </c>
      <c r="D67" s="26">
        <v>9.2499999999999999E-2</v>
      </c>
      <c r="E67" s="26">
        <v>0.125</v>
      </c>
      <c r="F67" s="26">
        <v>0.115</v>
      </c>
    </row>
    <row r="68" spans="1:6" ht="16.149999999999999" customHeight="1" x14ac:dyDescent="0.3">
      <c r="B68" s="25" t="s">
        <v>60</v>
      </c>
      <c r="C68" s="27">
        <v>10</v>
      </c>
      <c r="D68" s="27">
        <v>8</v>
      </c>
      <c r="E68" s="27">
        <v>5</v>
      </c>
      <c r="F68" s="27">
        <v>4</v>
      </c>
    </row>
    <row r="69" spans="1:6" ht="16.149999999999999" customHeight="1" x14ac:dyDescent="0.3">
      <c r="B69" s="25" t="s">
        <v>39</v>
      </c>
      <c r="C69" s="28" t="s">
        <v>40</v>
      </c>
      <c r="D69" s="28" t="s">
        <v>40</v>
      </c>
      <c r="E69" s="28" t="s">
        <v>40</v>
      </c>
      <c r="F69" s="28" t="s">
        <v>40</v>
      </c>
    </row>
    <row r="70" spans="1:6" ht="16.149999999999999" customHeight="1" x14ac:dyDescent="0.3">
      <c r="B70" s="29" t="s">
        <v>226</v>
      </c>
      <c r="C70" s="5"/>
      <c r="D70" s="18"/>
      <c r="E70" s="12"/>
      <c r="F70" s="12"/>
    </row>
    <row r="71" spans="1:6" ht="16.149999999999999" customHeight="1" x14ac:dyDescent="0.3">
      <c r="B71" s="2" t="s">
        <v>227</v>
      </c>
      <c r="D71" s="12"/>
      <c r="E71" s="12"/>
      <c r="F71" s="12"/>
    </row>
    <row r="72" spans="1:6" ht="16.149999999999999" customHeight="1" x14ac:dyDescent="0.3">
      <c r="A72" s="143" t="s">
        <v>110</v>
      </c>
      <c r="B72" s="14" t="s">
        <v>51</v>
      </c>
      <c r="C72" s="30">
        <v>1050000</v>
      </c>
      <c r="D72" s="31" t="str">
        <f>IF(ROUND(SUM(C71:C95),0)&lt;&gt;0,"The total of all the start-up balances should be nil!","")</f>
        <v/>
      </c>
      <c r="E72" s="12"/>
      <c r="F72" s="12"/>
    </row>
    <row r="73" spans="1:6" ht="16.149999999999999" customHeight="1" x14ac:dyDescent="0.3">
      <c r="A73" s="143" t="s">
        <v>114</v>
      </c>
      <c r="B73" s="14" t="s">
        <v>95</v>
      </c>
      <c r="C73" s="30">
        <v>120000</v>
      </c>
      <c r="D73" s="12"/>
      <c r="E73" s="12"/>
      <c r="F73" s="12"/>
    </row>
    <row r="74" spans="1:6" ht="16.149999999999999" customHeight="1" x14ac:dyDescent="0.3">
      <c r="A74" s="143" t="s">
        <v>115</v>
      </c>
      <c r="B74" s="14" t="s">
        <v>92</v>
      </c>
      <c r="C74" s="30">
        <v>800000</v>
      </c>
      <c r="D74" s="12"/>
      <c r="E74" s="12"/>
      <c r="F74" s="12"/>
    </row>
    <row r="75" spans="1:6" ht="16.149999999999999" customHeight="1" x14ac:dyDescent="0.3">
      <c r="A75" s="143" t="s">
        <v>118</v>
      </c>
      <c r="B75" s="14" t="s">
        <v>93</v>
      </c>
      <c r="C75" s="30">
        <v>55000</v>
      </c>
      <c r="D75" s="12"/>
      <c r="E75" s="12"/>
      <c r="F75" s="12"/>
    </row>
    <row r="76" spans="1:6" ht="16.149999999999999" customHeight="1" x14ac:dyDescent="0.3">
      <c r="A76" s="143" t="s">
        <v>120</v>
      </c>
      <c r="B76" s="14" t="s">
        <v>25</v>
      </c>
      <c r="C76" s="30">
        <v>170000</v>
      </c>
      <c r="D76" s="12"/>
      <c r="E76" s="12"/>
      <c r="F76" s="12"/>
    </row>
    <row r="77" spans="1:6" ht="16.149999999999999" customHeight="1" x14ac:dyDescent="0.3">
      <c r="A77" s="143" t="s">
        <v>121</v>
      </c>
      <c r="B77" s="14" t="s">
        <v>96</v>
      </c>
      <c r="C77" s="30">
        <v>370000</v>
      </c>
      <c r="D77" s="12"/>
      <c r="E77" s="12"/>
      <c r="F77" s="12"/>
    </row>
    <row r="78" spans="1:6" ht="16.149999999999999" customHeight="1" x14ac:dyDescent="0.3">
      <c r="A78" s="143" t="s">
        <v>122</v>
      </c>
      <c r="B78" s="14" t="s">
        <v>97</v>
      </c>
      <c r="C78" s="30">
        <v>53000</v>
      </c>
      <c r="D78" s="12"/>
      <c r="E78" s="12"/>
      <c r="F78" s="12"/>
    </row>
    <row r="79" spans="1:6" ht="16.149999999999999" customHeight="1" x14ac:dyDescent="0.3">
      <c r="A79" s="143" t="s">
        <v>123</v>
      </c>
      <c r="B79" s="14" t="s">
        <v>98</v>
      </c>
      <c r="C79" s="30">
        <v>171000</v>
      </c>
      <c r="D79" s="12"/>
      <c r="E79" s="12"/>
      <c r="F79" s="12"/>
    </row>
    <row r="80" spans="1:6" ht="16.149999999999999" customHeight="1" x14ac:dyDescent="0.3">
      <c r="A80" s="143" t="s">
        <v>124</v>
      </c>
      <c r="B80" s="25" t="s">
        <v>0</v>
      </c>
      <c r="C80" s="30">
        <v>-1000</v>
      </c>
      <c r="D80" s="12"/>
      <c r="E80" s="12"/>
      <c r="F80" s="12"/>
    </row>
    <row r="81" spans="1:9" ht="16.149999999999999" customHeight="1" x14ac:dyDescent="0.3">
      <c r="A81" s="143" t="s">
        <v>116</v>
      </c>
      <c r="B81" s="25" t="s">
        <v>101</v>
      </c>
      <c r="C81" s="30">
        <v>0</v>
      </c>
      <c r="D81" s="12"/>
      <c r="E81" s="12"/>
      <c r="F81" s="12"/>
    </row>
    <row r="82" spans="1:9" ht="16.149999999999999" customHeight="1" x14ac:dyDescent="0.3">
      <c r="A82" s="143" t="s">
        <v>125</v>
      </c>
      <c r="B82" s="25" t="s">
        <v>35</v>
      </c>
      <c r="C82" s="30">
        <v>-400000</v>
      </c>
      <c r="D82" s="12"/>
      <c r="E82" s="12"/>
      <c r="F82" s="12"/>
    </row>
    <row r="83" spans="1:9" ht="16.149999999999999" customHeight="1" x14ac:dyDescent="0.3">
      <c r="A83" s="143" t="s">
        <v>126</v>
      </c>
      <c r="B83" s="14" t="s">
        <v>111</v>
      </c>
      <c r="C83" s="30">
        <v>-1200000</v>
      </c>
      <c r="D83" s="31" t="str">
        <f>IF($C83&gt;0,"Long term loans balances should be entered as negative values!","")</f>
        <v/>
      </c>
      <c r="E83" s="12"/>
      <c r="F83" s="12"/>
    </row>
    <row r="84" spans="1:9" ht="16.149999999999999" customHeight="1" x14ac:dyDescent="0.3">
      <c r="A84" s="143" t="s">
        <v>127</v>
      </c>
      <c r="B84" s="14" t="s">
        <v>112</v>
      </c>
      <c r="C84" s="30">
        <v>-500000</v>
      </c>
      <c r="D84" s="31" t="str">
        <f t="shared" ref="D84:D85" si="0">IF($C84&gt;0,"Long term loans balances should be entered as negative values!","")</f>
        <v/>
      </c>
      <c r="E84" s="12"/>
      <c r="F84" s="12"/>
    </row>
    <row r="85" spans="1:9" ht="16.149999999999999" customHeight="1" x14ac:dyDescent="0.3">
      <c r="A85" s="143" t="s">
        <v>128</v>
      </c>
      <c r="B85" s="14" t="s">
        <v>113</v>
      </c>
      <c r="C85" s="30">
        <v>0</v>
      </c>
      <c r="D85" s="31" t="str">
        <f t="shared" si="0"/>
        <v/>
      </c>
      <c r="E85" s="12"/>
      <c r="F85" s="12"/>
    </row>
    <row r="86" spans="1:9" ht="16.149999999999999" customHeight="1" x14ac:dyDescent="0.3">
      <c r="A86" s="143" t="s">
        <v>138</v>
      </c>
      <c r="B86" s="14" t="s">
        <v>103</v>
      </c>
      <c r="C86" s="30">
        <v>-425000</v>
      </c>
      <c r="D86" s="31" t="str">
        <f>IF($C86&gt;0,"Finance lease balances should be entered as negative values!","")</f>
        <v/>
      </c>
      <c r="E86" s="12"/>
      <c r="F86" s="12"/>
    </row>
    <row r="87" spans="1:9" ht="16.149999999999999" customHeight="1" x14ac:dyDescent="0.3">
      <c r="A87" s="143" t="s">
        <v>129</v>
      </c>
      <c r="B87" s="14" t="s">
        <v>104</v>
      </c>
      <c r="C87" s="30">
        <v>0</v>
      </c>
      <c r="D87" s="12"/>
      <c r="E87" s="12"/>
      <c r="F87" s="12"/>
    </row>
    <row r="88" spans="1:9" ht="16.149999999999999" customHeight="1" x14ac:dyDescent="0.3">
      <c r="A88" s="143" t="s">
        <v>182</v>
      </c>
      <c r="B88" s="14" t="s">
        <v>105</v>
      </c>
      <c r="C88" s="30">
        <v>-130000</v>
      </c>
      <c r="D88" s="12"/>
      <c r="E88" s="12"/>
      <c r="F88" s="12"/>
    </row>
    <row r="89" spans="1:9" ht="16.149999999999999" customHeight="1" x14ac:dyDescent="0.3">
      <c r="A89" s="143" t="s">
        <v>131</v>
      </c>
      <c r="B89" s="14" t="s">
        <v>108</v>
      </c>
      <c r="C89" s="30">
        <v>-16000</v>
      </c>
      <c r="D89" s="12"/>
      <c r="E89" s="12"/>
      <c r="F89" s="12"/>
    </row>
    <row r="90" spans="1:9" ht="16.149999999999999" customHeight="1" x14ac:dyDescent="0.3">
      <c r="A90" s="143" t="s">
        <v>130</v>
      </c>
      <c r="B90" s="14" t="s">
        <v>180</v>
      </c>
      <c r="C90" s="30">
        <v>-20000</v>
      </c>
      <c r="D90" s="12"/>
      <c r="E90" s="12"/>
      <c r="F90" s="12"/>
    </row>
    <row r="91" spans="1:9" ht="16.149999999999999" customHeight="1" x14ac:dyDescent="0.3">
      <c r="A91" s="143" t="s">
        <v>117</v>
      </c>
      <c r="B91" s="14" t="s">
        <v>106</v>
      </c>
      <c r="C91" s="30">
        <v>-55000</v>
      </c>
      <c r="D91" s="12"/>
      <c r="E91" s="12"/>
      <c r="F91" s="12"/>
    </row>
    <row r="92" spans="1:9" ht="16.149999999999999" customHeight="1" x14ac:dyDescent="0.3">
      <c r="A92" s="143" t="s">
        <v>119</v>
      </c>
      <c r="B92" s="14" t="s">
        <v>109</v>
      </c>
      <c r="C92" s="30">
        <v>0</v>
      </c>
      <c r="D92" s="12"/>
      <c r="E92" s="12"/>
      <c r="F92" s="12"/>
    </row>
    <row r="93" spans="1:9" ht="16.149999999999999" customHeight="1" x14ac:dyDescent="0.3">
      <c r="A93" s="143" t="s">
        <v>253</v>
      </c>
      <c r="B93" s="14" t="s">
        <v>256</v>
      </c>
      <c r="C93" s="30">
        <v>0</v>
      </c>
      <c r="D93" s="12"/>
      <c r="E93" s="12"/>
      <c r="F93" s="12"/>
    </row>
    <row r="94" spans="1:9" ht="16.149999999999999" customHeight="1" x14ac:dyDescent="0.3">
      <c r="A94" s="143" t="s">
        <v>132</v>
      </c>
      <c r="B94" s="14" t="s">
        <v>107</v>
      </c>
      <c r="C94" s="30">
        <v>-42000</v>
      </c>
      <c r="D94" s="12"/>
      <c r="E94" s="12"/>
      <c r="F94" s="12"/>
    </row>
    <row r="95" spans="1:9" s="10" customFormat="1" ht="16.149999999999999" customHeight="1" x14ac:dyDescent="0.25">
      <c r="A95" s="144"/>
      <c r="B95" s="2" t="s">
        <v>251</v>
      </c>
      <c r="C95" s="5"/>
      <c r="D95" s="5"/>
      <c r="E95" s="5"/>
      <c r="F95" s="5"/>
      <c r="G95" s="5"/>
      <c r="H95" s="9"/>
      <c r="I95" s="9"/>
    </row>
    <row r="96" spans="1:9" ht="16.149999999999999" customHeight="1" x14ac:dyDescent="0.3">
      <c r="B96" s="14" t="s">
        <v>254</v>
      </c>
      <c r="C96" s="17">
        <v>0</v>
      </c>
    </row>
    <row r="97" spans="1:9" ht="16.149999999999999" customHeight="1" x14ac:dyDescent="0.3">
      <c r="B97" s="14" t="s">
        <v>188</v>
      </c>
      <c r="C97" s="16">
        <v>12</v>
      </c>
    </row>
    <row r="98" spans="1:9" ht="16.149999999999999" customHeight="1" x14ac:dyDescent="0.3">
      <c r="B98" s="14" t="s">
        <v>189</v>
      </c>
      <c r="C98" s="16">
        <v>3</v>
      </c>
      <c r="D98" s="18">
        <f>IF(C97=0,1,C98-((ROUNDUP(C98/C97,0))-1)*C97)</f>
        <v>3</v>
      </c>
    </row>
    <row r="99" spans="1:9" ht="16.149999999999999" customHeight="1" x14ac:dyDescent="0.3">
      <c r="B99" s="14" t="s">
        <v>268</v>
      </c>
      <c r="C99" s="16" t="s">
        <v>257</v>
      </c>
      <c r="D99" s="18">
        <f>IF(C99="Next",1,IF(C99="Subsequent",IF(C97=0,1,IF(D98-((MONTH($C$5)-1)-((ROUNDUP((MONTH($C$5)-1)/C97,0))-1)*C97)&lt;0,D98+C97-((MONTH($C$5)-1)-((ROUNDUP((MONTH($C$5)-1)/C97,0))-1)*C97),D98-((MONTH($C$5)-1)-((ROUNDUP((MONTH($C$5)-1)/C97,0))-1)*C97))),0))</f>
        <v>1</v>
      </c>
    </row>
    <row r="100" spans="1:9" ht="16.149999999999999" customHeight="1" x14ac:dyDescent="0.3">
      <c r="B100" s="5"/>
      <c r="C100" s="5"/>
      <c r="D100" s="5"/>
      <c r="E100" s="5"/>
      <c r="F100" s="5"/>
      <c r="G100" s="5"/>
    </row>
    <row r="101" spans="1:9" ht="16.149999999999999" customHeight="1" x14ac:dyDescent="0.3">
      <c r="B101" s="5"/>
      <c r="C101" s="5"/>
      <c r="D101" s="32"/>
      <c r="E101" s="33"/>
      <c r="F101" s="5"/>
      <c r="G101" s="5"/>
    </row>
    <row r="102" spans="1:9" ht="16.149999999999999" customHeight="1" x14ac:dyDescent="0.3">
      <c r="B102" s="5"/>
      <c r="C102" s="5"/>
      <c r="D102" s="5"/>
      <c r="E102" s="5"/>
      <c r="F102" s="5"/>
      <c r="G102" s="5"/>
    </row>
    <row r="103" spans="1:9" ht="16.149999999999999" customHeight="1" x14ac:dyDescent="0.3">
      <c r="B103" s="5"/>
      <c r="C103" s="5"/>
      <c r="D103" s="5"/>
      <c r="E103" s="5"/>
      <c r="F103" s="5"/>
      <c r="G103" s="5"/>
    </row>
    <row r="104" spans="1:9" ht="16.149999999999999" customHeight="1" x14ac:dyDescent="0.3">
      <c r="B104" s="5"/>
      <c r="C104" s="5"/>
      <c r="D104" s="5"/>
      <c r="E104" s="5"/>
      <c r="F104" s="5"/>
      <c r="G104" s="5"/>
    </row>
    <row r="105" spans="1:9" s="15" customFormat="1" ht="16.149999999999999" customHeight="1" x14ac:dyDescent="0.25">
      <c r="A105" s="146"/>
      <c r="H105" s="21"/>
      <c r="I105" s="21"/>
    </row>
    <row r="106" spans="1:9" ht="16.149999999999999" customHeight="1" x14ac:dyDescent="0.3">
      <c r="A106" s="147"/>
      <c r="B106" s="5"/>
      <c r="C106" s="5"/>
      <c r="D106" s="5"/>
      <c r="E106" s="5"/>
      <c r="F106" s="5"/>
      <c r="G106" s="5"/>
    </row>
    <row r="107" spans="1:9" ht="16.149999999999999" customHeight="1" x14ac:dyDescent="0.3">
      <c r="A107" s="147"/>
      <c r="B107" s="5"/>
      <c r="C107" s="5"/>
      <c r="D107" s="5"/>
      <c r="E107" s="5"/>
      <c r="F107" s="5"/>
      <c r="G107" s="5"/>
    </row>
    <row r="108" spans="1:9" ht="16.149999999999999" customHeight="1" x14ac:dyDescent="0.3">
      <c r="A108" s="147"/>
      <c r="B108" s="5"/>
      <c r="C108" s="5"/>
      <c r="D108" s="5"/>
      <c r="E108" s="5"/>
      <c r="F108" s="5"/>
      <c r="G108" s="5"/>
    </row>
    <row r="109" spans="1:9" ht="16.149999999999999" customHeight="1" x14ac:dyDescent="0.3">
      <c r="A109" s="147"/>
      <c r="B109" s="5"/>
      <c r="C109" s="5"/>
      <c r="D109" s="5"/>
      <c r="E109" s="5"/>
      <c r="F109" s="5"/>
      <c r="G109" s="5"/>
    </row>
    <row r="110" spans="1:9" ht="16.149999999999999" customHeight="1" x14ac:dyDescent="0.3">
      <c r="B110" s="5"/>
      <c r="C110" s="5"/>
      <c r="D110" s="5"/>
      <c r="E110" s="5"/>
      <c r="F110" s="5"/>
      <c r="G110" s="5"/>
    </row>
    <row r="111" spans="1:9" ht="16.149999999999999" customHeight="1" x14ac:dyDescent="0.3">
      <c r="B111" s="5"/>
      <c r="C111" s="5"/>
      <c r="D111" s="5"/>
      <c r="E111" s="5"/>
      <c r="F111" s="5"/>
      <c r="G111" s="5"/>
    </row>
    <row r="112" spans="1:9" ht="16.149999999999999" customHeight="1" x14ac:dyDescent="0.3">
      <c r="B112" s="5"/>
      <c r="C112" s="5"/>
      <c r="D112" s="5"/>
      <c r="E112" s="5"/>
      <c r="F112" s="5"/>
      <c r="G112" s="5"/>
    </row>
  </sheetData>
  <mergeCells count="1">
    <mergeCell ref="C4:E4"/>
  </mergeCells>
  <phoneticPr fontId="3" type="noConversion"/>
  <conditionalFormatting sqref="C83:C86">
    <cfRule type="cellIs" dxfId="1" priority="2" stopIfTrue="1" operator="greaterThan">
      <formula>0</formula>
    </cfRule>
  </conditionalFormatting>
  <conditionalFormatting sqref="C72:C94">
    <cfRule type="expression" dxfId="0" priority="6" stopIfTrue="1">
      <formula>ROUND(SUM($C$71:$C$95),0)&lt;&gt;0</formula>
    </cfRule>
  </conditionalFormatting>
  <dataValidations count="12">
    <dataValidation type="list" allowBlank="1" showInputMessage="1" showErrorMessage="1" errorTitle="Invalid Data" error="Select a valid item from the list box." sqref="C69:F69" xr:uid="{00000000-0002-0000-0400-000000000000}">
      <formula1>"Yes,No"</formula1>
    </dataValidation>
    <dataValidation type="decimal" allowBlank="1" showInputMessage="1" showErrorMessage="1" errorTitle="Invalid Repayment Term" error="The repayment term must be between 0 and 30 years." sqref="C68:F68" xr:uid="{00000000-0002-0000-0400-000001000000}">
      <formula1>0</formula1>
      <formula2>30</formula2>
    </dataValidation>
    <dataValidation operator="lessThan" allowBlank="1" showInputMessage="1" showErrorMessage="1" errorTitle="Invalid Input" error="The estimated Creditors balances should be entered as a negative value." sqref="C44 E60:F70 E44:F58 E96:F99" xr:uid="{00000000-0002-0000-0400-000002000000}"/>
    <dataValidation type="decimal" allowBlank="1" showInputMessage="1" showErrorMessage="1" errorTitle="Invalid Input" error="Please enter the value as a percentage - should therefore be a value between 0 and 1." sqref="D11:F13" xr:uid="{00000000-0002-0000-0400-000003000000}">
      <formula1>0</formula1>
      <formula2>1</formula2>
    </dataValidation>
    <dataValidation type="date" operator="greaterThan" allowBlank="1" showInputMessage="1" showErrorMessage="1" errorTitle="Invalid Date" error="The start date should be entered in accordance with the regional date settings that are specified in the System Control Panel." sqref="C5" xr:uid="{00000000-0002-0000-0400-000004000000}">
      <formula1>36526</formula1>
    </dataValidation>
    <dataValidation type="decimal" allowBlank="1" showInputMessage="1" showErrorMessage="1" errorTitle="Invalid Data" error="Enter an interest rate percentage that is between 0% and 100%." sqref="C67:F67" xr:uid="{00000000-0002-0000-0400-000005000000}">
      <formula1>0</formula1>
      <formula2>1</formula2>
    </dataValidation>
    <dataValidation type="decimal" allowBlank="1" showInputMessage="1" showErrorMessage="1" errorTitle="Invalid Data" error="Enter an income tax percentage that is between 0% and 100%." sqref="C46 C60 C96" xr:uid="{00000000-0002-0000-0400-000006000000}">
      <formula1>0</formula1>
      <formula2>1</formula2>
    </dataValidation>
    <dataValidation type="decimal" allowBlank="1" showInputMessage="1" showErrorMessage="1" errorTitle="Invalid Data" error="Enter a percentage that is between 0% and 100%." sqref="C52:C55" xr:uid="{00000000-0002-0000-0400-000007000000}">
      <formula1>0</formula1>
      <formula2>1</formula2>
    </dataValidation>
    <dataValidation type="whole" allowBlank="1" showInputMessage="1" showErrorMessage="1" errorTitle="Invalid Data" error="Enter a valid integer value between 1 and 12." sqref="C56:C57 C62:C63 C47:C48 C97:C98" xr:uid="{00000000-0002-0000-0400-000008000000}">
      <formula1>1</formula1>
      <formula2>12</formula2>
    </dataValidation>
    <dataValidation type="list" allowBlank="1" showInputMessage="1" showErrorMessage="1" errorTitle="Invalid Data" error="Select a valid item from the list box." sqref="C64 C58 C49" xr:uid="{00000000-0002-0000-0400-000009000000}">
      <formula1>"Current,Subsequent"</formula1>
    </dataValidation>
    <dataValidation type="decimal" operator="greaterThanOrEqual" allowBlank="1" showInputMessage="1" showErrorMessage="1" errorTitle="Invalid Data" error="The assessed loss needs to be entered as a positive value." sqref="C61" xr:uid="{00000000-0002-0000-0400-00000A000000}">
      <formula1>0</formula1>
    </dataValidation>
    <dataValidation type="list" allowBlank="1" showInputMessage="1" showErrorMessage="1" errorTitle="Invalid Data" error="Select a valid item from the list box." sqref="C99" xr:uid="{00000000-0002-0000-0400-00000B000000}">
      <formula1>"Cash,Next,Subsequent"</formula1>
    </dataValidation>
  </dataValidations>
  <pageMargins left="0.59055118110236227" right="0.59055118110236227" top="0.59055118110236227" bottom="0.59055118110236227" header="0.39370078740157483" footer="0.39370078740157483"/>
  <pageSetup paperSize="9" scale="75" fitToHeight="0" orientation="portrait"/>
  <headerFooter alignWithMargins="0">
    <oddFooter>&amp;C&amp;9Page &amp;P of &amp;N</oddFooter>
  </headerFooter>
  <rowBreaks count="1" manualBreakCount="1">
    <brk id="65" min="1" max="7" man="1"/>
  </rowBreaks>
  <ignoredErrors>
    <ignoredError sqref="D72"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O91"/>
  <sheetViews>
    <sheetView zoomScale="95" zoomScaleNormal="95" workbookViewId="0">
      <pane xSplit="2" ySplit="4" topLeftCell="C5" activePane="bottomRight" state="frozen"/>
      <selection pane="topRight" activeCell="B1" sqref="B1"/>
      <selection pane="bottomLeft" activeCell="A7" sqref="A7"/>
      <selection pane="bottomRight" activeCell="B4" sqref="B4"/>
    </sheetView>
  </sheetViews>
  <sheetFormatPr defaultColWidth="9.140625" defaultRowHeight="16.149999999999999" customHeight="1" x14ac:dyDescent="0.3"/>
  <cols>
    <col min="1" max="1" width="5.7109375" style="143" customWidth="1"/>
    <col min="2" max="2" width="44.7109375" style="14" customWidth="1"/>
    <col min="3" max="6" width="12.7109375" style="11" customWidth="1"/>
    <col min="7" max="14" width="12.7109375" style="5" customWidth="1"/>
    <col min="15" max="15" width="13.7109375" style="10" customWidth="1"/>
    <col min="16" max="27" width="12.7109375" style="5" customWidth="1"/>
    <col min="28" max="28" width="13.7109375" style="10" customWidth="1"/>
    <col min="29" max="40" width="12.7109375" style="5" customWidth="1"/>
    <col min="41" max="41" width="13.7109375" style="10" customWidth="1"/>
    <col min="42" max="16384" width="9.140625" style="5"/>
  </cols>
  <sheetData>
    <row r="1" spans="1:41" ht="16.149999999999999" customHeight="1" x14ac:dyDescent="0.3">
      <c r="B1" s="142" t="str">
        <f>IF(ISBLANK(Assumptions!$C$4),"Example Limited",Assumptions!$C$4)</f>
        <v>Example (Pty) Limited</v>
      </c>
    </row>
    <row r="2" spans="1:41" ht="16.149999999999999" customHeight="1" x14ac:dyDescent="0.3">
      <c r="B2" s="6" t="s">
        <v>64</v>
      </c>
    </row>
    <row r="3" spans="1:41" ht="16.149999999999999" customHeight="1" x14ac:dyDescent="0.3">
      <c r="B3" s="34" t="s">
        <v>59</v>
      </c>
      <c r="G3" s="11"/>
      <c r="H3" s="11"/>
      <c r="I3" s="11"/>
      <c r="J3" s="11"/>
      <c r="K3" s="11"/>
      <c r="L3" s="11"/>
      <c r="M3" s="11"/>
      <c r="N3" s="11"/>
      <c r="O3" s="3"/>
      <c r="P3" s="11"/>
      <c r="Q3" s="11"/>
      <c r="R3" s="11"/>
      <c r="S3" s="11"/>
      <c r="T3" s="11"/>
      <c r="U3" s="11"/>
      <c r="V3" s="11"/>
      <c r="W3" s="11"/>
      <c r="X3" s="11"/>
      <c r="Y3" s="11"/>
      <c r="Z3" s="11"/>
      <c r="AA3" s="11"/>
      <c r="AB3" s="3"/>
      <c r="AC3" s="11"/>
      <c r="AD3" s="11"/>
      <c r="AE3" s="11"/>
      <c r="AF3" s="11"/>
      <c r="AG3" s="11"/>
      <c r="AH3" s="11"/>
      <c r="AI3" s="11"/>
      <c r="AJ3" s="11"/>
      <c r="AK3" s="11"/>
      <c r="AL3" s="11"/>
      <c r="AM3" s="11"/>
      <c r="AN3" s="11"/>
      <c r="AO3" s="3"/>
    </row>
    <row r="4" spans="1:41" s="38" customFormat="1" ht="18" customHeight="1" x14ac:dyDescent="0.25">
      <c r="A4" s="148"/>
      <c r="B4" s="35"/>
      <c r="C4" s="36">
        <f ca="1">IF(ISBLANK(Assumptions!$C$5)=TRUE,DATE(YEAR(TODAY()),MONTH(TODAY())+1,0),DATE(YEAR(Assumptions!$C$5),MONTH(Assumptions!$C$5)+1,0))</f>
        <v>44286</v>
      </c>
      <c r="D4" s="36">
        <f t="shared" ref="D4:N4" ca="1" si="0">DATE(YEAR(C4),MONTH(C4)+2,0)</f>
        <v>44316</v>
      </c>
      <c r="E4" s="36">
        <f t="shared" ca="1" si="0"/>
        <v>44347</v>
      </c>
      <c r="F4" s="36">
        <f t="shared" ca="1" si="0"/>
        <v>44377</v>
      </c>
      <c r="G4" s="36">
        <f t="shared" ca="1" si="0"/>
        <v>44408</v>
      </c>
      <c r="H4" s="36">
        <f t="shared" ca="1" si="0"/>
        <v>44439</v>
      </c>
      <c r="I4" s="36">
        <f t="shared" ca="1" si="0"/>
        <v>44469</v>
      </c>
      <c r="J4" s="36">
        <f t="shared" ca="1" si="0"/>
        <v>44500</v>
      </c>
      <c r="K4" s="36">
        <f t="shared" ca="1" si="0"/>
        <v>44530</v>
      </c>
      <c r="L4" s="36">
        <f t="shared" ca="1" si="0"/>
        <v>44561</v>
      </c>
      <c r="M4" s="36">
        <f t="shared" ca="1" si="0"/>
        <v>44592</v>
      </c>
      <c r="N4" s="36">
        <f t="shared" ca="1" si="0"/>
        <v>44620</v>
      </c>
      <c r="O4" s="37" t="str">
        <f ca="1">"Year-"&amp;YEAR(N4)</f>
        <v>Year-2022</v>
      </c>
      <c r="P4" s="36">
        <f ca="1">DATE(YEAR(N4),MONTH(N4)+2,0)</f>
        <v>44651</v>
      </c>
      <c r="Q4" s="36">
        <f t="shared" ref="Q4:AA4" ca="1" si="1">DATE(YEAR(P4),MONTH(P4)+2,0)</f>
        <v>44681</v>
      </c>
      <c r="R4" s="36">
        <f t="shared" ca="1" si="1"/>
        <v>44712</v>
      </c>
      <c r="S4" s="36">
        <f t="shared" ca="1" si="1"/>
        <v>44742</v>
      </c>
      <c r="T4" s="36">
        <f t="shared" ca="1" si="1"/>
        <v>44773</v>
      </c>
      <c r="U4" s="36">
        <f t="shared" ca="1" si="1"/>
        <v>44804</v>
      </c>
      <c r="V4" s="36">
        <f t="shared" ca="1" si="1"/>
        <v>44834</v>
      </c>
      <c r="W4" s="36">
        <f t="shared" ca="1" si="1"/>
        <v>44865</v>
      </c>
      <c r="X4" s="36">
        <f t="shared" ca="1" si="1"/>
        <v>44895</v>
      </c>
      <c r="Y4" s="36">
        <f t="shared" ca="1" si="1"/>
        <v>44926</v>
      </c>
      <c r="Z4" s="36">
        <f t="shared" ca="1" si="1"/>
        <v>44957</v>
      </c>
      <c r="AA4" s="36">
        <f t="shared" ca="1" si="1"/>
        <v>44985</v>
      </c>
      <c r="AB4" s="37" t="str">
        <f ca="1">"Year-"&amp;YEAR(AA4)</f>
        <v>Year-2023</v>
      </c>
      <c r="AC4" s="36">
        <f ca="1">DATE(YEAR(AA4),MONTH(AA4)+2,0)</f>
        <v>45016</v>
      </c>
      <c r="AD4" s="36">
        <f t="shared" ref="AD4:AN4" ca="1" si="2">DATE(YEAR(AC4),MONTH(AC4)+2,0)</f>
        <v>45046</v>
      </c>
      <c r="AE4" s="36">
        <f t="shared" ca="1" si="2"/>
        <v>45077</v>
      </c>
      <c r="AF4" s="36">
        <f t="shared" ca="1" si="2"/>
        <v>45107</v>
      </c>
      <c r="AG4" s="36">
        <f t="shared" ca="1" si="2"/>
        <v>45138</v>
      </c>
      <c r="AH4" s="36">
        <f t="shared" ca="1" si="2"/>
        <v>45169</v>
      </c>
      <c r="AI4" s="36">
        <f t="shared" ca="1" si="2"/>
        <v>45199</v>
      </c>
      <c r="AJ4" s="36">
        <f t="shared" ca="1" si="2"/>
        <v>45230</v>
      </c>
      <c r="AK4" s="36">
        <f t="shared" ca="1" si="2"/>
        <v>45260</v>
      </c>
      <c r="AL4" s="36">
        <f t="shared" ca="1" si="2"/>
        <v>45291</v>
      </c>
      <c r="AM4" s="36">
        <f t="shared" ca="1" si="2"/>
        <v>45322</v>
      </c>
      <c r="AN4" s="36">
        <f t="shared" ca="1" si="2"/>
        <v>45351</v>
      </c>
      <c r="AO4" s="37" t="str">
        <f ca="1">"Year-"&amp;YEAR(AN4)</f>
        <v>Year-2024</v>
      </c>
    </row>
    <row r="5" spans="1:41" s="11" customFormat="1" ht="16.149999999999999" customHeight="1" x14ac:dyDescent="0.3">
      <c r="A5" s="149" t="s">
        <v>197</v>
      </c>
      <c r="B5" s="39" t="s">
        <v>167</v>
      </c>
      <c r="C5" s="40">
        <v>285600</v>
      </c>
      <c r="D5" s="41">
        <v>305200</v>
      </c>
      <c r="E5" s="41">
        <v>308000</v>
      </c>
      <c r="F5" s="41">
        <v>311200</v>
      </c>
      <c r="G5" s="41">
        <v>315800</v>
      </c>
      <c r="H5" s="41">
        <v>310000</v>
      </c>
      <c r="I5" s="41">
        <v>302000</v>
      </c>
      <c r="J5" s="41">
        <v>314000</v>
      </c>
      <c r="K5" s="41">
        <v>318200</v>
      </c>
      <c r="L5" s="41">
        <v>256500</v>
      </c>
      <c r="M5" s="41">
        <v>330600</v>
      </c>
      <c r="N5" s="41">
        <v>305200</v>
      </c>
      <c r="O5" s="42">
        <f t="shared" ref="O5:O9" si="3">SUM(C5:N5)</f>
        <v>3662300</v>
      </c>
      <c r="P5" s="41">
        <v>325200</v>
      </c>
      <c r="Q5" s="41">
        <v>318000</v>
      </c>
      <c r="R5" s="41">
        <v>310200</v>
      </c>
      <c r="S5" s="41">
        <v>330600</v>
      </c>
      <c r="T5" s="41">
        <v>345200</v>
      </c>
      <c r="U5" s="41">
        <v>325100</v>
      </c>
      <c r="V5" s="41">
        <v>305200</v>
      </c>
      <c r="W5" s="41">
        <v>324100</v>
      </c>
      <c r="X5" s="41">
        <v>345600</v>
      </c>
      <c r="Y5" s="41">
        <v>260600</v>
      </c>
      <c r="Z5" s="41">
        <v>350400</v>
      </c>
      <c r="AA5" s="41">
        <v>336000</v>
      </c>
      <c r="AB5" s="42">
        <f t="shared" ref="AB5:AB9" si="4">SUM(P5:AA5)</f>
        <v>3876200</v>
      </c>
      <c r="AC5" s="41">
        <v>342600</v>
      </c>
      <c r="AD5" s="41">
        <v>360500</v>
      </c>
      <c r="AE5" s="41">
        <v>356400</v>
      </c>
      <c r="AF5" s="41">
        <v>370000</v>
      </c>
      <c r="AG5" s="41">
        <v>366900</v>
      </c>
      <c r="AH5" s="41">
        <v>382100</v>
      </c>
      <c r="AI5" s="41">
        <v>380900</v>
      </c>
      <c r="AJ5" s="41">
        <v>375800</v>
      </c>
      <c r="AK5" s="41">
        <v>389500</v>
      </c>
      <c r="AL5" s="41">
        <v>310000</v>
      </c>
      <c r="AM5" s="41">
        <v>390100</v>
      </c>
      <c r="AN5" s="41">
        <v>375400</v>
      </c>
      <c r="AO5" s="42">
        <f t="shared" ref="AO5:AO9" si="5">SUM(AC5:AN5)</f>
        <v>4400200</v>
      </c>
    </row>
    <row r="6" spans="1:41" s="11" customFormat="1" ht="16.149999999999999" customHeight="1" x14ac:dyDescent="0.3">
      <c r="A6" s="149" t="s">
        <v>197</v>
      </c>
      <c r="B6" s="43" t="s">
        <v>168</v>
      </c>
      <c r="C6" s="44">
        <v>125000</v>
      </c>
      <c r="D6" s="45">
        <v>115000</v>
      </c>
      <c r="E6" s="45">
        <v>128000</v>
      </c>
      <c r="F6" s="45">
        <v>132000</v>
      </c>
      <c r="G6" s="45">
        <v>127000</v>
      </c>
      <c r="H6" s="45">
        <v>133000</v>
      </c>
      <c r="I6" s="45">
        <v>130000</v>
      </c>
      <c r="J6" s="45">
        <v>128900</v>
      </c>
      <c r="K6" s="45">
        <v>132000</v>
      </c>
      <c r="L6" s="45">
        <v>118000</v>
      </c>
      <c r="M6" s="45">
        <v>135000</v>
      </c>
      <c r="N6" s="45">
        <v>131200</v>
      </c>
      <c r="O6" s="46">
        <f t="shared" si="3"/>
        <v>1535100</v>
      </c>
      <c r="P6" s="45">
        <v>136000</v>
      </c>
      <c r="Q6" s="45">
        <v>138500</v>
      </c>
      <c r="R6" s="45">
        <v>137000</v>
      </c>
      <c r="S6" s="45">
        <v>135600</v>
      </c>
      <c r="T6" s="45">
        <v>133500</v>
      </c>
      <c r="U6" s="45">
        <v>141020</v>
      </c>
      <c r="V6" s="45">
        <v>145300</v>
      </c>
      <c r="W6" s="45">
        <v>144800</v>
      </c>
      <c r="X6" s="45">
        <v>144500</v>
      </c>
      <c r="Y6" s="45">
        <v>128900</v>
      </c>
      <c r="Z6" s="45">
        <v>148100</v>
      </c>
      <c r="AA6" s="45">
        <v>139100</v>
      </c>
      <c r="AB6" s="46">
        <f t="shared" si="4"/>
        <v>1672320</v>
      </c>
      <c r="AC6" s="45">
        <v>140200</v>
      </c>
      <c r="AD6" s="45">
        <v>145000</v>
      </c>
      <c r="AE6" s="45">
        <v>147600</v>
      </c>
      <c r="AF6" s="45">
        <v>144200</v>
      </c>
      <c r="AG6" s="45">
        <v>149900</v>
      </c>
      <c r="AH6" s="45">
        <v>145300</v>
      </c>
      <c r="AI6" s="45">
        <v>141500</v>
      </c>
      <c r="AJ6" s="45">
        <v>149800</v>
      </c>
      <c r="AK6" s="45">
        <v>151020</v>
      </c>
      <c r="AL6" s="45">
        <v>136400</v>
      </c>
      <c r="AM6" s="45">
        <v>148400</v>
      </c>
      <c r="AN6" s="45">
        <v>144250</v>
      </c>
      <c r="AO6" s="46">
        <f t="shared" si="5"/>
        <v>1743570</v>
      </c>
    </row>
    <row r="7" spans="1:41" s="3" customFormat="1" ht="16.149999999999999" customHeight="1" thickBot="1" x14ac:dyDescent="0.35">
      <c r="A7" s="143"/>
      <c r="B7" s="47" t="s">
        <v>166</v>
      </c>
      <c r="C7" s="48">
        <f t="shared" ref="C7:AO7" ca="1" si="6">SUM(OFFSET(C4,1,0,ROW($B7)-ROW($B4)-1,1))</f>
        <v>410600</v>
      </c>
      <c r="D7" s="48">
        <f t="shared" ca="1" si="6"/>
        <v>420200</v>
      </c>
      <c r="E7" s="48">
        <f t="shared" ca="1" si="6"/>
        <v>436000</v>
      </c>
      <c r="F7" s="48">
        <f t="shared" ca="1" si="6"/>
        <v>443200</v>
      </c>
      <c r="G7" s="48">
        <f t="shared" ca="1" si="6"/>
        <v>442800</v>
      </c>
      <c r="H7" s="48">
        <f t="shared" ca="1" si="6"/>
        <v>443000</v>
      </c>
      <c r="I7" s="48">
        <f t="shared" ca="1" si="6"/>
        <v>432000</v>
      </c>
      <c r="J7" s="48">
        <f t="shared" ca="1" si="6"/>
        <v>442900</v>
      </c>
      <c r="K7" s="48">
        <f t="shared" ca="1" si="6"/>
        <v>450200</v>
      </c>
      <c r="L7" s="48">
        <f t="shared" ca="1" si="6"/>
        <v>374500</v>
      </c>
      <c r="M7" s="48">
        <f t="shared" ca="1" si="6"/>
        <v>465600</v>
      </c>
      <c r="N7" s="48">
        <f t="shared" ca="1" si="6"/>
        <v>436400</v>
      </c>
      <c r="O7" s="48">
        <f t="shared" ca="1" si="6"/>
        <v>5197400</v>
      </c>
      <c r="P7" s="48">
        <f t="shared" ca="1" si="6"/>
        <v>461200</v>
      </c>
      <c r="Q7" s="48">
        <f t="shared" ca="1" si="6"/>
        <v>456500</v>
      </c>
      <c r="R7" s="48">
        <f t="shared" ca="1" si="6"/>
        <v>447200</v>
      </c>
      <c r="S7" s="48">
        <f t="shared" ca="1" si="6"/>
        <v>466200</v>
      </c>
      <c r="T7" s="48">
        <f t="shared" ca="1" si="6"/>
        <v>478700</v>
      </c>
      <c r="U7" s="48">
        <f t="shared" ca="1" si="6"/>
        <v>466120</v>
      </c>
      <c r="V7" s="48">
        <f t="shared" ca="1" si="6"/>
        <v>450500</v>
      </c>
      <c r="W7" s="48">
        <f t="shared" ca="1" si="6"/>
        <v>468900</v>
      </c>
      <c r="X7" s="48">
        <f t="shared" ca="1" si="6"/>
        <v>490100</v>
      </c>
      <c r="Y7" s="48">
        <f t="shared" ca="1" si="6"/>
        <v>389500</v>
      </c>
      <c r="Z7" s="48">
        <f t="shared" ca="1" si="6"/>
        <v>498500</v>
      </c>
      <c r="AA7" s="48">
        <f t="shared" ca="1" si="6"/>
        <v>475100</v>
      </c>
      <c r="AB7" s="48">
        <f t="shared" ca="1" si="6"/>
        <v>5548520</v>
      </c>
      <c r="AC7" s="48">
        <f t="shared" ca="1" si="6"/>
        <v>482800</v>
      </c>
      <c r="AD7" s="48">
        <f t="shared" ca="1" si="6"/>
        <v>505500</v>
      </c>
      <c r="AE7" s="48">
        <f t="shared" ca="1" si="6"/>
        <v>504000</v>
      </c>
      <c r="AF7" s="48">
        <f t="shared" ca="1" si="6"/>
        <v>514200</v>
      </c>
      <c r="AG7" s="48">
        <f t="shared" ca="1" si="6"/>
        <v>516800</v>
      </c>
      <c r="AH7" s="48">
        <f t="shared" ca="1" si="6"/>
        <v>527400</v>
      </c>
      <c r="AI7" s="48">
        <f t="shared" ca="1" si="6"/>
        <v>522400</v>
      </c>
      <c r="AJ7" s="48">
        <f t="shared" ca="1" si="6"/>
        <v>525600</v>
      </c>
      <c r="AK7" s="48">
        <f t="shared" ca="1" si="6"/>
        <v>540520</v>
      </c>
      <c r="AL7" s="48">
        <f t="shared" ca="1" si="6"/>
        <v>446400</v>
      </c>
      <c r="AM7" s="48">
        <f t="shared" ca="1" si="6"/>
        <v>538500</v>
      </c>
      <c r="AN7" s="48">
        <f t="shared" ca="1" si="6"/>
        <v>519650</v>
      </c>
      <c r="AO7" s="48">
        <f t="shared" ca="1" si="6"/>
        <v>6143770</v>
      </c>
    </row>
    <row r="8" spans="1:41" s="11" customFormat="1" ht="16.149999999999999" customHeight="1" x14ac:dyDescent="0.3">
      <c r="A8" s="143" t="s">
        <v>197</v>
      </c>
      <c r="B8" s="49" t="s">
        <v>171</v>
      </c>
      <c r="C8" s="44">
        <f t="shared" ref="C8:N8" si="7">C5-C11</f>
        <v>185640</v>
      </c>
      <c r="D8" s="45">
        <f t="shared" si="7"/>
        <v>198380</v>
      </c>
      <c r="E8" s="45">
        <f t="shared" si="7"/>
        <v>200200</v>
      </c>
      <c r="F8" s="45">
        <f t="shared" si="7"/>
        <v>202280</v>
      </c>
      <c r="G8" s="45">
        <f t="shared" si="7"/>
        <v>205270</v>
      </c>
      <c r="H8" s="45">
        <f t="shared" si="7"/>
        <v>201500</v>
      </c>
      <c r="I8" s="45">
        <f t="shared" si="7"/>
        <v>193280</v>
      </c>
      <c r="J8" s="45">
        <f t="shared" si="7"/>
        <v>200960</v>
      </c>
      <c r="K8" s="45">
        <f t="shared" si="7"/>
        <v>203648</v>
      </c>
      <c r="L8" s="45">
        <f t="shared" si="7"/>
        <v>164160</v>
      </c>
      <c r="M8" s="45">
        <f t="shared" si="7"/>
        <v>211584</v>
      </c>
      <c r="N8" s="45">
        <f t="shared" si="7"/>
        <v>195328</v>
      </c>
      <c r="O8" s="46">
        <f t="shared" si="3"/>
        <v>2362230</v>
      </c>
      <c r="P8" s="45">
        <f t="shared" ref="P8:AA8" si="8">P5-P11</f>
        <v>208128</v>
      </c>
      <c r="Q8" s="45">
        <f t="shared" si="8"/>
        <v>203520</v>
      </c>
      <c r="R8" s="45">
        <f t="shared" si="8"/>
        <v>198528</v>
      </c>
      <c r="S8" s="45">
        <f t="shared" si="8"/>
        <v>211584</v>
      </c>
      <c r="T8" s="45">
        <f t="shared" si="8"/>
        <v>220928</v>
      </c>
      <c r="U8" s="45">
        <f t="shared" si="8"/>
        <v>208064</v>
      </c>
      <c r="V8" s="45">
        <f t="shared" si="8"/>
        <v>189224</v>
      </c>
      <c r="W8" s="45">
        <f t="shared" si="8"/>
        <v>200942</v>
      </c>
      <c r="X8" s="45">
        <f t="shared" si="8"/>
        <v>214272</v>
      </c>
      <c r="Y8" s="45">
        <f t="shared" si="8"/>
        <v>161572</v>
      </c>
      <c r="Z8" s="45">
        <f t="shared" si="8"/>
        <v>217248</v>
      </c>
      <c r="AA8" s="45">
        <f t="shared" si="8"/>
        <v>208320</v>
      </c>
      <c r="AB8" s="46">
        <f t="shared" si="4"/>
        <v>2442330</v>
      </c>
      <c r="AC8" s="45">
        <f t="shared" ref="AC8:AN8" si="9">AC5-AC11</f>
        <v>205560</v>
      </c>
      <c r="AD8" s="45">
        <f t="shared" si="9"/>
        <v>216300</v>
      </c>
      <c r="AE8" s="45">
        <f t="shared" si="9"/>
        <v>213840</v>
      </c>
      <c r="AF8" s="45">
        <f t="shared" si="9"/>
        <v>222000</v>
      </c>
      <c r="AG8" s="45">
        <f t="shared" si="9"/>
        <v>220140</v>
      </c>
      <c r="AH8" s="45">
        <f t="shared" si="9"/>
        <v>229260</v>
      </c>
      <c r="AI8" s="45">
        <f t="shared" si="9"/>
        <v>228540</v>
      </c>
      <c r="AJ8" s="45">
        <f t="shared" si="9"/>
        <v>225480</v>
      </c>
      <c r="AK8" s="45">
        <f t="shared" si="9"/>
        <v>233700</v>
      </c>
      <c r="AL8" s="45">
        <f t="shared" si="9"/>
        <v>186000</v>
      </c>
      <c r="AM8" s="45">
        <f t="shared" si="9"/>
        <v>234060</v>
      </c>
      <c r="AN8" s="45">
        <f t="shared" si="9"/>
        <v>225240</v>
      </c>
      <c r="AO8" s="46">
        <f t="shared" si="5"/>
        <v>2640120</v>
      </c>
    </row>
    <row r="9" spans="1:41" s="11" customFormat="1" ht="16.149999999999999" customHeight="1" x14ac:dyDescent="0.3">
      <c r="A9" s="143" t="s">
        <v>199</v>
      </c>
      <c r="B9" s="49" t="s">
        <v>172</v>
      </c>
      <c r="C9" s="44">
        <f t="shared" ref="C9:N9" si="10">C6-C12</f>
        <v>0</v>
      </c>
      <c r="D9" s="45">
        <f t="shared" si="10"/>
        <v>0</v>
      </c>
      <c r="E9" s="45">
        <f t="shared" si="10"/>
        <v>0</v>
      </c>
      <c r="F9" s="45">
        <f t="shared" si="10"/>
        <v>0</v>
      </c>
      <c r="G9" s="45">
        <f t="shared" si="10"/>
        <v>0</v>
      </c>
      <c r="H9" s="45">
        <f t="shared" si="10"/>
        <v>0</v>
      </c>
      <c r="I9" s="45">
        <f t="shared" si="10"/>
        <v>0</v>
      </c>
      <c r="J9" s="45">
        <f t="shared" si="10"/>
        <v>0</v>
      </c>
      <c r="K9" s="45">
        <f t="shared" si="10"/>
        <v>0</v>
      </c>
      <c r="L9" s="45">
        <f t="shared" si="10"/>
        <v>0</v>
      </c>
      <c r="M9" s="45">
        <f t="shared" si="10"/>
        <v>0</v>
      </c>
      <c r="N9" s="45">
        <f t="shared" si="10"/>
        <v>0</v>
      </c>
      <c r="O9" s="46">
        <f t="shared" si="3"/>
        <v>0</v>
      </c>
      <c r="P9" s="45">
        <f t="shared" ref="P9:AA9" si="11">P6-P12</f>
        <v>0</v>
      </c>
      <c r="Q9" s="45">
        <f t="shared" si="11"/>
        <v>0</v>
      </c>
      <c r="R9" s="45">
        <f t="shared" si="11"/>
        <v>0</v>
      </c>
      <c r="S9" s="45">
        <f t="shared" si="11"/>
        <v>0</v>
      </c>
      <c r="T9" s="45">
        <f t="shared" si="11"/>
        <v>0</v>
      </c>
      <c r="U9" s="45">
        <f t="shared" si="11"/>
        <v>0</v>
      </c>
      <c r="V9" s="45">
        <f t="shared" si="11"/>
        <v>0</v>
      </c>
      <c r="W9" s="45">
        <f t="shared" si="11"/>
        <v>0</v>
      </c>
      <c r="X9" s="45">
        <f t="shared" si="11"/>
        <v>0</v>
      </c>
      <c r="Y9" s="45">
        <f t="shared" si="11"/>
        <v>0</v>
      </c>
      <c r="Z9" s="45">
        <f t="shared" si="11"/>
        <v>0</v>
      </c>
      <c r="AA9" s="45">
        <f t="shared" si="11"/>
        <v>0</v>
      </c>
      <c r="AB9" s="46">
        <f t="shared" si="4"/>
        <v>0</v>
      </c>
      <c r="AC9" s="45">
        <f t="shared" ref="AC9:AN9" si="12">AC6-AC12</f>
        <v>0</v>
      </c>
      <c r="AD9" s="45">
        <f t="shared" si="12"/>
        <v>0</v>
      </c>
      <c r="AE9" s="45">
        <f t="shared" si="12"/>
        <v>0</v>
      </c>
      <c r="AF9" s="45">
        <f t="shared" si="12"/>
        <v>0</v>
      </c>
      <c r="AG9" s="45">
        <f t="shared" si="12"/>
        <v>0</v>
      </c>
      <c r="AH9" s="45">
        <f t="shared" si="12"/>
        <v>0</v>
      </c>
      <c r="AI9" s="45">
        <f t="shared" si="12"/>
        <v>0</v>
      </c>
      <c r="AJ9" s="45">
        <f t="shared" si="12"/>
        <v>0</v>
      </c>
      <c r="AK9" s="45">
        <f t="shared" si="12"/>
        <v>0</v>
      </c>
      <c r="AL9" s="45">
        <f t="shared" si="12"/>
        <v>0</v>
      </c>
      <c r="AM9" s="45">
        <f t="shared" si="12"/>
        <v>0</v>
      </c>
      <c r="AN9" s="45">
        <f t="shared" si="12"/>
        <v>0</v>
      </c>
      <c r="AO9" s="46">
        <f t="shared" si="5"/>
        <v>0</v>
      </c>
    </row>
    <row r="10" spans="1:41" s="3" customFormat="1" ht="16.149999999999999" customHeight="1" thickBot="1" x14ac:dyDescent="0.35">
      <c r="A10" s="150"/>
      <c r="B10" s="47" t="s">
        <v>169</v>
      </c>
      <c r="C10" s="48">
        <f t="shared" ref="C10:AO10" ca="1" si="13">SUM(OFFSET(C7,1,0,ROW($B10)-ROW($B7)-1,1))</f>
        <v>185640</v>
      </c>
      <c r="D10" s="48">
        <f t="shared" ca="1" si="13"/>
        <v>198380</v>
      </c>
      <c r="E10" s="48">
        <f t="shared" ca="1" si="13"/>
        <v>200200</v>
      </c>
      <c r="F10" s="48">
        <f t="shared" ca="1" si="13"/>
        <v>202280</v>
      </c>
      <c r="G10" s="48">
        <f t="shared" ca="1" si="13"/>
        <v>205270</v>
      </c>
      <c r="H10" s="48">
        <f t="shared" ca="1" si="13"/>
        <v>201500</v>
      </c>
      <c r="I10" s="48">
        <f t="shared" ca="1" si="13"/>
        <v>193280</v>
      </c>
      <c r="J10" s="48">
        <f t="shared" ca="1" si="13"/>
        <v>200960</v>
      </c>
      <c r="K10" s="48">
        <f t="shared" ca="1" si="13"/>
        <v>203648</v>
      </c>
      <c r="L10" s="48">
        <f t="shared" ca="1" si="13"/>
        <v>164160</v>
      </c>
      <c r="M10" s="48">
        <f t="shared" ca="1" si="13"/>
        <v>211584</v>
      </c>
      <c r="N10" s="48">
        <f t="shared" ca="1" si="13"/>
        <v>195328</v>
      </c>
      <c r="O10" s="48">
        <f t="shared" ca="1" si="13"/>
        <v>2362230</v>
      </c>
      <c r="P10" s="48">
        <f t="shared" ca="1" si="13"/>
        <v>208128</v>
      </c>
      <c r="Q10" s="48">
        <f t="shared" ca="1" si="13"/>
        <v>203520</v>
      </c>
      <c r="R10" s="48">
        <f t="shared" ca="1" si="13"/>
        <v>198528</v>
      </c>
      <c r="S10" s="48">
        <f t="shared" ca="1" si="13"/>
        <v>211584</v>
      </c>
      <c r="T10" s="48">
        <f t="shared" ca="1" si="13"/>
        <v>220928</v>
      </c>
      <c r="U10" s="48">
        <f t="shared" ca="1" si="13"/>
        <v>208064</v>
      </c>
      <c r="V10" s="48">
        <f t="shared" ca="1" si="13"/>
        <v>189224</v>
      </c>
      <c r="W10" s="48">
        <f t="shared" ca="1" si="13"/>
        <v>200942</v>
      </c>
      <c r="X10" s="48">
        <f t="shared" ca="1" si="13"/>
        <v>214272</v>
      </c>
      <c r="Y10" s="48">
        <f t="shared" ca="1" si="13"/>
        <v>161572</v>
      </c>
      <c r="Z10" s="48">
        <f t="shared" ca="1" si="13"/>
        <v>217248</v>
      </c>
      <c r="AA10" s="48">
        <f t="shared" ca="1" si="13"/>
        <v>208320</v>
      </c>
      <c r="AB10" s="48">
        <f t="shared" ca="1" si="13"/>
        <v>2442330</v>
      </c>
      <c r="AC10" s="48">
        <f t="shared" ca="1" si="13"/>
        <v>205560</v>
      </c>
      <c r="AD10" s="48">
        <f t="shared" ca="1" si="13"/>
        <v>216300</v>
      </c>
      <c r="AE10" s="48">
        <f t="shared" ca="1" si="13"/>
        <v>213840</v>
      </c>
      <c r="AF10" s="48">
        <f t="shared" ca="1" si="13"/>
        <v>222000</v>
      </c>
      <c r="AG10" s="48">
        <f t="shared" ca="1" si="13"/>
        <v>220140</v>
      </c>
      <c r="AH10" s="48">
        <f t="shared" ca="1" si="13"/>
        <v>229260</v>
      </c>
      <c r="AI10" s="48">
        <f t="shared" ca="1" si="13"/>
        <v>228540</v>
      </c>
      <c r="AJ10" s="48">
        <f t="shared" ca="1" si="13"/>
        <v>225480</v>
      </c>
      <c r="AK10" s="48">
        <f t="shared" ca="1" si="13"/>
        <v>233700</v>
      </c>
      <c r="AL10" s="48">
        <f t="shared" ca="1" si="13"/>
        <v>186000</v>
      </c>
      <c r="AM10" s="48">
        <f t="shared" ca="1" si="13"/>
        <v>234060</v>
      </c>
      <c r="AN10" s="48">
        <f t="shared" ca="1" si="13"/>
        <v>225240</v>
      </c>
      <c r="AO10" s="48">
        <f t="shared" ca="1" si="13"/>
        <v>2640120</v>
      </c>
    </row>
    <row r="11" spans="1:41" s="11" customFormat="1" ht="16.149999999999999" customHeight="1" x14ac:dyDescent="0.3">
      <c r="A11" s="150"/>
      <c r="B11" s="49" t="s">
        <v>171</v>
      </c>
      <c r="C11" s="45">
        <f t="shared" ref="C11:N11" si="14">C5*C14</f>
        <v>99960</v>
      </c>
      <c r="D11" s="45">
        <f t="shared" si="14"/>
        <v>106820</v>
      </c>
      <c r="E11" s="45">
        <f t="shared" si="14"/>
        <v>107800</v>
      </c>
      <c r="F11" s="45">
        <f t="shared" si="14"/>
        <v>108920</v>
      </c>
      <c r="G11" s="45">
        <f t="shared" si="14"/>
        <v>110530</v>
      </c>
      <c r="H11" s="45">
        <f t="shared" si="14"/>
        <v>108500</v>
      </c>
      <c r="I11" s="45">
        <f t="shared" si="14"/>
        <v>108720</v>
      </c>
      <c r="J11" s="45">
        <f t="shared" si="14"/>
        <v>113040</v>
      </c>
      <c r="K11" s="45">
        <f t="shared" si="14"/>
        <v>114552</v>
      </c>
      <c r="L11" s="45">
        <f t="shared" si="14"/>
        <v>92340</v>
      </c>
      <c r="M11" s="45">
        <f t="shared" si="14"/>
        <v>119016</v>
      </c>
      <c r="N11" s="45">
        <f t="shared" si="14"/>
        <v>109872</v>
      </c>
      <c r="O11" s="46">
        <f>SUM(C11:N11)</f>
        <v>1300070</v>
      </c>
      <c r="P11" s="45">
        <f t="shared" ref="P11:AA11" si="15">P5*P14</f>
        <v>117072</v>
      </c>
      <c r="Q11" s="45">
        <f t="shared" si="15"/>
        <v>114480</v>
      </c>
      <c r="R11" s="45">
        <f t="shared" si="15"/>
        <v>111672</v>
      </c>
      <c r="S11" s="45">
        <f t="shared" si="15"/>
        <v>119016</v>
      </c>
      <c r="T11" s="45">
        <f t="shared" si="15"/>
        <v>124272</v>
      </c>
      <c r="U11" s="45">
        <f t="shared" si="15"/>
        <v>117036</v>
      </c>
      <c r="V11" s="45">
        <f t="shared" si="15"/>
        <v>115976</v>
      </c>
      <c r="W11" s="45">
        <f t="shared" si="15"/>
        <v>123158</v>
      </c>
      <c r="X11" s="45">
        <f t="shared" si="15"/>
        <v>131328</v>
      </c>
      <c r="Y11" s="45">
        <f t="shared" si="15"/>
        <v>99028</v>
      </c>
      <c r="Z11" s="45">
        <f t="shared" si="15"/>
        <v>133152</v>
      </c>
      <c r="AA11" s="45">
        <f t="shared" si="15"/>
        <v>127680</v>
      </c>
      <c r="AB11" s="46">
        <f>SUM(P11:AA11)</f>
        <v>1433870</v>
      </c>
      <c r="AC11" s="45">
        <f t="shared" ref="AC11:AN11" si="16">AC5*AC14</f>
        <v>137040</v>
      </c>
      <c r="AD11" s="45">
        <f t="shared" si="16"/>
        <v>144200</v>
      </c>
      <c r="AE11" s="45">
        <f t="shared" si="16"/>
        <v>142560</v>
      </c>
      <c r="AF11" s="45">
        <f t="shared" si="16"/>
        <v>148000</v>
      </c>
      <c r="AG11" s="45">
        <f t="shared" si="16"/>
        <v>146760</v>
      </c>
      <c r="AH11" s="45">
        <f t="shared" si="16"/>
        <v>152840</v>
      </c>
      <c r="AI11" s="45">
        <f t="shared" si="16"/>
        <v>152360</v>
      </c>
      <c r="AJ11" s="45">
        <f t="shared" si="16"/>
        <v>150320</v>
      </c>
      <c r="AK11" s="45">
        <f t="shared" si="16"/>
        <v>155800</v>
      </c>
      <c r="AL11" s="45">
        <f t="shared" si="16"/>
        <v>124000</v>
      </c>
      <c r="AM11" s="45">
        <f t="shared" si="16"/>
        <v>156040</v>
      </c>
      <c r="AN11" s="45">
        <f t="shared" si="16"/>
        <v>150160</v>
      </c>
      <c r="AO11" s="46">
        <f>SUM(AC11:AN11)</f>
        <v>1760080</v>
      </c>
    </row>
    <row r="12" spans="1:41" s="11" customFormat="1" ht="16.149999999999999" customHeight="1" x14ac:dyDescent="0.3">
      <c r="A12" s="150"/>
      <c r="B12" s="49" t="s">
        <v>172</v>
      </c>
      <c r="C12" s="45">
        <f t="shared" ref="C12:N12" si="17">C6*C15</f>
        <v>125000</v>
      </c>
      <c r="D12" s="45">
        <f t="shared" si="17"/>
        <v>115000</v>
      </c>
      <c r="E12" s="45">
        <f t="shared" si="17"/>
        <v>128000</v>
      </c>
      <c r="F12" s="45">
        <f t="shared" si="17"/>
        <v>132000</v>
      </c>
      <c r="G12" s="45">
        <f t="shared" si="17"/>
        <v>127000</v>
      </c>
      <c r="H12" s="45">
        <f t="shared" si="17"/>
        <v>133000</v>
      </c>
      <c r="I12" s="45">
        <f t="shared" si="17"/>
        <v>130000</v>
      </c>
      <c r="J12" s="45">
        <f t="shared" si="17"/>
        <v>128900</v>
      </c>
      <c r="K12" s="45">
        <f t="shared" si="17"/>
        <v>132000</v>
      </c>
      <c r="L12" s="45">
        <f t="shared" si="17"/>
        <v>118000</v>
      </c>
      <c r="M12" s="45">
        <f t="shared" si="17"/>
        <v>135000</v>
      </c>
      <c r="N12" s="45">
        <f t="shared" si="17"/>
        <v>131200</v>
      </c>
      <c r="O12" s="46">
        <f>SUM(C12:N12)</f>
        <v>1535100</v>
      </c>
      <c r="P12" s="45">
        <f t="shared" ref="P12:AA12" si="18">P6*P15</f>
        <v>136000</v>
      </c>
      <c r="Q12" s="45">
        <f t="shared" si="18"/>
        <v>138500</v>
      </c>
      <c r="R12" s="45">
        <f t="shared" si="18"/>
        <v>137000</v>
      </c>
      <c r="S12" s="45">
        <f t="shared" si="18"/>
        <v>135600</v>
      </c>
      <c r="T12" s="45">
        <f t="shared" si="18"/>
        <v>133500</v>
      </c>
      <c r="U12" s="45">
        <f t="shared" si="18"/>
        <v>141020</v>
      </c>
      <c r="V12" s="45">
        <f t="shared" si="18"/>
        <v>145300</v>
      </c>
      <c r="W12" s="45">
        <f t="shared" si="18"/>
        <v>144800</v>
      </c>
      <c r="X12" s="45">
        <f t="shared" si="18"/>
        <v>144500</v>
      </c>
      <c r="Y12" s="45">
        <f t="shared" si="18"/>
        <v>128900</v>
      </c>
      <c r="Z12" s="45">
        <f t="shared" si="18"/>
        <v>148100</v>
      </c>
      <c r="AA12" s="45">
        <f t="shared" si="18"/>
        <v>139100</v>
      </c>
      <c r="AB12" s="46">
        <f>SUM(P12:AA12)</f>
        <v>1672320</v>
      </c>
      <c r="AC12" s="45">
        <f t="shared" ref="AC12:AN12" si="19">AC6*AC15</f>
        <v>140200</v>
      </c>
      <c r="AD12" s="45">
        <f t="shared" si="19"/>
        <v>145000</v>
      </c>
      <c r="AE12" s="45">
        <f t="shared" si="19"/>
        <v>147600</v>
      </c>
      <c r="AF12" s="45">
        <f t="shared" si="19"/>
        <v>144200</v>
      </c>
      <c r="AG12" s="45">
        <f t="shared" si="19"/>
        <v>149900</v>
      </c>
      <c r="AH12" s="45">
        <f t="shared" si="19"/>
        <v>145300</v>
      </c>
      <c r="AI12" s="45">
        <f t="shared" si="19"/>
        <v>141500</v>
      </c>
      <c r="AJ12" s="45">
        <f t="shared" si="19"/>
        <v>149800</v>
      </c>
      <c r="AK12" s="45">
        <f t="shared" si="19"/>
        <v>151020</v>
      </c>
      <c r="AL12" s="45">
        <f t="shared" si="19"/>
        <v>136400</v>
      </c>
      <c r="AM12" s="45">
        <f t="shared" si="19"/>
        <v>148400</v>
      </c>
      <c r="AN12" s="45">
        <f t="shared" si="19"/>
        <v>144250</v>
      </c>
      <c r="AO12" s="46">
        <f>SUM(AC12:AN12)</f>
        <v>1743570</v>
      </c>
    </row>
    <row r="13" spans="1:41" s="3" customFormat="1" ht="16.149999999999999" customHeight="1" thickBot="1" x14ac:dyDescent="0.35">
      <c r="A13" s="150"/>
      <c r="B13" s="47" t="s">
        <v>170</v>
      </c>
      <c r="C13" s="48">
        <f t="shared" ref="C13:AO13" ca="1" si="20">SUM(OFFSET(C10,1,0,ROW($B13)-ROW($B10)-1,1))</f>
        <v>224960</v>
      </c>
      <c r="D13" s="48">
        <f t="shared" ca="1" si="20"/>
        <v>221820</v>
      </c>
      <c r="E13" s="48">
        <f t="shared" ca="1" si="20"/>
        <v>235800</v>
      </c>
      <c r="F13" s="48">
        <f t="shared" ca="1" si="20"/>
        <v>240920</v>
      </c>
      <c r="G13" s="48">
        <f t="shared" ca="1" si="20"/>
        <v>237530</v>
      </c>
      <c r="H13" s="48">
        <f t="shared" ca="1" si="20"/>
        <v>241500</v>
      </c>
      <c r="I13" s="48">
        <f t="shared" ca="1" si="20"/>
        <v>238720</v>
      </c>
      <c r="J13" s="48">
        <f t="shared" ca="1" si="20"/>
        <v>241940</v>
      </c>
      <c r="K13" s="48">
        <f t="shared" ca="1" si="20"/>
        <v>246552</v>
      </c>
      <c r="L13" s="48">
        <f t="shared" ca="1" si="20"/>
        <v>210340</v>
      </c>
      <c r="M13" s="48">
        <f t="shared" ca="1" si="20"/>
        <v>254016</v>
      </c>
      <c r="N13" s="48">
        <f t="shared" ca="1" si="20"/>
        <v>241072</v>
      </c>
      <c r="O13" s="48">
        <f t="shared" ca="1" si="20"/>
        <v>2835170</v>
      </c>
      <c r="P13" s="48">
        <f t="shared" ca="1" si="20"/>
        <v>253072</v>
      </c>
      <c r="Q13" s="48">
        <f t="shared" ca="1" si="20"/>
        <v>252980</v>
      </c>
      <c r="R13" s="48">
        <f t="shared" ca="1" si="20"/>
        <v>248672</v>
      </c>
      <c r="S13" s="48">
        <f t="shared" ca="1" si="20"/>
        <v>254616</v>
      </c>
      <c r="T13" s="48">
        <f t="shared" ca="1" si="20"/>
        <v>257772</v>
      </c>
      <c r="U13" s="48">
        <f t="shared" ca="1" si="20"/>
        <v>258056</v>
      </c>
      <c r="V13" s="48">
        <f t="shared" ca="1" si="20"/>
        <v>261276</v>
      </c>
      <c r="W13" s="48">
        <f t="shared" ca="1" si="20"/>
        <v>267958</v>
      </c>
      <c r="X13" s="48">
        <f t="shared" ca="1" si="20"/>
        <v>275828</v>
      </c>
      <c r="Y13" s="48">
        <f t="shared" ca="1" si="20"/>
        <v>227928</v>
      </c>
      <c r="Z13" s="48">
        <f t="shared" ca="1" si="20"/>
        <v>281252</v>
      </c>
      <c r="AA13" s="48">
        <f t="shared" ca="1" si="20"/>
        <v>266780</v>
      </c>
      <c r="AB13" s="48">
        <f t="shared" ca="1" si="20"/>
        <v>3106190</v>
      </c>
      <c r="AC13" s="48">
        <f t="shared" ca="1" si="20"/>
        <v>277240</v>
      </c>
      <c r="AD13" s="48">
        <f t="shared" ca="1" si="20"/>
        <v>289200</v>
      </c>
      <c r="AE13" s="48">
        <f t="shared" ca="1" si="20"/>
        <v>290160</v>
      </c>
      <c r="AF13" s="48">
        <f t="shared" ca="1" si="20"/>
        <v>292200</v>
      </c>
      <c r="AG13" s="48">
        <f t="shared" ca="1" si="20"/>
        <v>296660</v>
      </c>
      <c r="AH13" s="48">
        <f t="shared" ca="1" si="20"/>
        <v>298140</v>
      </c>
      <c r="AI13" s="48">
        <f t="shared" ca="1" si="20"/>
        <v>293860</v>
      </c>
      <c r="AJ13" s="48">
        <f t="shared" ca="1" si="20"/>
        <v>300120</v>
      </c>
      <c r="AK13" s="48">
        <f t="shared" ca="1" si="20"/>
        <v>306820</v>
      </c>
      <c r="AL13" s="48">
        <f t="shared" ca="1" si="20"/>
        <v>260400</v>
      </c>
      <c r="AM13" s="48">
        <f t="shared" ca="1" si="20"/>
        <v>304440</v>
      </c>
      <c r="AN13" s="48">
        <f t="shared" ca="1" si="20"/>
        <v>294410</v>
      </c>
      <c r="AO13" s="48">
        <f t="shared" ca="1" si="20"/>
        <v>3503650</v>
      </c>
    </row>
    <row r="14" spans="1:41" s="50" customFormat="1" ht="16.149999999999999" customHeight="1" x14ac:dyDescent="0.3">
      <c r="A14" s="149"/>
      <c r="B14" s="50" t="s">
        <v>171</v>
      </c>
      <c r="C14" s="51">
        <v>0.35</v>
      </c>
      <c r="D14" s="51">
        <v>0.35</v>
      </c>
      <c r="E14" s="51">
        <v>0.35</v>
      </c>
      <c r="F14" s="52">
        <v>0.35</v>
      </c>
      <c r="G14" s="52">
        <v>0.35</v>
      </c>
      <c r="H14" s="52">
        <v>0.35</v>
      </c>
      <c r="I14" s="52">
        <v>0.36</v>
      </c>
      <c r="J14" s="52">
        <v>0.36</v>
      </c>
      <c r="K14" s="52">
        <v>0.36</v>
      </c>
      <c r="L14" s="52">
        <v>0.36</v>
      </c>
      <c r="M14" s="52">
        <v>0.36</v>
      </c>
      <c r="N14" s="52">
        <v>0.36</v>
      </c>
      <c r="O14" s="53">
        <f>IF(O5=0,0,O11/O5)</f>
        <v>0.35498730306091802</v>
      </c>
      <c r="P14" s="52">
        <v>0.36</v>
      </c>
      <c r="Q14" s="52">
        <v>0.36</v>
      </c>
      <c r="R14" s="52">
        <v>0.36</v>
      </c>
      <c r="S14" s="52">
        <v>0.36</v>
      </c>
      <c r="T14" s="52">
        <v>0.36</v>
      </c>
      <c r="U14" s="52">
        <v>0.36</v>
      </c>
      <c r="V14" s="52">
        <v>0.38</v>
      </c>
      <c r="W14" s="52">
        <v>0.38</v>
      </c>
      <c r="X14" s="52">
        <v>0.38</v>
      </c>
      <c r="Y14" s="52">
        <v>0.38</v>
      </c>
      <c r="Z14" s="52">
        <v>0.38</v>
      </c>
      <c r="AA14" s="52">
        <v>0.38</v>
      </c>
      <c r="AB14" s="53">
        <f>IF(AB5=0,0,AB11/AB5)</f>
        <v>0.36991641298178629</v>
      </c>
      <c r="AC14" s="52">
        <v>0.4</v>
      </c>
      <c r="AD14" s="52">
        <v>0.4</v>
      </c>
      <c r="AE14" s="52">
        <v>0.4</v>
      </c>
      <c r="AF14" s="52">
        <v>0.4</v>
      </c>
      <c r="AG14" s="52">
        <v>0.4</v>
      </c>
      <c r="AH14" s="52">
        <v>0.4</v>
      </c>
      <c r="AI14" s="52">
        <v>0.4</v>
      </c>
      <c r="AJ14" s="52">
        <v>0.4</v>
      </c>
      <c r="AK14" s="52">
        <v>0.4</v>
      </c>
      <c r="AL14" s="52">
        <v>0.4</v>
      </c>
      <c r="AM14" s="52">
        <v>0.4</v>
      </c>
      <c r="AN14" s="52">
        <v>0.4</v>
      </c>
      <c r="AO14" s="53">
        <f>IF(AO5=0,0,AO11/AO5)</f>
        <v>0.4</v>
      </c>
    </row>
    <row r="15" spans="1:41" s="50" customFormat="1" ht="16.149999999999999" customHeight="1" x14ac:dyDescent="0.3">
      <c r="A15" s="149"/>
      <c r="B15" s="50" t="s">
        <v>172</v>
      </c>
      <c r="C15" s="51">
        <v>1</v>
      </c>
      <c r="D15" s="51">
        <v>1</v>
      </c>
      <c r="E15" s="51">
        <v>1</v>
      </c>
      <c r="F15" s="52">
        <v>1</v>
      </c>
      <c r="G15" s="52">
        <v>1</v>
      </c>
      <c r="H15" s="52">
        <v>1</v>
      </c>
      <c r="I15" s="52">
        <v>1</v>
      </c>
      <c r="J15" s="52">
        <v>1</v>
      </c>
      <c r="K15" s="52">
        <v>1</v>
      </c>
      <c r="L15" s="52">
        <v>1</v>
      </c>
      <c r="M15" s="52">
        <v>1</v>
      </c>
      <c r="N15" s="52">
        <v>1</v>
      </c>
      <c r="O15" s="53">
        <f>IF(O6=0,0,O12/O6)</f>
        <v>1</v>
      </c>
      <c r="P15" s="52">
        <v>1</v>
      </c>
      <c r="Q15" s="52">
        <v>1</v>
      </c>
      <c r="R15" s="52">
        <v>1</v>
      </c>
      <c r="S15" s="52">
        <v>1</v>
      </c>
      <c r="T15" s="52">
        <v>1</v>
      </c>
      <c r="U15" s="52">
        <v>1</v>
      </c>
      <c r="V15" s="52">
        <v>1</v>
      </c>
      <c r="W15" s="52">
        <v>1</v>
      </c>
      <c r="X15" s="52">
        <v>1</v>
      </c>
      <c r="Y15" s="52">
        <v>1</v>
      </c>
      <c r="Z15" s="52">
        <v>1</v>
      </c>
      <c r="AA15" s="52">
        <v>1</v>
      </c>
      <c r="AB15" s="53">
        <f>IF(AB6=0,0,AB12/AB6)</f>
        <v>1</v>
      </c>
      <c r="AC15" s="52">
        <v>1</v>
      </c>
      <c r="AD15" s="52">
        <v>1</v>
      </c>
      <c r="AE15" s="52">
        <v>1</v>
      </c>
      <c r="AF15" s="52">
        <v>1</v>
      </c>
      <c r="AG15" s="52">
        <v>1</v>
      </c>
      <c r="AH15" s="52">
        <v>1</v>
      </c>
      <c r="AI15" s="52">
        <v>1</v>
      </c>
      <c r="AJ15" s="52">
        <v>1</v>
      </c>
      <c r="AK15" s="52">
        <v>1</v>
      </c>
      <c r="AL15" s="52">
        <v>1</v>
      </c>
      <c r="AM15" s="52">
        <v>1</v>
      </c>
      <c r="AN15" s="52">
        <v>1</v>
      </c>
      <c r="AO15" s="53">
        <f>IF(AO6=0,0,AO12/AO6)</f>
        <v>1</v>
      </c>
    </row>
    <row r="16" spans="1:41" s="54" customFormat="1" ht="16.149999999999999" customHeight="1" thickBot="1" x14ac:dyDescent="0.3">
      <c r="A16" s="144"/>
      <c r="B16" s="54" t="s">
        <v>2</v>
      </c>
      <c r="C16" s="55">
        <f t="shared" ref="C16:N16" ca="1" si="21">IF(C7=0,0,C13/C7)</f>
        <v>0.54788114953726252</v>
      </c>
      <c r="D16" s="55">
        <f t="shared" ca="1" si="21"/>
        <v>0.52789148024750121</v>
      </c>
      <c r="E16" s="55">
        <f t="shared" ca="1" si="21"/>
        <v>0.54082568807339448</v>
      </c>
      <c r="F16" s="55">
        <f t="shared" ca="1" si="21"/>
        <v>0.54359205776173281</v>
      </c>
      <c r="G16" s="55">
        <f t="shared" ca="1" si="21"/>
        <v>0.53642728093947611</v>
      </c>
      <c r="H16" s="55">
        <f t="shared" ca="1" si="21"/>
        <v>0.54514672686230248</v>
      </c>
      <c r="I16" s="55">
        <f t="shared" ca="1" si="21"/>
        <v>0.55259259259259264</v>
      </c>
      <c r="J16" s="55">
        <f t="shared" ca="1" si="21"/>
        <v>0.54626326484533749</v>
      </c>
      <c r="K16" s="55">
        <f t="shared" ca="1" si="21"/>
        <v>0.54764993336294976</v>
      </c>
      <c r="L16" s="55">
        <f t="shared" ca="1" si="21"/>
        <v>0.56165554072096124</v>
      </c>
      <c r="M16" s="55">
        <f t="shared" ca="1" si="21"/>
        <v>0.54556701030927834</v>
      </c>
      <c r="N16" s="55">
        <f t="shared" ca="1" si="21"/>
        <v>0.55241063244729605</v>
      </c>
      <c r="O16" s="55">
        <f ca="1">IF(O7=0,0,O13/O7)</f>
        <v>0.54549774887443725</v>
      </c>
      <c r="P16" s="55">
        <f t="shared" ref="P16:AA16" ca="1" si="22">IF(P7=0,0,P13/P7)</f>
        <v>0.54872506504770169</v>
      </c>
      <c r="Q16" s="55">
        <f t="shared" ca="1" si="22"/>
        <v>0.55417305585980281</v>
      </c>
      <c r="R16" s="55">
        <f t="shared" ca="1" si="22"/>
        <v>0.55606440071556351</v>
      </c>
      <c r="S16" s="55">
        <f t="shared" ca="1" si="22"/>
        <v>0.54615186615186617</v>
      </c>
      <c r="T16" s="55">
        <f t="shared" ca="1" si="22"/>
        <v>0.5384833925214122</v>
      </c>
      <c r="U16" s="55">
        <f t="shared" ca="1" si="22"/>
        <v>0.55362567579164168</v>
      </c>
      <c r="V16" s="55">
        <f t="shared" ca="1" si="22"/>
        <v>0.57996892341842399</v>
      </c>
      <c r="W16" s="55">
        <f t="shared" ca="1" si="22"/>
        <v>0.57146086585625933</v>
      </c>
      <c r="X16" s="55">
        <f t="shared" ca="1" si="22"/>
        <v>0.56279942868802291</v>
      </c>
      <c r="Y16" s="55">
        <f t="shared" ca="1" si="22"/>
        <v>0.5851810012836971</v>
      </c>
      <c r="Z16" s="55">
        <f t="shared" ca="1" si="22"/>
        <v>0.56419658976930798</v>
      </c>
      <c r="AA16" s="55">
        <f t="shared" ca="1" si="22"/>
        <v>0.56152388970743006</v>
      </c>
      <c r="AB16" s="55">
        <f ca="1">IF(AB7=0,0,AB13/AB7)</f>
        <v>0.55982316004988719</v>
      </c>
      <c r="AC16" s="55">
        <f t="shared" ref="AC16:AN16" ca="1" si="23">IF(AC7=0,0,AC13/AC7)</f>
        <v>0.57423363711681852</v>
      </c>
      <c r="AD16" s="55">
        <f t="shared" ca="1" si="23"/>
        <v>0.57210682492581599</v>
      </c>
      <c r="AE16" s="55">
        <f t="shared" ca="1" si="23"/>
        <v>0.57571428571428573</v>
      </c>
      <c r="AF16" s="55">
        <f t="shared" ca="1" si="23"/>
        <v>0.56826137689614931</v>
      </c>
      <c r="AG16" s="55">
        <f t="shared" ca="1" si="23"/>
        <v>0.57403250773993808</v>
      </c>
      <c r="AH16" s="55">
        <f t="shared" ca="1" si="23"/>
        <v>0.56530147895335614</v>
      </c>
      <c r="AI16" s="55">
        <f t="shared" ca="1" si="23"/>
        <v>0.56251914241960188</v>
      </c>
      <c r="AJ16" s="55">
        <f t="shared" ca="1" si="23"/>
        <v>0.57100456621004569</v>
      </c>
      <c r="AK16" s="55">
        <f t="shared" ca="1" si="23"/>
        <v>0.56763857026567011</v>
      </c>
      <c r="AL16" s="55">
        <f t="shared" ca="1" si="23"/>
        <v>0.58333333333333337</v>
      </c>
      <c r="AM16" s="55">
        <f t="shared" ca="1" si="23"/>
        <v>0.56534818941504184</v>
      </c>
      <c r="AN16" s="55">
        <f t="shared" ca="1" si="23"/>
        <v>0.56655441162320797</v>
      </c>
      <c r="AO16" s="55">
        <f ca="1">IF(AO7=0,0,AO13/AO7)</f>
        <v>0.57027688210984462</v>
      </c>
    </row>
    <row r="17" spans="1:41" s="11" customFormat="1" ht="16.149999999999999" customHeight="1" x14ac:dyDescent="0.3">
      <c r="A17" s="149"/>
      <c r="B17" s="49" t="s">
        <v>237</v>
      </c>
      <c r="C17" s="45">
        <v>500</v>
      </c>
      <c r="D17" s="45">
        <v>500</v>
      </c>
      <c r="E17" s="45">
        <v>500</v>
      </c>
      <c r="F17" s="45">
        <v>500</v>
      </c>
      <c r="G17" s="45">
        <v>500</v>
      </c>
      <c r="H17" s="45">
        <v>500</v>
      </c>
      <c r="I17" s="45">
        <v>500</v>
      </c>
      <c r="J17" s="45">
        <v>500</v>
      </c>
      <c r="K17" s="45">
        <v>500</v>
      </c>
      <c r="L17" s="45">
        <v>500</v>
      </c>
      <c r="M17" s="45">
        <v>500</v>
      </c>
      <c r="N17" s="45">
        <v>500</v>
      </c>
      <c r="O17" s="46">
        <f t="shared" ref="O17:O40" si="24">SUM(C17:N17)</f>
        <v>6000</v>
      </c>
      <c r="P17" s="45">
        <v>600</v>
      </c>
      <c r="Q17" s="45">
        <v>600</v>
      </c>
      <c r="R17" s="45">
        <v>600</v>
      </c>
      <c r="S17" s="45">
        <v>600</v>
      </c>
      <c r="T17" s="45">
        <v>600</v>
      </c>
      <c r="U17" s="45">
        <v>600</v>
      </c>
      <c r="V17" s="45">
        <v>600</v>
      </c>
      <c r="W17" s="45">
        <v>600</v>
      </c>
      <c r="X17" s="45">
        <v>600</v>
      </c>
      <c r="Y17" s="45">
        <v>600</v>
      </c>
      <c r="Z17" s="45">
        <v>600</v>
      </c>
      <c r="AA17" s="45">
        <v>600</v>
      </c>
      <c r="AB17" s="46">
        <f t="shared" ref="AB17:AB40" si="25">SUM(P17:AA17)</f>
        <v>7200</v>
      </c>
      <c r="AC17" s="45">
        <v>650</v>
      </c>
      <c r="AD17" s="45">
        <v>650</v>
      </c>
      <c r="AE17" s="45">
        <v>650</v>
      </c>
      <c r="AF17" s="45">
        <v>650</v>
      </c>
      <c r="AG17" s="45">
        <v>650</v>
      </c>
      <c r="AH17" s="45">
        <v>650</v>
      </c>
      <c r="AI17" s="45">
        <v>650</v>
      </c>
      <c r="AJ17" s="45">
        <v>650</v>
      </c>
      <c r="AK17" s="45">
        <v>650</v>
      </c>
      <c r="AL17" s="45">
        <v>650</v>
      </c>
      <c r="AM17" s="45">
        <v>650</v>
      </c>
      <c r="AN17" s="45">
        <v>650</v>
      </c>
      <c r="AO17" s="46">
        <f t="shared" ref="AO17:AO40" si="26">SUM(AC17:AN17)</f>
        <v>7800</v>
      </c>
    </row>
    <row r="18" spans="1:41" ht="16.149999999999999" customHeight="1" x14ac:dyDescent="0.3">
      <c r="B18" s="2" t="s">
        <v>135</v>
      </c>
      <c r="C18" s="45"/>
      <c r="D18" s="45"/>
      <c r="E18" s="45"/>
      <c r="F18" s="45"/>
      <c r="G18" s="56"/>
      <c r="H18" s="56"/>
      <c r="I18" s="56"/>
      <c r="J18" s="56"/>
      <c r="K18" s="56"/>
      <c r="L18" s="56"/>
      <c r="M18" s="56"/>
      <c r="N18" s="56"/>
      <c r="O18" s="57"/>
      <c r="P18" s="56"/>
      <c r="Q18" s="56"/>
      <c r="R18" s="56"/>
      <c r="S18" s="56"/>
      <c r="T18" s="56"/>
      <c r="U18" s="56"/>
      <c r="V18" s="56"/>
      <c r="W18" s="56"/>
      <c r="X18" s="56"/>
      <c r="Y18" s="56"/>
      <c r="Z18" s="56"/>
      <c r="AA18" s="56"/>
      <c r="AB18" s="57"/>
      <c r="AC18" s="56"/>
      <c r="AD18" s="56"/>
      <c r="AE18" s="56"/>
      <c r="AF18" s="56"/>
      <c r="AG18" s="56"/>
      <c r="AH18" s="56"/>
      <c r="AI18" s="56"/>
      <c r="AJ18" s="56"/>
      <c r="AK18" s="56"/>
      <c r="AL18" s="56"/>
      <c r="AM18" s="56"/>
      <c r="AN18" s="56"/>
      <c r="AO18" s="57"/>
    </row>
    <row r="19" spans="1:41" s="11" customFormat="1" ht="16.149999999999999" customHeight="1" x14ac:dyDescent="0.3">
      <c r="A19" s="149" t="s">
        <v>197</v>
      </c>
      <c r="B19" s="49" t="s">
        <v>3</v>
      </c>
      <c r="C19" s="45">
        <v>2000</v>
      </c>
      <c r="D19" s="45">
        <v>2000</v>
      </c>
      <c r="E19" s="45">
        <v>2000</v>
      </c>
      <c r="F19" s="45">
        <v>2000</v>
      </c>
      <c r="G19" s="45">
        <v>2000</v>
      </c>
      <c r="H19" s="45">
        <v>2000</v>
      </c>
      <c r="I19" s="45">
        <v>2000</v>
      </c>
      <c r="J19" s="45">
        <v>2000</v>
      </c>
      <c r="K19" s="45">
        <v>2000</v>
      </c>
      <c r="L19" s="45">
        <v>2000</v>
      </c>
      <c r="M19" s="45">
        <v>2000</v>
      </c>
      <c r="N19" s="45">
        <v>2000</v>
      </c>
      <c r="O19" s="46">
        <f t="shared" si="24"/>
        <v>24000</v>
      </c>
      <c r="P19" s="45">
        <v>2000</v>
      </c>
      <c r="Q19" s="45">
        <v>2000</v>
      </c>
      <c r="R19" s="45">
        <v>2000</v>
      </c>
      <c r="S19" s="45">
        <v>2000</v>
      </c>
      <c r="T19" s="45">
        <v>2000</v>
      </c>
      <c r="U19" s="45">
        <v>2000</v>
      </c>
      <c r="V19" s="45">
        <v>2000</v>
      </c>
      <c r="W19" s="45">
        <v>2000</v>
      </c>
      <c r="X19" s="45">
        <v>2000</v>
      </c>
      <c r="Y19" s="45">
        <v>2000</v>
      </c>
      <c r="Z19" s="45">
        <v>2000</v>
      </c>
      <c r="AA19" s="45">
        <v>2000</v>
      </c>
      <c r="AB19" s="46">
        <f t="shared" si="25"/>
        <v>24000</v>
      </c>
      <c r="AC19" s="45">
        <v>2000</v>
      </c>
      <c r="AD19" s="45">
        <v>2000</v>
      </c>
      <c r="AE19" s="45">
        <v>2000</v>
      </c>
      <c r="AF19" s="45">
        <v>2000</v>
      </c>
      <c r="AG19" s="45">
        <v>2000</v>
      </c>
      <c r="AH19" s="45">
        <v>2000</v>
      </c>
      <c r="AI19" s="45">
        <v>2000</v>
      </c>
      <c r="AJ19" s="45">
        <v>2000</v>
      </c>
      <c r="AK19" s="45">
        <v>2000</v>
      </c>
      <c r="AL19" s="45">
        <v>2000</v>
      </c>
      <c r="AM19" s="45">
        <v>2000</v>
      </c>
      <c r="AN19" s="45">
        <v>2000</v>
      </c>
      <c r="AO19" s="46">
        <f t="shared" si="26"/>
        <v>24000</v>
      </c>
    </row>
    <row r="20" spans="1:41" s="11" customFormat="1" ht="16.149999999999999" customHeight="1" x14ac:dyDescent="0.3">
      <c r="A20" s="149" t="s">
        <v>197</v>
      </c>
      <c r="B20" s="49" t="s">
        <v>15</v>
      </c>
      <c r="C20" s="45">
        <v>5000</v>
      </c>
      <c r="D20" s="45">
        <v>5000</v>
      </c>
      <c r="E20" s="45">
        <v>10000</v>
      </c>
      <c r="F20" s="45">
        <v>5000</v>
      </c>
      <c r="G20" s="45">
        <v>5000</v>
      </c>
      <c r="H20" s="45">
        <v>25000</v>
      </c>
      <c r="I20" s="45">
        <v>5000</v>
      </c>
      <c r="J20" s="45">
        <v>5000</v>
      </c>
      <c r="K20" s="45">
        <v>43000</v>
      </c>
      <c r="L20" s="45">
        <v>13000</v>
      </c>
      <c r="M20" s="45">
        <v>5000</v>
      </c>
      <c r="N20" s="45">
        <v>5000</v>
      </c>
      <c r="O20" s="46">
        <f t="shared" si="24"/>
        <v>131000</v>
      </c>
      <c r="P20" s="45">
        <v>5000</v>
      </c>
      <c r="Q20" s="45">
        <v>22000</v>
      </c>
      <c r="R20" s="45">
        <v>5000</v>
      </c>
      <c r="S20" s="45">
        <v>5000</v>
      </c>
      <c r="T20" s="45">
        <v>5000</v>
      </c>
      <c r="U20" s="45">
        <v>39000</v>
      </c>
      <c r="V20" s="45">
        <v>5000</v>
      </c>
      <c r="W20" s="45">
        <v>5000</v>
      </c>
      <c r="X20" s="45">
        <v>5000</v>
      </c>
      <c r="Y20" s="45">
        <v>47000</v>
      </c>
      <c r="Z20" s="45">
        <v>5000</v>
      </c>
      <c r="AA20" s="45">
        <v>5000</v>
      </c>
      <c r="AB20" s="46">
        <f t="shared" si="25"/>
        <v>153000</v>
      </c>
      <c r="AC20" s="45">
        <v>5000</v>
      </c>
      <c r="AD20" s="45">
        <v>54000</v>
      </c>
      <c r="AE20" s="45">
        <v>5000</v>
      </c>
      <c r="AF20" s="45">
        <v>5000</v>
      </c>
      <c r="AG20" s="45">
        <v>65000</v>
      </c>
      <c r="AH20" s="45">
        <v>8000</v>
      </c>
      <c r="AI20" s="45">
        <v>8000</v>
      </c>
      <c r="AJ20" s="45">
        <v>8000</v>
      </c>
      <c r="AK20" s="45">
        <v>32000</v>
      </c>
      <c r="AL20" s="45">
        <v>18000</v>
      </c>
      <c r="AM20" s="45">
        <v>18000</v>
      </c>
      <c r="AN20" s="45">
        <v>18000</v>
      </c>
      <c r="AO20" s="46">
        <f t="shared" si="26"/>
        <v>244000</v>
      </c>
    </row>
    <row r="21" spans="1:41" s="11" customFormat="1" ht="16.149999999999999" customHeight="1" x14ac:dyDescent="0.3">
      <c r="A21" s="149" t="s">
        <v>199</v>
      </c>
      <c r="B21" s="49" t="s">
        <v>4</v>
      </c>
      <c r="C21" s="45">
        <v>250</v>
      </c>
      <c r="D21" s="45">
        <v>250</v>
      </c>
      <c r="E21" s="45">
        <v>250</v>
      </c>
      <c r="F21" s="45">
        <v>250</v>
      </c>
      <c r="G21" s="45">
        <v>250</v>
      </c>
      <c r="H21" s="45">
        <v>250</v>
      </c>
      <c r="I21" s="45">
        <v>250</v>
      </c>
      <c r="J21" s="45">
        <v>250</v>
      </c>
      <c r="K21" s="45">
        <v>250</v>
      </c>
      <c r="L21" s="45">
        <v>250</v>
      </c>
      <c r="M21" s="45">
        <v>250</v>
      </c>
      <c r="N21" s="45">
        <v>250</v>
      </c>
      <c r="O21" s="46">
        <f t="shared" si="24"/>
        <v>3000</v>
      </c>
      <c r="P21" s="45">
        <v>500</v>
      </c>
      <c r="Q21" s="45">
        <v>500</v>
      </c>
      <c r="R21" s="45">
        <v>500</v>
      </c>
      <c r="S21" s="45">
        <v>500</v>
      </c>
      <c r="T21" s="45">
        <v>500</v>
      </c>
      <c r="U21" s="45">
        <v>500</v>
      </c>
      <c r="V21" s="45">
        <v>500</v>
      </c>
      <c r="W21" s="45">
        <v>500</v>
      </c>
      <c r="X21" s="45">
        <v>500</v>
      </c>
      <c r="Y21" s="45">
        <v>500</v>
      </c>
      <c r="Z21" s="45">
        <v>500</v>
      </c>
      <c r="AA21" s="45">
        <v>500</v>
      </c>
      <c r="AB21" s="46">
        <f t="shared" si="25"/>
        <v>6000</v>
      </c>
      <c r="AC21" s="45">
        <v>730</v>
      </c>
      <c r="AD21" s="45">
        <v>730</v>
      </c>
      <c r="AE21" s="45">
        <v>730</v>
      </c>
      <c r="AF21" s="45">
        <v>730</v>
      </c>
      <c r="AG21" s="45">
        <v>730</v>
      </c>
      <c r="AH21" s="45">
        <v>730</v>
      </c>
      <c r="AI21" s="45">
        <v>730</v>
      </c>
      <c r="AJ21" s="45">
        <v>730</v>
      </c>
      <c r="AK21" s="45">
        <v>730</v>
      </c>
      <c r="AL21" s="45">
        <v>730</v>
      </c>
      <c r="AM21" s="45">
        <v>730</v>
      </c>
      <c r="AN21" s="45">
        <v>730</v>
      </c>
      <c r="AO21" s="46">
        <f t="shared" si="26"/>
        <v>8760</v>
      </c>
    </row>
    <row r="22" spans="1:41" s="11" customFormat="1" ht="16.149999999999999" customHeight="1" x14ac:dyDescent="0.3">
      <c r="A22" s="149" t="s">
        <v>199</v>
      </c>
      <c r="B22" s="49" t="s">
        <v>16</v>
      </c>
      <c r="C22" s="45">
        <v>500</v>
      </c>
      <c r="D22" s="45">
        <v>500</v>
      </c>
      <c r="E22" s="45">
        <v>800</v>
      </c>
      <c r="F22" s="45">
        <v>800</v>
      </c>
      <c r="G22" s="45">
        <v>800</v>
      </c>
      <c r="H22" s="45">
        <v>860</v>
      </c>
      <c r="I22" s="45">
        <v>860</v>
      </c>
      <c r="J22" s="45">
        <v>860</v>
      </c>
      <c r="K22" s="45">
        <v>860</v>
      </c>
      <c r="L22" s="45">
        <v>860</v>
      </c>
      <c r="M22" s="45">
        <v>860</v>
      </c>
      <c r="N22" s="45">
        <v>860</v>
      </c>
      <c r="O22" s="46">
        <f t="shared" si="24"/>
        <v>9420</v>
      </c>
      <c r="P22" s="45">
        <v>920</v>
      </c>
      <c r="Q22" s="45">
        <v>920</v>
      </c>
      <c r="R22" s="45">
        <v>920</v>
      </c>
      <c r="S22" s="45">
        <v>920</v>
      </c>
      <c r="T22" s="45">
        <v>920</v>
      </c>
      <c r="U22" s="45">
        <v>920</v>
      </c>
      <c r="V22" s="45">
        <v>920</v>
      </c>
      <c r="W22" s="45">
        <v>920</v>
      </c>
      <c r="X22" s="45">
        <v>945</v>
      </c>
      <c r="Y22" s="45">
        <v>945</v>
      </c>
      <c r="Z22" s="45">
        <v>945</v>
      </c>
      <c r="AA22" s="45">
        <v>945</v>
      </c>
      <c r="AB22" s="46">
        <f t="shared" si="25"/>
        <v>11140</v>
      </c>
      <c r="AC22" s="45">
        <v>1034</v>
      </c>
      <c r="AD22" s="45">
        <v>1034</v>
      </c>
      <c r="AE22" s="45">
        <v>1034</v>
      </c>
      <c r="AF22" s="45">
        <v>1034</v>
      </c>
      <c r="AG22" s="45">
        <v>1034</v>
      </c>
      <c r="AH22" s="45">
        <v>1034</v>
      </c>
      <c r="AI22" s="45">
        <v>2080</v>
      </c>
      <c r="AJ22" s="45">
        <v>2080</v>
      </c>
      <c r="AK22" s="45">
        <v>2080</v>
      </c>
      <c r="AL22" s="45">
        <v>2080</v>
      </c>
      <c r="AM22" s="45">
        <v>2080</v>
      </c>
      <c r="AN22" s="45">
        <v>2080</v>
      </c>
      <c r="AO22" s="46">
        <f t="shared" si="26"/>
        <v>18684</v>
      </c>
    </row>
    <row r="23" spans="1:41" s="11" customFormat="1" ht="16.149999999999999" customHeight="1" x14ac:dyDescent="0.3">
      <c r="A23" s="149" t="s">
        <v>199</v>
      </c>
      <c r="B23" s="49" t="s">
        <v>5</v>
      </c>
      <c r="C23" s="45">
        <v>0</v>
      </c>
      <c r="D23" s="45">
        <v>0</v>
      </c>
      <c r="E23" s="45">
        <v>0</v>
      </c>
      <c r="F23" s="45">
        <v>3800</v>
      </c>
      <c r="G23" s="45">
        <v>0</v>
      </c>
      <c r="H23" s="45">
        <v>0</v>
      </c>
      <c r="I23" s="45">
        <v>0</v>
      </c>
      <c r="J23" s="45">
        <v>0</v>
      </c>
      <c r="K23" s="45">
        <v>0</v>
      </c>
      <c r="L23" s="45">
        <v>0</v>
      </c>
      <c r="M23" s="45">
        <v>0</v>
      </c>
      <c r="N23" s="45">
        <v>4200</v>
      </c>
      <c r="O23" s="46">
        <f t="shared" si="24"/>
        <v>8000</v>
      </c>
      <c r="P23" s="45">
        <v>0</v>
      </c>
      <c r="Q23" s="45">
        <v>0</v>
      </c>
      <c r="R23" s="45">
        <v>0</v>
      </c>
      <c r="S23" s="45">
        <v>0</v>
      </c>
      <c r="T23" s="45">
        <v>0</v>
      </c>
      <c r="U23" s="45">
        <v>1285</v>
      </c>
      <c r="V23" s="45">
        <v>0</v>
      </c>
      <c r="W23" s="45">
        <v>0</v>
      </c>
      <c r="X23" s="45">
        <v>0</v>
      </c>
      <c r="Y23" s="45">
        <v>890</v>
      </c>
      <c r="Z23" s="45">
        <v>0</v>
      </c>
      <c r="AA23" s="45">
        <v>0</v>
      </c>
      <c r="AB23" s="46">
        <f t="shared" si="25"/>
        <v>2175</v>
      </c>
      <c r="AC23" s="45">
        <v>0</v>
      </c>
      <c r="AD23" s="45">
        <v>0</v>
      </c>
      <c r="AE23" s="45">
        <v>854</v>
      </c>
      <c r="AF23" s="45">
        <v>0</v>
      </c>
      <c r="AG23" s="45">
        <v>0</v>
      </c>
      <c r="AH23" s="45">
        <v>0</v>
      </c>
      <c r="AI23" s="45">
        <v>0</v>
      </c>
      <c r="AJ23" s="45">
        <v>1070</v>
      </c>
      <c r="AK23" s="45">
        <v>0</v>
      </c>
      <c r="AL23" s="45">
        <v>0</v>
      </c>
      <c r="AM23" s="45">
        <v>0</v>
      </c>
      <c r="AN23" s="45">
        <v>0</v>
      </c>
      <c r="AO23" s="46">
        <f t="shared" si="26"/>
        <v>1924</v>
      </c>
    </row>
    <row r="24" spans="1:41" s="11" customFormat="1" ht="16.149999999999999" customHeight="1" x14ac:dyDescent="0.3">
      <c r="A24" s="149" t="s">
        <v>199</v>
      </c>
      <c r="B24" s="49" t="s">
        <v>22</v>
      </c>
      <c r="C24" s="45">
        <v>1250</v>
      </c>
      <c r="D24" s="45">
        <v>0</v>
      </c>
      <c r="E24" s="45">
        <v>0</v>
      </c>
      <c r="F24" s="45">
        <v>0</v>
      </c>
      <c r="G24" s="45">
        <v>2300</v>
      </c>
      <c r="H24" s="45">
        <v>780</v>
      </c>
      <c r="I24" s="45">
        <v>200</v>
      </c>
      <c r="J24" s="45">
        <v>0</v>
      </c>
      <c r="K24" s="45">
        <v>0</v>
      </c>
      <c r="L24" s="45">
        <v>759</v>
      </c>
      <c r="M24" s="45">
        <v>0</v>
      </c>
      <c r="N24" s="45">
        <v>0</v>
      </c>
      <c r="O24" s="46">
        <f t="shared" si="24"/>
        <v>5289</v>
      </c>
      <c r="P24" s="45">
        <v>543</v>
      </c>
      <c r="Q24" s="45">
        <v>0</v>
      </c>
      <c r="R24" s="45">
        <v>0</v>
      </c>
      <c r="S24" s="45">
        <v>875</v>
      </c>
      <c r="T24" s="45">
        <v>567</v>
      </c>
      <c r="U24" s="45">
        <v>357</v>
      </c>
      <c r="V24" s="45">
        <v>0</v>
      </c>
      <c r="W24" s="45">
        <v>5778</v>
      </c>
      <c r="X24" s="45">
        <v>0</v>
      </c>
      <c r="Y24" s="45">
        <v>0</v>
      </c>
      <c r="Z24" s="45">
        <v>0</v>
      </c>
      <c r="AA24" s="45">
        <v>644</v>
      </c>
      <c r="AB24" s="46">
        <f t="shared" si="25"/>
        <v>8764</v>
      </c>
      <c r="AC24" s="45">
        <v>1250</v>
      </c>
      <c r="AD24" s="45">
        <v>655</v>
      </c>
      <c r="AE24" s="45">
        <v>3556</v>
      </c>
      <c r="AF24" s="45">
        <v>0</v>
      </c>
      <c r="AG24" s="45">
        <v>0</v>
      </c>
      <c r="AH24" s="45">
        <v>764</v>
      </c>
      <c r="AI24" s="45">
        <v>755</v>
      </c>
      <c r="AJ24" s="45">
        <v>976</v>
      </c>
      <c r="AK24" s="45">
        <v>0</v>
      </c>
      <c r="AL24" s="45">
        <v>0</v>
      </c>
      <c r="AM24" s="45">
        <v>455</v>
      </c>
      <c r="AN24" s="45">
        <v>987</v>
      </c>
      <c r="AO24" s="46">
        <f t="shared" si="26"/>
        <v>9398</v>
      </c>
    </row>
    <row r="25" spans="1:41" s="11" customFormat="1" ht="16.149999999999999" customHeight="1" x14ac:dyDescent="0.3">
      <c r="A25" s="149" t="s">
        <v>199</v>
      </c>
      <c r="B25" s="49" t="s">
        <v>7</v>
      </c>
      <c r="C25" s="45">
        <v>1000</v>
      </c>
      <c r="D25" s="45">
        <v>1000</v>
      </c>
      <c r="E25" s="45">
        <v>1000</v>
      </c>
      <c r="F25" s="45">
        <v>1000</v>
      </c>
      <c r="G25" s="45">
        <v>1000</v>
      </c>
      <c r="H25" s="45">
        <v>1200</v>
      </c>
      <c r="I25" s="45">
        <v>1200</v>
      </c>
      <c r="J25" s="45">
        <v>1200</v>
      </c>
      <c r="K25" s="45">
        <v>1200</v>
      </c>
      <c r="L25" s="45">
        <v>1200</v>
      </c>
      <c r="M25" s="45">
        <v>1200</v>
      </c>
      <c r="N25" s="45">
        <v>1200</v>
      </c>
      <c r="O25" s="46">
        <f t="shared" si="24"/>
        <v>13400</v>
      </c>
      <c r="P25" s="45">
        <v>2700</v>
      </c>
      <c r="Q25" s="45">
        <v>2700</v>
      </c>
      <c r="R25" s="45">
        <v>2700</v>
      </c>
      <c r="S25" s="45">
        <v>2700</v>
      </c>
      <c r="T25" s="45">
        <v>2700</v>
      </c>
      <c r="U25" s="45">
        <v>2700</v>
      </c>
      <c r="V25" s="45">
        <v>2700</v>
      </c>
      <c r="W25" s="45">
        <v>2700</v>
      </c>
      <c r="X25" s="45">
        <v>3200</v>
      </c>
      <c r="Y25" s="45">
        <v>3200</v>
      </c>
      <c r="Z25" s="45">
        <v>3200</v>
      </c>
      <c r="AA25" s="45">
        <v>3200</v>
      </c>
      <c r="AB25" s="46">
        <f t="shared" si="25"/>
        <v>34400</v>
      </c>
      <c r="AC25" s="45">
        <v>3800</v>
      </c>
      <c r="AD25" s="45">
        <v>3800</v>
      </c>
      <c r="AE25" s="45">
        <v>3800</v>
      </c>
      <c r="AF25" s="45">
        <v>3800</v>
      </c>
      <c r="AG25" s="45">
        <v>3800</v>
      </c>
      <c r="AH25" s="45">
        <v>3800</v>
      </c>
      <c r="AI25" s="45">
        <v>3800</v>
      </c>
      <c r="AJ25" s="45">
        <v>4100</v>
      </c>
      <c r="AK25" s="45">
        <v>4100</v>
      </c>
      <c r="AL25" s="45">
        <v>4100</v>
      </c>
      <c r="AM25" s="45">
        <v>4100</v>
      </c>
      <c r="AN25" s="45">
        <v>4100</v>
      </c>
      <c r="AO25" s="46">
        <f t="shared" si="26"/>
        <v>47100</v>
      </c>
    </row>
    <row r="26" spans="1:41" s="11" customFormat="1" ht="16.149999999999999" customHeight="1" x14ac:dyDescent="0.3">
      <c r="A26" s="149" t="s">
        <v>305</v>
      </c>
      <c r="B26" s="49" t="s">
        <v>8</v>
      </c>
      <c r="C26" s="45">
        <v>0</v>
      </c>
      <c r="D26" s="45">
        <v>0</v>
      </c>
      <c r="E26" s="45">
        <v>0</v>
      </c>
      <c r="F26" s="45">
        <v>0</v>
      </c>
      <c r="G26" s="45">
        <v>0</v>
      </c>
      <c r="H26" s="45">
        <v>0</v>
      </c>
      <c r="I26" s="45">
        <v>0</v>
      </c>
      <c r="J26" s="45">
        <v>12000</v>
      </c>
      <c r="K26" s="45">
        <v>0</v>
      </c>
      <c r="L26" s="45">
        <v>0</v>
      </c>
      <c r="M26" s="45">
        <v>0</v>
      </c>
      <c r="N26" s="45">
        <v>0</v>
      </c>
      <c r="O26" s="46">
        <f t="shared" si="24"/>
        <v>12000</v>
      </c>
      <c r="P26" s="45">
        <v>0</v>
      </c>
      <c r="Q26" s="45">
        <v>0</v>
      </c>
      <c r="R26" s="45">
        <v>0</v>
      </c>
      <c r="S26" s="45">
        <v>0</v>
      </c>
      <c r="T26" s="45">
        <v>0</v>
      </c>
      <c r="U26" s="45">
        <v>0</v>
      </c>
      <c r="V26" s="45">
        <v>0</v>
      </c>
      <c r="W26" s="45">
        <v>22000</v>
      </c>
      <c r="X26" s="45">
        <v>0</v>
      </c>
      <c r="Y26" s="45">
        <v>0</v>
      </c>
      <c r="Z26" s="45">
        <v>0</v>
      </c>
      <c r="AA26" s="45">
        <v>0</v>
      </c>
      <c r="AB26" s="46">
        <f t="shared" si="25"/>
        <v>22000</v>
      </c>
      <c r="AC26" s="45">
        <v>0</v>
      </c>
      <c r="AD26" s="45">
        <v>0</v>
      </c>
      <c r="AE26" s="45">
        <v>0</v>
      </c>
      <c r="AF26" s="45">
        <v>0</v>
      </c>
      <c r="AG26" s="45">
        <v>0</v>
      </c>
      <c r="AH26" s="45">
        <v>0</v>
      </c>
      <c r="AI26" s="45">
        <v>29000</v>
      </c>
      <c r="AJ26" s="45">
        <v>0</v>
      </c>
      <c r="AK26" s="45">
        <v>0</v>
      </c>
      <c r="AL26" s="45">
        <v>0</v>
      </c>
      <c r="AM26" s="45">
        <v>0</v>
      </c>
      <c r="AN26" s="45">
        <v>0</v>
      </c>
      <c r="AO26" s="46">
        <f t="shared" si="26"/>
        <v>29000</v>
      </c>
    </row>
    <row r="27" spans="1:41" s="11" customFormat="1" ht="16.149999999999999" customHeight="1" x14ac:dyDescent="0.3">
      <c r="A27" s="149" t="s">
        <v>197</v>
      </c>
      <c r="B27" s="49" t="s">
        <v>20</v>
      </c>
      <c r="C27" s="45">
        <v>0</v>
      </c>
      <c r="D27" s="45">
        <v>0</v>
      </c>
      <c r="E27" s="45">
        <v>0</v>
      </c>
      <c r="F27" s="45">
        <v>0</v>
      </c>
      <c r="G27" s="45">
        <v>18000</v>
      </c>
      <c r="H27" s="45">
        <v>0</v>
      </c>
      <c r="I27" s="45">
        <v>0</v>
      </c>
      <c r="J27" s="45">
        <v>0</v>
      </c>
      <c r="K27" s="45">
        <v>0</v>
      </c>
      <c r="L27" s="45">
        <v>0</v>
      </c>
      <c r="M27" s="45">
        <v>0</v>
      </c>
      <c r="N27" s="45">
        <v>0</v>
      </c>
      <c r="O27" s="46">
        <f t="shared" si="24"/>
        <v>18000</v>
      </c>
      <c r="P27" s="45">
        <v>0</v>
      </c>
      <c r="Q27" s="45">
        <v>0</v>
      </c>
      <c r="R27" s="45">
        <v>0</v>
      </c>
      <c r="S27" s="45">
        <v>0</v>
      </c>
      <c r="T27" s="45">
        <v>0</v>
      </c>
      <c r="U27" s="45">
        <v>0</v>
      </c>
      <c r="V27" s="45">
        <v>0</v>
      </c>
      <c r="W27" s="45">
        <v>0</v>
      </c>
      <c r="X27" s="45">
        <v>0</v>
      </c>
      <c r="Y27" s="45">
        <v>0</v>
      </c>
      <c r="Z27" s="45">
        <v>33000</v>
      </c>
      <c r="AA27" s="45">
        <v>0</v>
      </c>
      <c r="AB27" s="46">
        <f t="shared" si="25"/>
        <v>33000</v>
      </c>
      <c r="AC27" s="45">
        <v>0</v>
      </c>
      <c r="AD27" s="45">
        <v>0</v>
      </c>
      <c r="AE27" s="45">
        <v>0</v>
      </c>
      <c r="AF27" s="45">
        <v>0</v>
      </c>
      <c r="AG27" s="45">
        <v>29000</v>
      </c>
      <c r="AH27" s="45">
        <v>0</v>
      </c>
      <c r="AI27" s="45">
        <v>0</v>
      </c>
      <c r="AJ27" s="45">
        <v>0</v>
      </c>
      <c r="AK27" s="45">
        <v>0</v>
      </c>
      <c r="AL27" s="45">
        <v>0</v>
      </c>
      <c r="AM27" s="45">
        <v>0</v>
      </c>
      <c r="AN27" s="45">
        <v>0</v>
      </c>
      <c r="AO27" s="46">
        <f t="shared" si="26"/>
        <v>29000</v>
      </c>
    </row>
    <row r="28" spans="1:41" s="11" customFormat="1" ht="16.149999999999999" customHeight="1" x14ac:dyDescent="0.3">
      <c r="A28" s="149" t="s">
        <v>199</v>
      </c>
      <c r="B28" s="49" t="s">
        <v>9</v>
      </c>
      <c r="C28" s="45">
        <v>2000</v>
      </c>
      <c r="D28" s="45">
        <v>2000</v>
      </c>
      <c r="E28" s="45">
        <v>2000</v>
      </c>
      <c r="F28" s="45">
        <v>2000</v>
      </c>
      <c r="G28" s="45">
        <v>2000</v>
      </c>
      <c r="H28" s="45">
        <v>2000</v>
      </c>
      <c r="I28" s="45">
        <v>2300</v>
      </c>
      <c r="J28" s="45">
        <v>2300</v>
      </c>
      <c r="K28" s="45">
        <v>2300</v>
      </c>
      <c r="L28" s="45">
        <v>2300</v>
      </c>
      <c r="M28" s="45">
        <v>2300</v>
      </c>
      <c r="N28" s="45">
        <v>2300</v>
      </c>
      <c r="O28" s="46">
        <f t="shared" si="24"/>
        <v>25800</v>
      </c>
      <c r="P28" s="45">
        <v>2300</v>
      </c>
      <c r="Q28" s="45">
        <v>2300</v>
      </c>
      <c r="R28" s="45">
        <v>2300</v>
      </c>
      <c r="S28" s="45">
        <v>2300</v>
      </c>
      <c r="T28" s="45">
        <v>2300</v>
      </c>
      <c r="U28" s="45">
        <v>2300</v>
      </c>
      <c r="V28" s="45">
        <v>3200</v>
      </c>
      <c r="W28" s="45">
        <v>3200</v>
      </c>
      <c r="X28" s="45">
        <v>3200</v>
      </c>
      <c r="Y28" s="45">
        <v>3200</v>
      </c>
      <c r="Z28" s="45">
        <v>3200</v>
      </c>
      <c r="AA28" s="45">
        <v>3200</v>
      </c>
      <c r="AB28" s="46">
        <f t="shared" si="25"/>
        <v>33000</v>
      </c>
      <c r="AC28" s="45">
        <v>5100</v>
      </c>
      <c r="AD28" s="45">
        <v>5100</v>
      </c>
      <c r="AE28" s="45">
        <v>5100</v>
      </c>
      <c r="AF28" s="45">
        <v>5100</v>
      </c>
      <c r="AG28" s="45">
        <v>5100</v>
      </c>
      <c r="AH28" s="45">
        <v>5100</v>
      </c>
      <c r="AI28" s="45">
        <v>5100</v>
      </c>
      <c r="AJ28" s="45">
        <v>6200</v>
      </c>
      <c r="AK28" s="45">
        <v>6200</v>
      </c>
      <c r="AL28" s="45">
        <v>6200</v>
      </c>
      <c r="AM28" s="45">
        <v>6200</v>
      </c>
      <c r="AN28" s="45">
        <v>6200</v>
      </c>
      <c r="AO28" s="46">
        <f t="shared" si="26"/>
        <v>66700</v>
      </c>
    </row>
    <row r="29" spans="1:41" s="11" customFormat="1" ht="16.149999999999999" customHeight="1" x14ac:dyDescent="0.3">
      <c r="A29" s="149" t="s">
        <v>197</v>
      </c>
      <c r="B29" s="49" t="s">
        <v>23</v>
      </c>
      <c r="C29" s="45">
        <v>0</v>
      </c>
      <c r="D29" s="45">
        <v>0</v>
      </c>
      <c r="E29" s="45">
        <v>0</v>
      </c>
      <c r="F29" s="45">
        <v>74000</v>
      </c>
      <c r="G29" s="45">
        <v>0</v>
      </c>
      <c r="H29" s="45">
        <v>0</v>
      </c>
      <c r="I29" s="45">
        <v>0</v>
      </c>
      <c r="J29" s="45">
        <v>0</v>
      </c>
      <c r="K29" s="45">
        <v>0</v>
      </c>
      <c r="L29" s="45">
        <v>0</v>
      </c>
      <c r="M29" s="45">
        <v>0</v>
      </c>
      <c r="N29" s="45">
        <v>0</v>
      </c>
      <c r="O29" s="46">
        <f t="shared" si="24"/>
        <v>74000</v>
      </c>
      <c r="P29" s="45">
        <v>0</v>
      </c>
      <c r="Q29" s="45">
        <v>0</v>
      </c>
      <c r="R29" s="45">
        <v>0</v>
      </c>
      <c r="S29" s="45">
        <v>0</v>
      </c>
      <c r="T29" s="45">
        <v>0</v>
      </c>
      <c r="U29" s="45">
        <v>0</v>
      </c>
      <c r="V29" s="45">
        <v>0</v>
      </c>
      <c r="W29" s="45">
        <v>0</v>
      </c>
      <c r="X29" s="45">
        <v>0</v>
      </c>
      <c r="Y29" s="45">
        <v>12340</v>
      </c>
      <c r="Z29" s="45">
        <v>0</v>
      </c>
      <c r="AA29" s="45">
        <v>0</v>
      </c>
      <c r="AB29" s="46">
        <f t="shared" si="25"/>
        <v>12340</v>
      </c>
      <c r="AC29" s="45">
        <v>0</v>
      </c>
      <c r="AD29" s="45">
        <v>0</v>
      </c>
      <c r="AE29" s="45">
        <v>0</v>
      </c>
      <c r="AF29" s="45">
        <v>23100</v>
      </c>
      <c r="AG29" s="45">
        <v>0</v>
      </c>
      <c r="AH29" s="45">
        <v>0</v>
      </c>
      <c r="AI29" s="45">
        <v>0</v>
      </c>
      <c r="AJ29" s="45">
        <v>0</v>
      </c>
      <c r="AK29" s="45">
        <v>0</v>
      </c>
      <c r="AL29" s="45">
        <v>0</v>
      </c>
      <c r="AM29" s="45">
        <v>0</v>
      </c>
      <c r="AN29" s="45">
        <v>0</v>
      </c>
      <c r="AO29" s="46">
        <f t="shared" si="26"/>
        <v>23100</v>
      </c>
    </row>
    <row r="30" spans="1:41" s="11" customFormat="1" ht="16.149999999999999" customHeight="1" x14ac:dyDescent="0.3">
      <c r="A30" s="149" t="s">
        <v>199</v>
      </c>
      <c r="B30" s="49" t="s">
        <v>19</v>
      </c>
      <c r="C30" s="45">
        <v>0</v>
      </c>
      <c r="D30" s="45">
        <v>0</v>
      </c>
      <c r="E30" s="45">
        <v>0</v>
      </c>
      <c r="F30" s="45">
        <v>0</v>
      </c>
      <c r="G30" s="45">
        <v>0</v>
      </c>
      <c r="H30" s="45">
        <v>0</v>
      </c>
      <c r="I30" s="45">
        <v>1800</v>
      </c>
      <c r="J30" s="45">
        <v>0</v>
      </c>
      <c r="K30" s="45">
        <v>0</v>
      </c>
      <c r="L30" s="45">
        <v>0</v>
      </c>
      <c r="M30" s="45">
        <v>0</v>
      </c>
      <c r="N30" s="45">
        <v>0</v>
      </c>
      <c r="O30" s="46">
        <f t="shared" si="24"/>
        <v>1800</v>
      </c>
      <c r="P30" s="45">
        <v>0</v>
      </c>
      <c r="Q30" s="45">
        <v>0</v>
      </c>
      <c r="R30" s="45">
        <v>0</v>
      </c>
      <c r="S30" s="45">
        <v>12300</v>
      </c>
      <c r="T30" s="45">
        <v>0</v>
      </c>
      <c r="U30" s="45">
        <v>0</v>
      </c>
      <c r="V30" s="45">
        <v>0</v>
      </c>
      <c r="W30" s="45">
        <v>0</v>
      </c>
      <c r="X30" s="45">
        <v>0</v>
      </c>
      <c r="Y30" s="45">
        <v>0</v>
      </c>
      <c r="Z30" s="45">
        <v>0</v>
      </c>
      <c r="AA30" s="45">
        <v>0</v>
      </c>
      <c r="AB30" s="46">
        <f t="shared" si="25"/>
        <v>12300</v>
      </c>
      <c r="AC30" s="45">
        <v>0</v>
      </c>
      <c r="AD30" s="45">
        <v>0</v>
      </c>
      <c r="AE30" s="45">
        <v>0</v>
      </c>
      <c r="AF30" s="45">
        <v>0</v>
      </c>
      <c r="AG30" s="45">
        <v>8120</v>
      </c>
      <c r="AH30" s="45">
        <v>0</v>
      </c>
      <c r="AI30" s="45">
        <v>0</v>
      </c>
      <c r="AJ30" s="45">
        <v>0</v>
      </c>
      <c r="AK30" s="45">
        <v>0</v>
      </c>
      <c r="AL30" s="45">
        <v>0</v>
      </c>
      <c r="AM30" s="45">
        <v>0</v>
      </c>
      <c r="AN30" s="45">
        <v>0</v>
      </c>
      <c r="AO30" s="46">
        <f t="shared" si="26"/>
        <v>8120</v>
      </c>
    </row>
    <row r="31" spans="1:41" s="11" customFormat="1" ht="16.149999999999999" customHeight="1" x14ac:dyDescent="0.3">
      <c r="A31" s="149" t="s">
        <v>199</v>
      </c>
      <c r="B31" s="49" t="s">
        <v>18</v>
      </c>
      <c r="C31" s="45">
        <v>100</v>
      </c>
      <c r="D31" s="45">
        <v>100</v>
      </c>
      <c r="E31" s="45">
        <v>100</v>
      </c>
      <c r="F31" s="45">
        <v>100</v>
      </c>
      <c r="G31" s="45">
        <v>100</v>
      </c>
      <c r="H31" s="45">
        <v>100</v>
      </c>
      <c r="I31" s="45">
        <v>100</v>
      </c>
      <c r="J31" s="45">
        <v>100</v>
      </c>
      <c r="K31" s="45">
        <v>100</v>
      </c>
      <c r="L31" s="45">
        <v>100</v>
      </c>
      <c r="M31" s="45">
        <v>100</v>
      </c>
      <c r="N31" s="45">
        <v>100</v>
      </c>
      <c r="O31" s="46">
        <f t="shared" si="24"/>
        <v>1200</v>
      </c>
      <c r="P31" s="45">
        <v>140</v>
      </c>
      <c r="Q31" s="45">
        <v>140</v>
      </c>
      <c r="R31" s="45">
        <v>140</v>
      </c>
      <c r="S31" s="45">
        <v>140</v>
      </c>
      <c r="T31" s="45">
        <v>140</v>
      </c>
      <c r="U31" s="45">
        <v>140</v>
      </c>
      <c r="V31" s="45">
        <v>140</v>
      </c>
      <c r="W31" s="45">
        <v>140</v>
      </c>
      <c r="X31" s="45">
        <v>140</v>
      </c>
      <c r="Y31" s="45">
        <v>140</v>
      </c>
      <c r="Z31" s="45">
        <v>140</v>
      </c>
      <c r="AA31" s="45">
        <v>140</v>
      </c>
      <c r="AB31" s="46">
        <f t="shared" si="25"/>
        <v>1680</v>
      </c>
      <c r="AC31" s="45">
        <v>160</v>
      </c>
      <c r="AD31" s="45">
        <v>160</v>
      </c>
      <c r="AE31" s="45">
        <v>160</v>
      </c>
      <c r="AF31" s="45">
        <v>160</v>
      </c>
      <c r="AG31" s="45">
        <v>160</v>
      </c>
      <c r="AH31" s="45">
        <v>160</v>
      </c>
      <c r="AI31" s="45">
        <v>160</v>
      </c>
      <c r="AJ31" s="45">
        <v>160</v>
      </c>
      <c r="AK31" s="45">
        <v>160</v>
      </c>
      <c r="AL31" s="45">
        <v>160</v>
      </c>
      <c r="AM31" s="45">
        <v>160</v>
      </c>
      <c r="AN31" s="45">
        <v>160</v>
      </c>
      <c r="AO31" s="46">
        <f t="shared" si="26"/>
        <v>1920</v>
      </c>
    </row>
    <row r="32" spans="1:41" s="11" customFormat="1" ht="16.149999999999999" customHeight="1" x14ac:dyDescent="0.3">
      <c r="A32" s="149" t="s">
        <v>197</v>
      </c>
      <c r="B32" s="49" t="s">
        <v>10</v>
      </c>
      <c r="C32" s="45">
        <v>300</v>
      </c>
      <c r="D32" s="45">
        <v>300</v>
      </c>
      <c r="E32" s="45">
        <v>300</v>
      </c>
      <c r="F32" s="45">
        <v>300</v>
      </c>
      <c r="G32" s="45">
        <v>300</v>
      </c>
      <c r="H32" s="45">
        <v>300</v>
      </c>
      <c r="I32" s="45">
        <v>300</v>
      </c>
      <c r="J32" s="45">
        <v>300</v>
      </c>
      <c r="K32" s="45">
        <v>300</v>
      </c>
      <c r="L32" s="45">
        <v>300</v>
      </c>
      <c r="M32" s="45">
        <v>300</v>
      </c>
      <c r="N32" s="45">
        <v>300</v>
      </c>
      <c r="O32" s="46">
        <f t="shared" si="24"/>
        <v>3600</v>
      </c>
      <c r="P32" s="45">
        <v>420</v>
      </c>
      <c r="Q32" s="45">
        <v>420</v>
      </c>
      <c r="R32" s="45">
        <v>420</v>
      </c>
      <c r="S32" s="45">
        <v>420</v>
      </c>
      <c r="T32" s="45">
        <v>420</v>
      </c>
      <c r="U32" s="45">
        <v>420</v>
      </c>
      <c r="V32" s="45">
        <v>420</v>
      </c>
      <c r="W32" s="45">
        <v>420</v>
      </c>
      <c r="X32" s="45">
        <v>420</v>
      </c>
      <c r="Y32" s="45">
        <v>420</v>
      </c>
      <c r="Z32" s="45">
        <v>420</v>
      </c>
      <c r="AA32" s="45">
        <v>420</v>
      </c>
      <c r="AB32" s="46">
        <f t="shared" si="25"/>
        <v>5040</v>
      </c>
      <c r="AC32" s="45">
        <v>610</v>
      </c>
      <c r="AD32" s="45">
        <v>610</v>
      </c>
      <c r="AE32" s="45">
        <v>610</v>
      </c>
      <c r="AF32" s="45">
        <v>610</v>
      </c>
      <c r="AG32" s="45">
        <v>610</v>
      </c>
      <c r="AH32" s="45">
        <v>610</v>
      </c>
      <c r="AI32" s="45">
        <v>610</v>
      </c>
      <c r="AJ32" s="45">
        <v>610</v>
      </c>
      <c r="AK32" s="45">
        <v>610</v>
      </c>
      <c r="AL32" s="45">
        <v>610</v>
      </c>
      <c r="AM32" s="45">
        <v>610</v>
      </c>
      <c r="AN32" s="45">
        <v>610</v>
      </c>
      <c r="AO32" s="46">
        <f t="shared" si="26"/>
        <v>7320</v>
      </c>
    </row>
    <row r="33" spans="1:41" s="11" customFormat="1" ht="16.149999999999999" customHeight="1" x14ac:dyDescent="0.3">
      <c r="A33" s="149" t="s">
        <v>197</v>
      </c>
      <c r="B33" s="49" t="s">
        <v>17</v>
      </c>
      <c r="C33" s="45">
        <v>0</v>
      </c>
      <c r="D33" s="45">
        <v>0</v>
      </c>
      <c r="E33" s="45">
        <v>0</v>
      </c>
      <c r="F33" s="45">
        <v>0</v>
      </c>
      <c r="G33" s="45">
        <v>0</v>
      </c>
      <c r="H33" s="45">
        <v>0</v>
      </c>
      <c r="I33" s="45">
        <v>0</v>
      </c>
      <c r="J33" s="45">
        <v>32000</v>
      </c>
      <c r="K33" s="45">
        <v>0</v>
      </c>
      <c r="L33" s="45">
        <v>0</v>
      </c>
      <c r="M33" s="45">
        <v>0</v>
      </c>
      <c r="N33" s="45">
        <v>0</v>
      </c>
      <c r="O33" s="46">
        <f t="shared" si="24"/>
        <v>32000</v>
      </c>
      <c r="P33" s="45">
        <v>0</v>
      </c>
      <c r="Q33" s="45">
        <v>7510</v>
      </c>
      <c r="R33" s="45">
        <v>0</v>
      </c>
      <c r="S33" s="45">
        <v>0</v>
      </c>
      <c r="T33" s="45">
        <v>0</v>
      </c>
      <c r="U33" s="45">
        <v>0</v>
      </c>
      <c r="V33" s="45">
        <v>0</v>
      </c>
      <c r="W33" s="45">
        <v>0</v>
      </c>
      <c r="X33" s="45">
        <v>0</v>
      </c>
      <c r="Y33" s="45">
        <v>0</v>
      </c>
      <c r="Z33" s="45">
        <v>0</v>
      </c>
      <c r="AA33" s="45">
        <v>0</v>
      </c>
      <c r="AB33" s="46">
        <f t="shared" si="25"/>
        <v>7510</v>
      </c>
      <c r="AC33" s="45">
        <v>0</v>
      </c>
      <c r="AD33" s="45">
        <v>2300</v>
      </c>
      <c r="AE33" s="45">
        <v>0</v>
      </c>
      <c r="AF33" s="45">
        <v>0</v>
      </c>
      <c r="AG33" s="45">
        <v>0</v>
      </c>
      <c r="AH33" s="45">
        <v>0</v>
      </c>
      <c r="AI33" s="45">
        <v>0</v>
      </c>
      <c r="AJ33" s="45">
        <v>0</v>
      </c>
      <c r="AK33" s="45">
        <v>3900</v>
      </c>
      <c r="AL33" s="45">
        <v>0</v>
      </c>
      <c r="AM33" s="45">
        <v>0</v>
      </c>
      <c r="AN33" s="45">
        <v>0</v>
      </c>
      <c r="AO33" s="46">
        <f t="shared" si="26"/>
        <v>6200</v>
      </c>
    </row>
    <row r="34" spans="1:41" s="11" customFormat="1" ht="16.149999999999999" customHeight="1" x14ac:dyDescent="0.3">
      <c r="A34" s="149" t="s">
        <v>199</v>
      </c>
      <c r="B34" s="49" t="s">
        <v>11</v>
      </c>
      <c r="C34" s="45">
        <v>20000</v>
      </c>
      <c r="D34" s="45">
        <v>20000</v>
      </c>
      <c r="E34" s="45">
        <v>20000</v>
      </c>
      <c r="F34" s="45">
        <v>20000</v>
      </c>
      <c r="G34" s="45">
        <v>20000</v>
      </c>
      <c r="H34" s="45">
        <v>20000</v>
      </c>
      <c r="I34" s="45">
        <v>20000</v>
      </c>
      <c r="J34" s="45">
        <v>20000</v>
      </c>
      <c r="K34" s="45">
        <v>20000</v>
      </c>
      <c r="L34" s="45">
        <v>20000</v>
      </c>
      <c r="M34" s="45">
        <v>22000</v>
      </c>
      <c r="N34" s="45">
        <v>22000</v>
      </c>
      <c r="O34" s="46">
        <f t="shared" si="24"/>
        <v>244000</v>
      </c>
      <c r="P34" s="45">
        <v>22000</v>
      </c>
      <c r="Q34" s="45">
        <v>22000</v>
      </c>
      <c r="R34" s="45">
        <v>22000</v>
      </c>
      <c r="S34" s="45">
        <v>22000</v>
      </c>
      <c r="T34" s="45">
        <v>22000</v>
      </c>
      <c r="U34" s="45">
        <v>22000</v>
      </c>
      <c r="V34" s="45">
        <v>22000</v>
      </c>
      <c r="W34" s="45">
        <v>22000</v>
      </c>
      <c r="X34" s="45">
        <v>22000</v>
      </c>
      <c r="Y34" s="45">
        <v>22000</v>
      </c>
      <c r="Z34" s="45">
        <v>24200</v>
      </c>
      <c r="AA34" s="45">
        <v>24200</v>
      </c>
      <c r="AB34" s="46">
        <f t="shared" si="25"/>
        <v>268400</v>
      </c>
      <c r="AC34" s="45">
        <v>24200</v>
      </c>
      <c r="AD34" s="45">
        <v>24200</v>
      </c>
      <c r="AE34" s="45">
        <v>24200</v>
      </c>
      <c r="AF34" s="45">
        <v>24200</v>
      </c>
      <c r="AG34" s="45">
        <v>24200</v>
      </c>
      <c r="AH34" s="45">
        <v>24200</v>
      </c>
      <c r="AI34" s="45">
        <v>24200</v>
      </c>
      <c r="AJ34" s="45">
        <v>24200</v>
      </c>
      <c r="AK34" s="45">
        <v>24200</v>
      </c>
      <c r="AL34" s="45">
        <v>24200</v>
      </c>
      <c r="AM34" s="45">
        <v>26500</v>
      </c>
      <c r="AN34" s="45">
        <v>26500</v>
      </c>
      <c r="AO34" s="46">
        <f t="shared" si="26"/>
        <v>295000</v>
      </c>
    </row>
    <row r="35" spans="1:41" s="11" customFormat="1" ht="16.149999999999999" customHeight="1" x14ac:dyDescent="0.3">
      <c r="A35" s="149" t="s">
        <v>199</v>
      </c>
      <c r="B35" s="49" t="s">
        <v>21</v>
      </c>
      <c r="C35" s="45">
        <v>0</v>
      </c>
      <c r="D35" s="45">
        <v>0</v>
      </c>
      <c r="E35" s="45">
        <v>800</v>
      </c>
      <c r="F35" s="45">
        <v>0</v>
      </c>
      <c r="G35" s="45">
        <v>0</v>
      </c>
      <c r="H35" s="45">
        <v>780</v>
      </c>
      <c r="I35" s="45">
        <v>0</v>
      </c>
      <c r="J35" s="45">
        <v>0</v>
      </c>
      <c r="K35" s="45">
        <v>4300</v>
      </c>
      <c r="L35" s="45">
        <v>0</v>
      </c>
      <c r="M35" s="45">
        <v>0</v>
      </c>
      <c r="N35" s="45">
        <v>0</v>
      </c>
      <c r="O35" s="46">
        <f t="shared" si="24"/>
        <v>5880</v>
      </c>
      <c r="P35" s="45">
        <v>0</v>
      </c>
      <c r="Q35" s="45">
        <v>0</v>
      </c>
      <c r="R35" s="45">
        <v>0</v>
      </c>
      <c r="S35" s="45">
        <v>2100</v>
      </c>
      <c r="T35" s="45">
        <v>0</v>
      </c>
      <c r="U35" s="45">
        <v>0</v>
      </c>
      <c r="V35" s="45">
        <v>0</v>
      </c>
      <c r="W35" s="45">
        <v>0</v>
      </c>
      <c r="X35" s="45">
        <v>0</v>
      </c>
      <c r="Y35" s="45">
        <v>2320</v>
      </c>
      <c r="Z35" s="45">
        <v>0</v>
      </c>
      <c r="AA35" s="45">
        <v>0</v>
      </c>
      <c r="AB35" s="46">
        <f t="shared" si="25"/>
        <v>4420</v>
      </c>
      <c r="AC35" s="45">
        <v>0</v>
      </c>
      <c r="AD35" s="45">
        <v>1900</v>
      </c>
      <c r="AE35" s="45">
        <v>0</v>
      </c>
      <c r="AF35" s="45">
        <v>0</v>
      </c>
      <c r="AG35" s="45">
        <v>0</v>
      </c>
      <c r="AH35" s="45">
        <v>7200</v>
      </c>
      <c r="AI35" s="45">
        <v>0</v>
      </c>
      <c r="AJ35" s="45">
        <v>0</v>
      </c>
      <c r="AK35" s="45">
        <v>0</v>
      </c>
      <c r="AL35" s="45">
        <v>0</v>
      </c>
      <c r="AM35" s="45">
        <v>0</v>
      </c>
      <c r="AN35" s="45">
        <v>0</v>
      </c>
      <c r="AO35" s="46">
        <f t="shared" si="26"/>
        <v>9100</v>
      </c>
    </row>
    <row r="36" spans="1:41" s="11" customFormat="1" ht="16.149999999999999" customHeight="1" x14ac:dyDescent="0.3">
      <c r="A36" s="149" t="s">
        <v>197</v>
      </c>
      <c r="B36" s="49" t="s">
        <v>12</v>
      </c>
      <c r="C36" s="45">
        <v>325</v>
      </c>
      <c r="D36" s="45">
        <v>325</v>
      </c>
      <c r="E36" s="45">
        <v>325</v>
      </c>
      <c r="F36" s="45">
        <v>325</v>
      </c>
      <c r="G36" s="45">
        <v>325</v>
      </c>
      <c r="H36" s="45">
        <v>325</v>
      </c>
      <c r="I36" s="45">
        <v>325</v>
      </c>
      <c r="J36" s="45">
        <v>325</v>
      </c>
      <c r="K36" s="45">
        <v>325</v>
      </c>
      <c r="L36" s="45">
        <v>325</v>
      </c>
      <c r="M36" s="45">
        <v>325</v>
      </c>
      <c r="N36" s="45">
        <v>325</v>
      </c>
      <c r="O36" s="46">
        <f t="shared" si="24"/>
        <v>3900</v>
      </c>
      <c r="P36" s="45">
        <v>378</v>
      </c>
      <c r="Q36" s="45">
        <v>378</v>
      </c>
      <c r="R36" s="45">
        <v>378</v>
      </c>
      <c r="S36" s="45">
        <v>378</v>
      </c>
      <c r="T36" s="45">
        <v>378</v>
      </c>
      <c r="U36" s="45">
        <v>378</v>
      </c>
      <c r="V36" s="45">
        <v>378</v>
      </c>
      <c r="W36" s="45">
        <v>378</v>
      </c>
      <c r="X36" s="45">
        <v>378</v>
      </c>
      <c r="Y36" s="45">
        <v>378</v>
      </c>
      <c r="Z36" s="45">
        <v>378</v>
      </c>
      <c r="AA36" s="45">
        <v>378</v>
      </c>
      <c r="AB36" s="46">
        <f t="shared" si="25"/>
        <v>4536</v>
      </c>
      <c r="AC36" s="45">
        <v>421</v>
      </c>
      <c r="AD36" s="45">
        <v>421</v>
      </c>
      <c r="AE36" s="45">
        <v>421</v>
      </c>
      <c r="AF36" s="45">
        <v>421</v>
      </c>
      <c r="AG36" s="45">
        <v>421</v>
      </c>
      <c r="AH36" s="45">
        <v>421</v>
      </c>
      <c r="AI36" s="45">
        <v>421</v>
      </c>
      <c r="AJ36" s="45">
        <v>421</v>
      </c>
      <c r="AK36" s="45">
        <v>421</v>
      </c>
      <c r="AL36" s="45">
        <v>421</v>
      </c>
      <c r="AM36" s="45">
        <v>421</v>
      </c>
      <c r="AN36" s="45">
        <v>421</v>
      </c>
      <c r="AO36" s="46">
        <f t="shared" si="26"/>
        <v>5052</v>
      </c>
    </row>
    <row r="37" spans="1:41" s="11" customFormat="1" ht="16.149999999999999" customHeight="1" x14ac:dyDescent="0.3">
      <c r="A37" s="149" t="s">
        <v>199</v>
      </c>
      <c r="B37" s="49" t="s">
        <v>13</v>
      </c>
      <c r="C37" s="45">
        <v>0</v>
      </c>
      <c r="D37" s="45">
        <v>0</v>
      </c>
      <c r="E37" s="45">
        <v>0</v>
      </c>
      <c r="F37" s="45">
        <v>0</v>
      </c>
      <c r="G37" s="45">
        <v>0</v>
      </c>
      <c r="H37" s="45">
        <v>3200</v>
      </c>
      <c r="I37" s="45">
        <v>0</v>
      </c>
      <c r="J37" s="45">
        <v>0</v>
      </c>
      <c r="K37" s="45">
        <v>0</v>
      </c>
      <c r="L37" s="45">
        <v>0</v>
      </c>
      <c r="M37" s="45">
        <v>0</v>
      </c>
      <c r="N37" s="45">
        <v>0</v>
      </c>
      <c r="O37" s="46">
        <f t="shared" si="24"/>
        <v>3200</v>
      </c>
      <c r="P37" s="45">
        <v>0</v>
      </c>
      <c r="Q37" s="45">
        <v>0</v>
      </c>
      <c r="R37" s="45">
        <v>0</v>
      </c>
      <c r="S37" s="45">
        <v>0</v>
      </c>
      <c r="T37" s="45">
        <v>0</v>
      </c>
      <c r="U37" s="45">
        <v>3670</v>
      </c>
      <c r="V37" s="45">
        <v>0</v>
      </c>
      <c r="W37" s="45">
        <v>0</v>
      </c>
      <c r="X37" s="45">
        <v>0</v>
      </c>
      <c r="Y37" s="45">
        <v>0</v>
      </c>
      <c r="Z37" s="45">
        <v>0</v>
      </c>
      <c r="AA37" s="45">
        <v>0</v>
      </c>
      <c r="AB37" s="46">
        <f t="shared" si="25"/>
        <v>3670</v>
      </c>
      <c r="AC37" s="45">
        <v>0</v>
      </c>
      <c r="AD37" s="45">
        <v>0</v>
      </c>
      <c r="AE37" s="45">
        <v>0</v>
      </c>
      <c r="AF37" s="45">
        <v>0</v>
      </c>
      <c r="AG37" s="45">
        <v>0</v>
      </c>
      <c r="AH37" s="45">
        <v>4020</v>
      </c>
      <c r="AI37" s="45">
        <v>0</v>
      </c>
      <c r="AJ37" s="45">
        <v>0</v>
      </c>
      <c r="AK37" s="45">
        <v>0</v>
      </c>
      <c r="AL37" s="45">
        <v>0</v>
      </c>
      <c r="AM37" s="45">
        <v>0</v>
      </c>
      <c r="AN37" s="45">
        <v>0</v>
      </c>
      <c r="AO37" s="46">
        <f t="shared" si="26"/>
        <v>4020</v>
      </c>
    </row>
    <row r="38" spans="1:41" s="11" customFormat="1" ht="16.149999999999999" customHeight="1" x14ac:dyDescent="0.3">
      <c r="A38" s="149" t="s">
        <v>197</v>
      </c>
      <c r="B38" s="49" t="s">
        <v>14</v>
      </c>
      <c r="C38" s="45">
        <v>2510</v>
      </c>
      <c r="D38" s="45">
        <v>2510</v>
      </c>
      <c r="E38" s="45">
        <v>2510</v>
      </c>
      <c r="F38" s="45">
        <v>2510</v>
      </c>
      <c r="G38" s="45">
        <v>2510</v>
      </c>
      <c r="H38" s="45">
        <v>2510</v>
      </c>
      <c r="I38" s="45">
        <v>2510</v>
      </c>
      <c r="J38" s="45">
        <v>2510</v>
      </c>
      <c r="K38" s="45">
        <v>2510</v>
      </c>
      <c r="L38" s="45">
        <v>2510</v>
      </c>
      <c r="M38" s="45">
        <v>2510</v>
      </c>
      <c r="N38" s="45">
        <v>2510</v>
      </c>
      <c r="O38" s="46">
        <f t="shared" si="24"/>
        <v>30120</v>
      </c>
      <c r="P38" s="45">
        <v>3420</v>
      </c>
      <c r="Q38" s="45">
        <v>3420</v>
      </c>
      <c r="R38" s="45">
        <v>3420</v>
      </c>
      <c r="S38" s="45">
        <v>3420</v>
      </c>
      <c r="T38" s="45">
        <v>3420</v>
      </c>
      <c r="U38" s="45">
        <v>3420</v>
      </c>
      <c r="V38" s="45">
        <v>3420</v>
      </c>
      <c r="W38" s="45">
        <v>3420</v>
      </c>
      <c r="X38" s="45">
        <v>3420</v>
      </c>
      <c r="Y38" s="45">
        <v>3420</v>
      </c>
      <c r="Z38" s="45">
        <v>3420</v>
      </c>
      <c r="AA38" s="45">
        <v>3420</v>
      </c>
      <c r="AB38" s="46">
        <f t="shared" si="25"/>
        <v>41040</v>
      </c>
      <c r="AC38" s="45">
        <v>3890</v>
      </c>
      <c r="AD38" s="45">
        <v>3890</v>
      </c>
      <c r="AE38" s="45">
        <v>3890</v>
      </c>
      <c r="AF38" s="45">
        <v>3890</v>
      </c>
      <c r="AG38" s="45">
        <v>3890</v>
      </c>
      <c r="AH38" s="45">
        <v>3890</v>
      </c>
      <c r="AI38" s="45">
        <v>3890</v>
      </c>
      <c r="AJ38" s="45">
        <v>3890</v>
      </c>
      <c r="AK38" s="45">
        <v>3890</v>
      </c>
      <c r="AL38" s="45">
        <v>3890</v>
      </c>
      <c r="AM38" s="45">
        <v>3890</v>
      </c>
      <c r="AN38" s="45">
        <v>3890</v>
      </c>
      <c r="AO38" s="46">
        <f t="shared" si="26"/>
        <v>46680</v>
      </c>
    </row>
    <row r="39" spans="1:41" s="11" customFormat="1" ht="16.149999999999999" customHeight="1" x14ac:dyDescent="0.3">
      <c r="A39" s="149" t="s">
        <v>197</v>
      </c>
      <c r="B39" s="49" t="s">
        <v>24</v>
      </c>
      <c r="C39" s="45">
        <v>0</v>
      </c>
      <c r="D39" s="45">
        <v>0</v>
      </c>
      <c r="E39" s="45">
        <v>0</v>
      </c>
      <c r="F39" s="45">
        <v>0</v>
      </c>
      <c r="G39" s="45">
        <v>0</v>
      </c>
      <c r="H39" s="45">
        <v>0</v>
      </c>
      <c r="I39" s="45">
        <v>0</v>
      </c>
      <c r="J39" s="45">
        <v>12000</v>
      </c>
      <c r="K39" s="45">
        <v>0</v>
      </c>
      <c r="L39" s="45">
        <v>0</v>
      </c>
      <c r="M39" s="45">
        <v>0</v>
      </c>
      <c r="N39" s="45">
        <v>0</v>
      </c>
      <c r="O39" s="46">
        <f t="shared" si="24"/>
        <v>12000</v>
      </c>
      <c r="P39" s="45">
        <v>0</v>
      </c>
      <c r="Q39" s="45">
        <v>0</v>
      </c>
      <c r="R39" s="45">
        <v>0</v>
      </c>
      <c r="S39" s="45">
        <v>0</v>
      </c>
      <c r="T39" s="45">
        <v>0</v>
      </c>
      <c r="U39" s="45">
        <v>0</v>
      </c>
      <c r="V39" s="45">
        <v>0</v>
      </c>
      <c r="W39" s="45">
        <v>0</v>
      </c>
      <c r="X39" s="45">
        <v>8520</v>
      </c>
      <c r="Y39" s="45">
        <v>0</v>
      </c>
      <c r="Z39" s="45">
        <v>0</v>
      </c>
      <c r="AA39" s="45">
        <v>0</v>
      </c>
      <c r="AB39" s="46">
        <f t="shared" si="25"/>
        <v>8520</v>
      </c>
      <c r="AC39" s="45">
        <v>0</v>
      </c>
      <c r="AD39" s="45">
        <v>0</v>
      </c>
      <c r="AE39" s="45">
        <v>7400</v>
      </c>
      <c r="AF39" s="45">
        <v>0</v>
      </c>
      <c r="AG39" s="45">
        <v>0</v>
      </c>
      <c r="AH39" s="45">
        <v>0</v>
      </c>
      <c r="AI39" s="45">
        <v>0</v>
      </c>
      <c r="AJ39" s="45">
        <v>0</v>
      </c>
      <c r="AK39" s="45">
        <v>0</v>
      </c>
      <c r="AL39" s="45">
        <v>0</v>
      </c>
      <c r="AM39" s="45">
        <v>0</v>
      </c>
      <c r="AN39" s="45">
        <v>0</v>
      </c>
      <c r="AO39" s="46">
        <f t="shared" si="26"/>
        <v>7400</v>
      </c>
    </row>
    <row r="40" spans="1:41" s="11" customFormat="1" ht="16.149999999999999" customHeight="1" x14ac:dyDescent="0.3">
      <c r="A40" s="149" t="s">
        <v>197</v>
      </c>
      <c r="B40" s="49" t="s">
        <v>6</v>
      </c>
      <c r="C40" s="45">
        <v>0</v>
      </c>
      <c r="D40" s="45">
        <v>0</v>
      </c>
      <c r="E40" s="45">
        <v>0</v>
      </c>
      <c r="F40" s="45">
        <v>0</v>
      </c>
      <c r="G40" s="45">
        <v>0</v>
      </c>
      <c r="H40" s="45">
        <v>0</v>
      </c>
      <c r="I40" s="45">
        <v>2530</v>
      </c>
      <c r="J40" s="45">
        <v>0</v>
      </c>
      <c r="K40" s="45">
        <v>0</v>
      </c>
      <c r="L40" s="45">
        <v>0</v>
      </c>
      <c r="M40" s="45">
        <v>0</v>
      </c>
      <c r="N40" s="45">
        <v>0</v>
      </c>
      <c r="O40" s="46">
        <f t="shared" si="24"/>
        <v>2530</v>
      </c>
      <c r="P40" s="45">
        <v>0</v>
      </c>
      <c r="Q40" s="45">
        <v>0</v>
      </c>
      <c r="R40" s="45">
        <v>0</v>
      </c>
      <c r="S40" s="45">
        <v>0</v>
      </c>
      <c r="T40" s="45">
        <v>900</v>
      </c>
      <c r="U40" s="45">
        <v>0</v>
      </c>
      <c r="V40" s="45">
        <v>0</v>
      </c>
      <c r="W40" s="45">
        <v>0</v>
      </c>
      <c r="X40" s="45">
        <v>0</v>
      </c>
      <c r="Y40" s="45">
        <v>0</v>
      </c>
      <c r="Z40" s="45">
        <v>0</v>
      </c>
      <c r="AA40" s="45">
        <v>0</v>
      </c>
      <c r="AB40" s="46">
        <f t="shared" si="25"/>
        <v>900</v>
      </c>
      <c r="AC40" s="45">
        <v>0</v>
      </c>
      <c r="AD40" s="45">
        <v>0</v>
      </c>
      <c r="AE40" s="45">
        <v>0</v>
      </c>
      <c r="AF40" s="45">
        <v>710</v>
      </c>
      <c r="AG40" s="45">
        <v>0</v>
      </c>
      <c r="AH40" s="45">
        <v>0</v>
      </c>
      <c r="AI40" s="45">
        <v>0</v>
      </c>
      <c r="AJ40" s="45">
        <v>0</v>
      </c>
      <c r="AK40" s="45">
        <v>0</v>
      </c>
      <c r="AL40" s="45">
        <v>0</v>
      </c>
      <c r="AM40" s="45">
        <v>0</v>
      </c>
      <c r="AN40" s="45">
        <v>0</v>
      </c>
      <c r="AO40" s="46">
        <f t="shared" si="26"/>
        <v>710</v>
      </c>
    </row>
    <row r="41" spans="1:41" s="10" customFormat="1" ht="16.149999999999999" customHeight="1" thickBot="1" x14ac:dyDescent="0.35">
      <c r="A41" s="143"/>
      <c r="B41" s="2" t="s">
        <v>179</v>
      </c>
      <c r="C41" s="58">
        <f ca="1">SUM(OFFSET(B18,1,1,ROW($B$41)-ROW($B$18)-1,1))</f>
        <v>35235</v>
      </c>
      <c r="D41" s="58">
        <f t="shared" ref="D41:AO41" ca="1" si="27">SUM(OFFSET(C18,1,1,ROW($B$41)-ROW($B$18)-1,1))</f>
        <v>33985</v>
      </c>
      <c r="E41" s="58">
        <f t="shared" ca="1" si="27"/>
        <v>40085</v>
      </c>
      <c r="F41" s="58">
        <f t="shared" ca="1" si="27"/>
        <v>112085</v>
      </c>
      <c r="G41" s="58">
        <f t="shared" ca="1" si="27"/>
        <v>54585</v>
      </c>
      <c r="H41" s="58">
        <f t="shared" ca="1" si="27"/>
        <v>59305</v>
      </c>
      <c r="I41" s="58">
        <f t="shared" ca="1" si="27"/>
        <v>39375</v>
      </c>
      <c r="J41" s="58">
        <f t="shared" ca="1" si="27"/>
        <v>90845</v>
      </c>
      <c r="K41" s="58">
        <f t="shared" ca="1" si="27"/>
        <v>77145</v>
      </c>
      <c r="L41" s="58">
        <f t="shared" ca="1" si="27"/>
        <v>43604</v>
      </c>
      <c r="M41" s="58">
        <f t="shared" ca="1" si="27"/>
        <v>36845</v>
      </c>
      <c r="N41" s="58">
        <f t="shared" ca="1" si="27"/>
        <v>41045</v>
      </c>
      <c r="O41" s="58">
        <f t="shared" ca="1" si="27"/>
        <v>664139</v>
      </c>
      <c r="P41" s="58">
        <f t="shared" ca="1" si="27"/>
        <v>40321</v>
      </c>
      <c r="Q41" s="58">
        <f t="shared" ca="1" si="27"/>
        <v>64288</v>
      </c>
      <c r="R41" s="58">
        <f t="shared" ca="1" si="27"/>
        <v>39778</v>
      </c>
      <c r="S41" s="58">
        <f t="shared" ca="1" si="27"/>
        <v>55053</v>
      </c>
      <c r="T41" s="58">
        <f t="shared" ca="1" si="27"/>
        <v>41245</v>
      </c>
      <c r="U41" s="58">
        <f t="shared" ca="1" si="27"/>
        <v>79090</v>
      </c>
      <c r="V41" s="58">
        <f t="shared" ca="1" si="27"/>
        <v>40678</v>
      </c>
      <c r="W41" s="58">
        <f t="shared" ca="1" si="27"/>
        <v>68456</v>
      </c>
      <c r="X41" s="58">
        <f t="shared" ca="1" si="27"/>
        <v>49723</v>
      </c>
      <c r="Y41" s="58">
        <f t="shared" ca="1" si="27"/>
        <v>98753</v>
      </c>
      <c r="Z41" s="58">
        <f t="shared" ca="1" si="27"/>
        <v>76403</v>
      </c>
      <c r="AA41" s="58">
        <f t="shared" ca="1" si="27"/>
        <v>44047</v>
      </c>
      <c r="AB41" s="58">
        <f t="shared" ca="1" si="27"/>
        <v>697835</v>
      </c>
      <c r="AC41" s="58">
        <f t="shared" ca="1" si="27"/>
        <v>48195</v>
      </c>
      <c r="AD41" s="58">
        <f t="shared" ca="1" si="27"/>
        <v>100800</v>
      </c>
      <c r="AE41" s="58">
        <f t="shared" ca="1" si="27"/>
        <v>58755</v>
      </c>
      <c r="AF41" s="58">
        <f t="shared" ca="1" si="27"/>
        <v>70755</v>
      </c>
      <c r="AG41" s="58">
        <f t="shared" ca="1" si="27"/>
        <v>144065</v>
      </c>
      <c r="AH41" s="58">
        <f t="shared" ca="1" si="27"/>
        <v>61929</v>
      </c>
      <c r="AI41" s="58">
        <f t="shared" ca="1" si="27"/>
        <v>80746</v>
      </c>
      <c r="AJ41" s="58">
        <f t="shared" ca="1" si="27"/>
        <v>54437</v>
      </c>
      <c r="AK41" s="58">
        <f t="shared" ca="1" si="27"/>
        <v>80291</v>
      </c>
      <c r="AL41" s="58">
        <f t="shared" ca="1" si="27"/>
        <v>62391</v>
      </c>
      <c r="AM41" s="58">
        <f t="shared" ca="1" si="27"/>
        <v>65146</v>
      </c>
      <c r="AN41" s="58">
        <f t="shared" ca="1" si="27"/>
        <v>65678</v>
      </c>
      <c r="AO41" s="58">
        <f t="shared" ca="1" si="27"/>
        <v>893188</v>
      </c>
    </row>
    <row r="42" spans="1:41" s="10" customFormat="1" ht="16.149999999999999" customHeight="1" x14ac:dyDescent="0.3">
      <c r="A42" s="143"/>
      <c r="B42" s="2" t="s">
        <v>175</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row>
    <row r="43" spans="1:41" s="11" customFormat="1" ht="16.149999999999999" customHeight="1" x14ac:dyDescent="0.3">
      <c r="A43" s="149" t="s">
        <v>305</v>
      </c>
      <c r="B43" s="49" t="s">
        <v>176</v>
      </c>
      <c r="C43" s="45">
        <v>70000</v>
      </c>
      <c r="D43" s="45">
        <v>70000</v>
      </c>
      <c r="E43" s="45">
        <v>70000</v>
      </c>
      <c r="F43" s="45">
        <v>70000</v>
      </c>
      <c r="G43" s="45">
        <v>70000</v>
      </c>
      <c r="H43" s="45">
        <v>70000</v>
      </c>
      <c r="I43" s="45">
        <v>70000</v>
      </c>
      <c r="J43" s="45">
        <v>70000</v>
      </c>
      <c r="K43" s="45">
        <v>70000</v>
      </c>
      <c r="L43" s="45">
        <v>70000</v>
      </c>
      <c r="M43" s="45">
        <v>70000</v>
      </c>
      <c r="N43" s="45">
        <v>70000</v>
      </c>
      <c r="O43" s="46">
        <f>SUM(C43:N43)</f>
        <v>840000</v>
      </c>
      <c r="P43" s="45">
        <v>75000</v>
      </c>
      <c r="Q43" s="45">
        <v>75000</v>
      </c>
      <c r="R43" s="45">
        <v>75000</v>
      </c>
      <c r="S43" s="45">
        <v>75000</v>
      </c>
      <c r="T43" s="45">
        <v>75000</v>
      </c>
      <c r="U43" s="45">
        <v>75000</v>
      </c>
      <c r="V43" s="45">
        <v>75000</v>
      </c>
      <c r="W43" s="45">
        <v>75000</v>
      </c>
      <c r="X43" s="45">
        <v>75000</v>
      </c>
      <c r="Y43" s="45">
        <v>75000</v>
      </c>
      <c r="Z43" s="45">
        <v>75000</v>
      </c>
      <c r="AA43" s="45">
        <v>75000</v>
      </c>
      <c r="AB43" s="46">
        <f>SUM(P43:AA43)</f>
        <v>900000</v>
      </c>
      <c r="AC43" s="45">
        <v>80000</v>
      </c>
      <c r="AD43" s="45">
        <v>80000</v>
      </c>
      <c r="AE43" s="45">
        <v>80000</v>
      </c>
      <c r="AF43" s="45">
        <v>80000</v>
      </c>
      <c r="AG43" s="45">
        <v>80000</v>
      </c>
      <c r="AH43" s="45">
        <v>80000</v>
      </c>
      <c r="AI43" s="45">
        <v>80000</v>
      </c>
      <c r="AJ43" s="45">
        <v>80000</v>
      </c>
      <c r="AK43" s="45">
        <v>80000</v>
      </c>
      <c r="AL43" s="45">
        <v>80000</v>
      </c>
      <c r="AM43" s="45">
        <v>80000</v>
      </c>
      <c r="AN43" s="45">
        <v>80000</v>
      </c>
      <c r="AO43" s="46">
        <f>SUM(AC43:AN43)</f>
        <v>960000</v>
      </c>
    </row>
    <row r="44" spans="1:41" ht="16.149999999999999" customHeight="1" x14ac:dyDescent="0.3">
      <c r="A44" s="149" t="s">
        <v>305</v>
      </c>
      <c r="B44" s="14" t="s">
        <v>177</v>
      </c>
      <c r="C44" s="45">
        <v>30000</v>
      </c>
      <c r="D44" s="45">
        <v>30000</v>
      </c>
      <c r="E44" s="45">
        <v>30000</v>
      </c>
      <c r="F44" s="45">
        <v>30000</v>
      </c>
      <c r="G44" s="45">
        <v>30000</v>
      </c>
      <c r="H44" s="45">
        <v>30000</v>
      </c>
      <c r="I44" s="45">
        <v>30000</v>
      </c>
      <c r="J44" s="45">
        <v>30000</v>
      </c>
      <c r="K44" s="45">
        <v>30000</v>
      </c>
      <c r="L44" s="45">
        <v>30000</v>
      </c>
      <c r="M44" s="45">
        <v>30000</v>
      </c>
      <c r="N44" s="45">
        <v>30000</v>
      </c>
      <c r="O44" s="46">
        <f>SUM(C44:N44)</f>
        <v>360000</v>
      </c>
      <c r="P44" s="45">
        <v>35000</v>
      </c>
      <c r="Q44" s="45">
        <v>35000</v>
      </c>
      <c r="R44" s="45">
        <v>35000</v>
      </c>
      <c r="S44" s="45">
        <v>35000</v>
      </c>
      <c r="T44" s="45">
        <v>35000</v>
      </c>
      <c r="U44" s="45">
        <v>35000</v>
      </c>
      <c r="V44" s="45">
        <v>35000</v>
      </c>
      <c r="W44" s="45">
        <v>35000</v>
      </c>
      <c r="X44" s="45">
        <v>35000</v>
      </c>
      <c r="Y44" s="45">
        <v>35000</v>
      </c>
      <c r="Z44" s="45">
        <v>35000</v>
      </c>
      <c r="AA44" s="45">
        <v>35000</v>
      </c>
      <c r="AB44" s="46">
        <f>SUM(P44:AA44)</f>
        <v>420000</v>
      </c>
      <c r="AC44" s="45">
        <v>40000</v>
      </c>
      <c r="AD44" s="45">
        <v>40000</v>
      </c>
      <c r="AE44" s="45">
        <v>40000</v>
      </c>
      <c r="AF44" s="45">
        <v>40000</v>
      </c>
      <c r="AG44" s="45">
        <v>40000</v>
      </c>
      <c r="AH44" s="45">
        <v>40000</v>
      </c>
      <c r="AI44" s="45">
        <v>40000</v>
      </c>
      <c r="AJ44" s="45">
        <v>40000</v>
      </c>
      <c r="AK44" s="45">
        <v>40000</v>
      </c>
      <c r="AL44" s="45">
        <v>40000</v>
      </c>
      <c r="AM44" s="45">
        <v>40000</v>
      </c>
      <c r="AN44" s="45">
        <v>40000</v>
      </c>
      <c r="AO44" s="46">
        <f>SUM(AC44:AN44)</f>
        <v>480000</v>
      </c>
    </row>
    <row r="45" spans="1:41" s="10" customFormat="1" ht="16.149999999999999" customHeight="1" thickBot="1" x14ac:dyDescent="0.35">
      <c r="A45" s="143" t="s">
        <v>130</v>
      </c>
      <c r="B45" s="2" t="s">
        <v>178</v>
      </c>
      <c r="C45" s="48">
        <f ca="1">SUM(OFFSET(C42,1,0,ROW($B45)-ROW($B42)-1,1))</f>
        <v>100000</v>
      </c>
      <c r="D45" s="48">
        <f t="shared" ref="D45:AO45" ca="1" si="28">SUM(OFFSET(D42,1,0,ROW($B45)-ROW($B42)-1,1))</f>
        <v>100000</v>
      </c>
      <c r="E45" s="48">
        <f t="shared" ca="1" si="28"/>
        <v>100000</v>
      </c>
      <c r="F45" s="48">
        <f t="shared" ca="1" si="28"/>
        <v>100000</v>
      </c>
      <c r="G45" s="48">
        <f t="shared" ca="1" si="28"/>
        <v>100000</v>
      </c>
      <c r="H45" s="48">
        <f t="shared" ca="1" si="28"/>
        <v>100000</v>
      </c>
      <c r="I45" s="48">
        <f t="shared" ca="1" si="28"/>
        <v>100000</v>
      </c>
      <c r="J45" s="48">
        <f t="shared" ca="1" si="28"/>
        <v>100000</v>
      </c>
      <c r="K45" s="48">
        <f t="shared" ca="1" si="28"/>
        <v>100000</v>
      </c>
      <c r="L45" s="48">
        <f t="shared" ca="1" si="28"/>
        <v>100000</v>
      </c>
      <c r="M45" s="48">
        <f t="shared" ca="1" si="28"/>
        <v>100000</v>
      </c>
      <c r="N45" s="48">
        <f t="shared" ca="1" si="28"/>
        <v>100000</v>
      </c>
      <c r="O45" s="48">
        <f t="shared" ca="1" si="28"/>
        <v>1200000</v>
      </c>
      <c r="P45" s="48">
        <f t="shared" ca="1" si="28"/>
        <v>110000</v>
      </c>
      <c r="Q45" s="48">
        <f t="shared" ca="1" si="28"/>
        <v>110000</v>
      </c>
      <c r="R45" s="48">
        <f t="shared" ca="1" si="28"/>
        <v>110000</v>
      </c>
      <c r="S45" s="48">
        <f t="shared" ca="1" si="28"/>
        <v>110000</v>
      </c>
      <c r="T45" s="48">
        <f t="shared" ca="1" si="28"/>
        <v>110000</v>
      </c>
      <c r="U45" s="48">
        <f t="shared" ca="1" si="28"/>
        <v>110000</v>
      </c>
      <c r="V45" s="48">
        <f t="shared" ca="1" si="28"/>
        <v>110000</v>
      </c>
      <c r="W45" s="48">
        <f t="shared" ca="1" si="28"/>
        <v>110000</v>
      </c>
      <c r="X45" s="48">
        <f t="shared" ca="1" si="28"/>
        <v>110000</v>
      </c>
      <c r="Y45" s="48">
        <f t="shared" ca="1" si="28"/>
        <v>110000</v>
      </c>
      <c r="Z45" s="48">
        <f t="shared" ca="1" si="28"/>
        <v>110000</v>
      </c>
      <c r="AA45" s="48">
        <f t="shared" ca="1" si="28"/>
        <v>110000</v>
      </c>
      <c r="AB45" s="48">
        <f t="shared" ca="1" si="28"/>
        <v>1320000</v>
      </c>
      <c r="AC45" s="48">
        <f t="shared" ca="1" si="28"/>
        <v>120000</v>
      </c>
      <c r="AD45" s="48">
        <f t="shared" ca="1" si="28"/>
        <v>120000</v>
      </c>
      <c r="AE45" s="48">
        <f t="shared" ca="1" si="28"/>
        <v>120000</v>
      </c>
      <c r="AF45" s="48">
        <f t="shared" ca="1" si="28"/>
        <v>120000</v>
      </c>
      <c r="AG45" s="48">
        <f t="shared" ca="1" si="28"/>
        <v>120000</v>
      </c>
      <c r="AH45" s="48">
        <f t="shared" ca="1" si="28"/>
        <v>120000</v>
      </c>
      <c r="AI45" s="48">
        <f t="shared" ca="1" si="28"/>
        <v>120000</v>
      </c>
      <c r="AJ45" s="48">
        <f t="shared" ca="1" si="28"/>
        <v>120000</v>
      </c>
      <c r="AK45" s="48">
        <f t="shared" ca="1" si="28"/>
        <v>120000</v>
      </c>
      <c r="AL45" s="48">
        <f t="shared" ca="1" si="28"/>
        <v>120000</v>
      </c>
      <c r="AM45" s="48">
        <f t="shared" ca="1" si="28"/>
        <v>120000</v>
      </c>
      <c r="AN45" s="48">
        <f t="shared" ca="1" si="28"/>
        <v>120000</v>
      </c>
      <c r="AO45" s="48">
        <f t="shared" ca="1" si="28"/>
        <v>1440000</v>
      </c>
    </row>
    <row r="46" spans="1:41" s="10" customFormat="1" ht="16.149999999999999" customHeight="1" x14ac:dyDescent="0.3">
      <c r="A46" s="143"/>
      <c r="B46" s="2" t="s">
        <v>147</v>
      </c>
      <c r="C46" s="46"/>
      <c r="D46" s="46"/>
      <c r="E46" s="46"/>
      <c r="F46" s="46"/>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row>
    <row r="47" spans="1:41" ht="16.149999999999999" customHeight="1" x14ac:dyDescent="0.3">
      <c r="A47" s="149" t="s">
        <v>149</v>
      </c>
      <c r="B47" s="14" t="s">
        <v>67</v>
      </c>
      <c r="C47" s="45">
        <v>15000</v>
      </c>
      <c r="D47" s="45">
        <v>15000</v>
      </c>
      <c r="E47" s="45">
        <v>15000</v>
      </c>
      <c r="F47" s="45">
        <v>15000</v>
      </c>
      <c r="G47" s="45">
        <v>15000</v>
      </c>
      <c r="H47" s="45">
        <v>15000</v>
      </c>
      <c r="I47" s="45">
        <v>15000</v>
      </c>
      <c r="J47" s="45">
        <v>15000</v>
      </c>
      <c r="K47" s="45">
        <v>15000</v>
      </c>
      <c r="L47" s="45">
        <v>15000</v>
      </c>
      <c r="M47" s="45">
        <v>19000</v>
      </c>
      <c r="N47" s="45">
        <v>19000</v>
      </c>
      <c r="O47" s="46">
        <f>SUM(C47:N47)</f>
        <v>188000</v>
      </c>
      <c r="P47" s="45">
        <v>19000</v>
      </c>
      <c r="Q47" s="45">
        <v>19000</v>
      </c>
      <c r="R47" s="45">
        <v>19000</v>
      </c>
      <c r="S47" s="45">
        <v>19000</v>
      </c>
      <c r="T47" s="45">
        <v>19000</v>
      </c>
      <c r="U47" s="45">
        <v>24000</v>
      </c>
      <c r="V47" s="45">
        <v>24000</v>
      </c>
      <c r="W47" s="45">
        <v>24000</v>
      </c>
      <c r="X47" s="45">
        <v>24000</v>
      </c>
      <c r="Y47" s="45">
        <v>24000</v>
      </c>
      <c r="Z47" s="45">
        <v>24000</v>
      </c>
      <c r="AA47" s="45">
        <v>24000</v>
      </c>
      <c r="AB47" s="46">
        <f>SUM(P47:AA47)</f>
        <v>263000</v>
      </c>
      <c r="AC47" s="45">
        <v>24000</v>
      </c>
      <c r="AD47" s="45">
        <v>27000</v>
      </c>
      <c r="AE47" s="45">
        <v>27000</v>
      </c>
      <c r="AF47" s="45">
        <v>27000</v>
      </c>
      <c r="AG47" s="45">
        <v>27000</v>
      </c>
      <c r="AH47" s="45">
        <v>25000</v>
      </c>
      <c r="AI47" s="45">
        <v>25000</v>
      </c>
      <c r="AJ47" s="45">
        <v>25000</v>
      </c>
      <c r="AK47" s="45">
        <v>25000</v>
      </c>
      <c r="AL47" s="45">
        <v>25000</v>
      </c>
      <c r="AM47" s="45">
        <v>25000</v>
      </c>
      <c r="AN47" s="45">
        <v>25000</v>
      </c>
      <c r="AO47" s="46">
        <f>SUM(AC47:AN47)</f>
        <v>307000</v>
      </c>
    </row>
    <row r="48" spans="1:41" ht="16.149999999999999" customHeight="1" x14ac:dyDescent="0.3">
      <c r="A48" s="149" t="s">
        <v>150</v>
      </c>
      <c r="B48" s="14" t="s">
        <v>148</v>
      </c>
      <c r="C48" s="45">
        <v>1000</v>
      </c>
      <c r="D48" s="45">
        <v>1000</v>
      </c>
      <c r="E48" s="45">
        <v>1000</v>
      </c>
      <c r="F48" s="45">
        <v>1000</v>
      </c>
      <c r="G48" s="45">
        <v>1000</v>
      </c>
      <c r="H48" s="45">
        <v>1000</v>
      </c>
      <c r="I48" s="45">
        <v>1000</v>
      </c>
      <c r="J48" s="45">
        <v>1000</v>
      </c>
      <c r="K48" s="45">
        <v>1000</v>
      </c>
      <c r="L48" s="45">
        <v>1000</v>
      </c>
      <c r="M48" s="45">
        <v>1000</v>
      </c>
      <c r="N48" s="45">
        <v>1000</v>
      </c>
      <c r="O48" s="46">
        <f>SUM(C48:N48)</f>
        <v>12000</v>
      </c>
      <c r="P48" s="45">
        <v>1000</v>
      </c>
      <c r="Q48" s="45">
        <v>1000</v>
      </c>
      <c r="R48" s="45">
        <v>1000</v>
      </c>
      <c r="S48" s="45">
        <v>1000</v>
      </c>
      <c r="T48" s="45">
        <v>1000</v>
      </c>
      <c r="U48" s="45">
        <v>1000</v>
      </c>
      <c r="V48" s="45">
        <v>1000</v>
      </c>
      <c r="W48" s="45">
        <v>1000</v>
      </c>
      <c r="X48" s="45">
        <v>1000</v>
      </c>
      <c r="Y48" s="45">
        <v>1000</v>
      </c>
      <c r="Z48" s="45">
        <v>1000</v>
      </c>
      <c r="AA48" s="45">
        <v>1000</v>
      </c>
      <c r="AB48" s="46">
        <f>SUM(P48:AA48)</f>
        <v>12000</v>
      </c>
      <c r="AC48" s="45">
        <v>1000</v>
      </c>
      <c r="AD48" s="45">
        <v>1000</v>
      </c>
      <c r="AE48" s="45">
        <v>1000</v>
      </c>
      <c r="AF48" s="45">
        <v>1000</v>
      </c>
      <c r="AG48" s="45">
        <v>1000</v>
      </c>
      <c r="AH48" s="45">
        <v>1000</v>
      </c>
      <c r="AI48" s="45">
        <v>1000</v>
      </c>
      <c r="AJ48" s="45">
        <v>1000</v>
      </c>
      <c r="AK48" s="45">
        <v>1000</v>
      </c>
      <c r="AL48" s="45">
        <v>1000</v>
      </c>
      <c r="AM48" s="45">
        <v>1000</v>
      </c>
      <c r="AN48" s="45">
        <v>1000</v>
      </c>
      <c r="AO48" s="46">
        <f>SUM(AC48:AN48)</f>
        <v>12000</v>
      </c>
    </row>
    <row r="49" spans="1:41" s="10" customFormat="1" ht="16.149999999999999" customHeight="1" thickBot="1" x14ac:dyDescent="0.35">
      <c r="A49" s="150"/>
      <c r="B49" s="2" t="s">
        <v>173</v>
      </c>
      <c r="C49" s="58">
        <f>SUM(C47:C48)</f>
        <v>16000</v>
      </c>
      <c r="D49" s="58">
        <f t="shared" ref="D49:AO49" si="29">SUM(D47:D48)</f>
        <v>16000</v>
      </c>
      <c r="E49" s="58">
        <f t="shared" si="29"/>
        <v>16000</v>
      </c>
      <c r="F49" s="58">
        <f t="shared" si="29"/>
        <v>16000</v>
      </c>
      <c r="G49" s="58">
        <f t="shared" si="29"/>
        <v>16000</v>
      </c>
      <c r="H49" s="58">
        <f t="shared" si="29"/>
        <v>16000</v>
      </c>
      <c r="I49" s="58">
        <f t="shared" si="29"/>
        <v>16000</v>
      </c>
      <c r="J49" s="58">
        <f t="shared" si="29"/>
        <v>16000</v>
      </c>
      <c r="K49" s="58">
        <f t="shared" si="29"/>
        <v>16000</v>
      </c>
      <c r="L49" s="58">
        <f t="shared" si="29"/>
        <v>16000</v>
      </c>
      <c r="M49" s="58">
        <f t="shared" si="29"/>
        <v>20000</v>
      </c>
      <c r="N49" s="58">
        <f t="shared" si="29"/>
        <v>20000</v>
      </c>
      <c r="O49" s="58">
        <f t="shared" si="29"/>
        <v>200000</v>
      </c>
      <c r="P49" s="58">
        <f t="shared" si="29"/>
        <v>20000</v>
      </c>
      <c r="Q49" s="58">
        <f t="shared" si="29"/>
        <v>20000</v>
      </c>
      <c r="R49" s="58">
        <f t="shared" si="29"/>
        <v>20000</v>
      </c>
      <c r="S49" s="58">
        <f t="shared" si="29"/>
        <v>20000</v>
      </c>
      <c r="T49" s="58">
        <f t="shared" si="29"/>
        <v>20000</v>
      </c>
      <c r="U49" s="58">
        <f t="shared" si="29"/>
        <v>25000</v>
      </c>
      <c r="V49" s="58">
        <f t="shared" si="29"/>
        <v>25000</v>
      </c>
      <c r="W49" s="58">
        <f t="shared" si="29"/>
        <v>25000</v>
      </c>
      <c r="X49" s="58">
        <f t="shared" si="29"/>
        <v>25000</v>
      </c>
      <c r="Y49" s="58">
        <f t="shared" si="29"/>
        <v>25000</v>
      </c>
      <c r="Z49" s="58">
        <f t="shared" si="29"/>
        <v>25000</v>
      </c>
      <c r="AA49" s="58">
        <f t="shared" si="29"/>
        <v>25000</v>
      </c>
      <c r="AB49" s="58">
        <f t="shared" si="29"/>
        <v>275000</v>
      </c>
      <c r="AC49" s="58">
        <f t="shared" si="29"/>
        <v>25000</v>
      </c>
      <c r="AD49" s="58">
        <f t="shared" si="29"/>
        <v>28000</v>
      </c>
      <c r="AE49" s="58">
        <f t="shared" si="29"/>
        <v>28000</v>
      </c>
      <c r="AF49" s="58">
        <f t="shared" si="29"/>
        <v>28000</v>
      </c>
      <c r="AG49" s="58">
        <f t="shared" si="29"/>
        <v>28000</v>
      </c>
      <c r="AH49" s="58">
        <f t="shared" si="29"/>
        <v>26000</v>
      </c>
      <c r="AI49" s="58">
        <f t="shared" si="29"/>
        <v>26000</v>
      </c>
      <c r="AJ49" s="58">
        <f t="shared" si="29"/>
        <v>26000</v>
      </c>
      <c r="AK49" s="58">
        <f t="shared" si="29"/>
        <v>26000</v>
      </c>
      <c r="AL49" s="58">
        <f t="shared" si="29"/>
        <v>26000</v>
      </c>
      <c r="AM49" s="58">
        <f t="shared" si="29"/>
        <v>26000</v>
      </c>
      <c r="AN49" s="58">
        <f t="shared" si="29"/>
        <v>26000</v>
      </c>
      <c r="AO49" s="58">
        <f t="shared" si="29"/>
        <v>319000</v>
      </c>
    </row>
    <row r="50" spans="1:41" s="10" customFormat="1" ht="16.149999999999999" customHeight="1" x14ac:dyDescent="0.3">
      <c r="A50" s="143"/>
      <c r="B50" s="2" t="s">
        <v>161</v>
      </c>
      <c r="C50" s="46">
        <f ca="1">SUM(C13,C17,-C41,-C45,-C49)</f>
        <v>74225</v>
      </c>
      <c r="D50" s="46">
        <f t="shared" ref="D50:AO50" ca="1" si="30">SUM(D13,D17,-D41,-D45,-D49)</f>
        <v>72335</v>
      </c>
      <c r="E50" s="46">
        <f t="shared" ca="1" si="30"/>
        <v>80215</v>
      </c>
      <c r="F50" s="46">
        <f t="shared" ca="1" si="30"/>
        <v>13335</v>
      </c>
      <c r="G50" s="46">
        <f t="shared" ca="1" si="30"/>
        <v>67445</v>
      </c>
      <c r="H50" s="46">
        <f t="shared" ca="1" si="30"/>
        <v>66695</v>
      </c>
      <c r="I50" s="46">
        <f t="shared" ca="1" si="30"/>
        <v>83845</v>
      </c>
      <c r="J50" s="46">
        <f t="shared" ca="1" si="30"/>
        <v>35595</v>
      </c>
      <c r="K50" s="46">
        <f t="shared" ca="1" si="30"/>
        <v>53907</v>
      </c>
      <c r="L50" s="46">
        <f t="shared" ca="1" si="30"/>
        <v>51236</v>
      </c>
      <c r="M50" s="46">
        <f t="shared" ca="1" si="30"/>
        <v>97671</v>
      </c>
      <c r="N50" s="46">
        <f t="shared" ca="1" si="30"/>
        <v>80527</v>
      </c>
      <c r="O50" s="46">
        <f t="shared" ca="1" si="30"/>
        <v>777031</v>
      </c>
      <c r="P50" s="46">
        <f t="shared" ca="1" si="30"/>
        <v>83351</v>
      </c>
      <c r="Q50" s="46">
        <f t="shared" ca="1" si="30"/>
        <v>59292</v>
      </c>
      <c r="R50" s="46">
        <f t="shared" ca="1" si="30"/>
        <v>79494</v>
      </c>
      <c r="S50" s="46">
        <f t="shared" ca="1" si="30"/>
        <v>70163</v>
      </c>
      <c r="T50" s="46">
        <f t="shared" ca="1" si="30"/>
        <v>87127</v>
      </c>
      <c r="U50" s="46">
        <f t="shared" ca="1" si="30"/>
        <v>44566</v>
      </c>
      <c r="V50" s="46">
        <f t="shared" ca="1" si="30"/>
        <v>86198</v>
      </c>
      <c r="W50" s="46">
        <f t="shared" ca="1" si="30"/>
        <v>65102</v>
      </c>
      <c r="X50" s="46">
        <f t="shared" ca="1" si="30"/>
        <v>91705</v>
      </c>
      <c r="Y50" s="46">
        <f t="shared" ca="1" si="30"/>
        <v>-5225</v>
      </c>
      <c r="Z50" s="46">
        <f t="shared" ca="1" si="30"/>
        <v>70449</v>
      </c>
      <c r="AA50" s="46">
        <f t="shared" ca="1" si="30"/>
        <v>88333</v>
      </c>
      <c r="AB50" s="46">
        <f t="shared" ca="1" si="30"/>
        <v>820555</v>
      </c>
      <c r="AC50" s="46">
        <f t="shared" ca="1" si="30"/>
        <v>84695</v>
      </c>
      <c r="AD50" s="46">
        <f t="shared" ca="1" si="30"/>
        <v>41050</v>
      </c>
      <c r="AE50" s="46">
        <f t="shared" ca="1" si="30"/>
        <v>84055</v>
      </c>
      <c r="AF50" s="46">
        <f t="shared" ca="1" si="30"/>
        <v>74095</v>
      </c>
      <c r="AG50" s="46">
        <f t="shared" ca="1" si="30"/>
        <v>5245</v>
      </c>
      <c r="AH50" s="46">
        <f t="shared" ca="1" si="30"/>
        <v>90861</v>
      </c>
      <c r="AI50" s="46">
        <f t="shared" ca="1" si="30"/>
        <v>67764</v>
      </c>
      <c r="AJ50" s="46">
        <f t="shared" ca="1" si="30"/>
        <v>100333</v>
      </c>
      <c r="AK50" s="46">
        <f t="shared" ca="1" si="30"/>
        <v>81179</v>
      </c>
      <c r="AL50" s="46">
        <f t="shared" ca="1" si="30"/>
        <v>52659</v>
      </c>
      <c r="AM50" s="46">
        <f t="shared" ca="1" si="30"/>
        <v>93944</v>
      </c>
      <c r="AN50" s="46">
        <f t="shared" ca="1" si="30"/>
        <v>83382</v>
      </c>
      <c r="AO50" s="46">
        <f t="shared" ca="1" si="30"/>
        <v>859262</v>
      </c>
    </row>
    <row r="51" spans="1:41" s="10" customFormat="1" ht="16.149999999999999" customHeight="1" x14ac:dyDescent="0.3">
      <c r="A51" s="143"/>
      <c r="B51" s="2" t="s">
        <v>158</v>
      </c>
      <c r="C51" s="46"/>
      <c r="D51" s="46"/>
      <c r="E51" s="46"/>
      <c r="F51" s="46"/>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row>
    <row r="52" spans="1:41" s="11" customFormat="1" ht="16.149999999999999" customHeight="1" x14ac:dyDescent="0.3">
      <c r="A52" s="150" t="s">
        <v>165</v>
      </c>
      <c r="B52" s="49" t="s">
        <v>159</v>
      </c>
      <c r="C52" s="45">
        <f ca="1">OFFSET(Loans1!$E$9,COLUMN(C51)-COLUMN($B51)-ROUNDDOWN((COLUMN(C51)-COLUMN($B51))/13,0),0,1,1)</f>
        <v>10249.999999999998</v>
      </c>
      <c r="D52" s="45">
        <f ca="1">OFFSET(Loans1!$E$9,COLUMN(D51)-COLUMN($B51)-ROUNDDOWN((COLUMN(D51)-COLUMN($B51))/13,0),0,1,1)</f>
        <v>10200.674606409635</v>
      </c>
      <c r="E52" s="45">
        <f ca="1">OFFSET(Loans1!$E$9,COLUMN(E51)-COLUMN($B51)-ROUNDDOWN((COLUMN(E51)-COLUMN($B51))/13,0),0,1,1)</f>
        <v>10150.927891749021</v>
      </c>
      <c r="F52" s="45">
        <f ca="1">OFFSET(Loans1!$E$9,COLUMN(F51)-COLUMN($B51)-ROUNDDOWN((COLUMN(F51)-COLUMN($B51))/13,0),0,1,1)</f>
        <v>10100.756257234016</v>
      </c>
      <c r="G52" s="45">
        <f ca="1">OFFSET(Loans1!$E$9,COLUMN(G51)-COLUMN($B51)-ROUNDDOWN((COLUMN(G51)-COLUMN($B51))/13,0),0,1,1)</f>
        <v>10050.156073340861</v>
      </c>
      <c r="H52" s="45">
        <f ca="1">OFFSET(Loans1!$E$9,COLUMN(H51)-COLUMN($B51)-ROUNDDOWN((COLUMN(H51)-COLUMN($B51))/13,0),0,1,1)</f>
        <v>9999.123679543618</v>
      </c>
      <c r="I52" s="45">
        <f ca="1">OFFSET(Loans1!$E$9,COLUMN(I51)-COLUMN($B51)-ROUNDDOWN((COLUMN(I51)-COLUMN($B51))/13,0),0,1,1)</f>
        <v>9947.6553840493561</v>
      </c>
      <c r="J52" s="45">
        <f ca="1">OFFSET(Loans1!$E$9,COLUMN(J51)-COLUMN($B51)-ROUNDDOWN((COLUMN(J51)-COLUMN($B51))/13,0),0,1,1)</f>
        <v>9895.7474635310809</v>
      </c>
      <c r="K52" s="45">
        <f ca="1">OFFSET(Loans1!$E$9,COLUMN(K51)-COLUMN($B51)-ROUNDDOWN((COLUMN(K51)-COLUMN($B51))/13,0),0,1,1)</f>
        <v>9843.3961628583802</v>
      </c>
      <c r="L52" s="45">
        <f ca="1">OFFSET(Loans1!$E$9,COLUMN(L51)-COLUMN($B51)-ROUNDDOWN((COLUMN(L51)-COLUMN($B51))/13,0),0,1,1)</f>
        <v>9790.5976948257648</v>
      </c>
      <c r="M52" s="45">
        <f ca="1">OFFSET(Loans1!$E$9,COLUMN(M51)-COLUMN($B51)-ROUNDDOWN((COLUMN(M51)-COLUMN($B51))/13,0),0,1,1)</f>
        <v>9737.3482398787055</v>
      </c>
      <c r="N52" s="45">
        <f ca="1">OFFSET(Loans1!$E$9,COLUMN(N51)-COLUMN($B51)-ROUNDDOWN((COLUMN(N51)-COLUMN($B51))/13,0),0,1,1)</f>
        <v>9683.6439458373079</v>
      </c>
      <c r="O52" s="46">
        <f ca="1">SUM(C52:N52)</f>
        <v>119650.02739925773</v>
      </c>
      <c r="P52" s="45">
        <f ca="1">OFFSET(Loans1!$E$9,COLUMN(P51)-COLUMN($B51)-ROUNDDOWN((COLUMN(P51)-COLUMN($B51))/13,0),0,1,1)</f>
        <v>9629.4809276176384</v>
      </c>
      <c r="Q52" s="45">
        <f ca="1">OFFSET(Loans1!$E$9,COLUMN(Q51)-COLUMN($B51)-ROUNDDOWN((COLUMN(Q51)-COLUMN($B51))/13,0),0,1,1)</f>
        <v>9574.8552669506771</v>
      </c>
      <c r="R52" s="45">
        <f ca="1">OFFSET(Loans1!$E$9,COLUMN(R51)-COLUMN($B51)-ROUNDDOWN((COLUMN(R51)-COLUMN($B51))/13,0),0,1,1)</f>
        <v>9519.7630120988506</v>
      </c>
      <c r="S52" s="45">
        <f ca="1">OFFSET(Loans1!$E$9,COLUMN(S51)-COLUMN($B51)-ROUNDDOWN((COLUMN(S51)-COLUMN($B51))/13,0),0,1,1)</f>
        <v>9464.2001775701647</v>
      </c>
      <c r="T52" s="45">
        <f ca="1">OFFSET(Loans1!$E$9,COLUMN(T51)-COLUMN($B51)-ROUNDDOWN((COLUMN(T51)-COLUMN($B51))/13,0),0,1,1)</f>
        <v>9408.1627438298819</v>
      </c>
      <c r="U52" s="45">
        <f ca="1">OFFSET(Loans1!$E$9,COLUMN(U51)-COLUMN($B51)-ROUNDDOWN((COLUMN(U51)-COLUMN($B51))/13,0),0,1,1)</f>
        <v>9351.6466570097309</v>
      </c>
      <c r="V52" s="45">
        <f ca="1">OFFSET(Loans1!$E$9,COLUMN(V51)-COLUMN($B51)-ROUNDDOWN((COLUMN(V51)-COLUMN($B51))/13,0),0,1,1)</f>
        <v>9294.6478286146612</v>
      </c>
      <c r="W52" s="45">
        <f ca="1">OFFSET(Loans1!$E$9,COLUMN(W51)-COLUMN($B51)-ROUNDDOWN((COLUMN(W51)-COLUMN($B51))/13,0),0,1,1)</f>
        <v>9237.1621352270486</v>
      </c>
      <c r="X52" s="45">
        <f ca="1">OFFSET(Loans1!$E$9,COLUMN(X51)-COLUMN($B51)-ROUNDDOWN((COLUMN(X51)-COLUMN($B51))/13,0),0,1,1)</f>
        <v>9179.1854182084171</v>
      </c>
      <c r="Y52" s="45">
        <f ca="1">OFFSET(Loans1!$E$9,COLUMN(Y51)-COLUMN($B51)-ROUNDDOWN((COLUMN(Y51)-COLUMN($B51))/13,0),0,1,1)</f>
        <v>9120.7134833985856</v>
      </c>
      <c r="Z52" s="45">
        <f ca="1">OFFSET(Loans1!$E$9,COLUMN(Z51)-COLUMN($B51)-ROUNDDOWN((COLUMN(Z51)-COLUMN($B51))/13,0),0,1,1)</f>
        <v>9061.7421008122528</v>
      </c>
      <c r="AA52" s="45">
        <f ca="1">OFFSET(Loans1!$E$9,COLUMN(AA51)-COLUMN($B51)-ROUNDDOWN((COLUMN(AA51)-COLUMN($B51))/13,0),0,1,1)</f>
        <v>9002.2670043329945</v>
      </c>
      <c r="AB52" s="46">
        <f ca="1">SUM(P52:AA52)</f>
        <v>111843.8267556709</v>
      </c>
      <c r="AC52" s="45">
        <f ca="1">OFFSET(Loans1!$E$9,COLUMN(AC51)-COLUMN($B51)-ROUNDDOWN((COLUMN(AC51)-COLUMN($B51))/13,0),0,1,1)</f>
        <v>8942.2838914046424</v>
      </c>
      <c r="AD52" s="45">
        <f ca="1">OFFSET(Loans1!$E$9,COLUMN(AD51)-COLUMN($B51)-ROUNDDOWN((COLUMN(AD51)-COLUMN($B51))/13,0),0,1,1)</f>
        <v>8881.7884227200284</v>
      </c>
      <c r="AE52" s="45">
        <f ca="1">OFFSET(Loans1!$E$9,COLUMN(AE51)-COLUMN($B51)-ROUNDDOWN((COLUMN(AE51)-COLUMN($B51))/13,0),0,1,1)</f>
        <v>8820.7762219070646</v>
      </c>
      <c r="AF52" s="45">
        <f ca="1">OFFSET(Loans1!$E$9,COLUMN(AF51)-COLUMN($B51)-ROUNDDOWN((COLUMN(AF51)-COLUMN($B51))/13,0),0,1,1)</f>
        <v>8759.2428752121577</v>
      </c>
      <c r="AG52" s="45">
        <f ca="1">OFFSET(Loans1!$E$9,COLUMN(AG51)-COLUMN($B51)-ROUNDDOWN((COLUMN(AG51)-COLUMN($B51))/13,0),0,1,1)</f>
        <v>8697.1839311808999</v>
      </c>
      <c r="AH52" s="45">
        <f ca="1">OFFSET(Loans1!$E$9,COLUMN(AH51)-COLUMN($B51)-ROUNDDOWN((COLUMN(AH51)-COLUMN($B51))/13,0),0,1,1)</f>
        <v>8634.5949003360402</v>
      </c>
      <c r="AI52" s="45">
        <f ca="1">OFFSET(Loans1!$E$9,COLUMN(AI51)-COLUMN($B51)-ROUNDDOWN((COLUMN(AI51)-COLUMN($B51))/13,0),0,1,1)</f>
        <v>8571.471254852715</v>
      </c>
      <c r="AJ52" s="45">
        <f ca="1">OFFSET(Loans1!$E$9,COLUMN(AJ51)-COLUMN($B51)-ROUNDDOWN((COLUMN(AJ51)-COLUMN($B51))/13,0),0,1,1)</f>
        <v>8507.8084282308846</v>
      </c>
      <c r="AK52" s="45">
        <f ca="1">OFFSET(Loans1!$E$9,COLUMN(AK51)-COLUMN($B51)-ROUNDDOWN((COLUMN(AK51)-COLUMN($B51))/13,0),0,1,1)</f>
        <v>8443.6018149649935</v>
      </c>
      <c r="AL52" s="45">
        <f ca="1">OFFSET(Loans1!$E$9,COLUMN(AL51)-COLUMN($B51)-ROUNDDOWN((COLUMN(AL51)-COLUMN($B51))/13,0),0,1,1)</f>
        <v>8378.8467702107901</v>
      </c>
      <c r="AM52" s="45">
        <f ca="1">OFFSET(Loans1!$E$9,COLUMN(AM51)-COLUMN($B51)-ROUNDDOWN((COLUMN(AM51)-COLUMN($B51))/13,0),0,1,1)</f>
        <v>8313.5386094493133</v>
      </c>
      <c r="AN52" s="45">
        <f ca="1">OFFSET(Loans1!$E$9,COLUMN(AN51)-COLUMN($B51)-ROUNDDOWN((COLUMN(AN51)-COLUMN($B51))/13,0),0,1,1)</f>
        <v>8247.6726081479956</v>
      </c>
      <c r="AO52" s="46">
        <f ca="1">SUM(AC52:AN52)</f>
        <v>103198.80972861753</v>
      </c>
    </row>
    <row r="53" spans="1:41" s="11" customFormat="1" ht="16.149999999999999" customHeight="1" x14ac:dyDescent="0.3">
      <c r="A53" s="150" t="s">
        <v>165</v>
      </c>
      <c r="B53" s="49" t="s">
        <v>163</v>
      </c>
      <c r="C53" s="45">
        <f ca="1">OFFSET(Loans2!$E$9,COLUMN(C52)-COLUMN($B52)-ROUNDDOWN((COLUMN(C52)-COLUMN($B52))/13,0),0,1,1)</f>
        <v>3854.1666666666665</v>
      </c>
      <c r="D53" s="45">
        <f ca="1">OFFSET(Loans2!$E$9,COLUMN(D52)-COLUMN($B52)-ROUNDDOWN((COLUMN(D52)-COLUMN($B52))/13,0),0,1,1)</f>
        <v>3826.9104361872446</v>
      </c>
      <c r="E53" s="45">
        <f ca="1">OFFSET(Loans2!$E$9,COLUMN(E52)-COLUMN($B52)-ROUNDDOWN((COLUMN(E52)-COLUMN($B52))/13,0),0,1,1)</f>
        <v>3799.4441055978764</v>
      </c>
      <c r="F53" s="45">
        <f ca="1">OFFSET(Loans2!$E$9,COLUMN(F52)-COLUMN($B52)-ROUNDDOWN((COLUMN(F52)-COLUMN($B52))/13,0),0,1,1)</f>
        <v>3771.7660553768819</v>
      </c>
      <c r="G53" s="45">
        <f ca="1">OFFSET(Loans2!$E$9,COLUMN(G52)-COLUMN($B52)-ROUNDDOWN((COLUMN(G52)-COLUMN($B52))/13,0),0,1,1)</f>
        <v>3743.8746535187674</v>
      </c>
      <c r="H53" s="45">
        <f ca="1">OFFSET(Loans2!$E$9,COLUMN(H52)-COLUMN($B52)-ROUNDDOWN((COLUMN(H52)-COLUMN($B52))/13,0),0,1,1)</f>
        <v>4486.6015887713302</v>
      </c>
      <c r="I53" s="45">
        <f ca="1">OFFSET(Loans2!$E$9,COLUMN(I52)-COLUMN($B52)-ROUNDDOWN((COLUMN(I52)-COLUMN($B52))/13,0),0,1,1)</f>
        <v>4452.8272911094691</v>
      </c>
      <c r="J53" s="45">
        <f ca="1">OFFSET(Loans2!$E$9,COLUMN(J52)-COLUMN($B52)-ROUNDDOWN((COLUMN(J52)-COLUMN($B52))/13,0),0,1,1)</f>
        <v>4418.7926499031319</v>
      </c>
      <c r="K53" s="45">
        <f ca="1">OFFSET(Loans2!$E$9,COLUMN(K52)-COLUMN($B52)-ROUNDDOWN((COLUMN(K52)-COLUMN($B52))/13,0),0,1,1)</f>
        <v>4384.4956583374942</v>
      </c>
      <c r="L53" s="45">
        <f ca="1">OFFSET(Loans2!$E$9,COLUMN(L52)-COLUMN($B52)-ROUNDDOWN((COLUMN(L52)-COLUMN($B52))/13,0),0,1,1)</f>
        <v>4349.9342941285386</v>
      </c>
      <c r="M53" s="45">
        <f ca="1">OFFSET(Loans2!$E$9,COLUMN(M52)-COLUMN($B52)-ROUNDDOWN((COLUMN(M52)-COLUMN($B52))/13,0),0,1,1)</f>
        <v>4315.1065194038065</v>
      </c>
      <c r="N53" s="45">
        <f ca="1">OFFSET(Loans2!$E$9,COLUMN(N52)-COLUMN($B52)-ROUNDDOWN((COLUMN(N52)-COLUMN($B52))/13,0),0,1,1)</f>
        <v>4280.0102805822371</v>
      </c>
      <c r="O53" s="46">
        <f t="shared" ref="O53:O55" ca="1" si="31">SUM(C53:N53)</f>
        <v>49683.930199583447</v>
      </c>
      <c r="P53" s="45">
        <f ca="1">OFFSET(Loans2!$E$9,COLUMN(P52)-COLUMN($B52)-ROUNDDOWN((COLUMN(P52)-COLUMN($B52))/13,0),0,1,1)</f>
        <v>4244.6435082530852</v>
      </c>
      <c r="Q53" s="45">
        <f ca="1">OFFSET(Loans2!$E$9,COLUMN(Q52)-COLUMN($B52)-ROUNDDOWN((COLUMN(Q52)-COLUMN($B52))/13,0),0,1,1)</f>
        <v>4209.0041170538952</v>
      </c>
      <c r="R53" s="45">
        <f ca="1">OFFSET(Loans2!$E$9,COLUMN(R52)-COLUMN($B52)-ROUNDDOWN((COLUMN(R52)-COLUMN($B52))/13,0),0,1,1)</f>
        <v>4173.0900055475458</v>
      </c>
      <c r="S53" s="45">
        <f ca="1">OFFSET(Loans2!$E$9,COLUMN(S52)-COLUMN($B52)-ROUNDDOWN((COLUMN(S52)-COLUMN($B52))/13,0),0,1,1)</f>
        <v>4136.8990560983348</v>
      </c>
      <c r="T53" s="45">
        <f ca="1">OFFSET(Loans2!$E$9,COLUMN(T52)-COLUMN($B52)-ROUNDDOWN((COLUMN(T52)-COLUMN($B52))/13,0),0,1,1)</f>
        <v>4100.429134747119</v>
      </c>
      <c r="U53" s="45">
        <f ca="1">OFFSET(Loans2!$E$9,COLUMN(U52)-COLUMN($B52)-ROUNDDOWN((COLUMN(U52)-COLUMN($B52))/13,0),0,1,1)</f>
        <v>4063.6780910854882</v>
      </c>
      <c r="V53" s="45">
        <f ca="1">OFFSET(Loans2!$E$9,COLUMN(V52)-COLUMN($B52)-ROUNDDOWN((COLUMN(V52)-COLUMN($B52))/13,0),0,1,1)</f>
        <v>4026.6437581289647</v>
      </c>
      <c r="W53" s="45">
        <f ca="1">OFFSET(Loans2!$E$9,COLUMN(W52)-COLUMN($B52)-ROUNDDOWN((COLUMN(W52)-COLUMN($B52))/13,0),0,1,1)</f>
        <v>3989.3239521892356</v>
      </c>
      <c r="X53" s="45">
        <f ca="1">OFFSET(Loans2!$E$9,COLUMN(X52)-COLUMN($B52)-ROUNDDOWN((COLUMN(X52)-COLUMN($B52))/13,0),0,1,1)</f>
        <v>3951.7164727453874</v>
      </c>
      <c r="Y53" s="45">
        <f ca="1">OFFSET(Loans2!$E$9,COLUMN(Y52)-COLUMN($B52)-ROUNDDOWN((COLUMN(Y52)-COLUMN($B52))/13,0),0,1,1)</f>
        <v>3913.8191023141594</v>
      </c>
      <c r="Z53" s="45">
        <f ca="1">OFFSET(Loans2!$E$9,COLUMN(Z52)-COLUMN($B52)-ROUNDDOWN((COLUMN(Z52)-COLUMN($B52))/13,0),0,1,1)</f>
        <v>3875.6296063191908</v>
      </c>
      <c r="AA53" s="45">
        <f ca="1">OFFSET(Loans2!$E$9,COLUMN(AA52)-COLUMN($B52)-ROUNDDOWN((COLUMN(AA52)-COLUMN($B52))/13,0),0,1,1)</f>
        <v>3837.1457329592613</v>
      </c>
      <c r="AB53" s="46">
        <f t="shared" ref="AB53:AB55" ca="1" si="32">SUM(P53:AA53)</f>
        <v>48522.02253744167</v>
      </c>
      <c r="AC53" s="45">
        <f ca="1">OFFSET(Loans2!$E$9,COLUMN(AC52)-COLUMN($B52)-ROUNDDOWN((COLUMN(AC52)-COLUMN($B52))/13,0),0,1,1)</f>
        <v>3798.3652130755158</v>
      </c>
      <c r="AD53" s="45">
        <f ca="1">OFFSET(Loans2!$E$9,COLUMN(AD52)-COLUMN($B52)-ROUNDDOWN((COLUMN(AD52)-COLUMN($B52))/13,0),0,1,1)</f>
        <v>3759.2857600176653</v>
      </c>
      <c r="AE53" s="45">
        <f ca="1">OFFSET(Loans2!$E$9,COLUMN(AE52)-COLUMN($B52)-ROUNDDOWN((COLUMN(AE52)-COLUMN($B52))/13,0),0,1,1)</f>
        <v>3719.9050695091614</v>
      </c>
      <c r="AF53" s="45">
        <f ca="1">OFFSET(Loans2!$E$9,COLUMN(AF52)-COLUMN($B52)-ROUNDDOWN((COLUMN(AF52)-COLUMN($B52))/13,0),0,1,1)</f>
        <v>3680.2208195113212</v>
      </c>
      <c r="AG53" s="45">
        <f ca="1">OFFSET(Loans2!$E$9,COLUMN(AG52)-COLUMN($B52)-ROUNDDOWN((COLUMN(AG52)-COLUMN($B52))/13,0),0,1,1)</f>
        <v>3640.2306700864142</v>
      </c>
      <c r="AH53" s="45">
        <f ca="1">OFFSET(Loans2!$E$9,COLUMN(AH52)-COLUMN($B52)-ROUNDDOWN((COLUMN(AH52)-COLUMN($B52))/13,0),0,1,1)</f>
        <v>3599.93226325969</v>
      </c>
      <c r="AI53" s="45">
        <f ca="1">OFFSET(Loans2!$E$9,COLUMN(AI52)-COLUMN($B52)-ROUNDDOWN((COLUMN(AI52)-COLUMN($B52))/13,0),0,1,1)</f>
        <v>3559.3232228803431</v>
      </c>
      <c r="AJ53" s="45">
        <f ca="1">OFFSET(Loans2!$E$9,COLUMN(AJ52)-COLUMN($B52)-ROUNDDOWN((COLUMN(AJ52)-COLUMN($B52))/13,0),0,1,1)</f>
        <v>3518.4011544814057</v>
      </c>
      <c r="AK53" s="45">
        <f ca="1">OFFSET(Loans2!$E$9,COLUMN(AK52)-COLUMN($B52)-ROUNDDOWN((COLUMN(AK52)-COLUMN($B52))/13,0),0,1,1)</f>
        <v>3477.1636451385598</v>
      </c>
      <c r="AL53" s="45">
        <f ca="1">OFFSET(Loans2!$E$9,COLUMN(AL52)-COLUMN($B52)-ROUNDDOWN((COLUMN(AL52)-COLUMN($B52))/13,0),0,1,1)</f>
        <v>3435.6082633278625</v>
      </c>
      <c r="AM53" s="45">
        <f ca="1">OFFSET(Loans2!$E$9,COLUMN(AM52)-COLUMN($B52)-ROUNDDOWN((COLUMN(AM52)-COLUMN($B52))/13,0),0,1,1)</f>
        <v>3393.7325587823743</v>
      </c>
      <c r="AN53" s="45">
        <f ca="1">OFFSET(Loans2!$E$9,COLUMN(AN52)-COLUMN($B52)-ROUNDDOWN((COLUMN(AN52)-COLUMN($B52))/13,0),0,1,1)</f>
        <v>3351.5340623476823</v>
      </c>
      <c r="AO53" s="46">
        <f t="shared" ref="AO53:AO55" ca="1" si="33">SUM(AC53:AN53)</f>
        <v>42933.702702417992</v>
      </c>
    </row>
    <row r="54" spans="1:41" s="11" customFormat="1" ht="16.149999999999999" customHeight="1" x14ac:dyDescent="0.3">
      <c r="A54" s="150" t="s">
        <v>165</v>
      </c>
      <c r="B54" s="49" t="s">
        <v>164</v>
      </c>
      <c r="C54" s="45">
        <f ca="1">OFFSET(Loans3!$E$9,COLUMN(C53)-COLUMN($B53)-ROUNDDOWN((COLUMN(C53)-COLUMN($B53))/13,0),0,1,1)</f>
        <v>0</v>
      </c>
      <c r="D54" s="45">
        <f ca="1">OFFSET(Loans3!$E$9,COLUMN(D53)-COLUMN($B53)-ROUNDDOWN((COLUMN(D53)-COLUMN($B53))/13,0),0,1,1)</f>
        <v>0</v>
      </c>
      <c r="E54" s="45">
        <f ca="1">OFFSET(Loans3!$E$9,COLUMN(E53)-COLUMN($B53)-ROUNDDOWN((COLUMN(E53)-COLUMN($B53))/13,0),0,1,1)</f>
        <v>0</v>
      </c>
      <c r="F54" s="45">
        <f ca="1">OFFSET(Loans3!$E$9,COLUMN(F53)-COLUMN($B53)-ROUNDDOWN((COLUMN(F53)-COLUMN($B53))/13,0),0,1,1)</f>
        <v>0</v>
      </c>
      <c r="G54" s="45">
        <f ca="1">OFFSET(Loans3!$E$9,COLUMN(G53)-COLUMN($B53)-ROUNDDOWN((COLUMN(G53)-COLUMN($B53))/13,0),0,1,1)</f>
        <v>0</v>
      </c>
      <c r="H54" s="45">
        <f ca="1">OFFSET(Loans3!$E$9,COLUMN(H53)-COLUMN($B53)-ROUNDDOWN((COLUMN(H53)-COLUMN($B53))/13,0),0,1,1)</f>
        <v>0</v>
      </c>
      <c r="I54" s="45">
        <f ca="1">OFFSET(Loans3!$E$9,COLUMN(I53)-COLUMN($B53)-ROUNDDOWN((COLUMN(I53)-COLUMN($B53))/13,0),0,1,1)</f>
        <v>0</v>
      </c>
      <c r="J54" s="45">
        <f ca="1">OFFSET(Loans3!$E$9,COLUMN(J53)-COLUMN($B53)-ROUNDDOWN((COLUMN(J53)-COLUMN($B53))/13,0),0,1,1)</f>
        <v>0</v>
      </c>
      <c r="K54" s="45">
        <f ca="1">OFFSET(Loans3!$E$9,COLUMN(K53)-COLUMN($B53)-ROUNDDOWN((COLUMN(K53)-COLUMN($B53))/13,0),0,1,1)</f>
        <v>0</v>
      </c>
      <c r="L54" s="45">
        <f ca="1">OFFSET(Loans3!$E$9,COLUMN(L53)-COLUMN($B53)-ROUNDDOWN((COLUMN(L53)-COLUMN($B53))/13,0),0,1,1)</f>
        <v>0</v>
      </c>
      <c r="M54" s="45">
        <f ca="1">OFFSET(Loans3!$E$9,COLUMN(M53)-COLUMN($B53)-ROUNDDOWN((COLUMN(M53)-COLUMN($B53))/13,0),0,1,1)</f>
        <v>2500</v>
      </c>
      <c r="N54" s="45">
        <f ca="1">OFFSET(Loans3!$E$9,COLUMN(N53)-COLUMN($B53)-ROUNDDOWN((COLUMN(N53)-COLUMN($B53))/13,0),0,1,1)</f>
        <v>2469.7968211031271</v>
      </c>
      <c r="O54" s="46">
        <f t="shared" ca="1" si="31"/>
        <v>4969.7968211031275</v>
      </c>
      <c r="P54" s="45">
        <f ca="1">OFFSET(Loans3!$E$9,COLUMN(P53)-COLUMN($B53)-ROUNDDOWN((COLUMN(P53)-COLUMN($B53))/13,0),0,1,1)</f>
        <v>2439.279025759412</v>
      </c>
      <c r="Q54" s="45">
        <f ca="1">OFFSET(Loans3!$E$9,COLUMN(Q53)-COLUMN($B53)-ROUNDDOWN((COLUMN(Q53)-COLUMN($B53))/13,0),0,1,1)</f>
        <v>2408.4433367141996</v>
      </c>
      <c r="R54" s="45">
        <f ca="1">OFFSET(Loans3!$E$9,COLUMN(R53)-COLUMN($B53)-ROUNDDOWN((COLUMN(R53)-COLUMN($B53))/13,0),0,1,1)</f>
        <v>2377.2864425747662</v>
      </c>
      <c r="S54" s="45">
        <f ca="1">OFFSET(Loans3!$E$9,COLUMN(S53)-COLUMN($B53)-ROUNDDOWN((COLUMN(S53)-COLUMN($B53))/13,0),0,1,1)</f>
        <v>2345.8049974547134</v>
      </c>
      <c r="T54" s="45">
        <f ca="1">OFFSET(Loans3!$E$9,COLUMN(T53)-COLUMN($B53)-ROUNDDOWN((COLUMN(T53)-COLUMN($B53))/13,0),0,1,1)</f>
        <v>2313.9956206146603</v>
      </c>
      <c r="U54" s="45">
        <f ca="1">OFFSET(Loans3!$E$9,COLUMN(U53)-COLUMN($B53)-ROUNDDOWN((COLUMN(U53)-COLUMN($B53))/13,0),0,1,1)</f>
        <v>5406.8548960991902</v>
      </c>
      <c r="V54" s="45">
        <f ca="1">OFFSET(Loans3!$E$9,COLUMN(V53)-COLUMN($B53)-ROUNDDOWN((COLUMN(V53)-COLUMN($B53))/13,0),0,1,1)</f>
        <v>5336.6253987489263</v>
      </c>
      <c r="W54" s="45">
        <f ca="1">OFFSET(Loans3!$E$9,COLUMN(W53)-COLUMN($B53)-ROUNDDOWN((COLUMN(W53)-COLUMN($B53))/13,0),0,1,1)</f>
        <v>5265.6643441345959</v>
      </c>
      <c r="X54" s="45">
        <f ca="1">OFFSET(Loans3!$E$9,COLUMN(X53)-COLUMN($B53)-ROUNDDOWN((COLUMN(X53)-COLUMN($B53))/13,0),0,1,1)</f>
        <v>5193.9641118680347</v>
      </c>
      <c r="Y54" s="45">
        <f ca="1">OFFSET(Loans3!$E$9,COLUMN(Y53)-COLUMN($B53)-ROUNDDOWN((COLUMN(Y53)-COLUMN($B53))/13,0),0,1,1)</f>
        <v>5121.5170021820295</v>
      </c>
      <c r="Z54" s="45">
        <f ca="1">OFFSET(Loans3!$E$9,COLUMN(Z53)-COLUMN($B53)-ROUNDDOWN((COLUMN(Z53)-COLUMN($B53))/13,0),0,1,1)</f>
        <v>5048.3152351034614</v>
      </c>
      <c r="AA54" s="45">
        <f ca="1">OFFSET(Loans3!$E$9,COLUMN(AA53)-COLUMN($B53)-ROUNDDOWN((COLUMN(AA53)-COLUMN($B53))/13,0),0,1,1)</f>
        <v>4974.3509496178249</v>
      </c>
      <c r="AB54" s="46">
        <f t="shared" ca="1" si="32"/>
        <v>48232.101360871813</v>
      </c>
      <c r="AC54" s="45">
        <f ca="1">OFFSET(Loans3!$E$9,COLUMN(AC53)-COLUMN($B53)-ROUNDDOWN((COLUMN(AC53)-COLUMN($B53))/13,0),0,1,1)</f>
        <v>4899.6162028250465</v>
      </c>
      <c r="AD54" s="45">
        <f ca="1">OFFSET(Loans3!$E$9,COLUMN(AD53)-COLUMN($B53)-ROUNDDOWN((COLUMN(AD53)-COLUMN($B53))/13,0),0,1,1)</f>
        <v>6699.1029690865098</v>
      </c>
      <c r="AE54" s="45">
        <f ca="1">OFFSET(Loans3!$E$9,COLUMN(AE53)-COLUMN($B53)-ROUNDDOWN((COLUMN(AE53)-COLUMN($B53))/13,0),0,1,1)</f>
        <v>6600.1507549905427</v>
      </c>
      <c r="AF54" s="45">
        <f ca="1">OFFSET(Loans3!$E$9,COLUMN(AF53)-COLUMN($B53)-ROUNDDOWN((COLUMN(AF53)-COLUMN($B53))/13,0),0,1,1)</f>
        <v>6500.1677886644093</v>
      </c>
      <c r="AG54" s="45">
        <f ca="1">OFFSET(Loans3!$E$9,COLUMN(AG53)-COLUMN($B53)-ROUNDDOWN((COLUMN(AG53)-COLUMN($B53))/13,0),0,1,1)</f>
        <v>6399.1433331057115</v>
      </c>
      <c r="AH54" s="45">
        <f ca="1">OFFSET(Loans3!$E$9,COLUMN(AH53)-COLUMN($B53)-ROUNDDOWN((COLUMN(AH53)-COLUMN($B53))/13,0),0,1,1)</f>
        <v>6297.0665394682765</v>
      </c>
      <c r="AI54" s="45">
        <f ca="1">OFFSET(Loans3!$E$9,COLUMN(AI53)-COLUMN($B53)-ROUNDDOWN((COLUMN(AI53)-COLUMN($B53))/13,0),0,1,1)</f>
        <v>6193.9264458971193</v>
      </c>
      <c r="AJ54" s="45">
        <f ca="1">OFFSET(Loans3!$E$9,COLUMN(AJ53)-COLUMN($B53)-ROUNDDOWN((COLUMN(AJ53)-COLUMN($B53))/13,0),0,1,1)</f>
        <v>6089.7119763512628</v>
      </c>
      <c r="AK54" s="45">
        <f ca="1">OFFSET(Loans3!$E$9,COLUMN(AK53)-COLUMN($B53)-ROUNDDOWN((COLUMN(AK53)-COLUMN($B53))/13,0),0,1,1)</f>
        <v>5984.4119394143027</v>
      </c>
      <c r="AL54" s="45">
        <f ca="1">OFFSET(Loans3!$E$9,COLUMN(AL53)-COLUMN($B53)-ROUNDDOWN((COLUMN(AL53)-COLUMN($B53))/13,0),0,1,1)</f>
        <v>5878.0150270925833</v>
      </c>
      <c r="AM54" s="45">
        <f ca="1">OFFSET(Loans3!$E$9,COLUMN(AM53)-COLUMN($B53)-ROUNDDOWN((COLUMN(AM53)-COLUMN($B53))/13,0),0,1,1)</f>
        <v>5770.5098136008455</v>
      </c>
      <c r="AN54" s="45">
        <f ca="1">OFFSET(Loans3!$E$9,COLUMN(AN53)-COLUMN($B53)-ROUNDDOWN((COLUMN(AN53)-COLUMN($B53))/13,0),0,1,1)</f>
        <v>5661.8847541352361</v>
      </c>
      <c r="AO54" s="46">
        <f t="shared" ca="1" si="33"/>
        <v>72973.707544631834</v>
      </c>
    </row>
    <row r="55" spans="1:41" s="11" customFormat="1" ht="16.149999999999999" customHeight="1" x14ac:dyDescent="0.3">
      <c r="A55" s="150" t="s">
        <v>165</v>
      </c>
      <c r="B55" s="49" t="s">
        <v>160</v>
      </c>
      <c r="C55" s="45">
        <f ca="1">OFFSET(Leases!$E$9,COLUMN(C54)-COLUMN($B54)-ROUNDDOWN((COLUMN(C54)-COLUMN($B54))/13,0),0,1,1)</f>
        <v>4072.9166666666665</v>
      </c>
      <c r="D55" s="45">
        <f ca="1">OFFSET(Leases!$E$9,COLUMN(D54)-COLUMN($B54)-ROUNDDOWN((COLUMN(D54)-COLUMN($B54))/13,0),0,1,1)</f>
        <v>4005.6904255327408</v>
      </c>
      <c r="E55" s="45">
        <f ca="1">OFFSET(Leases!$E$9,COLUMN(E54)-COLUMN($B54)-ROUNDDOWN((COLUMN(E54)-COLUMN($B54))/13,0),0,1,1)</f>
        <v>3937.8199329212807</v>
      </c>
      <c r="F55" s="45">
        <f ca="1">OFFSET(Leases!$E$9,COLUMN(F54)-COLUMN($B54)-ROUNDDOWN((COLUMN(F54)-COLUMN($B54))/13,0),0,1,1)</f>
        <v>3869.2990147556284</v>
      </c>
      <c r="G55" s="45">
        <f ca="1">OFFSET(Leases!$E$9,COLUMN(G54)-COLUMN($B54)-ROUNDDOWN((COLUMN(G54)-COLUMN($B54))/13,0),0,1,1)</f>
        <v>3800.1214377908877</v>
      </c>
      <c r="H55" s="45">
        <f ca="1">OFFSET(Leases!$E$9,COLUMN(H54)-COLUMN($B54)-ROUNDDOWN((COLUMN(H54)-COLUMN($B54))/13,0),0,1,1)</f>
        <v>3730.2809090469018</v>
      </c>
      <c r="I55" s="45">
        <f ca="1">OFFSET(Leases!$E$9,COLUMN(I54)-COLUMN($B54)-ROUNDDOWN((COLUMN(I54)-COLUMN($B54))/13,0),0,1,1)</f>
        <v>3659.7710752357866</v>
      </c>
      <c r="J55" s="45">
        <f ca="1">OFFSET(Leases!$E$9,COLUMN(J54)-COLUMN($B54)-ROUNDDOWN((COLUMN(J54)-COLUMN($B54))/13,0),0,1,1)</f>
        <v>3588.5855221839811</v>
      </c>
      <c r="K55" s="45">
        <f ca="1">OFFSET(Leases!$E$9,COLUMN(K54)-COLUMN($B54)-ROUNDDOWN((COLUMN(K54)-COLUMN($B54))/13,0),0,1,1)</f>
        <v>3516.7177742487625</v>
      </c>
      <c r="L55" s="45">
        <f ca="1">OFFSET(Leases!$E$9,COLUMN(L54)-COLUMN($B54)-ROUNDDOWN((COLUMN(L54)-COLUMN($B54))/13,0),0,1,1)</f>
        <v>3444.1612937291648</v>
      </c>
      <c r="M55" s="45">
        <f ca="1">OFFSET(Leases!$E$9,COLUMN(M54)-COLUMN($B54)-ROUNDDOWN((COLUMN(M54)-COLUMN($B54))/13,0),0,1,1)</f>
        <v>3370.9094802712548</v>
      </c>
      <c r="N55" s="45">
        <f ca="1">OFFSET(Leases!$E$9,COLUMN(N54)-COLUMN($B54)-ROUNDDOWN((COLUMN(N54)-COLUMN($B54))/13,0),0,1,1)</f>
        <v>3296.9556702677055</v>
      </c>
      <c r="O55" s="46">
        <f t="shared" ca="1" si="31"/>
        <v>44293.229202650764</v>
      </c>
      <c r="P55" s="45">
        <f ca="1">OFFSET(Leases!$E$9,COLUMN(P54)-COLUMN($B54)-ROUNDDOWN((COLUMN(P54)-COLUMN($B54))/13,0),0,1,1)</f>
        <v>3222.2931362516229</v>
      </c>
      <c r="Q55" s="45">
        <f ca="1">OFFSET(Leases!$E$9,COLUMN(Q54)-COLUMN($B54)-ROUNDDOWN((COLUMN(Q54)-COLUMN($B54))/13,0),0,1,1)</f>
        <v>3146.9150862845527</v>
      </c>
      <c r="R55" s="45">
        <f ca="1">OFFSET(Leases!$E$9,COLUMN(R54)-COLUMN($B54)-ROUNDDOWN((COLUMN(R54)-COLUMN($B54))/13,0),0,1,1)</f>
        <v>3070.8146633386314</v>
      </c>
      <c r="S55" s="45">
        <f ca="1">OFFSET(Leases!$E$9,COLUMN(S54)-COLUMN($B54)-ROUNDDOWN((COLUMN(S54)-COLUMN($B54))/13,0),0,1,1)</f>
        <v>2993.9849446728113</v>
      </c>
      <c r="T55" s="45">
        <f ca="1">OFFSET(Leases!$E$9,COLUMN(T54)-COLUMN($B54)-ROUNDDOWN((COLUMN(T54)-COLUMN($B54))/13,0),0,1,1)</f>
        <v>2916.4189412031105</v>
      </c>
      <c r="U55" s="45">
        <f ca="1">OFFSET(Leases!$E$9,COLUMN(U54)-COLUMN($B54)-ROUNDDOWN((COLUMN(U54)-COLUMN($B54))/13,0),0,1,1)</f>
        <v>2838.1095968668255</v>
      </c>
      <c r="V55" s="45">
        <f ca="1">OFFSET(Leases!$E$9,COLUMN(V54)-COLUMN($B54)-ROUNDDOWN((COLUMN(V54)-COLUMN($B54))/13,0),0,1,1)</f>
        <v>2759.0497879806512</v>
      </c>
      <c r="W55" s="45">
        <f ca="1">OFFSET(Leases!$E$9,COLUMN(W54)-COLUMN($B54)-ROUNDDOWN((COLUMN(W54)-COLUMN($B54))/13,0),0,1,1)</f>
        <v>2679.2323225926507</v>
      </c>
      <c r="X55" s="45">
        <f ca="1">OFFSET(Leases!$E$9,COLUMN(X54)-COLUMN($B54)-ROUNDDOWN((COLUMN(X54)-COLUMN($B54))/13,0),0,1,1)</f>
        <v>2598.6499398280152</v>
      </c>
      <c r="Y55" s="45">
        <f ca="1">OFFSET(Leases!$E$9,COLUMN(Y54)-COLUMN($B54)-ROUNDDOWN((COLUMN(Y54)-COLUMN($B54))/13,0),0,1,1)</f>
        <v>2517.295309228552</v>
      </c>
      <c r="Z55" s="45">
        <f ca="1">OFFSET(Leases!$E$9,COLUMN(Z54)-COLUMN($B54)-ROUNDDOWN((COLUMN(Z54)-COLUMN($B54))/13,0),0,1,1)</f>
        <v>2435.1610300858442</v>
      </c>
      <c r="AA55" s="45">
        <f ca="1">OFFSET(Leases!$E$9,COLUMN(AA54)-COLUMN($B54)-ROUNDDOWN((COLUMN(AA54)-COLUMN($B54))/13,0),0,1,1)</f>
        <v>2352.2396307680183</v>
      </c>
      <c r="AB55" s="46">
        <f t="shared" ca="1" si="32"/>
        <v>33530.164389101286</v>
      </c>
      <c r="AC55" s="45">
        <f ca="1">OFFSET(Leases!$E$9,COLUMN(AC54)-COLUMN($B54)-ROUNDDOWN((COLUMN(AC54)-COLUMN($B54))/13,0),0,1,1)</f>
        <v>2268.5235680400633</v>
      </c>
      <c r="AD55" s="45">
        <f ca="1">OFFSET(Leases!$E$9,COLUMN(AD54)-COLUMN($B54)-ROUNDDOWN((COLUMN(AD54)-COLUMN($B54))/13,0),0,1,1)</f>
        <v>2184.0052263776324</v>
      </c>
      <c r="AE55" s="45">
        <f ca="1">OFFSET(Leases!$E$9,COLUMN(AE54)-COLUMN($B54)-ROUNDDOWN((COLUMN(AE54)-COLUMN($B54))/13,0),0,1,1)</f>
        <v>2098.6769172742697</v>
      </c>
      <c r="AF55" s="45">
        <f ca="1">OFFSET(Leases!$E$9,COLUMN(AF54)-COLUMN($B54)-ROUNDDOWN((COLUMN(AF54)-COLUMN($B54))/13,0),0,1,1)</f>
        <v>2012.530878542</v>
      </c>
      <c r="AG55" s="45">
        <f ca="1">OFFSET(Leases!$E$9,COLUMN(AG54)-COLUMN($B54)-ROUNDDOWN((COLUMN(AG54)-COLUMN($B54))/13,0),0,1,1)</f>
        <v>1925.5592736052124</v>
      </c>
      <c r="AH55" s="45">
        <f ca="1">OFFSET(Leases!$E$9,COLUMN(AH54)-COLUMN($B54)-ROUNDDOWN((COLUMN(AH54)-COLUMN($B54))/13,0),0,1,1)</f>
        <v>1837.7541907877805</v>
      </c>
      <c r="AI55" s="45">
        <f ca="1">OFFSET(Leases!$E$9,COLUMN(AI54)-COLUMN($B54)-ROUNDDOWN((COLUMN(AI54)-COLUMN($B54))/13,0),0,1,1)</f>
        <v>1749.1076425933486</v>
      </c>
      <c r="AJ55" s="45">
        <f ca="1">OFFSET(Leases!$E$9,COLUMN(AJ54)-COLUMN($B54)-ROUNDDOWN((COLUMN(AJ54)-COLUMN($B54))/13,0),0,1,1)</f>
        <v>1659.6115649787198</v>
      </c>
      <c r="AK55" s="45">
        <f ca="1">OFFSET(Leases!$E$9,COLUMN(AK54)-COLUMN($B54)-ROUNDDOWN((COLUMN(AK54)-COLUMN($B54))/13,0),0,1,1)</f>
        <v>1569.2578166202841</v>
      </c>
      <c r="AL55" s="45">
        <f ca="1">OFFSET(Leases!$E$9,COLUMN(AL54)-COLUMN($B54)-ROUNDDOWN((COLUMN(AL54)-COLUMN($B54))/13,0),0,1,1)</f>
        <v>1478.0381781734134</v>
      </c>
      <c r="AM55" s="45">
        <f ca="1">OFFSET(Leases!$E$9,COLUMN(AM54)-COLUMN($B54)-ROUNDDOWN((COLUMN(AM54)-COLUMN($B54))/13,0),0,1,1)</f>
        <v>1385.9443515247604</v>
      </c>
      <c r="AN55" s="45">
        <f ca="1">OFFSET(Leases!$E$9,COLUMN(AN54)-COLUMN($B54)-ROUNDDOWN((COLUMN(AN54)-COLUMN($B54))/13,0),0,1,1)</f>
        <v>1292.967959037391</v>
      </c>
      <c r="AO55" s="46">
        <f t="shared" ca="1" si="33"/>
        <v>21461.977567554881</v>
      </c>
    </row>
    <row r="56" spans="1:41" s="3" customFormat="1" ht="16.149999999999999" customHeight="1" thickBot="1" x14ac:dyDescent="0.3">
      <c r="A56" s="151"/>
      <c r="B56" s="47" t="s">
        <v>174</v>
      </c>
      <c r="C56" s="58">
        <f ca="1">SUM(C52:C55)</f>
        <v>18177.083333333332</v>
      </c>
      <c r="D56" s="58">
        <f t="shared" ref="D56:AO56" ca="1" si="34">SUM(D52:D55)</f>
        <v>18033.275468129621</v>
      </c>
      <c r="E56" s="58">
        <f t="shared" ca="1" si="34"/>
        <v>17888.191930268178</v>
      </c>
      <c r="F56" s="58">
        <f t="shared" ca="1" si="34"/>
        <v>17741.821327366524</v>
      </c>
      <c r="G56" s="58">
        <f t="shared" ca="1" si="34"/>
        <v>17594.152164650517</v>
      </c>
      <c r="H56" s="58">
        <f t="shared" ca="1" si="34"/>
        <v>18216.006177361851</v>
      </c>
      <c r="I56" s="58">
        <f t="shared" ca="1" si="34"/>
        <v>18060.253750394611</v>
      </c>
      <c r="J56" s="58">
        <f t="shared" ca="1" si="34"/>
        <v>17903.125635618195</v>
      </c>
      <c r="K56" s="58">
        <f t="shared" ca="1" si="34"/>
        <v>17744.609595444635</v>
      </c>
      <c r="L56" s="58">
        <f t="shared" ca="1" si="34"/>
        <v>17584.693282683467</v>
      </c>
      <c r="M56" s="58">
        <f t="shared" ca="1" si="34"/>
        <v>19923.364239553764</v>
      </c>
      <c r="N56" s="58">
        <f t="shared" ca="1" si="34"/>
        <v>19730.406717790378</v>
      </c>
      <c r="O56" s="58">
        <f t="shared" ca="1" si="34"/>
        <v>218596.98362259509</v>
      </c>
      <c r="P56" s="58">
        <f t="shared" ca="1" si="34"/>
        <v>19535.696597881757</v>
      </c>
      <c r="Q56" s="58">
        <f t="shared" ca="1" si="34"/>
        <v>19339.217807003326</v>
      </c>
      <c r="R56" s="58">
        <f t="shared" ca="1" si="34"/>
        <v>19140.954123559794</v>
      </c>
      <c r="S56" s="58">
        <f t="shared" ca="1" si="34"/>
        <v>18940.889175796023</v>
      </c>
      <c r="T56" s="58">
        <f t="shared" ca="1" si="34"/>
        <v>18739.006440394773</v>
      </c>
      <c r="U56" s="58">
        <f t="shared" ca="1" si="34"/>
        <v>21660.289241061237</v>
      </c>
      <c r="V56" s="58">
        <f t="shared" ca="1" si="34"/>
        <v>21416.966773473203</v>
      </c>
      <c r="W56" s="58">
        <f t="shared" ca="1" si="34"/>
        <v>21171.382754143531</v>
      </c>
      <c r="X56" s="58">
        <f t="shared" ca="1" si="34"/>
        <v>20923.515942649854</v>
      </c>
      <c r="Y56" s="58">
        <f t="shared" ca="1" si="34"/>
        <v>20673.344897123327</v>
      </c>
      <c r="Z56" s="58">
        <f t="shared" ca="1" si="34"/>
        <v>20420.847972320749</v>
      </c>
      <c r="AA56" s="58">
        <f t="shared" ca="1" si="34"/>
        <v>20166.0033176781</v>
      </c>
      <c r="AB56" s="58">
        <f t="shared" ca="1" si="34"/>
        <v>242128.11504308568</v>
      </c>
      <c r="AC56" s="58">
        <f t="shared" ca="1" si="34"/>
        <v>19908.788875345268</v>
      </c>
      <c r="AD56" s="58">
        <f t="shared" ca="1" si="34"/>
        <v>21524.182378201833</v>
      </c>
      <c r="AE56" s="58">
        <f t="shared" ca="1" si="34"/>
        <v>21239.508963681037</v>
      </c>
      <c r="AF56" s="58">
        <f t="shared" ca="1" si="34"/>
        <v>20952.162361929888</v>
      </c>
      <c r="AG56" s="58">
        <f t="shared" ca="1" si="34"/>
        <v>20662.117207978237</v>
      </c>
      <c r="AH56" s="58">
        <f t="shared" ca="1" si="34"/>
        <v>20369.347893851787</v>
      </c>
      <c r="AI56" s="58">
        <f t="shared" ca="1" si="34"/>
        <v>20073.828566223528</v>
      </c>
      <c r="AJ56" s="58">
        <f t="shared" ca="1" si="34"/>
        <v>19775.533124042275</v>
      </c>
      <c r="AK56" s="58">
        <f t="shared" ca="1" si="34"/>
        <v>19474.435216138139</v>
      </c>
      <c r="AL56" s="58">
        <f t="shared" ca="1" si="34"/>
        <v>19170.50823880465</v>
      </c>
      <c r="AM56" s="58">
        <f t="shared" ca="1" si="34"/>
        <v>18863.725333357295</v>
      </c>
      <c r="AN56" s="58">
        <f t="shared" ca="1" si="34"/>
        <v>18554.059383668307</v>
      </c>
      <c r="AO56" s="58">
        <f t="shared" ca="1" si="34"/>
        <v>240568.19754322225</v>
      </c>
    </row>
    <row r="57" spans="1:41" s="3" customFormat="1" ht="16.149999999999999" customHeight="1" x14ac:dyDescent="0.25">
      <c r="A57" s="151"/>
      <c r="B57" s="2" t="s">
        <v>162</v>
      </c>
      <c r="C57" s="46">
        <f ca="1">SUM(C50,-C56)</f>
        <v>56047.916666666672</v>
      </c>
      <c r="D57" s="46">
        <f t="shared" ref="D57:AO57" ca="1" si="35">SUM(D50,-D56)</f>
        <v>54301.724531870379</v>
      </c>
      <c r="E57" s="46">
        <f t="shared" ca="1" si="35"/>
        <v>62326.808069731822</v>
      </c>
      <c r="F57" s="46">
        <f t="shared" ca="1" si="35"/>
        <v>-4406.8213273665242</v>
      </c>
      <c r="G57" s="46">
        <f t="shared" ca="1" si="35"/>
        <v>49850.847835349487</v>
      </c>
      <c r="H57" s="46">
        <f t="shared" ca="1" si="35"/>
        <v>48478.993822638149</v>
      </c>
      <c r="I57" s="46">
        <f t="shared" ca="1" si="35"/>
        <v>65784.746249605392</v>
      </c>
      <c r="J57" s="46">
        <f t="shared" ca="1" si="35"/>
        <v>17691.874364381805</v>
      </c>
      <c r="K57" s="46">
        <f t="shared" ca="1" si="35"/>
        <v>36162.390404555365</v>
      </c>
      <c r="L57" s="46">
        <f t="shared" ca="1" si="35"/>
        <v>33651.306717316533</v>
      </c>
      <c r="M57" s="46">
        <f t="shared" ca="1" si="35"/>
        <v>77747.635760446239</v>
      </c>
      <c r="N57" s="46">
        <f t="shared" ca="1" si="35"/>
        <v>60796.593282209622</v>
      </c>
      <c r="O57" s="46">
        <f t="shared" ca="1" si="35"/>
        <v>558434.01637740491</v>
      </c>
      <c r="P57" s="46">
        <f t="shared" ca="1" si="35"/>
        <v>63815.303402118239</v>
      </c>
      <c r="Q57" s="46">
        <f t="shared" ca="1" si="35"/>
        <v>39952.782192996674</v>
      </c>
      <c r="R57" s="46">
        <f t="shared" ca="1" si="35"/>
        <v>60353.045876440206</v>
      </c>
      <c r="S57" s="46">
        <f t="shared" ca="1" si="35"/>
        <v>51222.110824203977</v>
      </c>
      <c r="T57" s="46">
        <f t="shared" ca="1" si="35"/>
        <v>68387.993559605224</v>
      </c>
      <c r="U57" s="46">
        <f t="shared" ca="1" si="35"/>
        <v>22905.710758938763</v>
      </c>
      <c r="V57" s="46">
        <f t="shared" ca="1" si="35"/>
        <v>64781.033226526793</v>
      </c>
      <c r="W57" s="46">
        <f t="shared" ca="1" si="35"/>
        <v>43930.617245856469</v>
      </c>
      <c r="X57" s="46">
        <f t="shared" ca="1" si="35"/>
        <v>70781.484057350142</v>
      </c>
      <c r="Y57" s="46">
        <f t="shared" ca="1" si="35"/>
        <v>-25898.344897123327</v>
      </c>
      <c r="Z57" s="46">
        <f t="shared" ca="1" si="35"/>
        <v>50028.152027679251</v>
      </c>
      <c r="AA57" s="46">
        <f t="shared" ca="1" si="35"/>
        <v>68166.9966823219</v>
      </c>
      <c r="AB57" s="46">
        <f t="shared" ca="1" si="35"/>
        <v>578426.88495691435</v>
      </c>
      <c r="AC57" s="46">
        <f t="shared" ca="1" si="35"/>
        <v>64786.211124654728</v>
      </c>
      <c r="AD57" s="46">
        <f t="shared" ca="1" si="35"/>
        <v>19525.817621798167</v>
      </c>
      <c r="AE57" s="46">
        <f t="shared" ca="1" si="35"/>
        <v>62815.491036318963</v>
      </c>
      <c r="AF57" s="46">
        <f t="shared" ca="1" si="35"/>
        <v>53142.837638070108</v>
      </c>
      <c r="AG57" s="46">
        <f t="shared" ca="1" si="35"/>
        <v>-15417.117207978237</v>
      </c>
      <c r="AH57" s="46">
        <f t="shared" ca="1" si="35"/>
        <v>70491.65210614822</v>
      </c>
      <c r="AI57" s="46">
        <f t="shared" ca="1" si="35"/>
        <v>47690.171433776472</v>
      </c>
      <c r="AJ57" s="46">
        <f t="shared" ca="1" si="35"/>
        <v>80557.466875957733</v>
      </c>
      <c r="AK57" s="46">
        <f t="shared" ca="1" si="35"/>
        <v>61704.564783861861</v>
      </c>
      <c r="AL57" s="46">
        <f t="shared" ca="1" si="35"/>
        <v>33488.49176119535</v>
      </c>
      <c r="AM57" s="46">
        <f t="shared" ca="1" si="35"/>
        <v>75080.274666642712</v>
      </c>
      <c r="AN57" s="46">
        <f t="shared" ca="1" si="35"/>
        <v>64827.940616331689</v>
      </c>
      <c r="AO57" s="46">
        <f t="shared" ca="1" si="35"/>
        <v>618693.80245677778</v>
      </c>
    </row>
    <row r="58" spans="1:41" s="11" customFormat="1" ht="16.149999999999999" customHeight="1" x14ac:dyDescent="0.3">
      <c r="A58" s="150" t="s">
        <v>119</v>
      </c>
      <c r="B58" s="49" t="s">
        <v>37</v>
      </c>
      <c r="C58" s="45">
        <f ca="1">IF(SUM($C57:C57)-Assumptions!$C$61&lt;0,0,(SUM($C57:C57)-Assumptions!$C$61)*Assumptions!$C$60)</f>
        <v>15693.41666666667</v>
      </c>
      <c r="D58" s="45">
        <f ca="1">IF(SUM($C57:D57)-Assumptions!$C$61&lt;0,-SUM($C58:C58),((SUM($C57:D57)-Assumptions!$C$61)*Assumptions!$C$60)-SUM($C58:C58))</f>
        <v>15204.482868923706</v>
      </c>
      <c r="E58" s="45">
        <f ca="1">IF(SUM($C57:E57)-Assumptions!$C$61&lt;0,-SUM($C58:D58),((SUM($C57:E57)-Assumptions!$C$61)*Assumptions!$C$60)-SUM($C58:D58))</f>
        <v>17451.506259524918</v>
      </c>
      <c r="F58" s="45">
        <f ca="1">IF(SUM($C57:F57)-Assumptions!$C$61&lt;0,-SUM($C58:E58),((SUM($C57:F57)-Assumptions!$C$61)*Assumptions!$C$60)-SUM($C58:E58))</f>
        <v>-1233.9099716626224</v>
      </c>
      <c r="G58" s="45">
        <f ca="1">IF(SUM($C57:G57)-Assumptions!$C$61&lt;0,-SUM($C58:F58),((SUM($C57:G57)-Assumptions!$C$61)*Assumptions!$C$60)-SUM($C58:F58))</f>
        <v>13958.237393897856</v>
      </c>
      <c r="H58" s="45">
        <f ca="1">IF(SUM($C57:H57)-Assumptions!$C$61&lt;0,-SUM($C58:G58),((SUM($C57:H57)-Assumptions!$C$61)*Assumptions!$C$60)-SUM($C58:G58))</f>
        <v>13574.118270338688</v>
      </c>
      <c r="I58" s="45">
        <f ca="1">IF(SUM($C57:I57)-Assumptions!$C$61&lt;0,-SUM($C58:H58),((SUM($C57:I57)-Assumptions!$C$61)*Assumptions!$C$60)-SUM($C58:H58))</f>
        <v>18419.728949889512</v>
      </c>
      <c r="J58" s="45">
        <f ca="1">IF(SUM($C57:J57)-Assumptions!$C$61&lt;0,-SUM($C58:I58),((SUM($C57:J57)-Assumptions!$C$61)*Assumptions!$C$60)-SUM($C58:I58))</f>
        <v>4953.7248220269103</v>
      </c>
      <c r="K58" s="45">
        <f ca="1">IF(SUM($C57:K57)-Assumptions!$C$61&lt;0,-SUM($C58:J58),((SUM($C57:K57)-Assumptions!$C$61)*Assumptions!$C$60)-SUM($C58:J58))</f>
        <v>10125.469313275506</v>
      </c>
      <c r="L58" s="45">
        <f ca="1">IF(SUM($C57:L57)-Assumptions!$C$61&lt;0,-SUM($C58:K58),((SUM($C57:L57)-Assumptions!$C$61)*Assumptions!$C$60)-SUM($C58:K58))</f>
        <v>9422.3658808486216</v>
      </c>
      <c r="M58" s="45">
        <f ca="1">IF(SUM($C57:M57)-Assumptions!$C$61&lt;0,-SUM($C58:L58),((SUM($C57:M57)-Assumptions!$C$61)*Assumptions!$C$60)-SUM($C58:L58))</f>
        <v>21769.338012924956</v>
      </c>
      <c r="N58" s="45">
        <f ca="1">IF(SUM($C57:N57)-Assumptions!$C$61&lt;0,-SUM($C58:M58),((SUM($C57:N57)-Assumptions!$C$61)*Assumptions!$C$60)-SUM($C58:M58))</f>
        <v>17023.046119018691</v>
      </c>
      <c r="O58" s="46">
        <f ca="1">SUM(C58:N58)</f>
        <v>156361.52458567341</v>
      </c>
      <c r="P58" s="45">
        <f ca="1">IF(SUM($O57:P57)-Assumptions!$C$61&lt;0,-SUM($O$58:O$58),((SUM($O57:P57)-Assumptions!$C$61)*Assumptions!$C$60)-SUM($O$58:O$58))</f>
        <v>17868.284952593094</v>
      </c>
      <c r="Q58" s="45">
        <f ca="1">IF(SUM($O57:Q57)-Assumptions!$C$61&lt;0,-SUM($O$58:P$58),((SUM($O57:Q57)-Assumptions!$C$61)*Assumptions!$C$60)-SUM($O$58:P$58))</f>
        <v>11186.779014039086</v>
      </c>
      <c r="R58" s="45">
        <f ca="1">IF(SUM($O57:R57)-Assumptions!$C$61&lt;0,-SUM($O$58:Q$58),((SUM($O57:R57)-Assumptions!$C$61)*Assumptions!$C$60)-SUM($O$58:Q$58))</f>
        <v>16898.852845403278</v>
      </c>
      <c r="S58" s="45">
        <f ca="1">IF(SUM($O57:S57)-Assumptions!$C$61&lt;0,-SUM($O$58:R$58),((SUM($O57:S57)-Assumptions!$C$61)*Assumptions!$C$60)-SUM($O$58:R$58))</f>
        <v>14342.191030777089</v>
      </c>
      <c r="T58" s="45">
        <f ca="1">IF(SUM($O57:T57)-Assumptions!$C$61&lt;0,-SUM($O$58:S$58),((SUM($O57:T57)-Assumptions!$C$61)*Assumptions!$C$60)-SUM($O$58:S$58))</f>
        <v>19148.638196689455</v>
      </c>
      <c r="U58" s="45">
        <f ca="1">IF(SUM($O57:U57)-Assumptions!$C$61&lt;0,-SUM($O$58:T$58),((SUM($O57:U57)-Assumptions!$C$61)*Assumptions!$C$60)-SUM($O$58:T$58))</f>
        <v>6413.5990125028766</v>
      </c>
      <c r="V58" s="45">
        <f ca="1">IF(SUM($O57:V57)-Assumptions!$C$61&lt;0,-SUM($O$58:U$58),((SUM($O57:V57)-Assumptions!$C$61)*Assumptions!$C$60)-SUM($O$58:U$58))</f>
        <v>18138.689303427498</v>
      </c>
      <c r="W58" s="45">
        <f ca="1">IF(SUM($O57:W57)-Assumptions!$C$61&lt;0,-SUM($O$58:V$58),((SUM($O57:W57)-Assumptions!$C$61)*Assumptions!$C$60)-SUM($O$58:V$58))</f>
        <v>12300.572828839824</v>
      </c>
      <c r="X58" s="45">
        <f ca="1">IF(SUM($O57:X57)-Assumptions!$C$61&lt;0,-SUM($O$58:W$58),((SUM($O57:X57)-Assumptions!$C$61)*Assumptions!$C$60)-SUM($O$58:W$58))</f>
        <v>19818.815536058042</v>
      </c>
      <c r="Y58" s="45">
        <f ca="1">IF(SUM($O57:Y57)-Assumptions!$C$61&lt;0,-SUM($O$58:X$58),((SUM($O57:Y57)-Assumptions!$C$61)*Assumptions!$C$60)-SUM($O$58:X$58))</f>
        <v>-7251.5365711945342</v>
      </c>
      <c r="Z58" s="45">
        <f ca="1">IF(SUM($O57:Z57)-Assumptions!$C$61&lt;0,-SUM($O$58:Y$58),((SUM($O57:Z57)-Assumptions!$C$61)*Assumptions!$C$60)-SUM($O$58:Y$58))</f>
        <v>14007.882567750174</v>
      </c>
      <c r="AA58" s="45">
        <f ca="1">IF(SUM($O57:AA57)-Assumptions!$C$61&lt;0,-SUM($O$58:Z$58),((SUM($O57:AA57)-Assumptions!$C$61)*Assumptions!$C$60)-SUM($O$58:Z$58))</f>
        <v>19086.759071050154</v>
      </c>
      <c r="AB58" s="46">
        <f ca="1">SUM(P58:AA58)</f>
        <v>161959.52778793604</v>
      </c>
      <c r="AC58" s="45">
        <f ca="1">IF(SUM($AB57:AC57)+$O$57-Assumptions!$C$61&lt;0,-(SUM($AB$58:$AB$58)+$O$58),((SUM($AB57:AC57)+$O$57-Assumptions!$C$61)*Assumptions!$C$60)-(SUM($AB$58:AB$58)+$O$58))</f>
        <v>18140.139114903344</v>
      </c>
      <c r="AD58" s="45">
        <f ca="1">IF(SUM($AB57:AD57)+$O$57-Assumptions!$C$61&lt;0,-(SUM($AB$58:$AB$58)+$O$58),((SUM($AB57:AD57)+$O$57-Assumptions!$C$61)*Assumptions!$C$60)-(SUM($AB$58:AC$58)+$O$58))</f>
        <v>5467.2289341034484</v>
      </c>
      <c r="AE58" s="45">
        <f ca="1">IF(SUM($AB57:AE57)+$O$57-Assumptions!$C$61&lt;0,-(SUM($AB$58:$AB$58)+$O$58),((SUM($AB57:AE57)+$O$57-Assumptions!$C$61)*Assumptions!$C$60)-(SUM($AB$58:AD$58)+$O$58))</f>
        <v>17588.337490169273</v>
      </c>
      <c r="AF58" s="45">
        <f ca="1">IF(SUM($AB57:AF57)+$O$57-Assumptions!$C$61&lt;0,-(SUM($AB$58:$AB$58)+$O$58),((SUM($AB57:AF57)+$O$57-Assumptions!$C$61)*Assumptions!$C$60)-(SUM($AB$58:AE$58)+$O$58))</f>
        <v>14879.994538659637</v>
      </c>
      <c r="AG58" s="45">
        <f ca="1">IF(SUM($AB57:AG57)+$O$57-Assumptions!$C$61&lt;0,-(SUM($AB$58:$AB$58)+$O$58),((SUM($AB57:AG57)+$O$57-Assumptions!$C$61)*Assumptions!$C$60)-(SUM($AB$58:AF$58)+$O$58))</f>
        <v>-4316.7928182338364</v>
      </c>
      <c r="AH58" s="45">
        <f ca="1">IF(SUM($AB57:AH57)+$O$57-Assumptions!$C$61&lt;0,-(SUM($AB$58:$AB$58)+$O$58),((SUM($AB57:AH57)+$O$57-Assumptions!$C$61)*Assumptions!$C$60)-(SUM($AB$58:AG$58)+$O$58))</f>
        <v>19737.66258972144</v>
      </c>
      <c r="AI58" s="45">
        <f ca="1">IF(SUM($AB57:AI57)+$O$57-Assumptions!$C$61&lt;0,-(SUM($AB$58:$AB$58)+$O$58),((SUM($AB57:AI57)+$O$57-Assumptions!$C$61)*Assumptions!$C$60)-(SUM($AB$58:AH$58)+$O$58))</f>
        <v>13353.248001457425</v>
      </c>
      <c r="AJ58" s="45">
        <f ca="1">IF(SUM($AB57:AJ57)+$O$57-Assumptions!$C$61&lt;0,-(SUM($AB$58:$AB$58)+$O$58),((SUM($AB57:AJ57)+$O$57-Assumptions!$C$61)*Assumptions!$C$60)-(SUM($AB$58:AI$58)+$O$58))</f>
        <v>22556.090725268121</v>
      </c>
      <c r="AK58" s="45">
        <f ca="1">IF(SUM($AB57:AK57)+$O$57-Assumptions!$C$61&lt;0,-(SUM($AB$58:$AB$58)+$O$58),((SUM($AB57:AK57)+$O$57-Assumptions!$C$61)*Assumptions!$C$60)-(SUM($AB$58:AJ$58)+$O$58))</f>
        <v>17277.278139481321</v>
      </c>
      <c r="AL58" s="45">
        <f ca="1">IF(SUM($AB57:AL57)+$O$57-Assumptions!$C$61&lt;0,-(SUM($AB$58:$AB$58)+$O$58),((SUM($AB57:AL57)+$O$57-Assumptions!$C$61)*Assumptions!$C$60)-(SUM($AB$58:AK$58)+$O$58))</f>
        <v>9376.7776931347325</v>
      </c>
      <c r="AM58" s="45">
        <f ca="1">IF(SUM($AB57:AM57)+$O$57-Assumptions!$C$61&lt;0,-(SUM($AB$58:$AB$58)+$O$58),((SUM($AB57:AM57)+$O$57-Assumptions!$C$61)*Assumptions!$C$60)-(SUM($AB$58:AL$58)+$O$58))</f>
        <v>21022.476906659955</v>
      </c>
      <c r="AN58" s="45">
        <f ca="1">IF(SUM($AB57:AN57)+$O$57-Assumptions!$C$61&lt;0,-(SUM($AB$58:$AB$58)+$O$58),((SUM($AB57:AN57)+$O$57-Assumptions!$C$61)*Assumptions!$C$60)-(SUM($AB$58:AM$58)+$O$58))</f>
        <v>18151.823372572835</v>
      </c>
      <c r="AO58" s="46">
        <f ca="1">SUM(AC58:AN58)</f>
        <v>173234.2646878977</v>
      </c>
    </row>
    <row r="59" spans="1:41" ht="16.149999999999999" customHeight="1" x14ac:dyDescent="0.3">
      <c r="B59" s="2" t="s">
        <v>65</v>
      </c>
      <c r="C59" s="46">
        <f ca="1">SUM(C57,-C58)</f>
        <v>40354.5</v>
      </c>
      <c r="D59" s="46">
        <f t="shared" ref="D59:AO59" ca="1" si="36">SUM(D57,-D58)</f>
        <v>39097.241662946675</v>
      </c>
      <c r="E59" s="46">
        <f t="shared" ca="1" si="36"/>
        <v>44875.301810206904</v>
      </c>
      <c r="F59" s="46">
        <f t="shared" ca="1" si="36"/>
        <v>-3172.9113557039018</v>
      </c>
      <c r="G59" s="46">
        <f t="shared" ca="1" si="36"/>
        <v>35892.61044145163</v>
      </c>
      <c r="H59" s="46">
        <f t="shared" ca="1" si="36"/>
        <v>34904.875552299462</v>
      </c>
      <c r="I59" s="46">
        <f t="shared" ca="1" si="36"/>
        <v>47365.017299715881</v>
      </c>
      <c r="J59" s="46">
        <f t="shared" ca="1" si="36"/>
        <v>12738.149542354895</v>
      </c>
      <c r="K59" s="46">
        <f t="shared" ca="1" si="36"/>
        <v>26036.921091279859</v>
      </c>
      <c r="L59" s="46">
        <f t="shared" ca="1" si="36"/>
        <v>24228.940836467911</v>
      </c>
      <c r="M59" s="46">
        <f t="shared" ca="1" si="36"/>
        <v>55978.297747521283</v>
      </c>
      <c r="N59" s="46">
        <f t="shared" ca="1" si="36"/>
        <v>43773.547163190931</v>
      </c>
      <c r="O59" s="46">
        <f t="shared" ca="1" si="36"/>
        <v>402072.4917917315</v>
      </c>
      <c r="P59" s="46">
        <f t="shared" ca="1" si="36"/>
        <v>45947.018449525145</v>
      </c>
      <c r="Q59" s="46">
        <f t="shared" ca="1" si="36"/>
        <v>28766.003178957588</v>
      </c>
      <c r="R59" s="46">
        <f t="shared" ca="1" si="36"/>
        <v>43454.193031036928</v>
      </c>
      <c r="S59" s="46">
        <f t="shared" ca="1" si="36"/>
        <v>36879.919793426889</v>
      </c>
      <c r="T59" s="46">
        <f t="shared" ca="1" si="36"/>
        <v>49239.355362915769</v>
      </c>
      <c r="U59" s="46">
        <f t="shared" ca="1" si="36"/>
        <v>16492.111746435887</v>
      </c>
      <c r="V59" s="46">
        <f t="shared" ca="1" si="36"/>
        <v>46642.343923099295</v>
      </c>
      <c r="W59" s="46">
        <f t="shared" ca="1" si="36"/>
        <v>31630.044417016645</v>
      </c>
      <c r="X59" s="46">
        <f t="shared" ca="1" si="36"/>
        <v>50962.6685212921</v>
      </c>
      <c r="Y59" s="46">
        <f t="shared" ca="1" si="36"/>
        <v>-18646.808325928792</v>
      </c>
      <c r="Z59" s="46">
        <f t="shared" ca="1" si="36"/>
        <v>36020.269459929077</v>
      </c>
      <c r="AA59" s="46">
        <f t="shared" ca="1" si="36"/>
        <v>49080.237611271747</v>
      </c>
      <c r="AB59" s="46">
        <f t="shared" ca="1" si="36"/>
        <v>416467.35716897831</v>
      </c>
      <c r="AC59" s="46">
        <f t="shared" ca="1" si="36"/>
        <v>46646.072009751384</v>
      </c>
      <c r="AD59" s="46">
        <f t="shared" ca="1" si="36"/>
        <v>14058.588687694719</v>
      </c>
      <c r="AE59" s="46">
        <f t="shared" ca="1" si="36"/>
        <v>45227.15354614969</v>
      </c>
      <c r="AF59" s="46">
        <f t="shared" ca="1" si="36"/>
        <v>38262.843099410471</v>
      </c>
      <c r="AG59" s="46">
        <f t="shared" ca="1" si="36"/>
        <v>-11100.324389744401</v>
      </c>
      <c r="AH59" s="46">
        <f t="shared" ca="1" si="36"/>
        <v>50753.98951642678</v>
      </c>
      <c r="AI59" s="46">
        <f t="shared" ca="1" si="36"/>
        <v>34336.923432319047</v>
      </c>
      <c r="AJ59" s="46">
        <f t="shared" ca="1" si="36"/>
        <v>58001.376150689612</v>
      </c>
      <c r="AK59" s="46">
        <f t="shared" ca="1" si="36"/>
        <v>44427.28664438054</v>
      </c>
      <c r="AL59" s="46">
        <f t="shared" ca="1" si="36"/>
        <v>24111.714068060617</v>
      </c>
      <c r="AM59" s="46">
        <f t="shared" ca="1" si="36"/>
        <v>54057.797759982757</v>
      </c>
      <c r="AN59" s="46">
        <f t="shared" ca="1" si="36"/>
        <v>46676.117243758854</v>
      </c>
      <c r="AO59" s="46">
        <f t="shared" ca="1" si="36"/>
        <v>445459.53776888008</v>
      </c>
    </row>
    <row r="60" spans="1:41" ht="16.149999999999999" customHeight="1" x14ac:dyDescent="0.3">
      <c r="A60" s="143" t="s">
        <v>253</v>
      </c>
      <c r="B60" s="14" t="s">
        <v>251</v>
      </c>
      <c r="C60" s="45">
        <f ca="1">BalanceSheet!D79</f>
        <v>0</v>
      </c>
      <c r="D60" s="45">
        <f ca="1">BalanceSheet!E79</f>
        <v>0</v>
      </c>
      <c r="E60" s="45">
        <f ca="1">BalanceSheet!F79</f>
        <v>0</v>
      </c>
      <c r="F60" s="45">
        <f ca="1">BalanceSheet!G79</f>
        <v>0</v>
      </c>
      <c r="G60" s="45">
        <f ca="1">BalanceSheet!H79</f>
        <v>0</v>
      </c>
      <c r="H60" s="45">
        <f ca="1">BalanceSheet!I79</f>
        <v>0</v>
      </c>
      <c r="I60" s="45">
        <f ca="1">BalanceSheet!J79</f>
        <v>0</v>
      </c>
      <c r="J60" s="45">
        <f ca="1">BalanceSheet!K79</f>
        <v>0</v>
      </c>
      <c r="K60" s="45">
        <f ca="1">BalanceSheet!L79</f>
        <v>0</v>
      </c>
      <c r="L60" s="45">
        <f ca="1">BalanceSheet!M79</f>
        <v>0</v>
      </c>
      <c r="M60" s="45">
        <f ca="1">BalanceSheet!N79</f>
        <v>0</v>
      </c>
      <c r="N60" s="45">
        <f ca="1">BalanceSheet!O79</f>
        <v>0</v>
      </c>
      <c r="O60" s="46">
        <f t="shared" ref="O60" ca="1" si="37">SUM(C60:N60)</f>
        <v>0</v>
      </c>
      <c r="P60" s="45">
        <f ca="1">BalanceSheet!Q79</f>
        <v>0</v>
      </c>
      <c r="Q60" s="45">
        <f ca="1">BalanceSheet!R79</f>
        <v>0</v>
      </c>
      <c r="R60" s="45">
        <f ca="1">BalanceSheet!S79</f>
        <v>0</v>
      </c>
      <c r="S60" s="45">
        <f ca="1">BalanceSheet!T79</f>
        <v>0</v>
      </c>
      <c r="T60" s="45">
        <f ca="1">BalanceSheet!U79</f>
        <v>0</v>
      </c>
      <c r="U60" s="45">
        <f ca="1">BalanceSheet!V79</f>
        <v>0</v>
      </c>
      <c r="V60" s="45">
        <f ca="1">BalanceSheet!W79</f>
        <v>0</v>
      </c>
      <c r="W60" s="45">
        <f ca="1">BalanceSheet!X79</f>
        <v>0</v>
      </c>
      <c r="X60" s="45">
        <f ca="1">BalanceSheet!Y79</f>
        <v>0</v>
      </c>
      <c r="Y60" s="45">
        <f ca="1">BalanceSheet!Z79</f>
        <v>0</v>
      </c>
      <c r="Z60" s="45">
        <f ca="1">BalanceSheet!AA79</f>
        <v>0</v>
      </c>
      <c r="AA60" s="45">
        <f ca="1">BalanceSheet!AB79</f>
        <v>0</v>
      </c>
      <c r="AB60" s="46">
        <f t="shared" ref="AB60" ca="1" si="38">SUM(P60:AA60)</f>
        <v>0</v>
      </c>
      <c r="AC60" s="45">
        <f ca="1">BalanceSheet!AD79</f>
        <v>0</v>
      </c>
      <c r="AD60" s="45">
        <f ca="1">BalanceSheet!AE79</f>
        <v>0</v>
      </c>
      <c r="AE60" s="45">
        <f ca="1">BalanceSheet!AF79</f>
        <v>0</v>
      </c>
      <c r="AF60" s="45">
        <f ca="1">BalanceSheet!AG79</f>
        <v>0</v>
      </c>
      <c r="AG60" s="45">
        <f ca="1">BalanceSheet!AH79</f>
        <v>0</v>
      </c>
      <c r="AH60" s="45">
        <f ca="1">BalanceSheet!AI79</f>
        <v>0</v>
      </c>
      <c r="AI60" s="45">
        <f ca="1">BalanceSheet!AJ79</f>
        <v>0</v>
      </c>
      <c r="AJ60" s="45">
        <f ca="1">BalanceSheet!AK79</f>
        <v>0</v>
      </c>
      <c r="AK60" s="45">
        <f ca="1">BalanceSheet!AL79</f>
        <v>0</v>
      </c>
      <c r="AL60" s="45">
        <f ca="1">BalanceSheet!AM79</f>
        <v>0</v>
      </c>
      <c r="AM60" s="45">
        <f ca="1">BalanceSheet!AN79</f>
        <v>0</v>
      </c>
      <c r="AN60" s="45">
        <f ca="1">BalanceSheet!AO79</f>
        <v>0</v>
      </c>
      <c r="AO60" s="46">
        <f t="shared" ref="AO60" ca="1" si="39">SUM(AC60:AN60)</f>
        <v>0</v>
      </c>
    </row>
    <row r="61" spans="1:41" ht="16.149999999999999" customHeight="1" x14ac:dyDescent="0.3">
      <c r="B61" s="2" t="s">
        <v>252</v>
      </c>
      <c r="C61" s="46">
        <f ca="1">SUM(C59,-C60)</f>
        <v>40354.5</v>
      </c>
      <c r="D61" s="46">
        <f t="shared" ref="D61:AO61" ca="1" si="40">SUM(D59,-D60)</f>
        <v>39097.241662946675</v>
      </c>
      <c r="E61" s="46">
        <f t="shared" ca="1" si="40"/>
        <v>44875.301810206904</v>
      </c>
      <c r="F61" s="46">
        <f t="shared" ca="1" si="40"/>
        <v>-3172.9113557039018</v>
      </c>
      <c r="G61" s="46">
        <f t="shared" ca="1" si="40"/>
        <v>35892.61044145163</v>
      </c>
      <c r="H61" s="46">
        <f t="shared" ca="1" si="40"/>
        <v>34904.875552299462</v>
      </c>
      <c r="I61" s="46">
        <f t="shared" ca="1" si="40"/>
        <v>47365.017299715881</v>
      </c>
      <c r="J61" s="46">
        <f t="shared" ca="1" si="40"/>
        <v>12738.149542354895</v>
      </c>
      <c r="K61" s="46">
        <f t="shared" ca="1" si="40"/>
        <v>26036.921091279859</v>
      </c>
      <c r="L61" s="46">
        <f t="shared" ca="1" si="40"/>
        <v>24228.940836467911</v>
      </c>
      <c r="M61" s="46">
        <f t="shared" ca="1" si="40"/>
        <v>55978.297747521283</v>
      </c>
      <c r="N61" s="46">
        <f t="shared" ca="1" si="40"/>
        <v>43773.547163190931</v>
      </c>
      <c r="O61" s="46">
        <f t="shared" ca="1" si="40"/>
        <v>402072.4917917315</v>
      </c>
      <c r="P61" s="46">
        <f t="shared" ca="1" si="40"/>
        <v>45947.018449525145</v>
      </c>
      <c r="Q61" s="46">
        <f t="shared" ca="1" si="40"/>
        <v>28766.003178957588</v>
      </c>
      <c r="R61" s="46">
        <f t="shared" ca="1" si="40"/>
        <v>43454.193031036928</v>
      </c>
      <c r="S61" s="46">
        <f t="shared" ca="1" si="40"/>
        <v>36879.919793426889</v>
      </c>
      <c r="T61" s="46">
        <f t="shared" ca="1" si="40"/>
        <v>49239.355362915769</v>
      </c>
      <c r="U61" s="46">
        <f t="shared" ca="1" si="40"/>
        <v>16492.111746435887</v>
      </c>
      <c r="V61" s="46">
        <f t="shared" ca="1" si="40"/>
        <v>46642.343923099295</v>
      </c>
      <c r="W61" s="46">
        <f t="shared" ca="1" si="40"/>
        <v>31630.044417016645</v>
      </c>
      <c r="X61" s="46">
        <f t="shared" ca="1" si="40"/>
        <v>50962.6685212921</v>
      </c>
      <c r="Y61" s="46">
        <f t="shared" ca="1" si="40"/>
        <v>-18646.808325928792</v>
      </c>
      <c r="Z61" s="46">
        <f t="shared" ca="1" si="40"/>
        <v>36020.269459929077</v>
      </c>
      <c r="AA61" s="46">
        <f t="shared" ca="1" si="40"/>
        <v>49080.237611271747</v>
      </c>
      <c r="AB61" s="46">
        <f t="shared" ca="1" si="40"/>
        <v>416467.35716897831</v>
      </c>
      <c r="AC61" s="46">
        <f t="shared" ca="1" si="40"/>
        <v>46646.072009751384</v>
      </c>
      <c r="AD61" s="46">
        <f t="shared" ca="1" si="40"/>
        <v>14058.588687694719</v>
      </c>
      <c r="AE61" s="46">
        <f t="shared" ca="1" si="40"/>
        <v>45227.15354614969</v>
      </c>
      <c r="AF61" s="46">
        <f t="shared" ca="1" si="40"/>
        <v>38262.843099410471</v>
      </c>
      <c r="AG61" s="46">
        <f t="shared" ca="1" si="40"/>
        <v>-11100.324389744401</v>
      </c>
      <c r="AH61" s="46">
        <f t="shared" ca="1" si="40"/>
        <v>50753.98951642678</v>
      </c>
      <c r="AI61" s="46">
        <f t="shared" ca="1" si="40"/>
        <v>34336.923432319047</v>
      </c>
      <c r="AJ61" s="46">
        <f t="shared" ca="1" si="40"/>
        <v>58001.376150689612</v>
      </c>
      <c r="AK61" s="46">
        <f t="shared" ca="1" si="40"/>
        <v>44427.28664438054</v>
      </c>
      <c r="AL61" s="46">
        <f t="shared" ca="1" si="40"/>
        <v>24111.714068060617</v>
      </c>
      <c r="AM61" s="46">
        <f t="shared" ca="1" si="40"/>
        <v>54057.797759982757</v>
      </c>
      <c r="AN61" s="46">
        <f t="shared" ca="1" si="40"/>
        <v>46676.117243758854</v>
      </c>
      <c r="AO61" s="46">
        <f t="shared" ca="1" si="40"/>
        <v>445459.53776888008</v>
      </c>
    </row>
    <row r="62" spans="1:41" s="59" customFormat="1" ht="16.149999999999999" customHeight="1" x14ac:dyDescent="0.25">
      <c r="A62" s="152"/>
      <c r="B62" s="59" t="s">
        <v>66</v>
      </c>
      <c r="C62" s="60">
        <f t="shared" ref="C62:AO62" ca="1" si="41">IF(C$7=0,0,C59/C$7)</f>
        <v>9.8281782756941063E-2</v>
      </c>
      <c r="D62" s="60">
        <f t="shared" ca="1" si="41"/>
        <v>9.3044363786165332E-2</v>
      </c>
      <c r="E62" s="60">
        <f t="shared" ca="1" si="41"/>
        <v>0.1029250041518507</v>
      </c>
      <c r="F62" s="60">
        <f t="shared" ca="1" si="41"/>
        <v>-7.1590960191875042E-3</v>
      </c>
      <c r="G62" s="60">
        <f t="shared" ca="1" si="41"/>
        <v>8.10582891631699E-2</v>
      </c>
      <c r="H62" s="60">
        <f t="shared" ca="1" si="41"/>
        <v>7.8792044136116166E-2</v>
      </c>
      <c r="I62" s="60">
        <f t="shared" ca="1" si="41"/>
        <v>0.10964124374934231</v>
      </c>
      <c r="J62" s="60">
        <f t="shared" ca="1" si="41"/>
        <v>2.8760780181428979E-2</v>
      </c>
      <c r="K62" s="60">
        <f t="shared" ca="1" si="41"/>
        <v>5.7834120593691377E-2</v>
      </c>
      <c r="L62" s="60">
        <f t="shared" ca="1" si="41"/>
        <v>6.4696771258926325E-2</v>
      </c>
      <c r="M62" s="60">
        <f t="shared" ca="1" si="41"/>
        <v>0.12022830272233953</v>
      </c>
      <c r="N62" s="60">
        <f t="shared" ca="1" si="41"/>
        <v>0.10030602008063916</v>
      </c>
      <c r="O62" s="61">
        <f t="shared" ca="1" si="41"/>
        <v>7.7360313193468172E-2</v>
      </c>
      <c r="P62" s="60">
        <f t="shared" ca="1" si="41"/>
        <v>9.9624931590470825E-2</v>
      </c>
      <c r="Q62" s="60">
        <f t="shared" ca="1" si="41"/>
        <v>6.3014245737037428E-2</v>
      </c>
      <c r="R62" s="60">
        <f t="shared" ca="1" si="41"/>
        <v>9.7169483521996711E-2</v>
      </c>
      <c r="S62" s="60">
        <f t="shared" ca="1" si="41"/>
        <v>7.9107507064407737E-2</v>
      </c>
      <c r="T62" s="60">
        <f t="shared" ca="1" si="41"/>
        <v>0.10286057105267551</v>
      </c>
      <c r="U62" s="60">
        <f t="shared" ca="1" si="41"/>
        <v>3.5381686575207856E-2</v>
      </c>
      <c r="V62" s="60">
        <f t="shared" ca="1" si="41"/>
        <v>0.10353461470166325</v>
      </c>
      <c r="W62" s="60">
        <f t="shared" ca="1" si="41"/>
        <v>6.7455842220125073E-2</v>
      </c>
      <c r="X62" s="60">
        <f t="shared" ca="1" si="41"/>
        <v>0.10398422469147542</v>
      </c>
      <c r="Y62" s="60">
        <f t="shared" ca="1" si="41"/>
        <v>-4.7873705586466732E-2</v>
      </c>
      <c r="Z62" s="60">
        <f t="shared" ca="1" si="41"/>
        <v>7.2257310852415407E-2</v>
      </c>
      <c r="AA62" s="60">
        <f t="shared" ca="1" si="41"/>
        <v>0.10330506758844822</v>
      </c>
      <c r="AB62" s="61">
        <f t="shared" ca="1" si="41"/>
        <v>7.5059179234999301E-2</v>
      </c>
      <c r="AC62" s="60">
        <f t="shared" ca="1" si="41"/>
        <v>9.6615724958060034E-2</v>
      </c>
      <c r="AD62" s="60">
        <f t="shared" ca="1" si="41"/>
        <v>2.7811253585944055E-2</v>
      </c>
      <c r="AE62" s="60">
        <f t="shared" ca="1" si="41"/>
        <v>8.9736415766170016E-2</v>
      </c>
      <c r="AF62" s="60">
        <f t="shared" ca="1" si="41"/>
        <v>7.4412374755757432E-2</v>
      </c>
      <c r="AG62" s="60">
        <f t="shared" ca="1" si="41"/>
        <v>-2.1478955862508517E-2</v>
      </c>
      <c r="AH62" s="60">
        <f t="shared" ca="1" si="41"/>
        <v>9.6234337346277551E-2</v>
      </c>
      <c r="AI62" s="60">
        <f t="shared" ca="1" si="41"/>
        <v>6.572917961776234E-2</v>
      </c>
      <c r="AJ62" s="60">
        <f t="shared" ca="1" si="41"/>
        <v>0.11035269435062711</v>
      </c>
      <c r="AK62" s="60">
        <f t="shared" ca="1" si="41"/>
        <v>8.2193603649042657E-2</v>
      </c>
      <c r="AL62" s="60">
        <f t="shared" ca="1" si="41"/>
        <v>5.401369638902468E-2</v>
      </c>
      <c r="AM62" s="60">
        <f t="shared" ca="1" si="41"/>
        <v>0.10038588256264208</v>
      </c>
      <c r="AN62" s="60">
        <f t="shared" ca="1" si="41"/>
        <v>8.9822221194571061E-2</v>
      </c>
      <c r="AO62" s="61">
        <f t="shared" ca="1" si="41"/>
        <v>7.2505894226001316E-2</v>
      </c>
    </row>
    <row r="63" spans="1:41" ht="16.149999999999999" customHeight="1" x14ac:dyDescent="0.3">
      <c r="C63" s="62"/>
      <c r="D63" s="62"/>
      <c r="E63" s="62"/>
      <c r="F63" s="62"/>
      <c r="G63" s="63"/>
      <c r="H63" s="63"/>
      <c r="I63" s="63"/>
      <c r="J63" s="63"/>
      <c r="K63" s="63"/>
      <c r="L63" s="63"/>
      <c r="M63" s="63"/>
      <c r="N63" s="63"/>
      <c r="O63" s="64"/>
      <c r="P63" s="63"/>
      <c r="Q63" s="63"/>
      <c r="R63" s="63"/>
      <c r="S63" s="63"/>
      <c r="T63" s="63"/>
      <c r="U63" s="63"/>
      <c r="V63" s="63"/>
      <c r="W63" s="63"/>
      <c r="X63" s="63"/>
      <c r="Y63" s="63"/>
      <c r="Z63" s="63"/>
      <c r="AA63" s="63"/>
      <c r="AB63" s="64"/>
      <c r="AC63" s="63"/>
      <c r="AD63" s="63"/>
      <c r="AE63" s="63"/>
      <c r="AF63" s="63"/>
      <c r="AG63" s="63"/>
      <c r="AH63" s="63"/>
      <c r="AI63" s="63"/>
      <c r="AJ63" s="63"/>
      <c r="AK63" s="63"/>
      <c r="AL63" s="63"/>
      <c r="AM63" s="63"/>
      <c r="AN63" s="63"/>
      <c r="AO63" s="64"/>
    </row>
    <row r="65" spans="1:41" s="15" customFormat="1" ht="16.149999999999999" customHeight="1" x14ac:dyDescent="0.25">
      <c r="A65" s="146"/>
      <c r="B65" s="6" t="s">
        <v>52</v>
      </c>
      <c r="C65" s="65">
        <f ca="1">IF(C56=0,0,C50/C56)</f>
        <v>4.0834383954154729</v>
      </c>
      <c r="D65" s="65">
        <f t="shared" ref="D65:AO65" ca="1" si="42">IF(D56=0,0,D50/D56)</f>
        <v>4.0111958655452433</v>
      </c>
      <c r="E65" s="65">
        <f t="shared" ca="1" si="42"/>
        <v>4.4842430309722996</v>
      </c>
      <c r="F65" s="65">
        <f t="shared" ca="1" si="42"/>
        <v>0.75161392700032092</v>
      </c>
      <c r="G65" s="65">
        <f t="shared" ca="1" si="42"/>
        <v>3.8333759631514304</v>
      </c>
      <c r="H65" s="65">
        <f t="shared" ca="1" si="42"/>
        <v>3.6613404360219186</v>
      </c>
      <c r="I65" s="65">
        <f t="shared" ca="1" si="42"/>
        <v>4.6425150586916875</v>
      </c>
      <c r="J65" s="65">
        <f t="shared" ca="1" si="42"/>
        <v>1.9882003134237014</v>
      </c>
      <c r="K65" s="65">
        <f t="shared" ca="1" si="42"/>
        <v>3.0379366595835902</v>
      </c>
      <c r="L65" s="65">
        <f t="shared" ca="1" si="42"/>
        <v>2.9136703823236241</v>
      </c>
      <c r="M65" s="65">
        <f t="shared" ca="1" si="42"/>
        <v>4.9023347074132291</v>
      </c>
      <c r="N65" s="65">
        <f t="shared" ca="1" si="42"/>
        <v>4.0813654351783315</v>
      </c>
      <c r="O65" s="66">
        <f t="shared" ca="1" si="42"/>
        <v>3.5546281889302467</v>
      </c>
      <c r="P65" s="65">
        <f t="shared" ca="1" si="42"/>
        <v>4.2665998410846377</v>
      </c>
      <c r="Q65" s="65">
        <f t="shared" ca="1" si="42"/>
        <v>3.0658944219827</v>
      </c>
      <c r="R65" s="65">
        <f t="shared" ca="1" si="42"/>
        <v>4.1530845059679748</v>
      </c>
      <c r="S65" s="65">
        <f t="shared" ca="1" si="42"/>
        <v>3.7043139500366822</v>
      </c>
      <c r="T65" s="65">
        <f t="shared" ca="1" si="42"/>
        <v>4.6494994426270395</v>
      </c>
      <c r="U65" s="65">
        <f t="shared" ca="1" si="42"/>
        <v>2.0574979172261738</v>
      </c>
      <c r="V65" s="65">
        <f t="shared" ca="1" si="42"/>
        <v>4.0247529405874509</v>
      </c>
      <c r="W65" s="65">
        <f t="shared" ca="1" si="42"/>
        <v>3.0749999069975078</v>
      </c>
      <c r="X65" s="65">
        <f t="shared" ca="1" si="42"/>
        <v>4.3828675950714064</v>
      </c>
      <c r="Y65" s="65">
        <f t="shared" ca="1" si="42"/>
        <v>-0.25274090990118647</v>
      </c>
      <c r="Z65" s="65">
        <f t="shared" ca="1" si="42"/>
        <v>3.4498567393229433</v>
      </c>
      <c r="AA65" s="65">
        <f t="shared" ca="1" si="42"/>
        <v>4.3802928427848045</v>
      </c>
      <c r="AB65" s="66">
        <f t="shared" ca="1" si="42"/>
        <v>3.3889290380589867</v>
      </c>
      <c r="AC65" s="65">
        <f t="shared" ca="1" si="42"/>
        <v>4.2541512962089305</v>
      </c>
      <c r="AD65" s="65">
        <f t="shared" ca="1" si="42"/>
        <v>1.9071572280289044</v>
      </c>
      <c r="AE65" s="65">
        <f t="shared" ca="1" si="42"/>
        <v>3.9574832047074011</v>
      </c>
      <c r="AF65" s="65">
        <f t="shared" ca="1" si="42"/>
        <v>3.5363891669067407</v>
      </c>
      <c r="AG65" s="65">
        <f t="shared" ca="1" si="42"/>
        <v>0.25384620303938432</v>
      </c>
      <c r="AH65" s="65">
        <f t="shared" ca="1" si="42"/>
        <v>4.4606729912755414</v>
      </c>
      <c r="AI65" s="65">
        <f t="shared" ca="1" si="42"/>
        <v>3.3757387025821544</v>
      </c>
      <c r="AJ65" s="65">
        <f t="shared" ca="1" si="42"/>
        <v>5.073592674880623</v>
      </c>
      <c r="AK65" s="65">
        <f t="shared" ca="1" si="42"/>
        <v>4.1684905928736935</v>
      </c>
      <c r="AL65" s="65">
        <f t="shared" ca="1" si="42"/>
        <v>2.746875531103993</v>
      </c>
      <c r="AM65" s="65">
        <f t="shared" ca="1" si="42"/>
        <v>4.9801403667533259</v>
      </c>
      <c r="AN65" s="65">
        <f t="shared" ca="1" si="42"/>
        <v>4.4940030790994818</v>
      </c>
      <c r="AO65" s="66">
        <f t="shared" ca="1" si="42"/>
        <v>3.5718021283574637</v>
      </c>
    </row>
    <row r="66" spans="1:41" s="68" customFormat="1" ht="16.149999999999999" customHeight="1" x14ac:dyDescent="0.25">
      <c r="A66" s="146"/>
      <c r="B66" s="6" t="s">
        <v>56</v>
      </c>
      <c r="C66" s="67">
        <f ca="1">IF(BalanceSheet!D$24=0,0,C59/BalanceSheet!D$24)</f>
        <v>9.1433303614214881E-2</v>
      </c>
      <c r="D66" s="67">
        <f ca="1">IF(BalanceSheet!E$24=0,0,D59/BalanceSheet!E$24)</f>
        <v>8.13760015264441E-2</v>
      </c>
      <c r="E66" s="67">
        <f ca="1">IF(BalanceSheet!F$24=0,0,E59/BalanceSheet!F$24)</f>
        <v>8.5423551609903392E-2</v>
      </c>
      <c r="F66" s="67">
        <f ca="1">IF(BalanceSheet!G$24=0,0,F59/BalanceSheet!G$24)</f>
        <v>-6.0765799991604951E-3</v>
      </c>
      <c r="G66" s="68">
        <f ca="1">IF(BalanceSheet!H$24=0,0,G59/BalanceSheet!H$24)</f>
        <v>6.4318286810290268E-2</v>
      </c>
      <c r="H66" s="68">
        <f ca="1">IF(BalanceSheet!I$24=0,0,H59/BalanceSheet!I$24)</f>
        <v>5.8866313011314668E-2</v>
      </c>
      <c r="I66" s="68">
        <f ca="1">IF(BalanceSheet!J$24=0,0,I59/BalanceSheet!J$24)</f>
        <v>7.3971242788842845E-2</v>
      </c>
      <c r="J66" s="68">
        <f ca="1">IF(BalanceSheet!K$24=0,0,J59/BalanceSheet!K$24)</f>
        <v>1.9505483821340285E-2</v>
      </c>
      <c r="K66" s="68">
        <f ca="1">IF(BalanceSheet!L$24=0,0,K59/BalanceSheet!L$24)</f>
        <v>3.8340802662625545E-2</v>
      </c>
      <c r="L66" s="68">
        <f ca="1">IF(BalanceSheet!M$24=0,0,L59/BalanceSheet!M$24)</f>
        <v>3.4449352431092102E-2</v>
      </c>
      <c r="M66" s="68">
        <f ca="1">IF(BalanceSheet!N$24=0,0,M59/BalanceSheet!N$24)</f>
        <v>7.3723660678741795E-2</v>
      </c>
      <c r="N66" s="68">
        <f ca="1">IF(BalanceSheet!O$24=0,0,N59/BalanceSheet!O$24)</f>
        <v>5.4507591295435816E-2</v>
      </c>
      <c r="O66" s="69">
        <f ca="1">IF(BalanceSheet!P$24=0,0,O59/BalanceSheet!P$24)</f>
        <v>0.50066774282688897</v>
      </c>
      <c r="P66" s="68">
        <f ca="1">IF(BalanceSheet!Q$24=0,0,P59/BalanceSheet!Q$24)</f>
        <v>5.4117741577539111E-2</v>
      </c>
      <c r="Q66" s="68">
        <f ca="1">IF(BalanceSheet!R$24=0,0,Q59/BalanceSheet!R$24)</f>
        <v>3.2771107222849212E-2</v>
      </c>
      <c r="R66" s="68">
        <f ca="1">IF(BalanceSheet!S$24=0,0,R59/BalanceSheet!S$24)</f>
        <v>4.7169257606610102E-2</v>
      </c>
      <c r="S66" s="68">
        <f ca="1">IF(BalanceSheet!T$24=0,0,S59/BalanceSheet!T$24)</f>
        <v>3.8491978228205867E-2</v>
      </c>
      <c r="T66" s="68">
        <f ca="1">IF(BalanceSheet!U$24=0,0,T59/BalanceSheet!U$24)</f>
        <v>4.8879650910877023E-2</v>
      </c>
      <c r="U66" s="68">
        <f ca="1">IF(BalanceSheet!V$24=0,0,U59/BalanceSheet!V$24)</f>
        <v>1.610792023712105E-2</v>
      </c>
      <c r="V66" s="68">
        <f ca="1">IF(BalanceSheet!W$24=0,0,V59/BalanceSheet!W$24)</f>
        <v>4.357088264056732E-2</v>
      </c>
      <c r="W66" s="68">
        <f ca="1">IF(BalanceSheet!X$24=0,0,W59/BalanceSheet!X$24)</f>
        <v>2.8699183841356914E-2</v>
      </c>
      <c r="X66" s="68">
        <f ca="1">IF(BalanceSheet!Y$24=0,0,X59/BalanceSheet!Y$24)</f>
        <v>4.4196757121547643E-2</v>
      </c>
      <c r="Y66" s="68">
        <f ca="1">IF(BalanceSheet!Z$24=0,0,Y59/BalanceSheet!Z$24)</f>
        <v>-1.6437025442780296E-2</v>
      </c>
      <c r="Z66" s="68">
        <f ca="1">IF(BalanceSheet!AA$24=0,0,Z59/BalanceSheet!AA$24)</f>
        <v>3.0774465953934838E-2</v>
      </c>
      <c r="AA66" s="68">
        <f ca="1">IF(BalanceSheet!AB$24=0,0,AA59/BalanceSheet!AB$24)</f>
        <v>4.0244882242345646E-2</v>
      </c>
      <c r="AB66" s="69">
        <f ca="1">IF(BalanceSheet!AC$24=0,0,AB59/BalanceSheet!AC$24)</f>
        <v>0.34149548907638511</v>
      </c>
      <c r="AC66" s="68">
        <f ca="1">IF(BalanceSheet!AD$24=0,0,AC59/BalanceSheet!AD$24)</f>
        <v>3.6839828367385238E-2</v>
      </c>
      <c r="AD66" s="68">
        <f ca="1">IF(BalanceSheet!AE$24=0,0,AD59/BalanceSheet!AE$24)</f>
        <v>1.0981174753445006E-2</v>
      </c>
      <c r="AE66" s="68">
        <f ca="1">IF(BalanceSheet!AF$24=0,0,AE59/BalanceSheet!AF$24)</f>
        <v>3.4121554463724876E-2</v>
      </c>
      <c r="AF66" s="68">
        <f ca="1">IF(BalanceSheet!AG$24=0,0,AF59/BalanceSheet!AG$24)</f>
        <v>2.8057398945721922E-2</v>
      </c>
      <c r="AG66" s="68">
        <f ca="1">IF(BalanceSheet!AH$24=0,0,AG59/BalanceSheet!AH$24)</f>
        <v>-8.2064497098820119E-3</v>
      </c>
      <c r="AH66" s="68">
        <f ca="1">IF(BalanceSheet!AI$24=0,0,AH59/BalanceSheet!AI$24)</f>
        <v>3.6165325139299105E-2</v>
      </c>
      <c r="AI66" s="68">
        <f ca="1">IF(BalanceSheet!AJ$24=0,0,AI59/BalanceSheet!AJ$24)</f>
        <v>2.3882815675271878E-2</v>
      </c>
      <c r="AJ66" s="68">
        <f ca="1">IF(BalanceSheet!AK$24=0,0,AJ59/BalanceSheet!AK$24)</f>
        <v>3.8778063552884552E-2</v>
      </c>
      <c r="AK66" s="68">
        <f ca="1">IF(BalanceSheet!AL$24=0,0,AK59/BalanceSheet!AL$24)</f>
        <v>2.8846007370032997E-2</v>
      </c>
      <c r="AL66" s="68">
        <f ca="1">IF(BalanceSheet!AM$24=0,0,AL59/BalanceSheet!AM$24)</f>
        <v>1.5414080604526969E-2</v>
      </c>
      <c r="AM66" s="68">
        <f ca="1">IF(BalanceSheet!AN$24=0,0,AM59/BalanceSheet!AN$24)</f>
        <v>3.3403584301891588E-2</v>
      </c>
      <c r="AN66" s="68">
        <f ca="1">IF(BalanceSheet!AO$24=0,0,AN59/BalanceSheet!AO$24)</f>
        <v>2.8033714375979811E-2</v>
      </c>
      <c r="AO66" s="69">
        <f ca="1">IF(BalanceSheet!AP$24=0,0,AO59/BalanceSheet!AP$24)</f>
        <v>0.26754336447165711</v>
      </c>
    </row>
    <row r="67" spans="1:41" s="68" customFormat="1" ht="16.149999999999999" customHeight="1" x14ac:dyDescent="0.25">
      <c r="A67" s="146"/>
      <c r="B67" s="6" t="s">
        <v>57</v>
      </c>
      <c r="C67" s="67">
        <f ca="1">IF(BalanceSheet!D18-BalanceSheet!D40=0,0,C59/(BalanceSheet!D18-BalanceSheet!D40))</f>
        <v>1.5825114367664022E-2</v>
      </c>
      <c r="D67" s="67">
        <f ca="1">IF(BalanceSheet!E18-BalanceSheet!E40=0,0,D59/(BalanceSheet!E18-BalanceSheet!E40))</f>
        <v>1.5197223631387294E-2</v>
      </c>
      <c r="E67" s="67">
        <f ca="1">IF(BalanceSheet!F18-BalanceSheet!F40=0,0,E59/(BalanceSheet!F18-BalanceSheet!F40))</f>
        <v>1.7253641348577535E-2</v>
      </c>
      <c r="F67" s="67">
        <f ca="1">IF(BalanceSheet!G18-BalanceSheet!G40=0,0,F59/(BalanceSheet!G18-BalanceSheet!G40))</f>
        <v>-1.2293417245166592E-3</v>
      </c>
      <c r="G67" s="67">
        <f ca="1">IF(BalanceSheet!H18-BalanceSheet!H40=0,0,G59/(BalanceSheet!H18-BalanceSheet!H40))</f>
        <v>1.380501916801662E-2</v>
      </c>
      <c r="H67" s="67">
        <f ca="1">IF(BalanceSheet!I18-BalanceSheet!I40=0,0,H59/(BalanceSheet!I18-BalanceSheet!I40))</f>
        <v>1.2846331562898756E-2</v>
      </c>
      <c r="I67" s="67">
        <f ca="1">IF(BalanceSheet!J18-BalanceSheet!J40=0,0,I59/(BalanceSheet!J18-BalanceSheet!J40))</f>
        <v>1.7245258539407018E-2</v>
      </c>
      <c r="J67" s="67">
        <f ca="1">IF(BalanceSheet!K18-BalanceSheet!K40=0,0,J59/(BalanceSheet!K18-BalanceSheet!K40))</f>
        <v>4.6469013539604236E-3</v>
      </c>
      <c r="K67" s="67">
        <f ca="1">IF(BalanceSheet!L18-BalanceSheet!L40=0,0,K59/(BalanceSheet!L18-BalanceSheet!L40))</f>
        <v>9.4713652730603632E-3</v>
      </c>
      <c r="L67" s="67">
        <f ca="1">IF(BalanceSheet!M18-BalanceSheet!M40=0,0,L59/(BalanceSheet!M18-BalanceSheet!M40))</f>
        <v>8.7950205306881139E-3</v>
      </c>
      <c r="M67" s="67">
        <f ca="1">IF(BalanceSheet!N18-BalanceSheet!N40=0,0,M59/(BalanceSheet!N18-BalanceSheet!N40))</f>
        <v>1.8478533442162347E-2</v>
      </c>
      <c r="N67" s="67">
        <f ca="1">IF(BalanceSheet!O18-BalanceSheet!O40=0,0,N59/(BalanceSheet!O18-BalanceSheet!O40))</f>
        <v>1.4344961255941889E-2</v>
      </c>
      <c r="O67" s="70">
        <f ca="1">IF(BalanceSheet!P18-BalanceSheet!P40=0,0,O59/(BalanceSheet!P18-BalanceSheet!P40))</f>
        <v>0.13176255274286883</v>
      </c>
      <c r="P67" s="67">
        <f ca="1">IF(BalanceSheet!Q18-BalanceSheet!Q40=0,0,P59/(BalanceSheet!Q18-BalanceSheet!Q40))</f>
        <v>1.4939226951980467E-2</v>
      </c>
      <c r="Q67" s="67">
        <f ca="1">IF(BalanceSheet!R18-BalanceSheet!R40=0,0,Q59/(BalanceSheet!R18-BalanceSheet!R40))</f>
        <v>9.3325800942698385E-3</v>
      </c>
      <c r="R67" s="67">
        <f ca="1">IF(BalanceSheet!S18-BalanceSheet!S40=0,0,R59/(BalanceSheet!S18-BalanceSheet!S40))</f>
        <v>1.4001513004760376E-2</v>
      </c>
      <c r="S67" s="67">
        <f ca="1">IF(BalanceSheet!T18-BalanceSheet!T40=0,0,S59/(BalanceSheet!T18-BalanceSheet!T40))</f>
        <v>1.1828159536520715E-2</v>
      </c>
      <c r="T67" s="67">
        <f ca="1">IF(BalanceSheet!U18-BalanceSheet!U40=0,0,T59/(BalanceSheet!U18-BalanceSheet!U40))</f>
        <v>1.5658511782581035E-2</v>
      </c>
      <c r="U67" s="67">
        <f ca="1">IF(BalanceSheet!V18-BalanceSheet!V40=0,0,U59/(BalanceSheet!V18-BalanceSheet!V40))</f>
        <v>4.8017599774154247E-3</v>
      </c>
      <c r="V67" s="67">
        <f ca="1">IF(BalanceSheet!W18-BalanceSheet!W40=0,0,V59/(BalanceSheet!W18-BalanceSheet!W40))</f>
        <v>1.3501803026781287E-2</v>
      </c>
      <c r="W67" s="67">
        <f ca="1">IF(BalanceSheet!X18-BalanceSheet!X40=0,0,W59/(BalanceSheet!X18-BalanceSheet!X40))</f>
        <v>9.1437482441531163E-3</v>
      </c>
      <c r="X67" s="67">
        <f ca="1">IF(BalanceSheet!Y18-BalanceSheet!Y40=0,0,X59/(BalanceSheet!Y18-BalanceSheet!Y40))</f>
        <v>1.4632017782874455E-2</v>
      </c>
      <c r="Y67" s="67">
        <f ca="1">IF(BalanceSheet!Z18-BalanceSheet!Z40=0,0,Y59/(BalanceSheet!Z18-BalanceSheet!Z40))</f>
        <v>-5.4255478361699356E-3</v>
      </c>
      <c r="Z67" s="67">
        <f ca="1">IF(BalanceSheet!AA18-BalanceSheet!AA40=0,0,Z59/(BalanceSheet!AA18-BalanceSheet!AA40))</f>
        <v>1.0455312783170212E-2</v>
      </c>
      <c r="AA67" s="67">
        <f ca="1">IF(BalanceSheet!AB18-BalanceSheet!AB40=0,0,AA59/(BalanceSheet!AB18-BalanceSheet!AB40))</f>
        <v>1.4159336367854238E-2</v>
      </c>
      <c r="AB67" s="70">
        <f ca="1">IF(BalanceSheet!AC18-BalanceSheet!AC40=0,0,AB59/(BalanceSheet!AC18-BalanceSheet!AC40))</f>
        <v>0.12014818353349975</v>
      </c>
      <c r="AC67" s="67">
        <f ca="1">IF(BalanceSheet!AD18-BalanceSheet!AD40=0,0,AC59/(BalanceSheet!AD18-BalanceSheet!AD40))</f>
        <v>1.3385940882326147E-2</v>
      </c>
      <c r="AD67" s="67">
        <f ca="1">IF(BalanceSheet!AE18-BalanceSheet!AE40=0,0,AD59/(BalanceSheet!AE18-BalanceSheet!AE40))</f>
        <v>3.8536637232681262E-3</v>
      </c>
      <c r="AE67" s="67">
        <f ca="1">IF(BalanceSheet!AF18-BalanceSheet!AF40=0,0,AE59/(BalanceSheet!AF18-BalanceSheet!AF40))</f>
        <v>1.2349056869065497E-2</v>
      </c>
      <c r="AF67" s="67">
        <f ca="1">IF(BalanceSheet!AG18-BalanceSheet!AG40=0,0,AF59/(BalanceSheet!AG18-BalanceSheet!AG40))</f>
        <v>1.0427453149709913E-2</v>
      </c>
      <c r="AG67" s="67">
        <f ca="1">IF(BalanceSheet!AH18-BalanceSheet!AH40=0,0,AG59/(BalanceSheet!AH18-BalanceSheet!AH40))</f>
        <v>-3.060625296970816E-3</v>
      </c>
      <c r="AH67" s="67">
        <f ca="1">IF(BalanceSheet!AI18-BalanceSheet!AI40=0,0,AH59/(BalanceSheet!AI18-BalanceSheet!AI40))</f>
        <v>1.3921374103721523E-2</v>
      </c>
      <c r="AI67" s="67">
        <f ca="1">IF(BalanceSheet!AJ18-BalanceSheet!AJ40=0,0,AI59/(BalanceSheet!AJ18-BalanceSheet!AJ40))</f>
        <v>9.4125553981337946E-3</v>
      </c>
      <c r="AJ67" s="67">
        <f ca="1">IF(BalanceSheet!AK18-BalanceSheet!AK40=0,0,AJ59/(BalanceSheet!AK18-BalanceSheet!AK40))</f>
        <v>1.5788747707716013E-2</v>
      </c>
      <c r="AK67" s="67">
        <f ca="1">IF(BalanceSheet!AL18-BalanceSheet!AL40=0,0,AK59/(BalanceSheet!AL18-BalanceSheet!AL40))</f>
        <v>1.2055230904513074E-2</v>
      </c>
      <c r="AL67" s="67">
        <f ca="1">IF(BalanceSheet!AM18-BalanceSheet!AM40=0,0,AL59/(BalanceSheet!AM18-BalanceSheet!AM40))</f>
        <v>6.5584853433140484E-3</v>
      </c>
      <c r="AM67" s="67">
        <f ca="1">IF(BalanceSheet!AN18-BalanceSheet!AN40=0,0,AM59/(BalanceSheet!AN18-BalanceSheet!AN40))</f>
        <v>1.4621448862583127E-2</v>
      </c>
      <c r="AN67" s="67">
        <f ca="1">IF(BalanceSheet!AO18-BalanceSheet!AO40=0,0,AN59/(BalanceSheet!AO18-BalanceSheet!AO40))</f>
        <v>1.2580456957377572E-2</v>
      </c>
      <c r="AO67" s="70">
        <f ca="1">IF(BalanceSheet!AP18-BalanceSheet!AP40=0,0,AO59/(BalanceSheet!AP18-BalanceSheet!AP40))</f>
        <v>0.12006321159680515</v>
      </c>
    </row>
    <row r="69" spans="1:41" ht="16.149999999999999" customHeight="1" x14ac:dyDescent="0.3">
      <c r="G69" s="11"/>
      <c r="H69" s="11"/>
      <c r="I69" s="11"/>
      <c r="J69" s="11"/>
      <c r="K69" s="11"/>
      <c r="L69" s="11"/>
      <c r="M69" s="11"/>
      <c r="N69" s="11"/>
      <c r="O69" s="3"/>
      <c r="P69" s="11"/>
      <c r="Q69" s="11"/>
      <c r="R69" s="11"/>
      <c r="S69" s="11"/>
      <c r="T69" s="11"/>
      <c r="U69" s="11"/>
      <c r="V69" s="11"/>
      <c r="W69" s="11"/>
      <c r="X69" s="11"/>
      <c r="Y69" s="11"/>
      <c r="Z69" s="11"/>
      <c r="AA69" s="11"/>
      <c r="AB69" s="3"/>
      <c r="AC69" s="11"/>
      <c r="AD69" s="11"/>
      <c r="AE69" s="11"/>
      <c r="AF69" s="11"/>
      <c r="AG69" s="11"/>
      <c r="AH69" s="11"/>
      <c r="AI69" s="11"/>
      <c r="AJ69" s="11"/>
      <c r="AK69" s="11"/>
      <c r="AL69" s="11"/>
      <c r="AM69" s="11"/>
      <c r="AN69" s="11"/>
      <c r="AO69" s="3"/>
    </row>
    <row r="70" spans="1:41" ht="16.149999999999999" customHeight="1" x14ac:dyDescent="0.3">
      <c r="C70" s="5"/>
      <c r="D70" s="5"/>
      <c r="E70" s="5"/>
      <c r="F70" s="5"/>
    </row>
    <row r="75" spans="1:41" ht="16.149999999999999" customHeight="1" x14ac:dyDescent="0.3">
      <c r="C75" s="5"/>
      <c r="D75" s="5"/>
      <c r="E75" s="5"/>
      <c r="F75" s="5"/>
    </row>
    <row r="76" spans="1:41" ht="16.149999999999999" customHeight="1" x14ac:dyDescent="0.3">
      <c r="C76" s="5"/>
      <c r="D76" s="5"/>
      <c r="E76" s="5"/>
      <c r="F76" s="5"/>
    </row>
    <row r="91" spans="3:6" ht="16.149999999999999" customHeight="1" x14ac:dyDescent="0.3">
      <c r="C91" s="5"/>
      <c r="D91" s="5"/>
      <c r="E91" s="5"/>
      <c r="F91" s="5"/>
    </row>
  </sheetData>
  <phoneticPr fontId="3" type="noConversion"/>
  <pageMargins left="0.59055118110236227" right="0.59055118110236227" top="0.59055118110236227" bottom="0.59055118110236227" header="0.39370078740157483" footer="0.39370078740157483"/>
  <pageSetup paperSize="9" scale="49" fitToWidth="0" orientation="landscape"/>
  <headerFooter alignWithMargins="0">
    <oddFooter>&amp;C&amp;9Page &amp;P of &amp;N</oddFooter>
  </headerFooter>
  <colBreaks count="2" manualBreakCount="2">
    <brk id="15" max="63" man="1"/>
    <brk id="28" max="63" man="1"/>
  </colBreaks>
  <ignoredErrors>
    <ignoredError sqref="O52:O55 AB52:AB55 C60:O60 P60:AA60 AC60:AN60 AO59 AB59 O59"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47"/>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40625" defaultRowHeight="16.149999999999999" customHeight="1" x14ac:dyDescent="0.3"/>
  <cols>
    <col min="1" max="1" width="5.7109375" style="153" customWidth="1"/>
    <col min="2" max="2" width="44.7109375" style="5" customWidth="1"/>
    <col min="3" max="14" width="12.7109375" style="71" customWidth="1"/>
    <col min="15" max="15" width="13.7109375" style="72" customWidth="1"/>
    <col min="16" max="27" width="12.7109375" style="71" customWidth="1"/>
    <col min="28" max="28" width="13.7109375" style="72" customWidth="1"/>
    <col min="29" max="40" width="12.7109375" style="71" customWidth="1"/>
    <col min="41" max="41" width="13.7109375" style="72" customWidth="1"/>
    <col min="42" max="47" width="9.140625" style="5" customWidth="1"/>
    <col min="48" max="16384" width="9.140625" style="5"/>
  </cols>
  <sheetData>
    <row r="1" spans="1:41" ht="16.149999999999999" customHeight="1" x14ac:dyDescent="0.3">
      <c r="B1" s="142" t="str">
        <f>IF(ISBLANK(Assumptions!$C$4),"Example Limited",Assumptions!$C$4)</f>
        <v>Example (Pty) Limited</v>
      </c>
      <c r="C1" s="11"/>
      <c r="D1" s="11"/>
      <c r="E1" s="11"/>
      <c r="F1" s="11"/>
    </row>
    <row r="2" spans="1:41" ht="16.149999999999999" customHeight="1" x14ac:dyDescent="0.3">
      <c r="B2" s="6" t="s">
        <v>68</v>
      </c>
      <c r="C2" s="11"/>
      <c r="D2" s="11"/>
      <c r="E2" s="11"/>
      <c r="F2" s="11"/>
    </row>
    <row r="3" spans="1:41" ht="16.149999999999999" customHeight="1" x14ac:dyDescent="0.3">
      <c r="B3" s="73" t="s">
        <v>59</v>
      </c>
      <c r="C3" s="11"/>
      <c r="D3" s="11"/>
      <c r="E3" s="11"/>
      <c r="F3" s="11"/>
    </row>
    <row r="4" spans="1:41" s="38" customFormat="1" ht="18" customHeight="1" x14ac:dyDescent="0.25">
      <c r="A4" s="154"/>
      <c r="B4" s="35"/>
      <c r="C4" s="36">
        <f ca="1">IF(ISBLANK(Assumptions!$C$5)=TRUE,DATE(YEAR(TODAY()),MONTH(TODAY())+1,0),DATE(YEAR(Assumptions!$C$5),MONTH(Assumptions!$C$5)+1,0))</f>
        <v>44286</v>
      </c>
      <c r="D4" s="36">
        <f ca="1">DATE(YEAR(C4),MONTH(C4)+2,0)</f>
        <v>44316</v>
      </c>
      <c r="E4" s="36">
        <f t="shared" ref="E4:M4" ca="1" si="0">DATE(YEAR(D4),MONTH(D4)+2,0)</f>
        <v>44347</v>
      </c>
      <c r="F4" s="36">
        <f t="shared" ca="1" si="0"/>
        <v>44377</v>
      </c>
      <c r="G4" s="36">
        <f t="shared" ca="1" si="0"/>
        <v>44408</v>
      </c>
      <c r="H4" s="36">
        <f t="shared" ca="1" si="0"/>
        <v>44439</v>
      </c>
      <c r="I4" s="36">
        <f t="shared" ca="1" si="0"/>
        <v>44469</v>
      </c>
      <c r="J4" s="36">
        <f t="shared" ca="1" si="0"/>
        <v>44500</v>
      </c>
      <c r="K4" s="36">
        <f t="shared" ca="1" si="0"/>
        <v>44530</v>
      </c>
      <c r="L4" s="36">
        <f t="shared" ca="1" si="0"/>
        <v>44561</v>
      </c>
      <c r="M4" s="36">
        <f t="shared" ca="1" si="0"/>
        <v>44592</v>
      </c>
      <c r="N4" s="36">
        <f ca="1">DATE(YEAR(M4),MONTH(M4)+2,0)</f>
        <v>44620</v>
      </c>
      <c r="O4" s="74" t="str">
        <f ca="1">"Year-"&amp;YEAR(N4)</f>
        <v>Year-2022</v>
      </c>
      <c r="P4" s="36">
        <f ca="1">DATE(YEAR(N4),MONTH(N4)+2,0)</f>
        <v>44651</v>
      </c>
      <c r="Q4" s="36">
        <f t="shared" ref="Q4:AA4" ca="1" si="1">DATE(YEAR(P4),MONTH(P4)+2,0)</f>
        <v>44681</v>
      </c>
      <c r="R4" s="36">
        <f t="shared" ca="1" si="1"/>
        <v>44712</v>
      </c>
      <c r="S4" s="36">
        <f t="shared" ca="1" si="1"/>
        <v>44742</v>
      </c>
      <c r="T4" s="36">
        <f t="shared" ca="1" si="1"/>
        <v>44773</v>
      </c>
      <c r="U4" s="36">
        <f t="shared" ca="1" si="1"/>
        <v>44804</v>
      </c>
      <c r="V4" s="36">
        <f t="shared" ca="1" si="1"/>
        <v>44834</v>
      </c>
      <c r="W4" s="36">
        <f t="shared" ca="1" si="1"/>
        <v>44865</v>
      </c>
      <c r="X4" s="36">
        <f t="shared" ca="1" si="1"/>
        <v>44895</v>
      </c>
      <c r="Y4" s="36">
        <f t="shared" ca="1" si="1"/>
        <v>44926</v>
      </c>
      <c r="Z4" s="36">
        <f t="shared" ca="1" si="1"/>
        <v>44957</v>
      </c>
      <c r="AA4" s="36">
        <f t="shared" ca="1" si="1"/>
        <v>44985</v>
      </c>
      <c r="AB4" s="74" t="str">
        <f ca="1">"Year-"&amp;YEAR(AA4)</f>
        <v>Year-2023</v>
      </c>
      <c r="AC4" s="36">
        <f ca="1">DATE(YEAR(AA4),MONTH(AA4)+2,0)</f>
        <v>45016</v>
      </c>
      <c r="AD4" s="36">
        <f t="shared" ref="AD4:AN4" ca="1" si="2">DATE(YEAR(AC4),MONTH(AC4)+2,0)</f>
        <v>45046</v>
      </c>
      <c r="AE4" s="36">
        <f t="shared" ca="1" si="2"/>
        <v>45077</v>
      </c>
      <c r="AF4" s="36">
        <f t="shared" ca="1" si="2"/>
        <v>45107</v>
      </c>
      <c r="AG4" s="36">
        <f t="shared" ca="1" si="2"/>
        <v>45138</v>
      </c>
      <c r="AH4" s="36">
        <f t="shared" ca="1" si="2"/>
        <v>45169</v>
      </c>
      <c r="AI4" s="36">
        <f t="shared" ca="1" si="2"/>
        <v>45199</v>
      </c>
      <c r="AJ4" s="36">
        <f t="shared" ca="1" si="2"/>
        <v>45230</v>
      </c>
      <c r="AK4" s="36">
        <f t="shared" ca="1" si="2"/>
        <v>45260</v>
      </c>
      <c r="AL4" s="36">
        <f t="shared" ca="1" si="2"/>
        <v>45291</v>
      </c>
      <c r="AM4" s="36">
        <f t="shared" ca="1" si="2"/>
        <v>45322</v>
      </c>
      <c r="AN4" s="36">
        <f t="shared" ca="1" si="2"/>
        <v>45351</v>
      </c>
      <c r="AO4" s="74" t="str">
        <f ca="1">"Year-"&amp;YEAR(AN4)</f>
        <v>Year-2024</v>
      </c>
    </row>
    <row r="5" spans="1:41" ht="16.149999999999999" customHeight="1" x14ac:dyDescent="0.3">
      <c r="B5" s="10" t="s">
        <v>70</v>
      </c>
      <c r="C5" s="75"/>
      <c r="D5" s="75"/>
      <c r="E5" s="75"/>
      <c r="F5" s="75"/>
      <c r="G5" s="75"/>
      <c r="H5" s="75"/>
      <c r="I5" s="75"/>
      <c r="J5" s="75"/>
      <c r="K5" s="75"/>
      <c r="L5" s="75"/>
      <c r="M5" s="75"/>
      <c r="N5" s="75"/>
      <c r="O5" s="76"/>
      <c r="P5" s="75"/>
      <c r="Q5" s="75"/>
      <c r="R5" s="75"/>
      <c r="S5" s="75"/>
      <c r="T5" s="75"/>
      <c r="U5" s="75"/>
      <c r="V5" s="75"/>
      <c r="W5" s="75"/>
      <c r="X5" s="75"/>
      <c r="Y5" s="75"/>
      <c r="Z5" s="75"/>
      <c r="AA5" s="75"/>
      <c r="AB5" s="76"/>
      <c r="AC5" s="75"/>
      <c r="AD5" s="75"/>
      <c r="AE5" s="75"/>
      <c r="AF5" s="75"/>
      <c r="AG5" s="75"/>
      <c r="AH5" s="75"/>
      <c r="AI5" s="75"/>
      <c r="AJ5" s="75"/>
      <c r="AK5" s="75"/>
      <c r="AL5" s="75"/>
      <c r="AM5" s="75"/>
      <c r="AN5" s="75"/>
      <c r="AO5" s="76"/>
    </row>
    <row r="6" spans="1:41" s="11" customFormat="1" ht="16.149999999999999" customHeight="1" x14ac:dyDescent="0.3">
      <c r="A6" s="155"/>
      <c r="B6" s="49" t="s">
        <v>65</v>
      </c>
      <c r="C6" s="45">
        <f ca="1">IncState!C59</f>
        <v>40354.5</v>
      </c>
      <c r="D6" s="45">
        <f ca="1">IncState!D59</f>
        <v>39097.241662946675</v>
      </c>
      <c r="E6" s="45">
        <f ca="1">IncState!E59</f>
        <v>44875.301810206904</v>
      </c>
      <c r="F6" s="45">
        <f ca="1">IncState!F59</f>
        <v>-3172.9113557039018</v>
      </c>
      <c r="G6" s="45">
        <f ca="1">IncState!G59</f>
        <v>35892.61044145163</v>
      </c>
      <c r="H6" s="45">
        <f ca="1">IncState!H59</f>
        <v>34904.875552299462</v>
      </c>
      <c r="I6" s="45">
        <f ca="1">IncState!I59</f>
        <v>47365.017299715881</v>
      </c>
      <c r="J6" s="45">
        <f ca="1">IncState!J59</f>
        <v>12738.149542354895</v>
      </c>
      <c r="K6" s="45">
        <f ca="1">IncState!K59</f>
        <v>26036.921091279859</v>
      </c>
      <c r="L6" s="45">
        <f ca="1">IncState!L59</f>
        <v>24228.940836467911</v>
      </c>
      <c r="M6" s="45">
        <f ca="1">IncState!M59</f>
        <v>55978.297747521283</v>
      </c>
      <c r="N6" s="45">
        <f ca="1">IncState!N59</f>
        <v>43773.547163190931</v>
      </c>
      <c r="O6" s="46">
        <f ca="1">SUM(C6:N6)</f>
        <v>402072.49179173145</v>
      </c>
      <c r="P6" s="45">
        <f ca="1">IncState!P59</f>
        <v>45947.018449525145</v>
      </c>
      <c r="Q6" s="45">
        <f ca="1">IncState!Q59</f>
        <v>28766.003178957588</v>
      </c>
      <c r="R6" s="45">
        <f ca="1">IncState!R59</f>
        <v>43454.193031036928</v>
      </c>
      <c r="S6" s="45">
        <f ca="1">IncState!S59</f>
        <v>36879.919793426889</v>
      </c>
      <c r="T6" s="45">
        <f ca="1">IncState!T59</f>
        <v>49239.355362915769</v>
      </c>
      <c r="U6" s="45">
        <f ca="1">IncState!U59</f>
        <v>16492.111746435887</v>
      </c>
      <c r="V6" s="45">
        <f ca="1">IncState!V59</f>
        <v>46642.343923099295</v>
      </c>
      <c r="W6" s="45">
        <f ca="1">IncState!W59</f>
        <v>31630.044417016645</v>
      </c>
      <c r="X6" s="45">
        <f ca="1">IncState!X59</f>
        <v>50962.6685212921</v>
      </c>
      <c r="Y6" s="45">
        <f ca="1">IncState!Y59</f>
        <v>-18646.808325928792</v>
      </c>
      <c r="Z6" s="45">
        <f ca="1">IncState!Z59</f>
        <v>36020.269459929077</v>
      </c>
      <c r="AA6" s="45">
        <f ca="1">IncState!AA59</f>
        <v>49080.237611271747</v>
      </c>
      <c r="AB6" s="46">
        <f ca="1">SUM(P6:AA6)</f>
        <v>416467.35716897825</v>
      </c>
      <c r="AC6" s="45">
        <f ca="1">IncState!AC59</f>
        <v>46646.072009751384</v>
      </c>
      <c r="AD6" s="45">
        <f ca="1">IncState!AD59</f>
        <v>14058.588687694719</v>
      </c>
      <c r="AE6" s="45">
        <f ca="1">IncState!AE59</f>
        <v>45227.15354614969</v>
      </c>
      <c r="AF6" s="45">
        <f ca="1">IncState!AF59</f>
        <v>38262.843099410471</v>
      </c>
      <c r="AG6" s="45">
        <f ca="1">IncState!AG59</f>
        <v>-11100.324389744401</v>
      </c>
      <c r="AH6" s="45">
        <f ca="1">IncState!AH59</f>
        <v>50753.98951642678</v>
      </c>
      <c r="AI6" s="45">
        <f ca="1">IncState!AI59</f>
        <v>34336.923432319047</v>
      </c>
      <c r="AJ6" s="45">
        <f ca="1">IncState!AJ59</f>
        <v>58001.376150689612</v>
      </c>
      <c r="AK6" s="45">
        <f ca="1">IncState!AK59</f>
        <v>44427.28664438054</v>
      </c>
      <c r="AL6" s="45">
        <f ca="1">IncState!AL59</f>
        <v>24111.714068060617</v>
      </c>
      <c r="AM6" s="45">
        <f ca="1">IncState!AM59</f>
        <v>54057.797759982757</v>
      </c>
      <c r="AN6" s="45">
        <f ca="1">IncState!AN59</f>
        <v>46676.117243758854</v>
      </c>
      <c r="AO6" s="46">
        <f ca="1">SUM(AC6:AN6)</f>
        <v>445459.53776888008</v>
      </c>
    </row>
    <row r="7" spans="1:41" s="11" customFormat="1" ht="16.149999999999999" customHeight="1" x14ac:dyDescent="0.3">
      <c r="A7" s="155" t="s">
        <v>165</v>
      </c>
      <c r="B7" s="49" t="s">
        <v>41</v>
      </c>
      <c r="C7" s="45">
        <f ca="1">IncState!C56</f>
        <v>18177.083333333332</v>
      </c>
      <c r="D7" s="45">
        <f ca="1">IncState!D56</f>
        <v>18033.275468129621</v>
      </c>
      <c r="E7" s="45">
        <f ca="1">IncState!E56</f>
        <v>17888.191930268178</v>
      </c>
      <c r="F7" s="45">
        <f ca="1">IncState!F56</f>
        <v>17741.821327366524</v>
      </c>
      <c r="G7" s="45">
        <f ca="1">IncState!G56</f>
        <v>17594.152164650517</v>
      </c>
      <c r="H7" s="45">
        <f ca="1">IncState!H56</f>
        <v>18216.006177361851</v>
      </c>
      <c r="I7" s="45">
        <f ca="1">IncState!I56</f>
        <v>18060.253750394611</v>
      </c>
      <c r="J7" s="45">
        <f ca="1">IncState!J56</f>
        <v>17903.125635618195</v>
      </c>
      <c r="K7" s="45">
        <f ca="1">IncState!K56</f>
        <v>17744.609595444635</v>
      </c>
      <c r="L7" s="45">
        <f ca="1">IncState!L56</f>
        <v>17584.693282683467</v>
      </c>
      <c r="M7" s="45">
        <f ca="1">IncState!M56</f>
        <v>19923.364239553764</v>
      </c>
      <c r="N7" s="45">
        <f ca="1">IncState!N56</f>
        <v>19730.406717790378</v>
      </c>
      <c r="O7" s="46">
        <f ca="1">SUM(C7:N7)</f>
        <v>218596.98362259509</v>
      </c>
      <c r="P7" s="45">
        <f ca="1">IncState!P56</f>
        <v>19535.696597881757</v>
      </c>
      <c r="Q7" s="45">
        <f ca="1">IncState!Q56</f>
        <v>19339.217807003326</v>
      </c>
      <c r="R7" s="45">
        <f ca="1">IncState!R56</f>
        <v>19140.954123559794</v>
      </c>
      <c r="S7" s="45">
        <f ca="1">IncState!S56</f>
        <v>18940.889175796023</v>
      </c>
      <c r="T7" s="45">
        <f ca="1">IncState!T56</f>
        <v>18739.006440394773</v>
      </c>
      <c r="U7" s="45">
        <f ca="1">IncState!U56</f>
        <v>21660.289241061237</v>
      </c>
      <c r="V7" s="45">
        <f ca="1">IncState!V56</f>
        <v>21416.966773473203</v>
      </c>
      <c r="W7" s="45">
        <f ca="1">IncState!W56</f>
        <v>21171.382754143531</v>
      </c>
      <c r="X7" s="45">
        <f ca="1">IncState!X56</f>
        <v>20923.515942649854</v>
      </c>
      <c r="Y7" s="45">
        <f ca="1">IncState!Y56</f>
        <v>20673.344897123327</v>
      </c>
      <c r="Z7" s="45">
        <f ca="1">IncState!Z56</f>
        <v>20420.847972320749</v>
      </c>
      <c r="AA7" s="45">
        <f ca="1">IncState!AA56</f>
        <v>20166.0033176781</v>
      </c>
      <c r="AB7" s="46">
        <f ca="1">SUM(P7:AA7)</f>
        <v>242128.11504308565</v>
      </c>
      <c r="AC7" s="45">
        <f ca="1">IncState!AC56</f>
        <v>19908.788875345268</v>
      </c>
      <c r="AD7" s="45">
        <f ca="1">IncState!AD56</f>
        <v>21524.182378201833</v>
      </c>
      <c r="AE7" s="45">
        <f ca="1">IncState!AE56</f>
        <v>21239.508963681037</v>
      </c>
      <c r="AF7" s="45">
        <f ca="1">IncState!AF56</f>
        <v>20952.162361929888</v>
      </c>
      <c r="AG7" s="45">
        <f ca="1">IncState!AG56</f>
        <v>20662.117207978237</v>
      </c>
      <c r="AH7" s="45">
        <f ca="1">IncState!AH56</f>
        <v>20369.347893851787</v>
      </c>
      <c r="AI7" s="45">
        <f ca="1">IncState!AI56</f>
        <v>20073.828566223528</v>
      </c>
      <c r="AJ7" s="45">
        <f ca="1">IncState!AJ56</f>
        <v>19775.533124042275</v>
      </c>
      <c r="AK7" s="45">
        <f ca="1">IncState!AK56</f>
        <v>19474.435216138139</v>
      </c>
      <c r="AL7" s="45">
        <f ca="1">IncState!AL56</f>
        <v>19170.50823880465</v>
      </c>
      <c r="AM7" s="45">
        <f ca="1">IncState!AM56</f>
        <v>18863.725333357295</v>
      </c>
      <c r="AN7" s="45">
        <f ca="1">IncState!AN56</f>
        <v>18554.059383668307</v>
      </c>
      <c r="AO7" s="46">
        <f ca="1">SUM(AC7:AN7)</f>
        <v>240568.19754322222</v>
      </c>
    </row>
    <row r="8" spans="1:41" s="11" customFormat="1" ht="16.149999999999999" customHeight="1" x14ac:dyDescent="0.3">
      <c r="A8" s="155" t="s">
        <v>119</v>
      </c>
      <c r="B8" s="49" t="s">
        <v>37</v>
      </c>
      <c r="C8" s="45">
        <f ca="1">IncState!C58</f>
        <v>15693.41666666667</v>
      </c>
      <c r="D8" s="45">
        <f ca="1">IncState!D58</f>
        <v>15204.482868923706</v>
      </c>
      <c r="E8" s="45">
        <f ca="1">IncState!E58</f>
        <v>17451.506259524918</v>
      </c>
      <c r="F8" s="45">
        <f ca="1">IncState!F58</f>
        <v>-1233.9099716626224</v>
      </c>
      <c r="G8" s="45">
        <f ca="1">IncState!G58</f>
        <v>13958.237393897856</v>
      </c>
      <c r="H8" s="45">
        <f ca="1">IncState!H58</f>
        <v>13574.118270338688</v>
      </c>
      <c r="I8" s="45">
        <f ca="1">IncState!I58</f>
        <v>18419.728949889512</v>
      </c>
      <c r="J8" s="45">
        <f ca="1">IncState!J58</f>
        <v>4953.7248220269103</v>
      </c>
      <c r="K8" s="45">
        <f ca="1">IncState!K58</f>
        <v>10125.469313275506</v>
      </c>
      <c r="L8" s="45">
        <f ca="1">IncState!L58</f>
        <v>9422.3658808486216</v>
      </c>
      <c r="M8" s="45">
        <f ca="1">IncState!M58</f>
        <v>21769.338012924956</v>
      </c>
      <c r="N8" s="45">
        <f ca="1">IncState!N58</f>
        <v>17023.046119018691</v>
      </c>
      <c r="O8" s="46">
        <f ca="1">SUM(C8:N8)</f>
        <v>156361.52458567341</v>
      </c>
      <c r="P8" s="45">
        <f ca="1">IncState!P58</f>
        <v>17868.284952593094</v>
      </c>
      <c r="Q8" s="45">
        <f ca="1">IncState!Q58</f>
        <v>11186.779014039086</v>
      </c>
      <c r="R8" s="45">
        <f ca="1">IncState!R58</f>
        <v>16898.852845403278</v>
      </c>
      <c r="S8" s="45">
        <f ca="1">IncState!S58</f>
        <v>14342.191030777089</v>
      </c>
      <c r="T8" s="45">
        <f ca="1">IncState!T58</f>
        <v>19148.638196689455</v>
      </c>
      <c r="U8" s="45">
        <f ca="1">IncState!U58</f>
        <v>6413.5990125028766</v>
      </c>
      <c r="V8" s="45">
        <f ca="1">IncState!V58</f>
        <v>18138.689303427498</v>
      </c>
      <c r="W8" s="45">
        <f ca="1">IncState!W58</f>
        <v>12300.572828839824</v>
      </c>
      <c r="X8" s="45">
        <f ca="1">IncState!X58</f>
        <v>19818.815536058042</v>
      </c>
      <c r="Y8" s="45">
        <f ca="1">IncState!Y58</f>
        <v>-7251.5365711945342</v>
      </c>
      <c r="Z8" s="45">
        <f ca="1">IncState!Z58</f>
        <v>14007.882567750174</v>
      </c>
      <c r="AA8" s="45">
        <f ca="1">IncState!AA58</f>
        <v>19086.759071050154</v>
      </c>
      <c r="AB8" s="46">
        <f ca="1">SUM(P8:AA8)</f>
        <v>161959.52778793604</v>
      </c>
      <c r="AC8" s="45">
        <f ca="1">IncState!AC58</f>
        <v>18140.139114903344</v>
      </c>
      <c r="AD8" s="45">
        <f ca="1">IncState!AD58</f>
        <v>5467.2289341034484</v>
      </c>
      <c r="AE8" s="45">
        <f ca="1">IncState!AE58</f>
        <v>17588.337490169273</v>
      </c>
      <c r="AF8" s="45">
        <f ca="1">IncState!AF58</f>
        <v>14879.994538659637</v>
      </c>
      <c r="AG8" s="45">
        <f ca="1">IncState!AG58</f>
        <v>-4316.7928182338364</v>
      </c>
      <c r="AH8" s="45">
        <f ca="1">IncState!AH58</f>
        <v>19737.66258972144</v>
      </c>
      <c r="AI8" s="45">
        <f ca="1">IncState!AI58</f>
        <v>13353.248001457425</v>
      </c>
      <c r="AJ8" s="45">
        <f ca="1">IncState!AJ58</f>
        <v>22556.090725268121</v>
      </c>
      <c r="AK8" s="45">
        <f ca="1">IncState!AK58</f>
        <v>17277.278139481321</v>
      </c>
      <c r="AL8" s="45">
        <f ca="1">IncState!AL58</f>
        <v>9376.7776931347325</v>
      </c>
      <c r="AM8" s="45">
        <f ca="1">IncState!AM58</f>
        <v>21022.476906659955</v>
      </c>
      <c r="AN8" s="45">
        <f ca="1">IncState!AN58</f>
        <v>18151.823372572835</v>
      </c>
      <c r="AO8" s="46">
        <f ca="1">SUM(AC8:AN8)</f>
        <v>173234.2646878977</v>
      </c>
    </row>
    <row r="9" spans="1:41" s="15" customFormat="1" ht="16.149999999999999" customHeight="1" x14ac:dyDescent="0.25">
      <c r="A9" s="156"/>
      <c r="B9" s="15" t="s">
        <v>71</v>
      </c>
      <c r="C9" s="77"/>
      <c r="D9" s="77"/>
      <c r="E9" s="77"/>
      <c r="F9" s="77"/>
      <c r="G9" s="77"/>
      <c r="H9" s="77"/>
      <c r="I9" s="77"/>
      <c r="J9" s="77"/>
      <c r="K9" s="77"/>
      <c r="L9" s="77"/>
      <c r="M9" s="77"/>
      <c r="N9" s="77"/>
      <c r="O9" s="78"/>
      <c r="P9" s="77"/>
      <c r="Q9" s="77"/>
      <c r="R9" s="77"/>
      <c r="S9" s="77"/>
      <c r="T9" s="77"/>
      <c r="U9" s="77"/>
      <c r="V9" s="77"/>
      <c r="W9" s="77"/>
      <c r="X9" s="77"/>
      <c r="Y9" s="77"/>
      <c r="Z9" s="77"/>
      <c r="AA9" s="77"/>
      <c r="AB9" s="78"/>
      <c r="AC9" s="77"/>
      <c r="AD9" s="77"/>
      <c r="AE9" s="77"/>
      <c r="AF9" s="77"/>
      <c r="AG9" s="77"/>
      <c r="AH9" s="77"/>
      <c r="AI9" s="77"/>
      <c r="AJ9" s="77"/>
      <c r="AK9" s="77"/>
      <c r="AL9" s="77"/>
      <c r="AM9" s="77"/>
      <c r="AN9" s="77"/>
      <c r="AO9" s="78"/>
    </row>
    <row r="10" spans="1:41" ht="16.149999999999999" customHeight="1" x14ac:dyDescent="0.3">
      <c r="A10" s="153" t="s">
        <v>149</v>
      </c>
      <c r="B10" s="5" t="s">
        <v>67</v>
      </c>
      <c r="C10" s="79">
        <f ca="1">SUMIF(IncState!$A$4:$AO$63,$A10,IncState!C$4:C$63)</f>
        <v>15000</v>
      </c>
      <c r="D10" s="79">
        <f ca="1">SUMIF(IncState!$A$4:$AO$63,$A10,IncState!D$4:D$63)</f>
        <v>15000</v>
      </c>
      <c r="E10" s="79">
        <f ca="1">SUMIF(IncState!$A$4:$AO$63,$A10,IncState!E$4:E$63)</f>
        <v>15000</v>
      </c>
      <c r="F10" s="79">
        <f ca="1">SUMIF(IncState!$A$4:$AO$63,$A10,IncState!F$4:F$63)</f>
        <v>15000</v>
      </c>
      <c r="G10" s="79">
        <f ca="1">SUMIF(IncState!$A$4:$AO$63,$A10,IncState!G$4:G$63)</f>
        <v>15000</v>
      </c>
      <c r="H10" s="79">
        <f ca="1">SUMIF(IncState!$A$4:$AO$63,$A10,IncState!H$4:H$63)</f>
        <v>15000</v>
      </c>
      <c r="I10" s="79">
        <f ca="1">SUMIF(IncState!$A$4:$AO$63,$A10,IncState!I$4:I$63)</f>
        <v>15000</v>
      </c>
      <c r="J10" s="79">
        <f ca="1">SUMIF(IncState!$A$4:$AO$63,$A10,IncState!J$4:J$63)</f>
        <v>15000</v>
      </c>
      <c r="K10" s="79">
        <f ca="1">SUMIF(IncState!$A$4:$AO$63,$A10,IncState!K$4:K$63)</f>
        <v>15000</v>
      </c>
      <c r="L10" s="79">
        <f ca="1">SUMIF(IncState!$A$4:$AO$63,$A10,IncState!L$4:L$63)</f>
        <v>15000</v>
      </c>
      <c r="M10" s="79">
        <f ca="1">SUMIF(IncState!$A$4:$AO$63,$A10,IncState!M$4:M$63)</f>
        <v>19000</v>
      </c>
      <c r="N10" s="79">
        <f ca="1">SUMIF(IncState!$A$4:$AO$63,$A10,IncState!N$4:N$63)</f>
        <v>19000</v>
      </c>
      <c r="O10" s="46">
        <f ca="1">SUM(C10:N10)</f>
        <v>188000</v>
      </c>
      <c r="P10" s="79">
        <f ca="1">SUMIF(IncState!$A$4:$AO$63,$A10,IncState!P$4:P$63)</f>
        <v>19000</v>
      </c>
      <c r="Q10" s="79">
        <f ca="1">SUMIF(IncState!$A$4:$AO$63,$A10,IncState!Q$4:Q$63)</f>
        <v>19000</v>
      </c>
      <c r="R10" s="79">
        <f ca="1">SUMIF(IncState!$A$4:$AO$63,$A10,IncState!R$4:R$63)</f>
        <v>19000</v>
      </c>
      <c r="S10" s="79">
        <f ca="1">SUMIF(IncState!$A$4:$AO$63,$A10,IncState!S$4:S$63)</f>
        <v>19000</v>
      </c>
      <c r="T10" s="79">
        <f ca="1">SUMIF(IncState!$A$4:$AO$63,$A10,IncState!T$4:T$63)</f>
        <v>19000</v>
      </c>
      <c r="U10" s="79">
        <f ca="1">SUMIF(IncState!$A$4:$AO$63,$A10,IncState!U$4:U$63)</f>
        <v>24000</v>
      </c>
      <c r="V10" s="79">
        <f ca="1">SUMIF(IncState!$A$4:$AO$63,$A10,IncState!V$4:V$63)</f>
        <v>24000</v>
      </c>
      <c r="W10" s="79">
        <f ca="1">SUMIF(IncState!$A$4:$AO$63,$A10,IncState!W$4:W$63)</f>
        <v>24000</v>
      </c>
      <c r="X10" s="79">
        <f ca="1">SUMIF(IncState!$A$4:$AO$63,$A10,IncState!X$4:X$63)</f>
        <v>24000</v>
      </c>
      <c r="Y10" s="79">
        <f ca="1">SUMIF(IncState!$A$4:$AO$63,$A10,IncState!Y$4:Y$63)</f>
        <v>24000</v>
      </c>
      <c r="Z10" s="79">
        <f ca="1">SUMIF(IncState!$A$4:$AO$63,$A10,IncState!Z$4:Z$63)</f>
        <v>24000</v>
      </c>
      <c r="AA10" s="79">
        <f ca="1">SUMIF(IncState!$A$4:$AO$63,$A10,IncState!AA$4:AA$63)</f>
        <v>24000</v>
      </c>
      <c r="AB10" s="46">
        <f ca="1">SUM(P10:AA10)</f>
        <v>263000</v>
      </c>
      <c r="AC10" s="79">
        <f ca="1">SUMIF(IncState!$A$4:$AO$63,$A10,IncState!AC$4:AC$63)</f>
        <v>24000</v>
      </c>
      <c r="AD10" s="79">
        <f ca="1">SUMIF(IncState!$A$4:$AO$63,$A10,IncState!AD$4:AD$63)</f>
        <v>27000</v>
      </c>
      <c r="AE10" s="79">
        <f ca="1">SUMIF(IncState!$A$4:$AO$63,$A10,IncState!AE$4:AE$63)</f>
        <v>27000</v>
      </c>
      <c r="AF10" s="79">
        <f ca="1">SUMIF(IncState!$A$4:$AO$63,$A10,IncState!AF$4:AF$63)</f>
        <v>27000</v>
      </c>
      <c r="AG10" s="79">
        <f ca="1">SUMIF(IncState!$A$4:$AO$63,$A10,IncState!AG$4:AG$63)</f>
        <v>27000</v>
      </c>
      <c r="AH10" s="79">
        <f ca="1">SUMIF(IncState!$A$4:$AO$63,$A10,IncState!AH$4:AH$63)</f>
        <v>25000</v>
      </c>
      <c r="AI10" s="79">
        <f ca="1">SUMIF(IncState!$A$4:$AO$63,$A10,IncState!AI$4:AI$63)</f>
        <v>25000</v>
      </c>
      <c r="AJ10" s="79">
        <f ca="1">SUMIF(IncState!$A$4:$AO$63,$A10,IncState!AJ$4:AJ$63)</f>
        <v>25000</v>
      </c>
      <c r="AK10" s="79">
        <f ca="1">SUMIF(IncState!$A$4:$AO$63,$A10,IncState!AK$4:AK$63)</f>
        <v>25000</v>
      </c>
      <c r="AL10" s="79">
        <f ca="1">SUMIF(IncState!$A$4:$AO$63,$A10,IncState!AL$4:AL$63)</f>
        <v>25000</v>
      </c>
      <c r="AM10" s="79">
        <f ca="1">SUMIF(IncState!$A$4:$AO$63,$A10,IncState!AM$4:AM$63)</f>
        <v>25000</v>
      </c>
      <c r="AN10" s="79">
        <f ca="1">SUMIF(IncState!$A$4:$AO$63,$A10,IncState!AN$4:AN$63)</f>
        <v>25000</v>
      </c>
      <c r="AO10" s="46">
        <f ca="1">SUM(AC10:AN10)</f>
        <v>307000</v>
      </c>
    </row>
    <row r="11" spans="1:41" ht="16.149999999999999" customHeight="1" x14ac:dyDescent="0.3">
      <c r="A11" s="153" t="s">
        <v>150</v>
      </c>
      <c r="B11" s="5" t="s">
        <v>148</v>
      </c>
      <c r="C11" s="79">
        <f ca="1">SUMIF(IncState!$A$4:$AO$63,$A11,IncState!C$4:C$63)</f>
        <v>1000</v>
      </c>
      <c r="D11" s="79">
        <f ca="1">SUMIF(IncState!$A$4:$AO$63,$A11,IncState!D$4:D$63)</f>
        <v>1000</v>
      </c>
      <c r="E11" s="79">
        <f ca="1">SUMIF(IncState!$A$4:$AO$63,$A11,IncState!E$4:E$63)</f>
        <v>1000</v>
      </c>
      <c r="F11" s="79">
        <f ca="1">SUMIF(IncState!$A$4:$AO$63,$A11,IncState!F$4:F$63)</f>
        <v>1000</v>
      </c>
      <c r="G11" s="79">
        <f ca="1">SUMIF(IncState!$A$4:$AO$63,$A11,IncState!G$4:G$63)</f>
        <v>1000</v>
      </c>
      <c r="H11" s="79">
        <f ca="1">SUMIF(IncState!$A$4:$AO$63,$A11,IncState!H$4:H$63)</f>
        <v>1000</v>
      </c>
      <c r="I11" s="79">
        <f ca="1">SUMIF(IncState!$A$4:$AO$63,$A11,IncState!I$4:I$63)</f>
        <v>1000</v>
      </c>
      <c r="J11" s="79">
        <f ca="1">SUMIF(IncState!$A$4:$AO$63,$A11,IncState!J$4:J$63)</f>
        <v>1000</v>
      </c>
      <c r="K11" s="79">
        <f ca="1">SUMIF(IncState!$A$4:$AO$63,$A11,IncState!K$4:K$63)</f>
        <v>1000</v>
      </c>
      <c r="L11" s="79">
        <f ca="1">SUMIF(IncState!$A$4:$AO$63,$A11,IncState!L$4:L$63)</f>
        <v>1000</v>
      </c>
      <c r="M11" s="79">
        <f ca="1">SUMIF(IncState!$A$4:$AO$63,$A11,IncState!M$4:M$63)</f>
        <v>1000</v>
      </c>
      <c r="N11" s="79">
        <f ca="1">SUMIF(IncState!$A$4:$AO$63,$A11,IncState!N$4:N$63)</f>
        <v>1000</v>
      </c>
      <c r="O11" s="46">
        <f ca="1">SUM(C11:N11)</f>
        <v>12000</v>
      </c>
      <c r="P11" s="79">
        <f ca="1">SUMIF(IncState!$A$4:$AO$63,$A11,IncState!P$4:P$63)</f>
        <v>1000</v>
      </c>
      <c r="Q11" s="79">
        <f ca="1">SUMIF(IncState!$A$4:$AO$63,$A11,IncState!Q$4:Q$63)</f>
        <v>1000</v>
      </c>
      <c r="R11" s="79">
        <f ca="1">SUMIF(IncState!$A$4:$AO$63,$A11,IncState!R$4:R$63)</f>
        <v>1000</v>
      </c>
      <c r="S11" s="79">
        <f ca="1">SUMIF(IncState!$A$4:$AO$63,$A11,IncState!S$4:S$63)</f>
        <v>1000</v>
      </c>
      <c r="T11" s="79">
        <f ca="1">SUMIF(IncState!$A$4:$AO$63,$A11,IncState!T$4:T$63)</f>
        <v>1000</v>
      </c>
      <c r="U11" s="79">
        <f ca="1">SUMIF(IncState!$A$4:$AO$63,$A11,IncState!U$4:U$63)</f>
        <v>1000</v>
      </c>
      <c r="V11" s="79">
        <f ca="1">SUMIF(IncState!$A$4:$AO$63,$A11,IncState!V$4:V$63)</f>
        <v>1000</v>
      </c>
      <c r="W11" s="79">
        <f ca="1">SUMIF(IncState!$A$4:$AO$63,$A11,IncState!W$4:W$63)</f>
        <v>1000</v>
      </c>
      <c r="X11" s="79">
        <f ca="1">SUMIF(IncState!$A$4:$AO$63,$A11,IncState!X$4:X$63)</f>
        <v>1000</v>
      </c>
      <c r="Y11" s="79">
        <f ca="1">SUMIF(IncState!$A$4:$AO$63,$A11,IncState!Y$4:Y$63)</f>
        <v>1000</v>
      </c>
      <c r="Z11" s="79">
        <f ca="1">SUMIF(IncState!$A$4:$AO$63,$A11,IncState!Z$4:Z$63)</f>
        <v>1000</v>
      </c>
      <c r="AA11" s="79">
        <f ca="1">SUMIF(IncState!$A$4:$AO$63,$A11,IncState!AA$4:AA$63)</f>
        <v>1000</v>
      </c>
      <c r="AB11" s="46">
        <f ca="1">SUM(P11:AA11)</f>
        <v>12000</v>
      </c>
      <c r="AC11" s="79">
        <f ca="1">SUMIF(IncState!$A$4:$AO$63,$A11,IncState!AC$4:AC$63)</f>
        <v>1000</v>
      </c>
      <c r="AD11" s="79">
        <f ca="1">SUMIF(IncState!$A$4:$AO$63,$A11,IncState!AD$4:AD$63)</f>
        <v>1000</v>
      </c>
      <c r="AE11" s="79">
        <f ca="1">SUMIF(IncState!$A$4:$AO$63,$A11,IncState!AE$4:AE$63)</f>
        <v>1000</v>
      </c>
      <c r="AF11" s="79">
        <f ca="1">SUMIF(IncState!$A$4:$AO$63,$A11,IncState!AF$4:AF$63)</f>
        <v>1000</v>
      </c>
      <c r="AG11" s="79">
        <f ca="1">SUMIF(IncState!$A$4:$AO$63,$A11,IncState!AG$4:AG$63)</f>
        <v>1000</v>
      </c>
      <c r="AH11" s="79">
        <f ca="1">SUMIF(IncState!$A$4:$AO$63,$A11,IncState!AH$4:AH$63)</f>
        <v>1000</v>
      </c>
      <c r="AI11" s="79">
        <f ca="1">SUMIF(IncState!$A$4:$AO$63,$A11,IncState!AI$4:AI$63)</f>
        <v>1000</v>
      </c>
      <c r="AJ11" s="79">
        <f ca="1">SUMIF(IncState!$A$4:$AO$63,$A11,IncState!AJ$4:AJ$63)</f>
        <v>1000</v>
      </c>
      <c r="AK11" s="79">
        <f ca="1">SUMIF(IncState!$A$4:$AO$63,$A11,IncState!AK$4:AK$63)</f>
        <v>1000</v>
      </c>
      <c r="AL11" s="79">
        <f ca="1">SUMIF(IncState!$A$4:$AO$63,$A11,IncState!AL$4:AL$63)</f>
        <v>1000</v>
      </c>
      <c r="AM11" s="79">
        <f ca="1">SUMIF(IncState!$A$4:$AO$63,$A11,IncState!AM$4:AM$63)</f>
        <v>1000</v>
      </c>
      <c r="AN11" s="79">
        <f ca="1">SUMIF(IncState!$A$4:$AO$63,$A11,IncState!AN$4:AN$63)</f>
        <v>1000</v>
      </c>
      <c r="AO11" s="46">
        <f ca="1">SUM(AC11:AN11)</f>
        <v>12000</v>
      </c>
    </row>
    <row r="12" spans="1:41" ht="16.149999999999999" customHeight="1" x14ac:dyDescent="0.3">
      <c r="A12" s="157" t="s">
        <v>116</v>
      </c>
      <c r="B12" s="5" t="s">
        <v>101</v>
      </c>
      <c r="C12" s="79">
        <v>0</v>
      </c>
      <c r="D12" s="79">
        <v>0</v>
      </c>
      <c r="E12" s="79">
        <v>0</v>
      </c>
      <c r="F12" s="79">
        <v>0</v>
      </c>
      <c r="G12" s="79">
        <v>0</v>
      </c>
      <c r="H12" s="79">
        <v>0</v>
      </c>
      <c r="I12" s="79">
        <v>0</v>
      </c>
      <c r="J12" s="79">
        <v>0</v>
      </c>
      <c r="K12" s="79">
        <v>0</v>
      </c>
      <c r="L12" s="79">
        <v>0</v>
      </c>
      <c r="M12" s="79">
        <v>0</v>
      </c>
      <c r="N12" s="79">
        <v>0</v>
      </c>
      <c r="O12" s="46">
        <f>SUM(C12:N12)</f>
        <v>0</v>
      </c>
      <c r="P12" s="79">
        <v>0</v>
      </c>
      <c r="Q12" s="79">
        <v>0</v>
      </c>
      <c r="R12" s="79">
        <v>0</v>
      </c>
      <c r="S12" s="79">
        <v>0</v>
      </c>
      <c r="T12" s="79">
        <v>0</v>
      </c>
      <c r="U12" s="79">
        <v>0</v>
      </c>
      <c r="V12" s="79">
        <v>0</v>
      </c>
      <c r="W12" s="79">
        <v>0</v>
      </c>
      <c r="X12" s="79">
        <v>0</v>
      </c>
      <c r="Y12" s="79">
        <v>0</v>
      </c>
      <c r="Z12" s="79">
        <v>0</v>
      </c>
      <c r="AA12" s="79">
        <v>0</v>
      </c>
      <c r="AB12" s="46">
        <f>SUM(P12:AA12)</f>
        <v>0</v>
      </c>
      <c r="AC12" s="79">
        <v>0</v>
      </c>
      <c r="AD12" s="79">
        <v>0</v>
      </c>
      <c r="AE12" s="79">
        <v>0</v>
      </c>
      <c r="AF12" s="79">
        <v>0</v>
      </c>
      <c r="AG12" s="79">
        <v>0</v>
      </c>
      <c r="AH12" s="79">
        <v>0</v>
      </c>
      <c r="AI12" s="79">
        <v>0</v>
      </c>
      <c r="AJ12" s="79">
        <v>0</v>
      </c>
      <c r="AK12" s="79">
        <v>0</v>
      </c>
      <c r="AL12" s="79">
        <v>0</v>
      </c>
      <c r="AM12" s="79">
        <v>0</v>
      </c>
      <c r="AN12" s="79">
        <v>0</v>
      </c>
      <c r="AO12" s="46">
        <f>SUM(AC12:AN12)</f>
        <v>0</v>
      </c>
    </row>
    <row r="13" spans="1:41" s="10" customFormat="1" ht="16.149999999999999" customHeight="1" x14ac:dyDescent="0.3">
      <c r="A13" s="153"/>
      <c r="B13" s="6" t="s">
        <v>72</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row>
    <row r="14" spans="1:41" s="11" customFormat="1" ht="16.149999999999999" customHeight="1" x14ac:dyDescent="0.3">
      <c r="A14" s="155" t="s">
        <v>120</v>
      </c>
      <c r="B14" s="49" t="s">
        <v>25</v>
      </c>
      <c r="C14" s="45">
        <f ca="1">BalanceSheet!C12-BalanceSheet!D12</f>
        <v>-9651.6129032257886</v>
      </c>
      <c r="D14" s="45">
        <f ca="1">BalanceSheet!D12-BalanceSheet!E12</f>
        <v>-18728.387096774211</v>
      </c>
      <c r="E14" s="45">
        <f ca="1">BalanceSheet!E12-BalanceSheet!F12</f>
        <v>4638.0645161290304</v>
      </c>
      <c r="F14" s="45">
        <f ca="1">BalanceSheet!F12-BalanceSheet!G12</f>
        <v>-8538.0645161290304</v>
      </c>
      <c r="G14" s="45">
        <f ca="1">BalanceSheet!G12-BalanceSheet!H12</f>
        <v>3631.6129032257886</v>
      </c>
      <c r="H14" s="45">
        <f ca="1">BalanceSheet!H12-BalanceSheet!I12</f>
        <v>3648.3870967742114</v>
      </c>
      <c r="I14" s="45">
        <f ca="1">BalanceSheet!I12-BalanceSheet!J12</f>
        <v>1720</v>
      </c>
      <c r="J14" s="45">
        <f ca="1">BalanceSheet!J12-BalanceSheet!K12</f>
        <v>-1197.4193548387266</v>
      </c>
      <c r="K14" s="45">
        <f ca="1">BalanceSheet!K12-BalanceSheet!L12</f>
        <v>-9170.5806451612734</v>
      </c>
      <c r="L14" s="45">
        <f ca="1">BalanceSheet!L12-BalanceSheet!M12</f>
        <v>44783.483870967757</v>
      </c>
      <c r="M14" s="45">
        <f ca="1">BalanceSheet!M12-BalanceSheet!N12</f>
        <v>-45894.193548387091</v>
      </c>
      <c r="N14" s="45">
        <f ca="1">BalanceSheet!N12-BalanceSheet!O12</f>
        <v>-4219.8709677419683</v>
      </c>
      <c r="O14" s="46">
        <f ca="1">SUM(C14:N14)</f>
        <v>-38978.580645161303</v>
      </c>
      <c r="P14" s="45">
        <f ca="1">BalanceSheet!P12-BalanceSheet!Q12</f>
        <v>7564.3870967742114</v>
      </c>
      <c r="Q14" s="45">
        <f ca="1">BalanceSheet!Q12-BalanceSheet!R12</f>
        <v>-2105.8064516129089</v>
      </c>
      <c r="R14" s="45">
        <f ca="1">BalanceSheet!R12-BalanceSheet!S12</f>
        <v>11396.129032258061</v>
      </c>
      <c r="S14" s="45">
        <f ca="1">BalanceSheet!S12-BalanceSheet!T12</f>
        <v>-19460.129032258061</v>
      </c>
      <c r="T14" s="45">
        <f ca="1">BalanceSheet!T12-BalanceSheet!U12</f>
        <v>-2217.2903225806658</v>
      </c>
      <c r="U14" s="45">
        <f ca="1">BalanceSheet!U12-BalanceSheet!V12</f>
        <v>12449.032258064544</v>
      </c>
      <c r="V14" s="45">
        <f ca="1">BalanceSheet!V12-BalanceSheet!W12</f>
        <v>12128.258064516122</v>
      </c>
      <c r="W14" s="45">
        <f ca="1">BalanceSheet!W12-BalanceSheet!X12</f>
        <v>-5236</v>
      </c>
      <c r="X14" s="45">
        <f ca="1">BalanceSheet!X12-BalanceSheet!Y12</f>
        <v>-19812</v>
      </c>
      <c r="Y14" s="45">
        <f ca="1">BalanceSheet!Y12-BalanceSheet!Z12</f>
        <v>57912</v>
      </c>
      <c r="Z14" s="45">
        <f ca="1">BalanceSheet!Z12-BalanceSheet!AA12</f>
        <v>-53880</v>
      </c>
      <c r="AA14" s="45">
        <f ca="1">BalanceSheet!AA12-BalanceSheet!AB12</f>
        <v>-12096</v>
      </c>
      <c r="AB14" s="46">
        <f ca="1">SUM(P14:AA14)</f>
        <v>-13357.419354838697</v>
      </c>
      <c r="AC14" s="45">
        <f ca="1">BalanceSheet!AC12-BalanceSheet!AD12</f>
        <v>23406.967741935485</v>
      </c>
      <c r="AD14" s="45">
        <f ca="1">BalanceSheet!AD12-BalanceSheet!AE12</f>
        <v>-17370.967741935485</v>
      </c>
      <c r="AE14" s="45">
        <f ca="1">BalanceSheet!AE12-BalanceSheet!AF12</f>
        <v>9358.0645161290304</v>
      </c>
      <c r="AF14" s="45">
        <f ca="1">BalanceSheet!AF12-BalanceSheet!AG12</f>
        <v>-15058.06451612903</v>
      </c>
      <c r="AG14" s="45">
        <f ca="1">BalanceSheet!AG12-BalanceSheet!AH12</f>
        <v>8961.2903225806658</v>
      </c>
      <c r="AH14" s="45">
        <f ca="1">BalanceSheet!AH12-BalanceSheet!AI12</f>
        <v>-8825.8064516129089</v>
      </c>
      <c r="AI14" s="45">
        <f ca="1">BalanceSheet!AI12-BalanceSheet!AJ12</f>
        <v>-6675.483870967757</v>
      </c>
      <c r="AJ14" s="45">
        <f ca="1">BalanceSheet!AJ12-BalanceSheet!AK12</f>
        <v>10333.548387096758</v>
      </c>
      <c r="AK14" s="45">
        <f ca="1">BalanceSheet!AK12-BalanceSheet!AL12</f>
        <v>-15493.548387096758</v>
      </c>
      <c r="AL14" s="45">
        <f ca="1">BalanceSheet!AL12-BalanceSheet!AM12</f>
        <v>53700</v>
      </c>
      <c r="AM14" s="45">
        <f ca="1">BalanceSheet!AM12-BalanceSheet!AN12</f>
        <v>-46509.677419354819</v>
      </c>
      <c r="AN14" s="45">
        <f ca="1">BalanceSheet!AN12-BalanceSheet!AO12</f>
        <v>-6280.6451612903329</v>
      </c>
      <c r="AO14" s="46">
        <f ca="1">SUM(AC14:AN14)</f>
        <v>-10454.322580645152</v>
      </c>
    </row>
    <row r="15" spans="1:41" s="11" customFormat="1" ht="16.149999999999999" customHeight="1" x14ac:dyDescent="0.3">
      <c r="A15" s="155" t="s">
        <v>121</v>
      </c>
      <c r="B15" s="49" t="s">
        <v>96</v>
      </c>
      <c r="C15" s="45">
        <f ca="1">BalanceSheet!C13-BalanceSheet!D13</f>
        <v>-10798.387096774124</v>
      </c>
      <c r="D15" s="45">
        <f ca="1">BalanceSheet!D13-BalanceSheet!E13</f>
        <v>-21893.279569892504</v>
      </c>
      <c r="E15" s="45">
        <f ca="1">BalanceSheet!E13-BalanceSheet!F13</f>
        <v>-1663.1720430107671</v>
      </c>
      <c r="F15" s="45">
        <f ca="1">BalanceSheet!F13-BalanceSheet!G13</f>
        <v>-20378.494623655919</v>
      </c>
      <c r="G15" s="45">
        <f ca="1">BalanceSheet!G13-BalanceSheet!H13</f>
        <v>14072.043010752706</v>
      </c>
      <c r="H15" s="45">
        <f ca="1">BalanceSheet!H13-BalanceSheet!I13</f>
        <v>-185.48387096769875</v>
      </c>
      <c r="I15" s="45">
        <f ca="1">BalanceSheet!I13-BalanceSheet!J13</f>
        <v>-3153.2258064515772</v>
      </c>
      <c r="J15" s="45">
        <f ca="1">BalanceSheet!J13-BalanceSheet!K13</f>
        <v>3245.9677419353975</v>
      </c>
      <c r="K15" s="45">
        <f ca="1">BalanceSheet!K13-BalanceSheet!L13</f>
        <v>-20687.634408602142</v>
      </c>
      <c r="L15" s="45">
        <f ca="1">BalanceSheet!L13-BalanceSheet!M13</f>
        <v>84123.118279569899</v>
      </c>
      <c r="M15" s="45">
        <f ca="1">BalanceSheet!M13-BalanceSheet!N13</f>
        <v>-84487.903225806484</v>
      </c>
      <c r="N15" s="45">
        <f ca="1">BalanceSheet!N13-BalanceSheet!O13</f>
        <v>-16282.834101382468</v>
      </c>
      <c r="O15" s="46">
        <f ca="1">SUM(C15:N15)</f>
        <v>-78089.285714285681</v>
      </c>
      <c r="P15" s="45">
        <f ca="1">BalanceSheet!P13-BalanceSheet!Q13</f>
        <v>20363.47926267283</v>
      </c>
      <c r="Q15" s="45">
        <f ca="1">BalanceSheet!Q13-BalanceSheet!R13</f>
        <v>-9753.3602150538354</v>
      </c>
      <c r="R15" s="45">
        <f ca="1">BalanceSheet!R13-BalanceSheet!S13</f>
        <v>22737.231182795775</v>
      </c>
      <c r="S15" s="45">
        <f ca="1">BalanceSheet!S13-BalanceSheet!T13</f>
        <v>-32033.064516129089</v>
      </c>
      <c r="T15" s="45">
        <f ca="1">BalanceSheet!T13-BalanceSheet!U13</f>
        <v>2819.354838709638</v>
      </c>
      <c r="U15" s="45">
        <f ca="1">BalanceSheet!U13-BalanceSheet!V13</f>
        <v>11666.935483871028</v>
      </c>
      <c r="V15" s="45">
        <f ca="1">BalanceSheet!V13-BalanceSheet!W13</f>
        <v>559.54301075270632</v>
      </c>
      <c r="W15" s="45">
        <f ca="1">BalanceSheet!W13-BalanceSheet!X13</f>
        <v>-3137.7688172042836</v>
      </c>
      <c r="X15" s="45">
        <f ca="1">BalanceSheet!X13-BalanceSheet!Y13</f>
        <v>-34812.231182795775</v>
      </c>
      <c r="Y15" s="45">
        <f ca="1">BalanceSheet!Y13-BalanceSheet!Z13</f>
        <v>108449.32795698929</v>
      </c>
      <c r="Z15" s="45">
        <f ca="1">BalanceSheet!Z13-BalanceSheet!AA13</f>
        <v>-101088.70967741939</v>
      </c>
      <c r="AA15" s="45">
        <f ca="1">BalanceSheet!AA13-BalanceSheet!AB13</f>
        <v>-25507.344470046053</v>
      </c>
      <c r="AB15" s="46">
        <f ca="1">SUM(P15:AA15)</f>
        <v>-39736.607142857159</v>
      </c>
      <c r="AC15" s="45">
        <f ca="1">BalanceSheet!AC13-BalanceSheet!AD13</f>
        <v>40067.828341013752</v>
      </c>
      <c r="AD15" s="45">
        <f ca="1">BalanceSheet!AD13-BalanceSheet!AE13</f>
        <v>-36679.435483870911</v>
      </c>
      <c r="AE15" s="45">
        <f ca="1">BalanceSheet!AE13-BalanceSheet!AF13</f>
        <v>17018.145161290362</v>
      </c>
      <c r="AF15" s="45">
        <f ca="1">BalanceSheet!AF13-BalanceSheet!AG13</f>
        <v>-25355.645161290362</v>
      </c>
      <c r="AG15" s="45">
        <f ca="1">BalanceSheet!AG13-BalanceSheet!AH13</f>
        <v>13484.677419354848</v>
      </c>
      <c r="AH15" s="45">
        <f ca="1">BalanceSheet!AH13-BalanceSheet!AI13</f>
        <v>-9830.645161290362</v>
      </c>
      <c r="AI15" s="45">
        <f ca="1">BalanceSheet!AI13-BalanceSheet!AJ13</f>
        <v>-11512.3655913978</v>
      </c>
      <c r="AJ15" s="45">
        <f ca="1">BalanceSheet!AJ13-BalanceSheet!AK13</f>
        <v>13181.720430107438</v>
      </c>
      <c r="AK15" s="45">
        <f ca="1">BalanceSheet!AK13-BalanceSheet!AL13</f>
        <v>-30546.720430107496</v>
      </c>
      <c r="AL15" s="45">
        <f ca="1">BalanceSheet!AL13-BalanceSheet!AM13</f>
        <v>103998.33333333349</v>
      </c>
      <c r="AM15" s="45">
        <f ca="1">BalanceSheet!AM13-BalanceSheet!AN13</f>
        <v>-85415.322580645268</v>
      </c>
      <c r="AN15" s="45">
        <f ca="1">BalanceSheet!AN13-BalanceSheet!AO13</f>
        <v>-15754.936040044529</v>
      </c>
      <c r="AO15" s="46">
        <f ca="1">SUM(AC15:AN15)</f>
        <v>-27344.365763546841</v>
      </c>
    </row>
    <row r="16" spans="1:41" s="11" customFormat="1" ht="16.149999999999999" customHeight="1" x14ac:dyDescent="0.3">
      <c r="A16" s="158" t="s">
        <v>118</v>
      </c>
      <c r="B16" s="49" t="s">
        <v>93</v>
      </c>
      <c r="C16" s="45">
        <v>0</v>
      </c>
      <c r="D16" s="45">
        <v>0</v>
      </c>
      <c r="E16" s="45">
        <v>0</v>
      </c>
      <c r="F16" s="45">
        <v>0</v>
      </c>
      <c r="G16" s="45">
        <v>0</v>
      </c>
      <c r="H16" s="45">
        <v>0</v>
      </c>
      <c r="I16" s="45">
        <v>-10000</v>
      </c>
      <c r="J16" s="45">
        <v>0</v>
      </c>
      <c r="K16" s="45">
        <v>10000</v>
      </c>
      <c r="L16" s="45">
        <v>0</v>
      </c>
      <c r="M16" s="45">
        <v>0</v>
      </c>
      <c r="N16" s="45">
        <v>0</v>
      </c>
      <c r="O16" s="46">
        <f t="shared" ref="O16:O21" si="3">SUM(C16:N16)</f>
        <v>0</v>
      </c>
      <c r="P16" s="45">
        <v>0</v>
      </c>
      <c r="Q16" s="45">
        <v>0</v>
      </c>
      <c r="R16" s="45">
        <v>0</v>
      </c>
      <c r="S16" s="45">
        <v>0</v>
      </c>
      <c r="T16" s="45">
        <v>0</v>
      </c>
      <c r="U16" s="45">
        <v>0</v>
      </c>
      <c r="V16" s="45">
        <v>0</v>
      </c>
      <c r="W16" s="45">
        <v>-20000</v>
      </c>
      <c r="X16" s="45">
        <v>0</v>
      </c>
      <c r="Y16" s="45">
        <v>0</v>
      </c>
      <c r="Z16" s="45">
        <v>0</v>
      </c>
      <c r="AA16" s="45">
        <v>0</v>
      </c>
      <c r="AB16" s="46">
        <f t="shared" ref="AB16:AB21" si="4">SUM(P16:AA16)</f>
        <v>-20000</v>
      </c>
      <c r="AC16" s="45">
        <v>0</v>
      </c>
      <c r="AD16" s="45">
        <v>0</v>
      </c>
      <c r="AE16" s="45">
        <v>0</v>
      </c>
      <c r="AF16" s="45">
        <v>0</v>
      </c>
      <c r="AG16" s="45">
        <v>0</v>
      </c>
      <c r="AH16" s="45">
        <v>0</v>
      </c>
      <c r="AI16" s="45">
        <v>0</v>
      </c>
      <c r="AJ16" s="45">
        <v>0</v>
      </c>
      <c r="AK16" s="45">
        <v>0</v>
      </c>
      <c r="AL16" s="45">
        <v>0</v>
      </c>
      <c r="AM16" s="45">
        <v>0</v>
      </c>
      <c r="AN16" s="45">
        <v>0</v>
      </c>
      <c r="AO16" s="46">
        <f t="shared" ref="AO16:AO21" si="5">SUM(AC16:AN16)</f>
        <v>0</v>
      </c>
    </row>
    <row r="17" spans="1:41" s="11" customFormat="1" ht="16.149999999999999" customHeight="1" x14ac:dyDescent="0.3">
      <c r="A17" s="158" t="s">
        <v>122</v>
      </c>
      <c r="B17" s="49" t="s">
        <v>97</v>
      </c>
      <c r="C17" s="45">
        <v>0</v>
      </c>
      <c r="D17" s="45">
        <v>0</v>
      </c>
      <c r="E17" s="45">
        <v>0</v>
      </c>
      <c r="F17" s="45">
        <v>0</v>
      </c>
      <c r="G17" s="45">
        <v>0</v>
      </c>
      <c r="H17" s="45">
        <v>0</v>
      </c>
      <c r="I17" s="45">
        <v>0</v>
      </c>
      <c r="J17" s="45">
        <v>0</v>
      </c>
      <c r="K17" s="45">
        <v>0</v>
      </c>
      <c r="L17" s="45">
        <v>0</v>
      </c>
      <c r="M17" s="45">
        <v>0</v>
      </c>
      <c r="N17" s="45">
        <v>0</v>
      </c>
      <c r="O17" s="46">
        <f t="shared" si="3"/>
        <v>0</v>
      </c>
      <c r="P17" s="45">
        <v>0</v>
      </c>
      <c r="Q17" s="45">
        <v>0</v>
      </c>
      <c r="R17" s="45">
        <v>0</v>
      </c>
      <c r="S17" s="45">
        <v>0</v>
      </c>
      <c r="T17" s="45">
        <v>0</v>
      </c>
      <c r="U17" s="45">
        <v>-7000</v>
      </c>
      <c r="V17" s="45">
        <v>0</v>
      </c>
      <c r="W17" s="45">
        <v>0</v>
      </c>
      <c r="X17" s="45">
        <v>0</v>
      </c>
      <c r="Y17" s="45">
        <v>0</v>
      </c>
      <c r="Z17" s="45">
        <v>0</v>
      </c>
      <c r="AA17" s="45">
        <v>0</v>
      </c>
      <c r="AB17" s="46">
        <f t="shared" si="4"/>
        <v>-7000</v>
      </c>
      <c r="AC17" s="45">
        <v>0</v>
      </c>
      <c r="AD17" s="45">
        <v>0</v>
      </c>
      <c r="AE17" s="45">
        <v>0</v>
      </c>
      <c r="AF17" s="45">
        <v>0</v>
      </c>
      <c r="AG17" s="45">
        <v>0</v>
      </c>
      <c r="AH17" s="45">
        <v>0</v>
      </c>
      <c r="AI17" s="45">
        <v>0</v>
      </c>
      <c r="AJ17" s="45">
        <v>0</v>
      </c>
      <c r="AK17" s="45">
        <v>0</v>
      </c>
      <c r="AL17" s="45">
        <v>0</v>
      </c>
      <c r="AM17" s="45">
        <v>0</v>
      </c>
      <c r="AN17" s="45">
        <v>0</v>
      </c>
      <c r="AO17" s="46">
        <f t="shared" si="5"/>
        <v>0</v>
      </c>
    </row>
    <row r="18" spans="1:41" s="11" customFormat="1" ht="16.149999999999999" customHeight="1" x14ac:dyDescent="0.3">
      <c r="A18" s="155" t="s">
        <v>182</v>
      </c>
      <c r="B18" s="49" t="s">
        <v>105</v>
      </c>
      <c r="C18" s="45">
        <f ca="1">BalanceSheet!D33-BalanceSheet!C33</f>
        <v>15252.419354838697</v>
      </c>
      <c r="D18" s="45">
        <f ca="1">BalanceSheet!E33-BalanceSheet!D33</f>
        <v>14609.080645161273</v>
      </c>
      <c r="E18" s="45">
        <f ca="1">BalanceSheet!F33-BalanceSheet!E33</f>
        <v>-96.822580645151902</v>
      </c>
      <c r="F18" s="45">
        <f ca="1">BalanceSheet!G33-BalanceSheet!F33</f>
        <v>59820.155913978524</v>
      </c>
      <c r="G18" s="45">
        <f ca="1">BalanceSheet!H33-BalanceSheet!G33</f>
        <v>-46413.38172043013</v>
      </c>
      <c r="H18" s="45">
        <f ca="1">BalanceSheet!I33-BalanceSheet!H33</f>
        <v>-1313.2258064515772</v>
      </c>
      <c r="I18" s="45">
        <f ca="1">BalanceSheet!J33-BalanceSheet!I33</f>
        <v>-13967.059139784978</v>
      </c>
      <c r="J18" s="45">
        <f ca="1">BalanceSheet!K33-BalanceSheet!J33</f>
        <v>31372.865591397858</v>
      </c>
      <c r="K18" s="45">
        <f ca="1">BalanceSheet!L33-BalanceSheet!K33</f>
        <v>3769.6010752687871</v>
      </c>
      <c r="L18" s="45">
        <f ca="1">BalanceSheet!M33-BalanceSheet!L33</f>
        <v>-57782.504301075242</v>
      </c>
      <c r="M18" s="45">
        <f ca="1">BalanceSheet!N33-BalanceSheet!M33</f>
        <v>29250.06451612903</v>
      </c>
      <c r="N18" s="45">
        <f ca="1">BalanceSheet!O33-BalanceSheet!N33</f>
        <v>4271.9850230414595</v>
      </c>
      <c r="O18" s="46">
        <f t="shared" ca="1" si="3"/>
        <v>38773.178571428551</v>
      </c>
      <c r="P18" s="45">
        <f ca="1">BalanceSheet!Q33-BalanceSheet!P33</f>
        <v>-6032.5979262672772</v>
      </c>
      <c r="Q18" s="45">
        <f ca="1">BalanceSheet!R33-BalanceSheet!Q33</f>
        <v>20682.886021505372</v>
      </c>
      <c r="R18" s="45">
        <f ca="1">BalanceSheet!S33-BalanceSheet!R33</f>
        <v>-27805.466666666645</v>
      </c>
      <c r="S18" s="45">
        <f ca="1">BalanceSheet!T33-BalanceSheet!S33</f>
        <v>15196.866666666669</v>
      </c>
      <c r="T18" s="45">
        <f ca="1">BalanceSheet!U33-BalanceSheet!T33</f>
        <v>2090.2301075268479</v>
      </c>
      <c r="U18" s="45">
        <f ca="1">BalanceSheet!V33-BalanceSheet!U33</f>
        <v>15013.806451612938</v>
      </c>
      <c r="V18" s="45">
        <f ca="1">BalanceSheet!W33-BalanceSheet!V33</f>
        <v>-34246.703225806472</v>
      </c>
      <c r="W18" s="45">
        <f ca="1">BalanceSheet!X33-BalanceSheet!W33</f>
        <v>3736.8322580645035</v>
      </c>
      <c r="X18" s="45">
        <f ca="1">BalanceSheet!Y33-BalanceSheet!X33</f>
        <v>21998.634408602171</v>
      </c>
      <c r="Y18" s="45">
        <f ca="1">BalanceSheet!Z33-BalanceSheet!Y33</f>
        <v>-10891.860215053777</v>
      </c>
      <c r="Z18" s="45">
        <f ca="1">BalanceSheet!AA33-BalanceSheet!Z33</f>
        <v>25475.096774193546</v>
      </c>
      <c r="AA18" s="45">
        <f ca="1">BalanceSheet!AB33-BalanceSheet!AA33</f>
        <v>-13656.117511520715</v>
      </c>
      <c r="AB18" s="46">
        <f t="shared" ca="1" si="4"/>
        <v>11561.607142857159</v>
      </c>
      <c r="AC18" s="45">
        <f ca="1">BalanceSheet!AD33-BalanceSheet!AC33</f>
        <v>-18977.914746543771</v>
      </c>
      <c r="AD18" s="45">
        <f ca="1">BalanceSheet!AE33-BalanceSheet!AD33</f>
        <v>52942.562365591381</v>
      </c>
      <c r="AE18" s="45">
        <f ca="1">BalanceSheet!AF33-BalanceSheet!AE33</f>
        <v>-41309.013978494622</v>
      </c>
      <c r="AF18" s="45">
        <f ca="1">BalanceSheet!AG33-BalanceSheet!AF33</f>
        <v>24603.347311827936</v>
      </c>
      <c r="AG18" s="45">
        <f ca="1">BalanceSheet!AH33-BalanceSheet!AG33</f>
        <v>40612.781720430095</v>
      </c>
      <c r="AH18" s="45">
        <f ca="1">BalanceSheet!AI33-BalanceSheet!AH33</f>
        <v>-57040</v>
      </c>
      <c r="AI18" s="45">
        <f ca="1">BalanceSheet!AJ33-BalanceSheet!AI33</f>
        <v>5486.8849462365615</v>
      </c>
      <c r="AJ18" s="45">
        <f ca="1">BalanceSheet!AK33-BalanceSheet!AJ33</f>
        <v>-8291.4010752688046</v>
      </c>
      <c r="AK18" s="45">
        <f ca="1">BalanceSheet!AL33-BalanceSheet!AK33</f>
        <v>33637.401075268834</v>
      </c>
      <c r="AL18" s="45">
        <f ca="1">BalanceSheet!AM33-BalanceSheet!AL33</f>
        <v>-55509.659139784926</v>
      </c>
      <c r="AM18" s="45">
        <f ca="1">BalanceSheet!AN33-BalanceSheet!AM33</f>
        <v>35657.419354838697</v>
      </c>
      <c r="AN18" s="45">
        <f ca="1">BalanceSheet!AO33-BalanceSheet!AN33</f>
        <v>6256.3581757508218</v>
      </c>
      <c r="AO18" s="46">
        <f t="shared" ca="1" si="5"/>
        <v>18068.766009852203</v>
      </c>
    </row>
    <row r="19" spans="1:41" s="11" customFormat="1" ht="16.149999999999999" customHeight="1" x14ac:dyDescent="0.3">
      <c r="A19" s="155" t="s">
        <v>131</v>
      </c>
      <c r="B19" s="49" t="s">
        <v>108</v>
      </c>
      <c r="C19" s="45">
        <f ca="1">BalanceSheet!D34-BalanceSheet!C34</f>
        <v>12458.75</v>
      </c>
      <c r="D19" s="45">
        <f ca="1">BalanceSheet!E34-BalanceSheet!D34</f>
        <v>28175.25</v>
      </c>
      <c r="E19" s="45">
        <f ca="1">BalanceSheet!F34-BalanceSheet!E34</f>
        <v>-27276.75</v>
      </c>
      <c r="F19" s="45">
        <f ca="1">BalanceSheet!G34-BalanceSheet!F34</f>
        <v>19325.25</v>
      </c>
      <c r="G19" s="45">
        <f ca="1">BalanceSheet!H34-BalanceSheet!G34</f>
        <v>-21240.75</v>
      </c>
      <c r="H19" s="45">
        <f ca="1">BalanceSheet!I34-BalanceSheet!H34</f>
        <v>27329.25</v>
      </c>
      <c r="I19" s="45">
        <f ca="1">BalanceSheet!J34-BalanceSheet!I34</f>
        <v>-24869.25</v>
      </c>
      <c r="J19" s="45">
        <f ca="1">BalanceSheet!K34-BalanceSheet!J34</f>
        <v>24464.25</v>
      </c>
      <c r="K19" s="45">
        <f ca="1">BalanceSheet!L34-BalanceSheet!K34</f>
        <v>-28954.949999999997</v>
      </c>
      <c r="L19" s="45">
        <f ca="1">BalanceSheet!M34-BalanceSheet!L34</f>
        <v>25010.400000000009</v>
      </c>
      <c r="M19" s="45">
        <f ca="1">BalanceSheet!N34-BalanceSheet!M34</f>
        <v>-17845.80000000001</v>
      </c>
      <c r="N19" s="45">
        <f ca="1">BalanceSheet!O34-BalanceSheet!N34</f>
        <v>30004.05000000001</v>
      </c>
      <c r="O19" s="46">
        <f t="shared" ca="1" si="3"/>
        <v>46579.700000000012</v>
      </c>
      <c r="P19" s="45">
        <f ca="1">BalanceSheet!Q34-BalanceSheet!P34</f>
        <v>-30667.05000000001</v>
      </c>
      <c r="Q19" s="45">
        <f ca="1">BalanceSheet!R34-BalanceSheet!Q34</f>
        <v>28303.80000000001</v>
      </c>
      <c r="R19" s="45">
        <f ca="1">BalanceSheet!S34-BalanceSheet!R34</f>
        <v>-28882.350000000013</v>
      </c>
      <c r="S19" s="45">
        <f ca="1">BalanceSheet!T34-BalanceSheet!S34</f>
        <v>29934.450000000004</v>
      </c>
      <c r="T19" s="45">
        <f ca="1">BalanceSheet!U34-BalanceSheet!T34</f>
        <v>-28789.5</v>
      </c>
      <c r="U19" s="45">
        <f ca="1">BalanceSheet!V34-BalanceSheet!U34</f>
        <v>26844.900000000009</v>
      </c>
      <c r="V19" s="45">
        <f ca="1">BalanceSheet!W34-BalanceSheet!V34</f>
        <v>-26234.250000000007</v>
      </c>
      <c r="W19" s="45">
        <f ca="1">BalanceSheet!X34-BalanceSheet!W34</f>
        <v>33225.299999999996</v>
      </c>
      <c r="X19" s="45">
        <f ca="1">BalanceSheet!Y34-BalanceSheet!X34</f>
        <v>-32399.25</v>
      </c>
      <c r="Y19" s="45">
        <f ca="1">BalanceSheet!Z34-BalanceSheet!Y34</f>
        <v>19376.25</v>
      </c>
      <c r="Z19" s="45">
        <f ca="1">BalanceSheet!AA34-BalanceSheet!Z34</f>
        <v>-22564.65</v>
      </c>
      <c r="AA19" s="45">
        <f ca="1">BalanceSheet!AB34-BalanceSheet!AA34</f>
        <v>33409.950000000004</v>
      </c>
      <c r="AB19" s="46">
        <f t="shared" ca="1" si="4"/>
        <v>1557.5999999999913</v>
      </c>
      <c r="AC19" s="45">
        <f ca="1">BalanceSheet!AD34-BalanceSheet!AC34</f>
        <v>-29780.550000000003</v>
      </c>
      <c r="AD19" s="45">
        <f ca="1">BalanceSheet!AE34-BalanceSheet!AD34</f>
        <v>28260</v>
      </c>
      <c r="AE19" s="45">
        <f ca="1">BalanceSheet!AF34-BalanceSheet!AE34</f>
        <v>-27906</v>
      </c>
      <c r="AF19" s="45">
        <f ca="1">BalanceSheet!AG34-BalanceSheet!AF34</f>
        <v>33216.75</v>
      </c>
      <c r="AG19" s="45">
        <f ca="1">BalanceSheet!AH34-BalanceSheet!AG34</f>
        <v>-45038.25</v>
      </c>
      <c r="AH19" s="45">
        <f ca="1">BalanceSheet!AI34-BalanceSheet!AH34</f>
        <v>35431.649999999994</v>
      </c>
      <c r="AI19" s="45">
        <f ca="1">BalanceSheet!AJ34-BalanceSheet!AI34</f>
        <v>-22003.799999999996</v>
      </c>
      <c r="AJ19" s="45">
        <f ca="1">BalanceSheet!AK34-BalanceSheet!AJ34</f>
        <v>36852.450000000004</v>
      </c>
      <c r="AK19" s="45">
        <f ca="1">BalanceSheet!AL34-BalanceSheet!AK34</f>
        <v>-39190.200000000004</v>
      </c>
      <c r="AL19" s="45">
        <f ca="1">BalanceSheet!AM34-BalanceSheet!AL34</f>
        <v>29701.35</v>
      </c>
      <c r="AM19" s="45">
        <f ca="1">BalanceSheet!AN34-BalanceSheet!AM34</f>
        <v>-27786.6</v>
      </c>
      <c r="AN19" s="45">
        <f ca="1">BalanceSheet!AO34-BalanceSheet!AN34</f>
        <v>34309.799999999996</v>
      </c>
      <c r="AO19" s="46">
        <f t="shared" ca="1" si="5"/>
        <v>6066.5999999999913</v>
      </c>
    </row>
    <row r="20" spans="1:41" s="11" customFormat="1" ht="16.149999999999999" customHeight="1" x14ac:dyDescent="0.3">
      <c r="A20" s="155" t="s">
        <v>130</v>
      </c>
      <c r="B20" s="49" t="s">
        <v>180</v>
      </c>
      <c r="C20" s="45">
        <f ca="1">BalanceSheet!D35-BalanceSheet!C35</f>
        <v>0</v>
      </c>
      <c r="D20" s="45">
        <f ca="1">BalanceSheet!E35-BalanceSheet!D35</f>
        <v>0</v>
      </c>
      <c r="E20" s="45">
        <f ca="1">BalanceSheet!F35-BalanceSheet!E35</f>
        <v>0</v>
      </c>
      <c r="F20" s="45">
        <f ca="1">BalanceSheet!G35-BalanceSheet!F35</f>
        <v>0</v>
      </c>
      <c r="G20" s="45">
        <f ca="1">BalanceSheet!H35-BalanceSheet!G35</f>
        <v>0</v>
      </c>
      <c r="H20" s="45">
        <f ca="1">BalanceSheet!I35-BalanceSheet!H35</f>
        <v>0</v>
      </c>
      <c r="I20" s="45">
        <f ca="1">BalanceSheet!J35-BalanceSheet!I35</f>
        <v>0</v>
      </c>
      <c r="J20" s="45">
        <f ca="1">BalanceSheet!K35-BalanceSheet!J35</f>
        <v>0</v>
      </c>
      <c r="K20" s="45">
        <f ca="1">BalanceSheet!L35-BalanceSheet!K35</f>
        <v>0</v>
      </c>
      <c r="L20" s="45">
        <f ca="1">BalanceSheet!M35-BalanceSheet!L35</f>
        <v>0</v>
      </c>
      <c r="M20" s="45">
        <f ca="1">BalanceSheet!N35-BalanceSheet!M35</f>
        <v>0</v>
      </c>
      <c r="N20" s="45">
        <f ca="1">BalanceSheet!O35-BalanceSheet!N35</f>
        <v>0</v>
      </c>
      <c r="O20" s="46">
        <f t="shared" ca="1" si="3"/>
        <v>0</v>
      </c>
      <c r="P20" s="45">
        <f ca="1">BalanceSheet!Q35-BalanceSheet!P35</f>
        <v>2000</v>
      </c>
      <c r="Q20" s="45">
        <f ca="1">BalanceSheet!R35-BalanceSheet!Q35</f>
        <v>0</v>
      </c>
      <c r="R20" s="45">
        <f ca="1">BalanceSheet!S35-BalanceSheet!R35</f>
        <v>0</v>
      </c>
      <c r="S20" s="45">
        <f ca="1">BalanceSheet!T35-BalanceSheet!S35</f>
        <v>0</v>
      </c>
      <c r="T20" s="45">
        <f ca="1">BalanceSheet!U35-BalanceSheet!T35</f>
        <v>0</v>
      </c>
      <c r="U20" s="45">
        <f ca="1">BalanceSheet!V35-BalanceSheet!U35</f>
        <v>0</v>
      </c>
      <c r="V20" s="45">
        <f ca="1">BalanceSheet!W35-BalanceSheet!V35</f>
        <v>0</v>
      </c>
      <c r="W20" s="45">
        <f ca="1">BalanceSheet!X35-BalanceSheet!W35</f>
        <v>0</v>
      </c>
      <c r="X20" s="45">
        <f ca="1">BalanceSheet!Y35-BalanceSheet!X35</f>
        <v>0</v>
      </c>
      <c r="Y20" s="45">
        <f ca="1">BalanceSheet!Z35-BalanceSheet!Y35</f>
        <v>0</v>
      </c>
      <c r="Z20" s="45">
        <f ca="1">BalanceSheet!AA35-BalanceSheet!Z35</f>
        <v>0</v>
      </c>
      <c r="AA20" s="45">
        <f ca="1">BalanceSheet!AB35-BalanceSheet!AA35</f>
        <v>0</v>
      </c>
      <c r="AB20" s="46">
        <f t="shared" ca="1" si="4"/>
        <v>2000</v>
      </c>
      <c r="AC20" s="45">
        <f ca="1">BalanceSheet!AD35-BalanceSheet!AC35</f>
        <v>2000</v>
      </c>
      <c r="AD20" s="45">
        <f ca="1">BalanceSheet!AE35-BalanceSheet!AD35</f>
        <v>0</v>
      </c>
      <c r="AE20" s="45">
        <f ca="1">BalanceSheet!AF35-BalanceSheet!AE35</f>
        <v>0</v>
      </c>
      <c r="AF20" s="45">
        <f ca="1">BalanceSheet!AG35-BalanceSheet!AF35</f>
        <v>0</v>
      </c>
      <c r="AG20" s="45">
        <f ca="1">BalanceSheet!AH35-BalanceSheet!AG35</f>
        <v>0</v>
      </c>
      <c r="AH20" s="45">
        <f ca="1">BalanceSheet!AI35-BalanceSheet!AH35</f>
        <v>0</v>
      </c>
      <c r="AI20" s="45">
        <f ca="1">BalanceSheet!AJ35-BalanceSheet!AI35</f>
        <v>0</v>
      </c>
      <c r="AJ20" s="45">
        <f ca="1">BalanceSheet!AK35-BalanceSheet!AJ35</f>
        <v>0</v>
      </c>
      <c r="AK20" s="45">
        <f ca="1">BalanceSheet!AL35-BalanceSheet!AK35</f>
        <v>0</v>
      </c>
      <c r="AL20" s="45">
        <f ca="1">BalanceSheet!AM35-BalanceSheet!AL35</f>
        <v>0</v>
      </c>
      <c r="AM20" s="45">
        <f ca="1">BalanceSheet!AN35-BalanceSheet!AM35</f>
        <v>0</v>
      </c>
      <c r="AN20" s="45">
        <f ca="1">BalanceSheet!AO35-BalanceSheet!AN35</f>
        <v>0</v>
      </c>
      <c r="AO20" s="46">
        <f t="shared" ca="1" si="5"/>
        <v>2000</v>
      </c>
    </row>
    <row r="21" spans="1:41" s="11" customFormat="1" ht="16.149999999999999" customHeight="1" x14ac:dyDescent="0.3">
      <c r="A21" s="157" t="s">
        <v>117</v>
      </c>
      <c r="B21" s="49" t="s">
        <v>181</v>
      </c>
      <c r="C21" s="45">
        <v>-55000</v>
      </c>
      <c r="D21" s="45">
        <v>0</v>
      </c>
      <c r="E21" s="45">
        <v>0</v>
      </c>
      <c r="F21" s="45">
        <v>0</v>
      </c>
      <c r="G21" s="45">
        <v>0</v>
      </c>
      <c r="H21" s="45">
        <v>0</v>
      </c>
      <c r="I21" s="45">
        <v>0</v>
      </c>
      <c r="J21" s="45">
        <v>0</v>
      </c>
      <c r="K21" s="45">
        <v>0</v>
      </c>
      <c r="L21" s="45">
        <v>0</v>
      </c>
      <c r="M21" s="45">
        <v>0</v>
      </c>
      <c r="N21" s="45">
        <v>60000</v>
      </c>
      <c r="O21" s="46">
        <f t="shared" si="3"/>
        <v>5000</v>
      </c>
      <c r="P21" s="45">
        <v>-60000</v>
      </c>
      <c r="Q21" s="45">
        <v>0</v>
      </c>
      <c r="R21" s="45">
        <v>0</v>
      </c>
      <c r="S21" s="45">
        <v>0</v>
      </c>
      <c r="T21" s="45">
        <v>0</v>
      </c>
      <c r="U21" s="45">
        <v>0</v>
      </c>
      <c r="V21" s="45">
        <v>0</v>
      </c>
      <c r="W21" s="45">
        <v>0</v>
      </c>
      <c r="X21" s="45">
        <v>0</v>
      </c>
      <c r="Y21" s="45">
        <v>0</v>
      </c>
      <c r="Z21" s="45">
        <v>0</v>
      </c>
      <c r="AA21" s="45">
        <v>66000</v>
      </c>
      <c r="AB21" s="46">
        <f t="shared" si="4"/>
        <v>6000</v>
      </c>
      <c r="AC21" s="45">
        <v>-66000</v>
      </c>
      <c r="AD21" s="45">
        <v>0</v>
      </c>
      <c r="AE21" s="45">
        <v>0</v>
      </c>
      <c r="AF21" s="45">
        <v>0</v>
      </c>
      <c r="AG21" s="45">
        <v>0</v>
      </c>
      <c r="AH21" s="45">
        <v>0</v>
      </c>
      <c r="AI21" s="45">
        <v>0</v>
      </c>
      <c r="AJ21" s="45">
        <v>0</v>
      </c>
      <c r="AK21" s="45">
        <v>0</v>
      </c>
      <c r="AL21" s="45">
        <v>0</v>
      </c>
      <c r="AM21" s="45">
        <v>0</v>
      </c>
      <c r="AN21" s="45">
        <v>50000</v>
      </c>
      <c r="AO21" s="46">
        <f t="shared" si="5"/>
        <v>-16000</v>
      </c>
    </row>
    <row r="22" spans="1:41" s="11" customFormat="1" ht="16.149999999999999" customHeight="1" x14ac:dyDescent="0.3">
      <c r="A22" s="157" t="s">
        <v>132</v>
      </c>
      <c r="B22" s="49" t="s">
        <v>107</v>
      </c>
      <c r="C22" s="80">
        <v>-42000</v>
      </c>
      <c r="D22" s="80">
        <v>0</v>
      </c>
      <c r="E22" s="80">
        <v>0</v>
      </c>
      <c r="F22" s="80">
        <v>0</v>
      </c>
      <c r="G22" s="80">
        <v>0</v>
      </c>
      <c r="H22" s="80">
        <v>0</v>
      </c>
      <c r="I22" s="80">
        <v>0</v>
      </c>
      <c r="J22" s="80">
        <v>0</v>
      </c>
      <c r="K22" s="80">
        <v>0</v>
      </c>
      <c r="L22" s="80">
        <v>0</v>
      </c>
      <c r="M22" s="80">
        <v>0</v>
      </c>
      <c r="N22" s="80">
        <v>30000</v>
      </c>
      <c r="O22" s="81">
        <f>SUM(C22:N22)</f>
        <v>-12000</v>
      </c>
      <c r="P22" s="80">
        <v>-30000</v>
      </c>
      <c r="Q22" s="80">
        <v>0</v>
      </c>
      <c r="R22" s="80">
        <v>0</v>
      </c>
      <c r="S22" s="80">
        <v>0</v>
      </c>
      <c r="T22" s="80">
        <v>0</v>
      </c>
      <c r="U22" s="80">
        <v>0</v>
      </c>
      <c r="V22" s="80">
        <v>0</v>
      </c>
      <c r="W22" s="80">
        <v>0</v>
      </c>
      <c r="X22" s="80">
        <v>0</v>
      </c>
      <c r="Y22" s="80">
        <v>0</v>
      </c>
      <c r="Z22" s="80">
        <v>0</v>
      </c>
      <c r="AA22" s="80">
        <v>21000</v>
      </c>
      <c r="AB22" s="81">
        <f>SUM(P22:AA22)</f>
        <v>-9000</v>
      </c>
      <c r="AC22" s="80">
        <v>-21000</v>
      </c>
      <c r="AD22" s="80">
        <v>0</v>
      </c>
      <c r="AE22" s="80">
        <v>0</v>
      </c>
      <c r="AF22" s="80">
        <v>0</v>
      </c>
      <c r="AG22" s="80">
        <v>0</v>
      </c>
      <c r="AH22" s="80">
        <v>0</v>
      </c>
      <c r="AI22" s="80">
        <v>0</v>
      </c>
      <c r="AJ22" s="80">
        <v>0</v>
      </c>
      <c r="AK22" s="80">
        <v>0</v>
      </c>
      <c r="AL22" s="80">
        <v>0</v>
      </c>
      <c r="AM22" s="80">
        <v>0</v>
      </c>
      <c r="AN22" s="80">
        <v>40000</v>
      </c>
      <c r="AO22" s="81">
        <f>SUM(AC22:AN22)</f>
        <v>19000</v>
      </c>
    </row>
    <row r="23" spans="1:41" s="84" customFormat="1" ht="16.149999999999999" customHeight="1" x14ac:dyDescent="0.25">
      <c r="A23" s="159"/>
      <c r="B23" s="6" t="s">
        <v>73</v>
      </c>
      <c r="C23" s="82">
        <f t="shared" ref="C23:AO23" ca="1" si="6">SUM(C6:C22)</f>
        <v>486.16935483878478</v>
      </c>
      <c r="D23" s="82">
        <f t="shared" ca="1" si="6"/>
        <v>90497.663978494558</v>
      </c>
      <c r="E23" s="82">
        <f t="shared" ca="1" si="6"/>
        <v>71816.319892473111</v>
      </c>
      <c r="F23" s="82">
        <f t="shared" ca="1" si="6"/>
        <v>79563.846774193575</v>
      </c>
      <c r="G23" s="82">
        <f t="shared" ca="1" si="6"/>
        <v>33494.524193548365</v>
      </c>
      <c r="H23" s="82">
        <f t="shared" ca="1" si="6"/>
        <v>112173.92741935494</v>
      </c>
      <c r="I23" s="82">
        <f t="shared" ca="1" si="6"/>
        <v>49575.465053763444</v>
      </c>
      <c r="J23" s="82">
        <f t="shared" ca="1" si="6"/>
        <v>109480.66397849453</v>
      </c>
      <c r="K23" s="82">
        <f t="shared" ca="1" si="6"/>
        <v>24863.436021505375</v>
      </c>
      <c r="L23" s="82">
        <f t="shared" ca="1" si="6"/>
        <v>163370.49784946244</v>
      </c>
      <c r="M23" s="82">
        <f t="shared" ca="1" si="6"/>
        <v>-1306.8322580645545</v>
      </c>
      <c r="N23" s="82">
        <f t="shared" ca="1" si="6"/>
        <v>204300.32995391704</v>
      </c>
      <c r="O23" s="83">
        <f t="shared" ca="1" si="6"/>
        <v>938316.01221198146</v>
      </c>
      <c r="P23" s="82">
        <f t="shared" ca="1" si="6"/>
        <v>6579.2184331797471</v>
      </c>
      <c r="Q23" s="82">
        <f t="shared" ca="1" si="6"/>
        <v>116419.51935483865</v>
      </c>
      <c r="R23" s="82">
        <f t="shared" ca="1" si="6"/>
        <v>76939.543548387184</v>
      </c>
      <c r="S23" s="82">
        <f t="shared" ca="1" si="6"/>
        <v>83801.123118279531</v>
      </c>
      <c r="T23" s="82">
        <f t="shared" ca="1" si="6"/>
        <v>81029.79462365582</v>
      </c>
      <c r="U23" s="82">
        <f t="shared" ca="1" si="6"/>
        <v>128540.67419354852</v>
      </c>
      <c r="V23" s="82">
        <f t="shared" ca="1" si="6"/>
        <v>63404.847849462349</v>
      </c>
      <c r="W23" s="82">
        <f t="shared" ca="1" si="6"/>
        <v>98690.363440860208</v>
      </c>
      <c r="X23" s="82">
        <f t="shared" ca="1" si="6"/>
        <v>51680.153225806396</v>
      </c>
      <c r="Y23" s="82">
        <f t="shared" ca="1" si="6"/>
        <v>194620.71774193551</v>
      </c>
      <c r="Z23" s="82">
        <f t="shared" ca="1" si="6"/>
        <v>-56609.262903225848</v>
      </c>
      <c r="AA23" s="82">
        <f t="shared" ca="1" si="6"/>
        <v>182483.48801843324</v>
      </c>
      <c r="AB23" s="83">
        <f t="shared" ca="1" si="6"/>
        <v>1027580.1806451612</v>
      </c>
      <c r="AC23" s="82">
        <f t="shared" ca="1" si="6"/>
        <v>39411.331336405463</v>
      </c>
      <c r="AD23" s="82">
        <f t="shared" ca="1" si="6"/>
        <v>96202.159139784984</v>
      </c>
      <c r="AE23" s="82">
        <f t="shared" ca="1" si="6"/>
        <v>69216.19569892477</v>
      </c>
      <c r="AF23" s="82">
        <f t="shared" ca="1" si="6"/>
        <v>119501.38763440854</v>
      </c>
      <c r="AG23" s="82">
        <f t="shared" ca="1" si="6"/>
        <v>51265.499462365609</v>
      </c>
      <c r="AH23" s="82">
        <f t="shared" ca="1" si="6"/>
        <v>76596.198387096723</v>
      </c>
      <c r="AI23" s="82">
        <f t="shared" ca="1" si="6"/>
        <v>59059.235483871009</v>
      </c>
      <c r="AJ23" s="82">
        <f t="shared" ca="1" si="6"/>
        <v>178409.3177419354</v>
      </c>
      <c r="AK23" s="82">
        <f t="shared" ca="1" si="6"/>
        <v>55585.932258064575</v>
      </c>
      <c r="AL23" s="82">
        <f t="shared" ca="1" si="6"/>
        <v>210549.02419354857</v>
      </c>
      <c r="AM23" s="82">
        <f t="shared" ca="1" si="6"/>
        <v>-4110.1806451613884</v>
      </c>
      <c r="AN23" s="82">
        <f t="shared" ca="1" si="6"/>
        <v>217912.57697441595</v>
      </c>
      <c r="AO23" s="83">
        <f t="shared" ca="1" si="6"/>
        <v>1169598.6776656604</v>
      </c>
    </row>
    <row r="24" spans="1:41" s="11" customFormat="1" ht="16.149999999999999" customHeight="1" x14ac:dyDescent="0.3">
      <c r="A24" s="155" t="s">
        <v>165</v>
      </c>
      <c r="B24" s="14" t="s">
        <v>74</v>
      </c>
      <c r="C24" s="45">
        <f t="shared" ref="C24:N24" ca="1" si="7">-C7</f>
        <v>-18177.083333333332</v>
      </c>
      <c r="D24" s="45">
        <f t="shared" ca="1" si="7"/>
        <v>-18033.275468129621</v>
      </c>
      <c r="E24" s="45">
        <f t="shared" ca="1" si="7"/>
        <v>-17888.191930268178</v>
      </c>
      <c r="F24" s="45">
        <f t="shared" ca="1" si="7"/>
        <v>-17741.821327366524</v>
      </c>
      <c r="G24" s="45">
        <f t="shared" ca="1" si="7"/>
        <v>-17594.152164650517</v>
      </c>
      <c r="H24" s="45">
        <f t="shared" ca="1" si="7"/>
        <v>-18216.006177361851</v>
      </c>
      <c r="I24" s="45">
        <f t="shared" ca="1" si="7"/>
        <v>-18060.253750394611</v>
      </c>
      <c r="J24" s="45">
        <f t="shared" ca="1" si="7"/>
        <v>-17903.125635618195</v>
      </c>
      <c r="K24" s="45">
        <f t="shared" ca="1" si="7"/>
        <v>-17744.609595444635</v>
      </c>
      <c r="L24" s="45">
        <f t="shared" ca="1" si="7"/>
        <v>-17584.693282683467</v>
      </c>
      <c r="M24" s="45">
        <f t="shared" ca="1" si="7"/>
        <v>-19923.364239553764</v>
      </c>
      <c r="N24" s="45">
        <f t="shared" ca="1" si="7"/>
        <v>-19730.406717790378</v>
      </c>
      <c r="O24" s="46">
        <f ca="1">SUM(C24:N24)</f>
        <v>-218596.98362259509</v>
      </c>
      <c r="P24" s="45">
        <f t="shared" ref="P24:AA24" ca="1" si="8">-P7</f>
        <v>-19535.696597881757</v>
      </c>
      <c r="Q24" s="45">
        <f t="shared" ca="1" si="8"/>
        <v>-19339.217807003326</v>
      </c>
      <c r="R24" s="45">
        <f t="shared" ca="1" si="8"/>
        <v>-19140.954123559794</v>
      </c>
      <c r="S24" s="45">
        <f t="shared" ca="1" si="8"/>
        <v>-18940.889175796023</v>
      </c>
      <c r="T24" s="45">
        <f t="shared" ca="1" si="8"/>
        <v>-18739.006440394773</v>
      </c>
      <c r="U24" s="45">
        <f t="shared" ca="1" si="8"/>
        <v>-21660.289241061237</v>
      </c>
      <c r="V24" s="45">
        <f t="shared" ca="1" si="8"/>
        <v>-21416.966773473203</v>
      </c>
      <c r="W24" s="45">
        <f t="shared" ca="1" si="8"/>
        <v>-21171.382754143531</v>
      </c>
      <c r="X24" s="45">
        <f t="shared" ca="1" si="8"/>
        <v>-20923.515942649854</v>
      </c>
      <c r="Y24" s="45">
        <f t="shared" ca="1" si="8"/>
        <v>-20673.344897123327</v>
      </c>
      <c r="Z24" s="45">
        <f t="shared" ca="1" si="8"/>
        <v>-20420.847972320749</v>
      </c>
      <c r="AA24" s="45">
        <f t="shared" ca="1" si="8"/>
        <v>-20166.0033176781</v>
      </c>
      <c r="AB24" s="46">
        <f ca="1">SUM(P24:AA24)</f>
        <v>-242128.11504308565</v>
      </c>
      <c r="AC24" s="45">
        <f t="shared" ref="AC24:AN24" ca="1" si="9">-AC7</f>
        <v>-19908.788875345268</v>
      </c>
      <c r="AD24" s="45">
        <f t="shared" ca="1" si="9"/>
        <v>-21524.182378201833</v>
      </c>
      <c r="AE24" s="45">
        <f t="shared" ca="1" si="9"/>
        <v>-21239.508963681037</v>
      </c>
      <c r="AF24" s="45">
        <f t="shared" ca="1" si="9"/>
        <v>-20952.162361929888</v>
      </c>
      <c r="AG24" s="45">
        <f t="shared" ca="1" si="9"/>
        <v>-20662.117207978237</v>
      </c>
      <c r="AH24" s="45">
        <f t="shared" ca="1" si="9"/>
        <v>-20369.347893851787</v>
      </c>
      <c r="AI24" s="45">
        <f t="shared" ca="1" si="9"/>
        <v>-20073.828566223528</v>
      </c>
      <c r="AJ24" s="45">
        <f t="shared" ca="1" si="9"/>
        <v>-19775.533124042275</v>
      </c>
      <c r="AK24" s="45">
        <f t="shared" ca="1" si="9"/>
        <v>-19474.435216138139</v>
      </c>
      <c r="AL24" s="45">
        <f t="shared" ca="1" si="9"/>
        <v>-19170.50823880465</v>
      </c>
      <c r="AM24" s="45">
        <f t="shared" ca="1" si="9"/>
        <v>-18863.725333357295</v>
      </c>
      <c r="AN24" s="45">
        <f t="shared" ca="1" si="9"/>
        <v>-18554.059383668307</v>
      </c>
      <c r="AO24" s="46">
        <f ca="1">SUM(AC24:AN24)</f>
        <v>-240568.19754322222</v>
      </c>
    </row>
    <row r="25" spans="1:41" s="11" customFormat="1" ht="16.149999999999999" customHeight="1" x14ac:dyDescent="0.3">
      <c r="A25" s="155" t="s">
        <v>119</v>
      </c>
      <c r="B25" s="14" t="s">
        <v>75</v>
      </c>
      <c r="C25" s="45">
        <f ca="1">BalanceSheet!D37-BalanceSheet!C37-C8</f>
        <v>0</v>
      </c>
      <c r="D25" s="45">
        <f ca="1">BalanceSheet!E37-BalanceSheet!D37-D8</f>
        <v>0</v>
      </c>
      <c r="E25" s="45">
        <f ca="1">BalanceSheet!F37-BalanceSheet!E37-E8</f>
        <v>0</v>
      </c>
      <c r="F25" s="45">
        <f ca="1">BalanceSheet!G37-BalanceSheet!F37-F8</f>
        <v>0</v>
      </c>
      <c r="G25" s="45">
        <f ca="1">BalanceSheet!H37-BalanceSheet!G37-G8</f>
        <v>0</v>
      </c>
      <c r="H25" s="45">
        <f ca="1">BalanceSheet!I37-BalanceSheet!H37-H8</f>
        <v>-74647.851487689215</v>
      </c>
      <c r="I25" s="45">
        <f ca="1">BalanceSheet!J37-BalanceSheet!I37-I8</f>
        <v>0</v>
      </c>
      <c r="J25" s="45">
        <f ca="1">BalanceSheet!K37-BalanceSheet!J37-J8</f>
        <v>0</v>
      </c>
      <c r="K25" s="45">
        <f ca="1">BalanceSheet!L37-BalanceSheet!K37-K8</f>
        <v>0</v>
      </c>
      <c r="L25" s="45">
        <f ca="1">BalanceSheet!M37-BalanceSheet!L37-L8</f>
        <v>0</v>
      </c>
      <c r="M25" s="45">
        <f ca="1">BalanceSheet!N37-BalanceSheet!M37-M8</f>
        <v>0</v>
      </c>
      <c r="N25" s="45">
        <f ca="1">BalanceSheet!O37-BalanceSheet!N37-N8</f>
        <v>-81713.673097984196</v>
      </c>
      <c r="O25" s="46">
        <f ca="1">SUM(C25:N25)</f>
        <v>-156361.52458567341</v>
      </c>
      <c r="P25" s="45">
        <f ca="1">BalanceSheet!Q37-BalanceSheet!O37-P8</f>
        <v>0</v>
      </c>
      <c r="Q25" s="45">
        <f ca="1">BalanceSheet!R37-BalanceSheet!Q37-Q8</f>
        <v>0</v>
      </c>
      <c r="R25" s="45">
        <f ca="1">BalanceSheet!S37-BalanceSheet!R37-R8</f>
        <v>0</v>
      </c>
      <c r="S25" s="45">
        <f ca="1">BalanceSheet!T37-BalanceSheet!S37-S8</f>
        <v>0</v>
      </c>
      <c r="T25" s="45">
        <f ca="1">BalanceSheet!U37-BalanceSheet!T37-T8</f>
        <v>0</v>
      </c>
      <c r="U25" s="45">
        <f ca="1">BalanceSheet!V37-BalanceSheet!U37-U8</f>
        <v>-85858.345052004879</v>
      </c>
      <c r="V25" s="45">
        <f ca="1">BalanceSheet!W37-BalanceSheet!V37-V8</f>
        <v>0</v>
      </c>
      <c r="W25" s="45">
        <f ca="1">BalanceSheet!X37-BalanceSheet!W37-W8</f>
        <v>0</v>
      </c>
      <c r="X25" s="45">
        <f ca="1">BalanceSheet!Y37-BalanceSheet!X37-X8</f>
        <v>0</v>
      </c>
      <c r="Y25" s="45">
        <f ca="1">BalanceSheet!Z37-BalanceSheet!Y37-Y8</f>
        <v>0</v>
      </c>
      <c r="Z25" s="45">
        <f ca="1">BalanceSheet!AA37-BalanceSheet!Z37-Z8</f>
        <v>0</v>
      </c>
      <c r="AA25" s="45">
        <f ca="1">BalanceSheet!AB37-BalanceSheet!AA37-AA8</f>
        <v>-76101.182735931157</v>
      </c>
      <c r="AB25" s="46">
        <f ca="1">SUM(P25:AA25)</f>
        <v>-161959.52778793604</v>
      </c>
      <c r="AC25" s="45">
        <f ca="1">BalanceSheet!AD37-BalanceSheet!AB37-AC8</f>
        <v>0</v>
      </c>
      <c r="AD25" s="45">
        <f ca="1">BalanceSheet!AE37-BalanceSheet!AD37-AD8</f>
        <v>0</v>
      </c>
      <c r="AE25" s="45">
        <f ca="1">BalanceSheet!AF37-BalanceSheet!AE37-AE8</f>
        <v>0</v>
      </c>
      <c r="AF25" s="45">
        <f ca="1">BalanceSheet!AG37-BalanceSheet!AF37-AF8</f>
        <v>0</v>
      </c>
      <c r="AG25" s="45">
        <f ca="1">BalanceSheet!AH37-BalanceSheet!AG37-AG8</f>
        <v>0</v>
      </c>
      <c r="AH25" s="45">
        <f ca="1">BalanceSheet!AI37-BalanceSheet!AH37-AH8</f>
        <v>-71496.569849323307</v>
      </c>
      <c r="AI25" s="45">
        <f ca="1">BalanceSheet!AJ37-BalanceSheet!AI37-AI8</f>
        <v>0</v>
      </c>
      <c r="AJ25" s="45">
        <f ca="1">BalanceSheet!AK37-BalanceSheet!AJ37-AJ8</f>
        <v>0</v>
      </c>
      <c r="AK25" s="45">
        <f ca="1">BalanceSheet!AL37-BalanceSheet!AK37-AK8</f>
        <v>0</v>
      </c>
      <c r="AL25" s="45">
        <f ca="1">BalanceSheet!AM37-BalanceSheet!AL37-AL8</f>
        <v>0</v>
      </c>
      <c r="AM25" s="45">
        <f ca="1">BalanceSheet!AN37-BalanceSheet!AM37-AM8</f>
        <v>0</v>
      </c>
      <c r="AN25" s="45">
        <f ca="1">BalanceSheet!AO37-BalanceSheet!AN37-AN8</f>
        <v>-101737.69483857439</v>
      </c>
      <c r="AO25" s="46">
        <f ca="1">SUM(AC25:AN25)</f>
        <v>-173234.2646878977</v>
      </c>
    </row>
    <row r="26" spans="1:41" s="84" customFormat="1" ht="16.149999999999999" customHeight="1" thickBot="1" x14ac:dyDescent="0.3">
      <c r="A26" s="159"/>
      <c r="B26" s="6" t="s">
        <v>76</v>
      </c>
      <c r="C26" s="85">
        <f ca="1">SUM(C23:C25)</f>
        <v>-17690.913978494547</v>
      </c>
      <c r="D26" s="85">
        <f t="shared" ref="D26:AO26" ca="1" si="10">SUM(D23:D25)</f>
        <v>72464.388510364937</v>
      </c>
      <c r="E26" s="85">
        <f t="shared" ca="1" si="10"/>
        <v>53928.127962204933</v>
      </c>
      <c r="F26" s="85">
        <f t="shared" ca="1" si="10"/>
        <v>61822.02544682705</v>
      </c>
      <c r="G26" s="85">
        <f t="shared" ca="1" si="10"/>
        <v>15900.372028897847</v>
      </c>
      <c r="H26" s="85">
        <f t="shared" ca="1" si="10"/>
        <v>19310.06975430387</v>
      </c>
      <c r="I26" s="85">
        <f t="shared" ca="1" si="10"/>
        <v>31515.211303368833</v>
      </c>
      <c r="J26" s="85">
        <f t="shared" ca="1" si="10"/>
        <v>91577.538342876331</v>
      </c>
      <c r="K26" s="85">
        <f t="shared" ca="1" si="10"/>
        <v>7118.8264260607393</v>
      </c>
      <c r="L26" s="85">
        <f t="shared" ca="1" si="10"/>
        <v>145785.80456677897</v>
      </c>
      <c r="M26" s="85">
        <f t="shared" ca="1" si="10"/>
        <v>-21230.196497618319</v>
      </c>
      <c r="N26" s="85">
        <f t="shared" ca="1" si="10"/>
        <v>102856.25013814247</v>
      </c>
      <c r="O26" s="86">
        <f t="shared" ca="1" si="10"/>
        <v>563357.50400371291</v>
      </c>
      <c r="P26" s="85">
        <f t="shared" ca="1" si="10"/>
        <v>-12956.47816470201</v>
      </c>
      <c r="Q26" s="85">
        <f t="shared" ca="1" si="10"/>
        <v>97080.301547835319</v>
      </c>
      <c r="R26" s="85">
        <f t="shared" ca="1" si="10"/>
        <v>57798.589424827391</v>
      </c>
      <c r="S26" s="85">
        <f t="shared" ca="1" si="10"/>
        <v>64860.233942483508</v>
      </c>
      <c r="T26" s="85">
        <f t="shared" ca="1" si="10"/>
        <v>62290.788183261044</v>
      </c>
      <c r="U26" s="85">
        <f t="shared" ca="1" si="10"/>
        <v>21022.039900482399</v>
      </c>
      <c r="V26" s="85">
        <f t="shared" ca="1" si="10"/>
        <v>41987.881075989149</v>
      </c>
      <c r="W26" s="85">
        <f t="shared" ca="1" si="10"/>
        <v>77518.980686716677</v>
      </c>
      <c r="X26" s="85">
        <f t="shared" ca="1" si="10"/>
        <v>30756.637283156542</v>
      </c>
      <c r="Y26" s="85">
        <f t="shared" ca="1" si="10"/>
        <v>173947.3728448122</v>
      </c>
      <c r="Z26" s="85">
        <f t="shared" ca="1" si="10"/>
        <v>-77030.110875546598</v>
      </c>
      <c r="AA26" s="85">
        <f t="shared" ca="1" si="10"/>
        <v>86216.301964824001</v>
      </c>
      <c r="AB26" s="86">
        <f t="shared" ca="1" si="10"/>
        <v>623492.5378141395</v>
      </c>
      <c r="AC26" s="85">
        <f t="shared" ca="1" si="10"/>
        <v>19502.542461060195</v>
      </c>
      <c r="AD26" s="85">
        <f t="shared" ca="1" si="10"/>
        <v>74677.976761583152</v>
      </c>
      <c r="AE26" s="85">
        <f t="shared" ca="1" si="10"/>
        <v>47976.686735243733</v>
      </c>
      <c r="AF26" s="85">
        <f t="shared" ca="1" si="10"/>
        <v>98549.225272478652</v>
      </c>
      <c r="AG26" s="85">
        <f t="shared" ca="1" si="10"/>
        <v>30603.382254387372</v>
      </c>
      <c r="AH26" s="85">
        <f t="shared" ca="1" si="10"/>
        <v>-15269.719356078371</v>
      </c>
      <c r="AI26" s="85">
        <f t="shared" ca="1" si="10"/>
        <v>38985.40691764748</v>
      </c>
      <c r="AJ26" s="85">
        <f t="shared" ca="1" si="10"/>
        <v>158633.78461789314</v>
      </c>
      <c r="AK26" s="85">
        <f t="shared" ca="1" si="10"/>
        <v>36111.497041926435</v>
      </c>
      <c r="AL26" s="85">
        <f t="shared" ca="1" si="10"/>
        <v>191378.51595474393</v>
      </c>
      <c r="AM26" s="85">
        <f t="shared" ca="1" si="10"/>
        <v>-22973.905978518684</v>
      </c>
      <c r="AN26" s="85">
        <f t="shared" ca="1" si="10"/>
        <v>97620.822752173262</v>
      </c>
      <c r="AO26" s="86">
        <f t="shared" ca="1" si="10"/>
        <v>755796.21543454053</v>
      </c>
    </row>
    <row r="27" spans="1:41" s="11" customFormat="1" ht="16.149999999999999" customHeight="1" x14ac:dyDescent="0.3">
      <c r="A27" s="155"/>
      <c r="B27" s="2" t="s">
        <v>77</v>
      </c>
      <c r="C27" s="45"/>
      <c r="D27" s="45"/>
      <c r="E27" s="45"/>
      <c r="F27" s="45"/>
      <c r="G27" s="45"/>
      <c r="H27" s="45"/>
      <c r="I27" s="45"/>
      <c r="J27" s="45"/>
      <c r="K27" s="45"/>
      <c r="L27" s="45"/>
      <c r="M27" s="45"/>
      <c r="N27" s="45"/>
      <c r="O27" s="46"/>
      <c r="P27" s="45"/>
      <c r="Q27" s="45"/>
      <c r="R27" s="45"/>
      <c r="S27" s="45"/>
      <c r="T27" s="45"/>
      <c r="U27" s="45"/>
      <c r="V27" s="45"/>
      <c r="W27" s="45"/>
      <c r="X27" s="45"/>
      <c r="Y27" s="45"/>
      <c r="Z27" s="45"/>
      <c r="AA27" s="45"/>
      <c r="AB27" s="46"/>
      <c r="AC27" s="45"/>
      <c r="AD27" s="45"/>
      <c r="AE27" s="45"/>
      <c r="AF27" s="45"/>
      <c r="AG27" s="45"/>
      <c r="AH27" s="45"/>
      <c r="AI27" s="45"/>
      <c r="AJ27" s="45"/>
      <c r="AK27" s="45"/>
      <c r="AL27" s="45"/>
      <c r="AM27" s="45"/>
      <c r="AN27" s="45"/>
      <c r="AO27" s="46"/>
    </row>
    <row r="28" spans="1:41" s="11" customFormat="1" ht="16.149999999999999" customHeight="1" x14ac:dyDescent="0.3">
      <c r="A28" s="158" t="s">
        <v>110</v>
      </c>
      <c r="B28" s="49" t="s">
        <v>78</v>
      </c>
      <c r="C28" s="45">
        <v>0</v>
      </c>
      <c r="D28" s="45">
        <v>0</v>
      </c>
      <c r="E28" s="45">
        <v>0</v>
      </c>
      <c r="F28" s="45">
        <v>0</v>
      </c>
      <c r="G28" s="45">
        <v>0</v>
      </c>
      <c r="H28" s="45">
        <v>0</v>
      </c>
      <c r="I28" s="45">
        <v>0</v>
      </c>
      <c r="J28" s="45">
        <v>0</v>
      </c>
      <c r="K28" s="45">
        <v>0</v>
      </c>
      <c r="L28" s="45">
        <v>0</v>
      </c>
      <c r="M28" s="45">
        <v>-240000</v>
      </c>
      <c r="N28" s="45">
        <v>0</v>
      </c>
      <c r="O28" s="46">
        <f>SUM(C28:N28)</f>
        <v>-240000</v>
      </c>
      <c r="P28" s="45">
        <v>0</v>
      </c>
      <c r="Q28" s="45">
        <v>0</v>
      </c>
      <c r="R28" s="45">
        <v>0</v>
      </c>
      <c r="S28" s="45">
        <v>0</v>
      </c>
      <c r="T28" s="45">
        <v>0</v>
      </c>
      <c r="U28" s="45">
        <v>-300000</v>
      </c>
      <c r="V28" s="45">
        <v>0</v>
      </c>
      <c r="W28" s="45">
        <v>0</v>
      </c>
      <c r="X28" s="45">
        <v>0</v>
      </c>
      <c r="Y28" s="45">
        <v>0</v>
      </c>
      <c r="Z28" s="45">
        <v>0</v>
      </c>
      <c r="AA28" s="45">
        <v>0</v>
      </c>
      <c r="AB28" s="46">
        <f>SUM(P28:AA28)</f>
        <v>-300000</v>
      </c>
      <c r="AC28" s="45">
        <v>0</v>
      </c>
      <c r="AD28" s="45">
        <v>-180000</v>
      </c>
      <c r="AE28" s="45">
        <v>0</v>
      </c>
      <c r="AF28" s="45">
        <v>0</v>
      </c>
      <c r="AG28" s="45">
        <v>0</v>
      </c>
      <c r="AH28" s="45">
        <v>0</v>
      </c>
      <c r="AI28" s="45">
        <v>0</v>
      </c>
      <c r="AJ28" s="45">
        <v>0</v>
      </c>
      <c r="AK28" s="45">
        <v>0</v>
      </c>
      <c r="AL28" s="45">
        <v>0</v>
      </c>
      <c r="AM28" s="45">
        <v>0</v>
      </c>
      <c r="AN28" s="45">
        <v>0</v>
      </c>
      <c r="AO28" s="46">
        <f>SUM(AC28:AN28)</f>
        <v>-180000</v>
      </c>
    </row>
    <row r="29" spans="1:41" s="11" customFormat="1" ht="16.149999999999999" customHeight="1" x14ac:dyDescent="0.3">
      <c r="A29" s="158" t="s">
        <v>114</v>
      </c>
      <c r="B29" s="49" t="s">
        <v>136</v>
      </c>
      <c r="C29" s="45">
        <v>0</v>
      </c>
      <c r="D29" s="45">
        <v>0</v>
      </c>
      <c r="E29" s="45">
        <v>0</v>
      </c>
      <c r="F29" s="45">
        <v>0</v>
      </c>
      <c r="G29" s="45">
        <v>0</v>
      </c>
      <c r="H29" s="45">
        <v>0</v>
      </c>
      <c r="I29" s="45">
        <v>0</v>
      </c>
      <c r="J29" s="45">
        <v>0</v>
      </c>
      <c r="K29" s="45">
        <v>0</v>
      </c>
      <c r="L29" s="45">
        <v>0</v>
      </c>
      <c r="M29" s="45">
        <v>0</v>
      </c>
      <c r="N29" s="45">
        <v>0</v>
      </c>
      <c r="O29" s="46">
        <f t="shared" ref="O29:O30" si="11">SUM(C29:N29)</f>
        <v>0</v>
      </c>
      <c r="P29" s="45">
        <v>0</v>
      </c>
      <c r="Q29" s="45">
        <v>0</v>
      </c>
      <c r="R29" s="45">
        <v>0</v>
      </c>
      <c r="S29" s="45">
        <v>0</v>
      </c>
      <c r="T29" s="45">
        <v>0</v>
      </c>
      <c r="U29" s="45">
        <v>0</v>
      </c>
      <c r="V29" s="45">
        <v>0</v>
      </c>
      <c r="W29" s="45">
        <v>0</v>
      </c>
      <c r="X29" s="45">
        <v>0</v>
      </c>
      <c r="Y29" s="45">
        <v>0</v>
      </c>
      <c r="Z29" s="45">
        <v>0</v>
      </c>
      <c r="AA29" s="45">
        <v>0</v>
      </c>
      <c r="AB29" s="46">
        <f t="shared" ref="AB29:AB30" si="12">SUM(P29:AA29)</f>
        <v>0</v>
      </c>
      <c r="AC29" s="45">
        <v>0</v>
      </c>
      <c r="AD29" s="45">
        <v>0</v>
      </c>
      <c r="AE29" s="45">
        <v>0</v>
      </c>
      <c r="AF29" s="45">
        <v>0</v>
      </c>
      <c r="AG29" s="45">
        <v>0</v>
      </c>
      <c r="AH29" s="45">
        <v>0</v>
      </c>
      <c r="AI29" s="45">
        <v>0</v>
      </c>
      <c r="AJ29" s="45">
        <v>0</v>
      </c>
      <c r="AK29" s="45">
        <v>0</v>
      </c>
      <c r="AL29" s="45">
        <v>0</v>
      </c>
      <c r="AM29" s="45">
        <v>0</v>
      </c>
      <c r="AN29" s="45">
        <v>0</v>
      </c>
      <c r="AO29" s="46">
        <f t="shared" ref="AO29:AO30" si="13">SUM(AC29:AN29)</f>
        <v>0</v>
      </c>
    </row>
    <row r="30" spans="1:41" s="11" customFormat="1" ht="16.149999999999999" customHeight="1" x14ac:dyDescent="0.3">
      <c r="A30" s="158" t="s">
        <v>115</v>
      </c>
      <c r="B30" s="49" t="s">
        <v>137</v>
      </c>
      <c r="C30" s="45">
        <v>0</v>
      </c>
      <c r="D30" s="45">
        <v>0</v>
      </c>
      <c r="E30" s="45">
        <v>0</v>
      </c>
      <c r="F30" s="45">
        <v>0</v>
      </c>
      <c r="G30" s="45">
        <v>0</v>
      </c>
      <c r="H30" s="45">
        <v>0</v>
      </c>
      <c r="I30" s="45">
        <v>0</v>
      </c>
      <c r="J30" s="45">
        <v>0</v>
      </c>
      <c r="K30" s="45">
        <v>0</v>
      </c>
      <c r="L30" s="45">
        <v>0</v>
      </c>
      <c r="M30" s="45">
        <v>0</v>
      </c>
      <c r="N30" s="45">
        <v>0</v>
      </c>
      <c r="O30" s="46">
        <f t="shared" si="11"/>
        <v>0</v>
      </c>
      <c r="P30" s="45">
        <v>0</v>
      </c>
      <c r="Q30" s="45">
        <v>0</v>
      </c>
      <c r="R30" s="45">
        <v>0</v>
      </c>
      <c r="S30" s="45">
        <v>0</v>
      </c>
      <c r="T30" s="45">
        <v>0</v>
      </c>
      <c r="U30" s="45">
        <v>0</v>
      </c>
      <c r="V30" s="45">
        <v>0</v>
      </c>
      <c r="W30" s="45">
        <v>-400000</v>
      </c>
      <c r="X30" s="45">
        <v>0</v>
      </c>
      <c r="Y30" s="45">
        <v>0</v>
      </c>
      <c r="Z30" s="45">
        <v>0</v>
      </c>
      <c r="AA30" s="45">
        <v>0</v>
      </c>
      <c r="AB30" s="46">
        <f t="shared" si="12"/>
        <v>-400000</v>
      </c>
      <c r="AC30" s="45">
        <v>0</v>
      </c>
      <c r="AD30" s="45">
        <v>-600000</v>
      </c>
      <c r="AE30" s="45">
        <v>0</v>
      </c>
      <c r="AF30" s="45">
        <v>0</v>
      </c>
      <c r="AG30" s="45">
        <v>0</v>
      </c>
      <c r="AH30" s="45">
        <v>0</v>
      </c>
      <c r="AI30" s="45">
        <v>0</v>
      </c>
      <c r="AJ30" s="45">
        <v>0</v>
      </c>
      <c r="AK30" s="45">
        <v>0</v>
      </c>
      <c r="AL30" s="45">
        <v>0</v>
      </c>
      <c r="AM30" s="45">
        <v>0</v>
      </c>
      <c r="AN30" s="45">
        <v>0</v>
      </c>
      <c r="AO30" s="46">
        <f t="shared" si="13"/>
        <v>-600000</v>
      </c>
    </row>
    <row r="31" spans="1:41" s="84" customFormat="1" ht="16.149999999999999" customHeight="1" thickBot="1" x14ac:dyDescent="0.3">
      <c r="A31" s="159"/>
      <c r="B31" s="6" t="s">
        <v>79</v>
      </c>
      <c r="C31" s="85">
        <f>SUM(C28:C30)</f>
        <v>0</v>
      </c>
      <c r="D31" s="85">
        <f t="shared" ref="D31:AO31" si="14">SUM(D28:D30)</f>
        <v>0</v>
      </c>
      <c r="E31" s="85">
        <f t="shared" si="14"/>
        <v>0</v>
      </c>
      <c r="F31" s="85">
        <f t="shared" si="14"/>
        <v>0</v>
      </c>
      <c r="G31" s="85">
        <f t="shared" si="14"/>
        <v>0</v>
      </c>
      <c r="H31" s="85">
        <f t="shared" si="14"/>
        <v>0</v>
      </c>
      <c r="I31" s="85">
        <f t="shared" si="14"/>
        <v>0</v>
      </c>
      <c r="J31" s="85">
        <f t="shared" si="14"/>
        <v>0</v>
      </c>
      <c r="K31" s="85">
        <f t="shared" si="14"/>
        <v>0</v>
      </c>
      <c r="L31" s="85">
        <f t="shared" si="14"/>
        <v>0</v>
      </c>
      <c r="M31" s="85">
        <f t="shared" si="14"/>
        <v>-240000</v>
      </c>
      <c r="N31" s="85">
        <f t="shared" si="14"/>
        <v>0</v>
      </c>
      <c r="O31" s="86">
        <f t="shared" si="14"/>
        <v>-240000</v>
      </c>
      <c r="P31" s="85">
        <f t="shared" si="14"/>
        <v>0</v>
      </c>
      <c r="Q31" s="85">
        <f t="shared" si="14"/>
        <v>0</v>
      </c>
      <c r="R31" s="85">
        <f t="shared" si="14"/>
        <v>0</v>
      </c>
      <c r="S31" s="85">
        <f t="shared" si="14"/>
        <v>0</v>
      </c>
      <c r="T31" s="85">
        <f t="shared" si="14"/>
        <v>0</v>
      </c>
      <c r="U31" s="85">
        <f t="shared" si="14"/>
        <v>-300000</v>
      </c>
      <c r="V31" s="85">
        <f t="shared" si="14"/>
        <v>0</v>
      </c>
      <c r="W31" s="85">
        <f t="shared" si="14"/>
        <v>-400000</v>
      </c>
      <c r="X31" s="85">
        <f t="shared" si="14"/>
        <v>0</v>
      </c>
      <c r="Y31" s="85">
        <f t="shared" si="14"/>
        <v>0</v>
      </c>
      <c r="Z31" s="85">
        <f t="shared" si="14"/>
        <v>0</v>
      </c>
      <c r="AA31" s="85">
        <f t="shared" si="14"/>
        <v>0</v>
      </c>
      <c r="AB31" s="86">
        <f t="shared" si="14"/>
        <v>-700000</v>
      </c>
      <c r="AC31" s="85">
        <f t="shared" si="14"/>
        <v>0</v>
      </c>
      <c r="AD31" s="85">
        <f t="shared" si="14"/>
        <v>-780000</v>
      </c>
      <c r="AE31" s="85">
        <f t="shared" si="14"/>
        <v>0</v>
      </c>
      <c r="AF31" s="85">
        <f t="shared" si="14"/>
        <v>0</v>
      </c>
      <c r="AG31" s="85">
        <f t="shared" si="14"/>
        <v>0</v>
      </c>
      <c r="AH31" s="85">
        <f t="shared" si="14"/>
        <v>0</v>
      </c>
      <c r="AI31" s="85">
        <f t="shared" si="14"/>
        <v>0</v>
      </c>
      <c r="AJ31" s="85">
        <f t="shared" si="14"/>
        <v>0</v>
      </c>
      <c r="AK31" s="85">
        <f t="shared" si="14"/>
        <v>0</v>
      </c>
      <c r="AL31" s="85">
        <f t="shared" si="14"/>
        <v>0</v>
      </c>
      <c r="AM31" s="85">
        <f t="shared" si="14"/>
        <v>0</v>
      </c>
      <c r="AN31" s="85">
        <f t="shared" si="14"/>
        <v>0</v>
      </c>
      <c r="AO31" s="86">
        <f t="shared" si="14"/>
        <v>-780000</v>
      </c>
    </row>
    <row r="32" spans="1:41" ht="16.149999999999999" customHeight="1" x14ac:dyDescent="0.3">
      <c r="B32" s="2" t="s">
        <v>80</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row>
    <row r="33" spans="1:41" s="11" customFormat="1" ht="16.149999999999999" customHeight="1" x14ac:dyDescent="0.3">
      <c r="A33" s="157" t="s">
        <v>124</v>
      </c>
      <c r="B33" s="49" t="s">
        <v>81</v>
      </c>
      <c r="C33" s="45">
        <v>0</v>
      </c>
      <c r="D33" s="45">
        <v>0</v>
      </c>
      <c r="E33" s="45">
        <v>0</v>
      </c>
      <c r="F33" s="45">
        <v>0</v>
      </c>
      <c r="G33" s="45">
        <v>0</v>
      </c>
      <c r="H33" s="45">
        <v>0</v>
      </c>
      <c r="I33" s="45">
        <v>0</v>
      </c>
      <c r="J33" s="45">
        <v>0</v>
      </c>
      <c r="K33" s="45">
        <v>0</v>
      </c>
      <c r="L33" s="45">
        <v>0</v>
      </c>
      <c r="M33" s="45">
        <v>0</v>
      </c>
      <c r="N33" s="45">
        <v>0</v>
      </c>
      <c r="O33" s="46">
        <f>SUM(C33:N33)</f>
        <v>0</v>
      </c>
      <c r="P33" s="45">
        <v>0</v>
      </c>
      <c r="Q33" s="45">
        <v>0</v>
      </c>
      <c r="R33" s="45">
        <v>0</v>
      </c>
      <c r="S33" s="45">
        <v>0</v>
      </c>
      <c r="T33" s="45">
        <v>0</v>
      </c>
      <c r="U33" s="45">
        <v>0</v>
      </c>
      <c r="V33" s="45">
        <v>0</v>
      </c>
      <c r="W33" s="45">
        <v>0</v>
      </c>
      <c r="X33" s="45">
        <v>0</v>
      </c>
      <c r="Y33" s="45">
        <v>0</v>
      </c>
      <c r="Z33" s="45">
        <v>0</v>
      </c>
      <c r="AA33" s="45">
        <v>0</v>
      </c>
      <c r="AB33" s="46">
        <f>SUM(P33:AA33)</f>
        <v>0</v>
      </c>
      <c r="AC33" s="45">
        <v>0</v>
      </c>
      <c r="AD33" s="45">
        <v>0</v>
      </c>
      <c r="AE33" s="45">
        <v>0</v>
      </c>
      <c r="AF33" s="45">
        <v>0</v>
      </c>
      <c r="AG33" s="45">
        <v>0</v>
      </c>
      <c r="AH33" s="45">
        <v>0</v>
      </c>
      <c r="AI33" s="45">
        <v>0</v>
      </c>
      <c r="AJ33" s="45">
        <v>0</v>
      </c>
      <c r="AK33" s="45">
        <v>0</v>
      </c>
      <c r="AL33" s="45">
        <v>0</v>
      </c>
      <c r="AM33" s="45">
        <v>0</v>
      </c>
      <c r="AN33" s="45">
        <v>0</v>
      </c>
      <c r="AO33" s="46">
        <f>SUM(AC33:AN33)</f>
        <v>0</v>
      </c>
    </row>
    <row r="34" spans="1:41" s="11" customFormat="1" ht="16.149999999999999" customHeight="1" x14ac:dyDescent="0.3">
      <c r="A34" s="155" t="s">
        <v>253</v>
      </c>
      <c r="B34" s="49" t="s">
        <v>262</v>
      </c>
      <c r="C34" s="45">
        <f ca="1">BalanceSheet!D38-BalanceSheet!C38-IncState!C60</f>
        <v>0</v>
      </c>
      <c r="D34" s="45">
        <f ca="1">BalanceSheet!E38-BalanceSheet!D38-IncState!D60</f>
        <v>0</v>
      </c>
      <c r="E34" s="45">
        <f ca="1">BalanceSheet!F38-BalanceSheet!E38-IncState!E60</f>
        <v>0</v>
      </c>
      <c r="F34" s="45">
        <f ca="1">BalanceSheet!G38-BalanceSheet!F38-IncState!F60</f>
        <v>0</v>
      </c>
      <c r="G34" s="45">
        <f ca="1">BalanceSheet!H38-BalanceSheet!G38-IncState!G60</f>
        <v>0</v>
      </c>
      <c r="H34" s="45">
        <f ca="1">BalanceSheet!I38-BalanceSheet!H38-IncState!H60</f>
        <v>0</v>
      </c>
      <c r="I34" s="45">
        <f ca="1">BalanceSheet!J38-BalanceSheet!I38-IncState!I60</f>
        <v>0</v>
      </c>
      <c r="J34" s="45">
        <f ca="1">BalanceSheet!K38-BalanceSheet!J38-IncState!J60</f>
        <v>0</v>
      </c>
      <c r="K34" s="45">
        <f ca="1">BalanceSheet!L38-BalanceSheet!K38-IncState!K60</f>
        <v>0</v>
      </c>
      <c r="L34" s="45">
        <f ca="1">BalanceSheet!M38-BalanceSheet!L38-IncState!L60</f>
        <v>0</v>
      </c>
      <c r="M34" s="45">
        <f ca="1">BalanceSheet!N38-BalanceSheet!M38-IncState!M60</f>
        <v>0</v>
      </c>
      <c r="N34" s="45">
        <f ca="1">BalanceSheet!O38-BalanceSheet!N38-IncState!N60</f>
        <v>0</v>
      </c>
      <c r="O34" s="46">
        <f ca="1">SUM(C34:N34)</f>
        <v>0</v>
      </c>
      <c r="P34" s="45">
        <f ca="1">BalanceSheet!Q38-BalanceSheet!P38-IncState!P60</f>
        <v>0</v>
      </c>
      <c r="Q34" s="45">
        <f ca="1">BalanceSheet!R38-BalanceSheet!Q38-IncState!Q60</f>
        <v>0</v>
      </c>
      <c r="R34" s="45">
        <f ca="1">BalanceSheet!S38-BalanceSheet!R38-IncState!R60</f>
        <v>0</v>
      </c>
      <c r="S34" s="45">
        <f ca="1">BalanceSheet!T38-BalanceSheet!S38-IncState!S60</f>
        <v>0</v>
      </c>
      <c r="T34" s="45">
        <f ca="1">BalanceSheet!U38-BalanceSheet!T38-IncState!T60</f>
        <v>0</v>
      </c>
      <c r="U34" s="45">
        <f ca="1">BalanceSheet!V38-BalanceSheet!U38-IncState!U60</f>
        <v>0</v>
      </c>
      <c r="V34" s="45">
        <f ca="1">BalanceSheet!W38-BalanceSheet!V38-IncState!V60</f>
        <v>0</v>
      </c>
      <c r="W34" s="45">
        <f ca="1">BalanceSheet!X38-BalanceSheet!W38-IncState!W60</f>
        <v>0</v>
      </c>
      <c r="X34" s="45">
        <f ca="1">BalanceSheet!Y38-BalanceSheet!X38-IncState!X60</f>
        <v>0</v>
      </c>
      <c r="Y34" s="45">
        <f ca="1">BalanceSheet!Z38-BalanceSheet!Y38-IncState!Y60</f>
        <v>0</v>
      </c>
      <c r="Z34" s="45">
        <f ca="1">BalanceSheet!AA38-BalanceSheet!Z38-IncState!Z60</f>
        <v>0</v>
      </c>
      <c r="AA34" s="45">
        <f ca="1">BalanceSheet!AB38-BalanceSheet!AA38-IncState!AA60</f>
        <v>0</v>
      </c>
      <c r="AB34" s="46">
        <f ca="1">SUM(P34:AA34)</f>
        <v>0</v>
      </c>
      <c r="AC34" s="45">
        <f ca="1">BalanceSheet!AD38-BalanceSheet!AC38-IncState!AC60</f>
        <v>0</v>
      </c>
      <c r="AD34" s="45">
        <f ca="1">BalanceSheet!AE38-BalanceSheet!AD38-IncState!AD60</f>
        <v>0</v>
      </c>
      <c r="AE34" s="45">
        <f ca="1">BalanceSheet!AF38-BalanceSheet!AE38-IncState!AE60</f>
        <v>0</v>
      </c>
      <c r="AF34" s="45">
        <f ca="1">BalanceSheet!AG38-BalanceSheet!AF38-IncState!AF60</f>
        <v>0</v>
      </c>
      <c r="AG34" s="45">
        <f ca="1">BalanceSheet!AH38-BalanceSheet!AG38-IncState!AG60</f>
        <v>0</v>
      </c>
      <c r="AH34" s="45">
        <f ca="1">BalanceSheet!AI38-BalanceSheet!AH38-IncState!AH60</f>
        <v>0</v>
      </c>
      <c r="AI34" s="45">
        <f ca="1">BalanceSheet!AJ38-BalanceSheet!AI38-IncState!AI60</f>
        <v>0</v>
      </c>
      <c r="AJ34" s="45">
        <f ca="1">BalanceSheet!AK38-BalanceSheet!AJ38-IncState!AJ60</f>
        <v>0</v>
      </c>
      <c r="AK34" s="45">
        <f ca="1">BalanceSheet!AL38-BalanceSheet!AK38-IncState!AK60</f>
        <v>0</v>
      </c>
      <c r="AL34" s="45">
        <f ca="1">BalanceSheet!AM38-BalanceSheet!AL38-IncState!AL60</f>
        <v>0</v>
      </c>
      <c r="AM34" s="45">
        <f ca="1">BalanceSheet!AN38-BalanceSheet!AM38-IncState!AM60</f>
        <v>0</v>
      </c>
      <c r="AN34" s="45">
        <f ca="1">BalanceSheet!AO38-BalanceSheet!AN38-IncState!AN60</f>
        <v>0</v>
      </c>
      <c r="AO34" s="46">
        <f ca="1">SUM(AC34:AN34)</f>
        <v>0</v>
      </c>
    </row>
    <row r="35" spans="1:41" s="11" customFormat="1" ht="16.149999999999999" customHeight="1" x14ac:dyDescent="0.3">
      <c r="A35" s="157" t="s">
        <v>126</v>
      </c>
      <c r="B35" s="49" t="s">
        <v>139</v>
      </c>
      <c r="C35" s="45">
        <v>0</v>
      </c>
      <c r="D35" s="45">
        <v>0</v>
      </c>
      <c r="E35" s="45">
        <v>0</v>
      </c>
      <c r="F35" s="45">
        <v>0</v>
      </c>
      <c r="G35" s="45">
        <v>0</v>
      </c>
      <c r="H35" s="45">
        <v>0</v>
      </c>
      <c r="I35" s="45">
        <v>0</v>
      </c>
      <c r="J35" s="45">
        <v>0</v>
      </c>
      <c r="K35" s="45">
        <v>0</v>
      </c>
      <c r="L35" s="45">
        <v>0</v>
      </c>
      <c r="M35" s="45">
        <v>0</v>
      </c>
      <c r="N35" s="45">
        <v>0</v>
      </c>
      <c r="O35" s="46">
        <f>SUM(C35:N35)</f>
        <v>0</v>
      </c>
      <c r="P35" s="45">
        <v>0</v>
      </c>
      <c r="Q35" s="45">
        <v>0</v>
      </c>
      <c r="R35" s="45">
        <v>0</v>
      </c>
      <c r="S35" s="45">
        <v>0</v>
      </c>
      <c r="T35" s="45">
        <v>0</v>
      </c>
      <c r="U35" s="45">
        <v>0</v>
      </c>
      <c r="V35" s="45">
        <v>0</v>
      </c>
      <c r="W35" s="45">
        <v>0</v>
      </c>
      <c r="X35" s="45">
        <v>0</v>
      </c>
      <c r="Y35" s="45">
        <v>0</v>
      </c>
      <c r="Z35" s="45">
        <v>0</v>
      </c>
      <c r="AA35" s="45">
        <v>0</v>
      </c>
      <c r="AB35" s="46">
        <f>SUM(P35:AA35)</f>
        <v>0</v>
      </c>
      <c r="AC35" s="45">
        <v>0</v>
      </c>
      <c r="AD35" s="45">
        <v>0</v>
      </c>
      <c r="AE35" s="45">
        <v>0</v>
      </c>
      <c r="AF35" s="45">
        <v>0</v>
      </c>
      <c r="AG35" s="45">
        <v>0</v>
      </c>
      <c r="AH35" s="45">
        <v>0</v>
      </c>
      <c r="AI35" s="45">
        <v>0</v>
      </c>
      <c r="AJ35" s="45">
        <v>0</v>
      </c>
      <c r="AK35" s="45">
        <v>0</v>
      </c>
      <c r="AL35" s="45">
        <v>0</v>
      </c>
      <c r="AM35" s="45">
        <v>0</v>
      </c>
      <c r="AN35" s="45">
        <v>0</v>
      </c>
      <c r="AO35" s="46">
        <f t="shared" ref="AO35:AO39" si="15">SUM(AC35:AN35)</f>
        <v>0</v>
      </c>
    </row>
    <row r="36" spans="1:41" s="11" customFormat="1" ht="16.149999999999999" customHeight="1" x14ac:dyDescent="0.3">
      <c r="A36" s="157" t="s">
        <v>127</v>
      </c>
      <c r="B36" s="49" t="s">
        <v>141</v>
      </c>
      <c r="C36" s="45">
        <v>0</v>
      </c>
      <c r="D36" s="45">
        <v>0</v>
      </c>
      <c r="E36" s="45">
        <v>0</v>
      </c>
      <c r="F36" s="45">
        <v>0</v>
      </c>
      <c r="G36" s="45">
        <v>0</v>
      </c>
      <c r="H36" s="45">
        <v>100000</v>
      </c>
      <c r="I36" s="45">
        <v>0</v>
      </c>
      <c r="J36" s="45">
        <v>0</v>
      </c>
      <c r="K36" s="45">
        <v>0</v>
      </c>
      <c r="L36" s="45">
        <v>0</v>
      </c>
      <c r="M36" s="45">
        <v>0</v>
      </c>
      <c r="N36" s="45">
        <v>0</v>
      </c>
      <c r="O36" s="46">
        <f t="shared" ref="O36:O39" si="16">SUM(C36:N36)</f>
        <v>100000</v>
      </c>
      <c r="P36" s="45">
        <v>0</v>
      </c>
      <c r="Q36" s="45">
        <v>0</v>
      </c>
      <c r="R36" s="45">
        <v>0</v>
      </c>
      <c r="S36" s="45">
        <v>0</v>
      </c>
      <c r="T36" s="45">
        <v>0</v>
      </c>
      <c r="U36" s="45">
        <v>0</v>
      </c>
      <c r="V36" s="45">
        <v>0</v>
      </c>
      <c r="W36" s="45">
        <v>0</v>
      </c>
      <c r="X36" s="45">
        <v>0</v>
      </c>
      <c r="Y36" s="45">
        <v>0</v>
      </c>
      <c r="Z36" s="45">
        <v>0</v>
      </c>
      <c r="AA36" s="45">
        <v>0</v>
      </c>
      <c r="AB36" s="46">
        <f t="shared" ref="AB36:AB39" si="17">SUM(P36:AA36)</f>
        <v>0</v>
      </c>
      <c r="AC36" s="45">
        <v>0</v>
      </c>
      <c r="AD36" s="45">
        <v>0</v>
      </c>
      <c r="AE36" s="45">
        <v>0</v>
      </c>
      <c r="AF36" s="45">
        <v>0</v>
      </c>
      <c r="AG36" s="45">
        <v>0</v>
      </c>
      <c r="AH36" s="45">
        <v>0</v>
      </c>
      <c r="AI36" s="45">
        <v>0</v>
      </c>
      <c r="AJ36" s="45">
        <v>0</v>
      </c>
      <c r="AK36" s="45">
        <v>0</v>
      </c>
      <c r="AL36" s="45">
        <v>0</v>
      </c>
      <c r="AM36" s="45">
        <v>0</v>
      </c>
      <c r="AN36" s="45">
        <v>0</v>
      </c>
      <c r="AO36" s="46">
        <f t="shared" si="15"/>
        <v>0</v>
      </c>
    </row>
    <row r="37" spans="1:41" s="11" customFormat="1" ht="16.149999999999999" customHeight="1" x14ac:dyDescent="0.3">
      <c r="A37" s="157" t="s">
        <v>128</v>
      </c>
      <c r="B37" s="49" t="s">
        <v>142</v>
      </c>
      <c r="C37" s="45">
        <v>0</v>
      </c>
      <c r="D37" s="45">
        <v>0</v>
      </c>
      <c r="E37" s="45">
        <v>0</v>
      </c>
      <c r="F37" s="45">
        <v>0</v>
      </c>
      <c r="G37" s="45">
        <v>0</v>
      </c>
      <c r="H37" s="45">
        <v>0</v>
      </c>
      <c r="I37" s="45">
        <v>0</v>
      </c>
      <c r="J37" s="45">
        <v>0</v>
      </c>
      <c r="K37" s="45">
        <v>0</v>
      </c>
      <c r="L37" s="45">
        <v>0</v>
      </c>
      <c r="M37" s="45">
        <v>240000</v>
      </c>
      <c r="N37" s="45">
        <v>0</v>
      </c>
      <c r="O37" s="46">
        <f t="shared" si="16"/>
        <v>240000</v>
      </c>
      <c r="P37" s="45">
        <v>0</v>
      </c>
      <c r="Q37" s="45">
        <v>0</v>
      </c>
      <c r="R37" s="45">
        <v>0</v>
      </c>
      <c r="S37" s="45">
        <v>0</v>
      </c>
      <c r="T37" s="45">
        <v>0</v>
      </c>
      <c r="U37" s="45">
        <v>300000</v>
      </c>
      <c r="V37" s="45">
        <v>0</v>
      </c>
      <c r="W37" s="45">
        <v>0</v>
      </c>
      <c r="X37" s="45">
        <v>0</v>
      </c>
      <c r="Y37" s="45">
        <v>0</v>
      </c>
      <c r="Z37" s="45">
        <v>0</v>
      </c>
      <c r="AA37" s="45">
        <v>0</v>
      </c>
      <c r="AB37" s="46">
        <f t="shared" si="17"/>
        <v>300000</v>
      </c>
      <c r="AC37" s="45">
        <v>0</v>
      </c>
      <c r="AD37" s="45">
        <v>180000</v>
      </c>
      <c r="AE37" s="45">
        <v>0</v>
      </c>
      <c r="AF37" s="45">
        <v>0</v>
      </c>
      <c r="AG37" s="45">
        <v>0</v>
      </c>
      <c r="AH37" s="45">
        <v>0</v>
      </c>
      <c r="AI37" s="45">
        <v>0</v>
      </c>
      <c r="AJ37" s="45">
        <v>0</v>
      </c>
      <c r="AK37" s="45">
        <v>0</v>
      </c>
      <c r="AL37" s="45">
        <v>0</v>
      </c>
      <c r="AM37" s="45">
        <v>0</v>
      </c>
      <c r="AN37" s="45">
        <v>0</v>
      </c>
      <c r="AO37" s="46">
        <f t="shared" si="15"/>
        <v>180000</v>
      </c>
    </row>
    <row r="38" spans="1:41" s="11" customFormat="1" ht="16.149999999999999" customHeight="1" x14ac:dyDescent="0.3">
      <c r="A38" s="157" t="s">
        <v>138</v>
      </c>
      <c r="B38" s="49" t="s">
        <v>140</v>
      </c>
      <c r="C38" s="45">
        <v>0</v>
      </c>
      <c r="D38" s="45">
        <v>0</v>
      </c>
      <c r="E38" s="45">
        <v>0</v>
      </c>
      <c r="F38" s="45">
        <v>0</v>
      </c>
      <c r="G38" s="45">
        <v>0</v>
      </c>
      <c r="H38" s="45">
        <v>0</v>
      </c>
      <c r="I38" s="45">
        <v>0</v>
      </c>
      <c r="J38" s="45">
        <v>0</v>
      </c>
      <c r="K38" s="45">
        <v>0</v>
      </c>
      <c r="L38" s="45">
        <v>0</v>
      </c>
      <c r="M38" s="45">
        <v>0</v>
      </c>
      <c r="N38" s="45">
        <v>0</v>
      </c>
      <c r="O38" s="46">
        <f t="shared" si="16"/>
        <v>0</v>
      </c>
      <c r="P38" s="45">
        <v>0</v>
      </c>
      <c r="Q38" s="45">
        <v>0</v>
      </c>
      <c r="R38" s="45">
        <v>0</v>
      </c>
      <c r="S38" s="45">
        <v>0</v>
      </c>
      <c r="T38" s="45">
        <v>0</v>
      </c>
      <c r="U38" s="45">
        <v>0</v>
      </c>
      <c r="V38" s="45">
        <v>0</v>
      </c>
      <c r="W38" s="45">
        <v>0</v>
      </c>
      <c r="X38" s="45">
        <v>0</v>
      </c>
      <c r="Y38" s="45">
        <v>0</v>
      </c>
      <c r="Z38" s="45">
        <v>0</v>
      </c>
      <c r="AA38" s="45">
        <v>0</v>
      </c>
      <c r="AB38" s="46">
        <f t="shared" si="17"/>
        <v>0</v>
      </c>
      <c r="AC38" s="45">
        <v>0</v>
      </c>
      <c r="AD38" s="45">
        <v>0</v>
      </c>
      <c r="AE38" s="45">
        <v>0</v>
      </c>
      <c r="AF38" s="45">
        <v>0</v>
      </c>
      <c r="AG38" s="45">
        <v>0</v>
      </c>
      <c r="AH38" s="45">
        <v>0</v>
      </c>
      <c r="AI38" s="45">
        <v>0</v>
      </c>
      <c r="AJ38" s="45">
        <v>0</v>
      </c>
      <c r="AK38" s="45">
        <v>0</v>
      </c>
      <c r="AL38" s="45">
        <v>0</v>
      </c>
      <c r="AM38" s="45">
        <v>0</v>
      </c>
      <c r="AN38" s="45">
        <v>0</v>
      </c>
      <c r="AO38" s="46">
        <f t="shared" si="15"/>
        <v>0</v>
      </c>
    </row>
    <row r="39" spans="1:41" s="11" customFormat="1" ht="16.149999999999999" customHeight="1" x14ac:dyDescent="0.3">
      <c r="A39" s="155" t="s">
        <v>126</v>
      </c>
      <c r="B39" s="49" t="s">
        <v>143</v>
      </c>
      <c r="C39" s="45">
        <f ca="1">-OFFSET(Loans1!$F$9,COLUMN(C32)-COLUMN($B32)-ROUNDDOWN((COLUMN(C32)-COLUMN($B32))/13,0),0,1,1)</f>
        <v>-5774.6802252131929</v>
      </c>
      <c r="D39" s="45">
        <f ca="1">-OFFSET(Loans1!$F$9,COLUMN(D32)-COLUMN($B32)-ROUNDDOWN((COLUMN(D32)-COLUMN($B32))/13,0),0,1,1)</f>
        <v>-5824.005618803556</v>
      </c>
      <c r="E39" s="45">
        <f ca="1">-OFFSET(Loans1!$F$9,COLUMN(E32)-COLUMN($B32)-ROUNDDOWN((COLUMN(E32)-COLUMN($B32))/13,0),0,1,1)</f>
        <v>-5873.7523334641701</v>
      </c>
      <c r="F39" s="45">
        <f ca="1">-OFFSET(Loans1!$F$9,COLUMN(F32)-COLUMN($B32)-ROUNDDOWN((COLUMN(F32)-COLUMN($B32))/13,0),0,1,1)</f>
        <v>-5923.9239679791754</v>
      </c>
      <c r="G39" s="45">
        <f ca="1">-OFFSET(Loans1!$F$9,COLUMN(G32)-COLUMN($B32)-ROUNDDOWN((COLUMN(G32)-COLUMN($B32))/13,0),0,1,1)</f>
        <v>-5974.5241518723305</v>
      </c>
      <c r="H39" s="45">
        <f ca="1">-OFFSET(Loans1!$F$9,COLUMN(H32)-COLUMN($B32)-ROUNDDOWN((COLUMN(H32)-COLUMN($B32))/13,0),0,1,1)</f>
        <v>-6025.5565456695731</v>
      </c>
      <c r="I39" s="45">
        <f ca="1">-OFFSET(Loans1!$F$9,COLUMN(I32)-COLUMN($B32)-ROUNDDOWN((COLUMN(I32)-COLUMN($B32))/13,0),0,1,1)</f>
        <v>-6077.0248411638349</v>
      </c>
      <c r="J39" s="45">
        <f ca="1">-OFFSET(Loans1!$F$9,COLUMN(J32)-COLUMN($B32)-ROUNDDOWN((COLUMN(J32)-COLUMN($B32))/13,0),0,1,1)</f>
        <v>-6128.9327616821101</v>
      </c>
      <c r="K39" s="45">
        <f ca="1">-OFFSET(Loans1!$F$9,COLUMN(K32)-COLUMN($B32)-ROUNDDOWN((COLUMN(K32)-COLUMN($B32))/13,0),0,1,1)</f>
        <v>-6181.2840623548109</v>
      </c>
      <c r="L39" s="45">
        <f ca="1">-OFFSET(Loans1!$F$9,COLUMN(L32)-COLUMN($B32)-ROUNDDOWN((COLUMN(L32)-COLUMN($B32))/13,0),0,1,1)</f>
        <v>-6234.0825303874262</v>
      </c>
      <c r="M39" s="45">
        <f ca="1">-OFFSET(Loans1!$F$9,COLUMN(M32)-COLUMN($B32)-ROUNDDOWN((COLUMN(M32)-COLUMN($B32))/13,0),0,1,1)</f>
        <v>-6287.3319853344856</v>
      </c>
      <c r="N39" s="45">
        <f ca="1">-OFFSET(Loans1!$F$9,COLUMN(N32)-COLUMN($B32)-ROUNDDOWN((COLUMN(N32)-COLUMN($B32))/13,0),0,1,1)</f>
        <v>-6341.0362793758832</v>
      </c>
      <c r="O39" s="46">
        <f t="shared" ca="1" si="16"/>
        <v>-72646.135303300558</v>
      </c>
      <c r="P39" s="45">
        <f ca="1">-OFFSET(Loans1!$F$9,COLUMN(P32)-COLUMN($B32)-ROUNDDOWN((COLUMN(P32)-COLUMN($B32))/13,0),0,1,1)</f>
        <v>-6395.1992975955527</v>
      </c>
      <c r="Q39" s="45">
        <f ca="1">-OFFSET(Loans1!$F$9,COLUMN(Q32)-COLUMN($B32)-ROUNDDOWN((COLUMN(Q32)-COLUMN($B32))/13,0),0,1,1)</f>
        <v>-6449.824958262514</v>
      </c>
      <c r="R39" s="45">
        <f ca="1">-OFFSET(Loans1!$F$9,COLUMN(R32)-COLUMN($B32)-ROUNDDOWN((COLUMN(R32)-COLUMN($B32))/13,0),0,1,1)</f>
        <v>-6504.9172131143405</v>
      </c>
      <c r="S39" s="45">
        <f ca="1">-OFFSET(Loans1!$F$9,COLUMN(S32)-COLUMN($B32)-ROUNDDOWN((COLUMN(S32)-COLUMN($B32))/13,0),0,1,1)</f>
        <v>-6560.4800476430264</v>
      </c>
      <c r="T39" s="45">
        <f ca="1">-OFFSET(Loans1!$F$9,COLUMN(T32)-COLUMN($B32)-ROUNDDOWN((COLUMN(T32)-COLUMN($B32))/13,0),0,1,1)</f>
        <v>-6616.5174813833091</v>
      </c>
      <c r="U39" s="45">
        <f ca="1">-OFFSET(Loans1!$F$9,COLUMN(U32)-COLUMN($B32)-ROUNDDOWN((COLUMN(U32)-COLUMN($B32))/13,0),0,1,1)</f>
        <v>-6673.0335682034602</v>
      </c>
      <c r="V39" s="45">
        <f ca="1">-OFFSET(Loans1!$F$9,COLUMN(V32)-COLUMN($B32)-ROUNDDOWN((COLUMN(V32)-COLUMN($B32))/13,0),0,1,1)</f>
        <v>-6730.0323965985299</v>
      </c>
      <c r="W39" s="45">
        <f ca="1">-OFFSET(Loans1!$F$9,COLUMN(W32)-COLUMN($B32)-ROUNDDOWN((COLUMN(W32)-COLUMN($B32))/13,0),0,1,1)</f>
        <v>-6787.5180899861425</v>
      </c>
      <c r="X39" s="45">
        <f ca="1">-OFFSET(Loans1!$F$9,COLUMN(X32)-COLUMN($B32)-ROUNDDOWN((COLUMN(X32)-COLUMN($B32))/13,0),0,1,1)</f>
        <v>-6845.494807004774</v>
      </c>
      <c r="Y39" s="45">
        <f ca="1">-OFFSET(Loans1!$F$9,COLUMN(Y32)-COLUMN($B32)-ROUNDDOWN((COLUMN(Y32)-COLUMN($B32))/13,0),0,1,1)</f>
        <v>-6903.9667418146055</v>
      </c>
      <c r="Z39" s="45">
        <f ca="1">-OFFSET(Loans1!$F$9,COLUMN(Z32)-COLUMN($B32)-ROUNDDOWN((COLUMN(Z32)-COLUMN($B32))/13,0),0,1,1)</f>
        <v>-6962.9381244009382</v>
      </c>
      <c r="AA39" s="45">
        <f ca="1">-OFFSET(Loans1!$F$9,COLUMN(AA32)-COLUMN($B32)-ROUNDDOWN((COLUMN(AA32)-COLUMN($B32))/13,0),0,1,1)</f>
        <v>-7022.4132208801966</v>
      </c>
      <c r="AB39" s="46">
        <f t="shared" ca="1" si="17"/>
        <v>-80452.335946887382</v>
      </c>
      <c r="AC39" s="45">
        <f ca="1">-OFFSET(Loans1!$F$9,COLUMN(AC32)-COLUMN($B32)-ROUNDDOWN((COLUMN(AC32)-COLUMN($B32))/13,0),0,1,1)</f>
        <v>-7082.3963338085487</v>
      </c>
      <c r="AD39" s="45">
        <f ca="1">-OFFSET(Loans1!$F$9,COLUMN(AD32)-COLUMN($B32)-ROUNDDOWN((COLUMN(AD32)-COLUMN($B32))/13,0),0,1,1)</f>
        <v>-7142.8918024931627</v>
      </c>
      <c r="AE39" s="45">
        <f ca="1">-OFFSET(Loans1!$F$9,COLUMN(AE32)-COLUMN($B32)-ROUNDDOWN((COLUMN(AE32)-COLUMN($B32))/13,0),0,1,1)</f>
        <v>-7203.9040033061265</v>
      </c>
      <c r="AF39" s="45">
        <f ca="1">-OFFSET(Loans1!$F$9,COLUMN(AF32)-COLUMN($B32)-ROUNDDOWN((COLUMN(AF32)-COLUMN($B32))/13,0),0,1,1)</f>
        <v>-7265.4373500010333</v>
      </c>
      <c r="AG39" s="45">
        <f ca="1">-OFFSET(Loans1!$F$9,COLUMN(AG32)-COLUMN($B32)-ROUNDDOWN((COLUMN(AG32)-COLUMN($B32))/13,0),0,1,1)</f>
        <v>-7327.4962940322912</v>
      </c>
      <c r="AH39" s="45">
        <f ca="1">-OFFSET(Loans1!$F$9,COLUMN(AH32)-COLUMN($B32)-ROUNDDOWN((COLUMN(AH32)-COLUMN($B32))/13,0),0,1,1)</f>
        <v>-7390.0853248771509</v>
      </c>
      <c r="AI39" s="45">
        <f ca="1">-OFFSET(Loans1!$F$9,COLUMN(AI32)-COLUMN($B32)-ROUNDDOWN((COLUMN(AI32)-COLUMN($B32))/13,0),0,1,1)</f>
        <v>-7453.2089703604761</v>
      </c>
      <c r="AJ39" s="45">
        <f ca="1">-OFFSET(Loans1!$F$9,COLUMN(AJ32)-COLUMN($B32)-ROUNDDOWN((COLUMN(AJ32)-COLUMN($B32))/13,0),0,1,1)</f>
        <v>-7516.8717969823065</v>
      </c>
      <c r="AK39" s="45">
        <f ca="1">-OFFSET(Loans1!$F$9,COLUMN(AK32)-COLUMN($B32)-ROUNDDOWN((COLUMN(AK32)-COLUMN($B32))/13,0),0,1,1)</f>
        <v>-7581.0784102481975</v>
      </c>
      <c r="AL39" s="45">
        <f ca="1">-OFFSET(Loans1!$F$9,COLUMN(AL32)-COLUMN($B32)-ROUNDDOWN((COLUMN(AL32)-COLUMN($B32))/13,0),0,1,1)</f>
        <v>-7645.833455002401</v>
      </c>
      <c r="AM39" s="45">
        <f ca="1">-OFFSET(Loans1!$F$9,COLUMN(AM32)-COLUMN($B32)-ROUNDDOWN((COLUMN(AM32)-COLUMN($B32))/13,0),0,1,1)</f>
        <v>-7711.1416157638778</v>
      </c>
      <c r="AN39" s="45">
        <f ca="1">-OFFSET(Loans1!$F$9,COLUMN(AN32)-COLUMN($B32)-ROUNDDOWN((COLUMN(AN32)-COLUMN($B32))/13,0),0,1,1)</f>
        <v>-7777.0076170651955</v>
      </c>
      <c r="AO39" s="46">
        <f t="shared" ca="1" si="15"/>
        <v>-89097.352973940782</v>
      </c>
    </row>
    <row r="40" spans="1:41" s="11" customFormat="1" ht="16.149999999999999" customHeight="1" x14ac:dyDescent="0.3">
      <c r="A40" s="155" t="s">
        <v>127</v>
      </c>
      <c r="B40" s="49" t="s">
        <v>144</v>
      </c>
      <c r="C40" s="45">
        <f ca="1">-OFFSET(Loans2!$F$9,COLUMN(C33)-COLUMN($B33)-ROUNDDOWN((COLUMN(C33)-COLUMN($B33))/13,0),0,1,1)</f>
        <v>-3535.9434135466868</v>
      </c>
      <c r="D40" s="45">
        <f ca="1">-OFFSET(Loans2!$F$9,COLUMN(D33)-COLUMN($B33)-ROUNDDOWN((COLUMN(D33)-COLUMN($B33))/13,0),0,1,1)</f>
        <v>-3563.1996440261087</v>
      </c>
      <c r="E40" s="45">
        <f ca="1">-OFFSET(Loans2!$F$9,COLUMN(E33)-COLUMN($B33)-ROUNDDOWN((COLUMN(E33)-COLUMN($B33))/13,0),0,1,1)</f>
        <v>-3590.6659746154769</v>
      </c>
      <c r="F40" s="45">
        <f ca="1">-OFFSET(Loans2!$F$9,COLUMN(F33)-COLUMN($B33)-ROUNDDOWN((COLUMN(F33)-COLUMN($B33))/13,0),0,1,1)</f>
        <v>-3618.3440248364714</v>
      </c>
      <c r="G40" s="45">
        <f ca="1">-OFFSET(Loans2!$F$9,COLUMN(G33)-COLUMN($B33)-ROUNDDOWN((COLUMN(G33)-COLUMN($B33))/13,0),0,1,1)</f>
        <v>-3646.2354266945858</v>
      </c>
      <c r="H40" s="45">
        <f ca="1">-OFFSET(Loans2!$F$9,COLUMN(H33)-COLUMN($B33)-ROUNDDOWN((COLUMN(H33)-COLUMN($B33))/13,0),0,1,1)</f>
        <v>-4381.5305074846938</v>
      </c>
      <c r="I40" s="45">
        <f ca="1">-OFFSET(Loans2!$F$9,COLUMN(I33)-COLUMN($B33)-ROUNDDOWN((COLUMN(I33)-COLUMN($B33))/13,0),0,1,1)</f>
        <v>-4415.3048051465548</v>
      </c>
      <c r="J40" s="45">
        <f ca="1">-OFFSET(Loans2!$F$9,COLUMN(J33)-COLUMN($B33)-ROUNDDOWN((COLUMN(J33)-COLUMN($B33))/13,0),0,1,1)</f>
        <v>-4449.3394463528921</v>
      </c>
      <c r="K40" s="45">
        <f ca="1">-OFFSET(Loans2!$F$9,COLUMN(K33)-COLUMN($B33)-ROUNDDOWN((COLUMN(K33)-COLUMN($B33))/13,0),0,1,1)</f>
        <v>-4483.6364379185297</v>
      </c>
      <c r="L40" s="45">
        <f ca="1">-OFFSET(Loans2!$F$9,COLUMN(L33)-COLUMN($B33)-ROUNDDOWN((COLUMN(L33)-COLUMN($B33))/13,0),0,1,1)</f>
        <v>-4518.1978021274854</v>
      </c>
      <c r="M40" s="45">
        <f ca="1">-OFFSET(Loans2!$F$9,COLUMN(M33)-COLUMN($B33)-ROUNDDOWN((COLUMN(M33)-COLUMN($B33))/13,0),0,1,1)</f>
        <v>-4553.0255768522175</v>
      </c>
      <c r="N40" s="45">
        <f ca="1">-OFFSET(Loans2!$F$9,COLUMN(N33)-COLUMN($B33)-ROUNDDOWN((COLUMN(N33)-COLUMN($B33))/13,0),0,1,1)</f>
        <v>-4588.1218156737868</v>
      </c>
      <c r="O40" s="46">
        <f t="shared" ref="O40:O42" ca="1" si="18">SUM(C40:N40)</f>
        <v>-49343.544875275496</v>
      </c>
      <c r="P40" s="45">
        <f ca="1">-OFFSET(Loans2!$F$9,COLUMN(P33)-COLUMN($B33)-ROUNDDOWN((COLUMN(P33)-COLUMN($B33))/13,0),0,1,1)</f>
        <v>-4623.4885880029387</v>
      </c>
      <c r="Q40" s="45">
        <f ca="1">-OFFSET(Loans2!$F$9,COLUMN(Q33)-COLUMN($B33)-ROUNDDOWN((COLUMN(Q33)-COLUMN($B33))/13,0),0,1,1)</f>
        <v>-4659.1279792021287</v>
      </c>
      <c r="R40" s="45">
        <f ca="1">-OFFSET(Loans2!$F$9,COLUMN(R33)-COLUMN($B33)-ROUNDDOWN((COLUMN(R33)-COLUMN($B33))/13,0),0,1,1)</f>
        <v>-4695.0420907084781</v>
      </c>
      <c r="S40" s="45">
        <f ca="1">-OFFSET(Loans2!$F$9,COLUMN(S33)-COLUMN($B33)-ROUNDDOWN((COLUMN(S33)-COLUMN($B33))/13,0),0,1,1)</f>
        <v>-4731.2330401576892</v>
      </c>
      <c r="T40" s="45">
        <f ca="1">-OFFSET(Loans2!$F$9,COLUMN(T33)-COLUMN($B33)-ROUNDDOWN((COLUMN(T33)-COLUMN($B33))/13,0),0,1,1)</f>
        <v>-4767.702961508905</v>
      </c>
      <c r="U40" s="45">
        <f ca="1">-OFFSET(Loans2!$F$9,COLUMN(U33)-COLUMN($B33)-ROUNDDOWN((COLUMN(U33)-COLUMN($B33))/13,0),0,1,1)</f>
        <v>-4804.4540051705353</v>
      </c>
      <c r="V40" s="45">
        <f ca="1">-OFFSET(Loans2!$F$9,COLUMN(V33)-COLUMN($B33)-ROUNDDOWN((COLUMN(V33)-COLUMN($B33))/13,0),0,1,1)</f>
        <v>-4841.4883381270593</v>
      </c>
      <c r="W40" s="45">
        <f ca="1">-OFFSET(Loans2!$F$9,COLUMN(W33)-COLUMN($B33)-ROUNDDOWN((COLUMN(W33)-COLUMN($B33))/13,0),0,1,1)</f>
        <v>-4878.8081440667884</v>
      </c>
      <c r="X40" s="45">
        <f ca="1">-OFFSET(Loans2!$F$9,COLUMN(X33)-COLUMN($B33)-ROUNDDOWN((COLUMN(X33)-COLUMN($B33))/13,0),0,1,1)</f>
        <v>-4916.4156235106366</v>
      </c>
      <c r="Y40" s="45">
        <f ca="1">-OFFSET(Loans2!$F$9,COLUMN(Y33)-COLUMN($B33)-ROUNDDOWN((COLUMN(Y33)-COLUMN($B33))/13,0),0,1,1)</f>
        <v>-4954.312993941865</v>
      </c>
      <c r="Z40" s="45">
        <f ca="1">-OFFSET(Loans2!$F$9,COLUMN(Z33)-COLUMN($B33)-ROUNDDOWN((COLUMN(Z33)-COLUMN($B33))/13,0),0,1,1)</f>
        <v>-4992.5024899368327</v>
      </c>
      <c r="AA40" s="45">
        <f ca="1">-OFFSET(Loans2!$F$9,COLUMN(AA33)-COLUMN($B33)-ROUNDDOWN((COLUMN(AA33)-COLUMN($B33))/13,0),0,1,1)</f>
        <v>-5030.9863632967626</v>
      </c>
      <c r="AB40" s="46">
        <f t="shared" ref="AB40:AB42" ca="1" si="19">SUM(P40:AA40)</f>
        <v>-57895.56261763061</v>
      </c>
      <c r="AC40" s="45">
        <f ca="1">-OFFSET(Loans2!$F$9,COLUMN(AC33)-COLUMN($B33)-ROUNDDOWN((COLUMN(AC33)-COLUMN($B33))/13,0),0,1,1)</f>
        <v>-5069.7668831805076</v>
      </c>
      <c r="AD40" s="45">
        <f ca="1">-OFFSET(Loans2!$F$9,COLUMN(AD33)-COLUMN($B33)-ROUNDDOWN((COLUMN(AD33)-COLUMN($B33))/13,0),0,1,1)</f>
        <v>-5108.8463362383591</v>
      </c>
      <c r="AE40" s="45">
        <f ca="1">-OFFSET(Loans2!$F$9,COLUMN(AE33)-COLUMN($B33)-ROUNDDOWN((COLUMN(AE33)-COLUMN($B33))/13,0),0,1,1)</f>
        <v>-5148.227026746863</v>
      </c>
      <c r="AF40" s="45">
        <f ca="1">-OFFSET(Loans2!$F$9,COLUMN(AF33)-COLUMN($B33)-ROUNDDOWN((COLUMN(AF33)-COLUMN($B33))/13,0),0,1,1)</f>
        <v>-5187.9112767447023</v>
      </c>
      <c r="AG40" s="45">
        <f ca="1">-OFFSET(Loans2!$F$9,COLUMN(AG33)-COLUMN($B33)-ROUNDDOWN((COLUMN(AG33)-COLUMN($B33))/13,0),0,1,1)</f>
        <v>-5227.9014261696102</v>
      </c>
      <c r="AH40" s="45">
        <f ca="1">-OFFSET(Loans2!$F$9,COLUMN(AH33)-COLUMN($B33)-ROUNDDOWN((COLUMN(AH33)-COLUMN($B33))/13,0),0,1,1)</f>
        <v>-5268.1998329963335</v>
      </c>
      <c r="AI40" s="45">
        <f ca="1">-OFFSET(Loans2!$F$9,COLUMN(AI33)-COLUMN($B33)-ROUNDDOWN((COLUMN(AI33)-COLUMN($B33))/13,0),0,1,1)</f>
        <v>-5308.8088733756813</v>
      </c>
      <c r="AJ40" s="45">
        <f ca="1">-OFFSET(Loans2!$F$9,COLUMN(AJ33)-COLUMN($B33)-ROUNDDOWN((COLUMN(AJ33)-COLUMN($B33))/13,0),0,1,1)</f>
        <v>-5349.7309417746183</v>
      </c>
      <c r="AK40" s="45">
        <f ca="1">-OFFSET(Loans2!$F$9,COLUMN(AK33)-COLUMN($B33)-ROUNDDOWN((COLUMN(AK33)-COLUMN($B33))/13,0),0,1,1)</f>
        <v>-5390.9684511174637</v>
      </c>
      <c r="AL40" s="45">
        <f ca="1">-OFFSET(Loans2!$F$9,COLUMN(AL33)-COLUMN($B33)-ROUNDDOWN((COLUMN(AL33)-COLUMN($B33))/13,0),0,1,1)</f>
        <v>-5432.5238329281619</v>
      </c>
      <c r="AM40" s="45">
        <f ca="1">-OFFSET(Loans2!$F$9,COLUMN(AM33)-COLUMN($B33)-ROUNDDOWN((COLUMN(AM33)-COLUMN($B33))/13,0),0,1,1)</f>
        <v>-5474.3995374736496</v>
      </c>
      <c r="AN40" s="45">
        <f ca="1">-OFFSET(Loans2!$F$9,COLUMN(AN33)-COLUMN($B33)-ROUNDDOWN((COLUMN(AN33)-COLUMN($B33))/13,0),0,1,1)</f>
        <v>-5516.5980339083417</v>
      </c>
      <c r="AO40" s="46">
        <f t="shared" ref="AO40:AO42" ca="1" si="20">SUM(AC40:AN40)</f>
        <v>-63483.882452654288</v>
      </c>
    </row>
    <row r="41" spans="1:41" s="11" customFormat="1" ht="16.149999999999999" customHeight="1" x14ac:dyDescent="0.3">
      <c r="A41" s="155" t="s">
        <v>128</v>
      </c>
      <c r="B41" s="49" t="s">
        <v>145</v>
      </c>
      <c r="C41" s="45">
        <f ca="1">-OFFSET(Loans3!$F$9,COLUMN(C35)-COLUMN($B35)-ROUNDDOWN((COLUMN(C35)-COLUMN($B35))/13,0),0,1,1)</f>
        <v>0</v>
      </c>
      <c r="D41" s="45">
        <f ca="1">-OFFSET(Loans3!$F$9,COLUMN(D35)-COLUMN($B35)-ROUNDDOWN((COLUMN(D35)-COLUMN($B35))/13,0),0,1,1)</f>
        <v>0</v>
      </c>
      <c r="E41" s="45">
        <f ca="1">-OFFSET(Loans3!$F$9,COLUMN(E35)-COLUMN($B35)-ROUNDDOWN((COLUMN(E35)-COLUMN($B35))/13,0),0,1,1)</f>
        <v>0</v>
      </c>
      <c r="F41" s="45">
        <f ca="1">-OFFSET(Loans3!$F$9,COLUMN(F35)-COLUMN($B35)-ROUNDDOWN((COLUMN(F35)-COLUMN($B35))/13,0),0,1,1)</f>
        <v>0</v>
      </c>
      <c r="G41" s="45">
        <f ca="1">-OFFSET(Loans3!$F$9,COLUMN(G35)-COLUMN($B35)-ROUNDDOWN((COLUMN(G35)-COLUMN($B35))/13,0),0,1,1)</f>
        <v>0</v>
      </c>
      <c r="H41" s="45">
        <f ca="1">-OFFSET(Loans3!$F$9,COLUMN(H35)-COLUMN($B35)-ROUNDDOWN((COLUMN(H35)-COLUMN($B35))/13,0),0,1,1)</f>
        <v>0</v>
      </c>
      <c r="I41" s="45">
        <f ca="1">-OFFSET(Loans3!$F$9,COLUMN(I35)-COLUMN($B35)-ROUNDDOWN((COLUMN(I35)-COLUMN($B35))/13,0),0,1,1)</f>
        <v>0</v>
      </c>
      <c r="J41" s="45">
        <f ca="1">-OFFSET(Loans3!$F$9,COLUMN(J35)-COLUMN($B35)-ROUNDDOWN((COLUMN(J35)-COLUMN($B35))/13,0),0,1,1)</f>
        <v>0</v>
      </c>
      <c r="K41" s="45">
        <f ca="1">-OFFSET(Loans3!$F$9,COLUMN(K35)-COLUMN($B35)-ROUNDDOWN((COLUMN(K35)-COLUMN($B35))/13,0),0,1,1)</f>
        <v>0</v>
      </c>
      <c r="L41" s="45">
        <f ca="1">-OFFSET(Loans3!$F$9,COLUMN(L35)-COLUMN($B35)-ROUNDDOWN((COLUMN(L35)-COLUMN($B35))/13,0),0,1,1)</f>
        <v>0</v>
      </c>
      <c r="M41" s="45">
        <f ca="1">-OFFSET(Loans3!$F$9,COLUMN(M35)-COLUMN($B35)-ROUNDDOWN((COLUMN(M35)-COLUMN($B35))/13,0),0,1,1)</f>
        <v>-2899.5051740998015</v>
      </c>
      <c r="N41" s="45">
        <f ca="1">-OFFSET(Loans3!$F$9,COLUMN(N35)-COLUMN($B35)-ROUNDDOWN((COLUMN(N35)-COLUMN($B35))/13,0),0,1,1)</f>
        <v>-2929.7083529966744</v>
      </c>
      <c r="O41" s="46">
        <f t="shared" ca="1" si="18"/>
        <v>-5829.2135270964754</v>
      </c>
      <c r="P41" s="45">
        <f ca="1">-OFFSET(Loans3!$F$9,COLUMN(P35)-COLUMN($B35)-ROUNDDOWN((COLUMN(P35)-COLUMN($B35))/13,0),0,1,1)</f>
        <v>-2960.2261483403895</v>
      </c>
      <c r="Q41" s="45">
        <f ca="1">-OFFSET(Loans3!$F$9,COLUMN(Q35)-COLUMN($B35)-ROUNDDOWN((COLUMN(Q35)-COLUMN($B35))/13,0),0,1,1)</f>
        <v>-2991.0618373856018</v>
      </c>
      <c r="R41" s="45">
        <f ca="1">-OFFSET(Loans3!$F$9,COLUMN(R35)-COLUMN($B35)-ROUNDDOWN((COLUMN(R35)-COLUMN($B35))/13,0),0,1,1)</f>
        <v>-3022.2187315250353</v>
      </c>
      <c r="S41" s="45">
        <f ca="1">-OFFSET(Loans3!$F$9,COLUMN(S35)-COLUMN($B35)-ROUNDDOWN((COLUMN(S35)-COLUMN($B35))/13,0),0,1,1)</f>
        <v>-3053.700176645088</v>
      </c>
      <c r="T41" s="45">
        <f ca="1">-OFFSET(Loans3!$F$9,COLUMN(T35)-COLUMN($B35)-ROUNDDOWN((COLUMN(T35)-COLUMN($B35))/13,0),0,1,1)</f>
        <v>-3085.5095534851412</v>
      </c>
      <c r="U41" s="45">
        <f ca="1">-OFFSET(Loans3!$F$9,COLUMN(U35)-COLUMN($B35)-ROUNDDOWN((COLUMN(U35)-COLUMN($B35))/13,0),0,1,1)</f>
        <v>-6742.0317456253633</v>
      </c>
      <c r="V41" s="45">
        <f ca="1">-OFFSET(Loans3!$F$9,COLUMN(V35)-COLUMN($B35)-ROUNDDOWN((COLUMN(V35)-COLUMN($B35))/13,0),0,1,1)</f>
        <v>-6812.2612429756273</v>
      </c>
      <c r="W41" s="45">
        <f ca="1">-OFFSET(Loans3!$F$9,COLUMN(W35)-COLUMN($B35)-ROUNDDOWN((COLUMN(W35)-COLUMN($B35))/13,0),0,1,1)</f>
        <v>-6883.2222975899576</v>
      </c>
      <c r="X41" s="45">
        <f ca="1">-OFFSET(Loans3!$F$9,COLUMN(X35)-COLUMN($B35)-ROUNDDOWN((COLUMN(X35)-COLUMN($B35))/13,0),0,1,1)</f>
        <v>-6954.9225298565188</v>
      </c>
      <c r="Y41" s="45">
        <f ca="1">-OFFSET(Loans3!$F$9,COLUMN(Y35)-COLUMN($B35)-ROUNDDOWN((COLUMN(Y35)-COLUMN($B35))/13,0),0,1,1)</f>
        <v>-7027.3696395425241</v>
      </c>
      <c r="Z41" s="45">
        <f ca="1">-OFFSET(Loans3!$F$9,COLUMN(Z35)-COLUMN($B35)-ROUNDDOWN((COLUMN(Z35)-COLUMN($B35))/13,0),0,1,1)</f>
        <v>-7100.5714066210921</v>
      </c>
      <c r="AA41" s="45">
        <f ca="1">-OFFSET(Loans3!$F$9,COLUMN(AA35)-COLUMN($B35)-ROUNDDOWN((COLUMN(AA35)-COLUMN($B35))/13,0),0,1,1)</f>
        <v>-7174.5356921067287</v>
      </c>
      <c r="AB41" s="46">
        <f t="shared" ca="1" si="19"/>
        <v>-63807.631001699068</v>
      </c>
      <c r="AC41" s="45">
        <f ca="1">-OFFSET(Loans3!$F$9,COLUMN(AC35)-COLUMN($B35)-ROUNDDOWN((COLUMN(AC35)-COLUMN($B35))/13,0),0,1,1)</f>
        <v>-7249.2704388995071</v>
      </c>
      <c r="AD41" s="45">
        <f ca="1">-OFFSET(Loans3!$F$9,COLUMN(AD35)-COLUMN($B35)-ROUNDDOWN((COLUMN(AD35)-COLUMN($B35))/13,0),0,1,1)</f>
        <v>-9499.4125532128928</v>
      </c>
      <c r="AE41" s="45">
        <f ca="1">-OFFSET(Loans3!$F$9,COLUMN(AE35)-COLUMN($B35)-ROUNDDOWN((COLUMN(AE35)-COLUMN($B35))/13,0),0,1,1)</f>
        <v>-9598.3647673088599</v>
      </c>
      <c r="AF41" s="45">
        <f ca="1">-OFFSET(Loans3!$F$9,COLUMN(AF35)-COLUMN($B35)-ROUNDDOWN((COLUMN(AF35)-COLUMN($B35))/13,0),0,1,1)</f>
        <v>-9698.3477336349933</v>
      </c>
      <c r="AG41" s="45">
        <f ca="1">-OFFSET(Loans3!$F$9,COLUMN(AG35)-COLUMN($B35)-ROUNDDOWN((COLUMN(AG35)-COLUMN($B35))/13,0),0,1,1)</f>
        <v>-9799.3721891936912</v>
      </c>
      <c r="AH41" s="45">
        <f ca="1">-OFFSET(Loans3!$F$9,COLUMN(AH35)-COLUMN($B35)-ROUNDDOWN((COLUMN(AH35)-COLUMN($B35))/13,0),0,1,1)</f>
        <v>-9901.4489828311271</v>
      </c>
      <c r="AI41" s="45">
        <f ca="1">-OFFSET(Loans3!$F$9,COLUMN(AI35)-COLUMN($B35)-ROUNDDOWN((COLUMN(AI35)-COLUMN($B35))/13,0),0,1,1)</f>
        <v>-10004.589076402284</v>
      </c>
      <c r="AJ41" s="45">
        <f ca="1">-OFFSET(Loans3!$F$9,COLUMN(AJ35)-COLUMN($B35)-ROUNDDOWN((COLUMN(AJ35)-COLUMN($B35))/13,0),0,1,1)</f>
        <v>-10108.80354594814</v>
      </c>
      <c r="AK41" s="45">
        <f ca="1">-OFFSET(Loans3!$F$9,COLUMN(AK35)-COLUMN($B35)-ROUNDDOWN((COLUMN(AK35)-COLUMN($B35))/13,0),0,1,1)</f>
        <v>-10214.103582885102</v>
      </c>
      <c r="AL41" s="45">
        <f ca="1">-OFFSET(Loans3!$F$9,COLUMN(AL35)-COLUMN($B35)-ROUNDDOWN((COLUMN(AL35)-COLUMN($B35))/13,0),0,1,1)</f>
        <v>-10320.500495206819</v>
      </c>
      <c r="AM41" s="45">
        <f ca="1">-OFFSET(Loans3!$F$9,COLUMN(AM35)-COLUMN($B35)-ROUNDDOWN((COLUMN(AM35)-COLUMN($B35))/13,0),0,1,1)</f>
        <v>-10428.005708698558</v>
      </c>
      <c r="AN41" s="45">
        <f ca="1">-OFFSET(Loans3!$F$9,COLUMN(AN35)-COLUMN($B35)-ROUNDDOWN((COLUMN(AN35)-COLUMN($B35))/13,0),0,1,1)</f>
        <v>-10536.630768164167</v>
      </c>
      <c r="AO41" s="46">
        <f t="shared" ca="1" si="20"/>
        <v>-117358.84984238613</v>
      </c>
    </row>
    <row r="42" spans="1:41" s="11" customFormat="1" ht="16.149999999999999" customHeight="1" x14ac:dyDescent="0.3">
      <c r="A42" s="155" t="s">
        <v>138</v>
      </c>
      <c r="B42" s="49" t="s">
        <v>146</v>
      </c>
      <c r="C42" s="45">
        <f ca="1">-OFFSET(Leases!$F$9,COLUMN(C36)-COLUMN($B36)-ROUNDDOWN((COLUMN(C36)-COLUMN($B36))/13,0),0,1,1)</f>
        <v>-7014.9121183227235</v>
      </c>
      <c r="D42" s="45">
        <f ca="1">-OFFSET(Leases!$F$9,COLUMN(D36)-COLUMN($B36)-ROUNDDOWN((COLUMN(D36)-COLUMN($B36))/13,0),0,1,1)</f>
        <v>-7082.1383594566487</v>
      </c>
      <c r="E42" s="45">
        <f ca="1">-OFFSET(Leases!$F$9,COLUMN(E36)-COLUMN($B36)-ROUNDDOWN((COLUMN(E36)-COLUMN($B36))/13,0),0,1,1)</f>
        <v>-7150.0088520681093</v>
      </c>
      <c r="F42" s="45">
        <f ca="1">-OFFSET(Leases!$F$9,COLUMN(F36)-COLUMN($B36)-ROUNDDOWN((COLUMN(F36)-COLUMN($B36))/13,0),0,1,1)</f>
        <v>-7218.5297702337612</v>
      </c>
      <c r="G42" s="45">
        <f ca="1">-OFFSET(Leases!$F$9,COLUMN(G36)-COLUMN($B36)-ROUNDDOWN((COLUMN(G36)-COLUMN($B36))/13,0),0,1,1)</f>
        <v>-7287.7073471985022</v>
      </c>
      <c r="H42" s="45">
        <f ca="1">-OFFSET(Leases!$F$9,COLUMN(H36)-COLUMN($B36)-ROUNDDOWN((COLUMN(H36)-COLUMN($B36))/13,0),0,1,1)</f>
        <v>-7357.5478759424877</v>
      </c>
      <c r="I42" s="45">
        <f ca="1">-OFFSET(Leases!$F$9,COLUMN(I36)-COLUMN($B36)-ROUNDDOWN((COLUMN(I36)-COLUMN($B36))/13,0),0,1,1)</f>
        <v>-7428.0577097536025</v>
      </c>
      <c r="J42" s="45">
        <f ca="1">-OFFSET(Leases!$F$9,COLUMN(J36)-COLUMN($B36)-ROUNDDOWN((COLUMN(J36)-COLUMN($B36))/13,0),0,1,1)</f>
        <v>-7499.2432628054084</v>
      </c>
      <c r="K42" s="45">
        <f ca="1">-OFFSET(Leases!$F$9,COLUMN(K36)-COLUMN($B36)-ROUNDDOWN((COLUMN(K36)-COLUMN($B36))/13,0),0,1,1)</f>
        <v>-7571.1110107406275</v>
      </c>
      <c r="L42" s="45">
        <f ca="1">-OFFSET(Leases!$F$9,COLUMN(L36)-COLUMN($B36)-ROUNDDOWN((COLUMN(L36)-COLUMN($B36))/13,0),0,1,1)</f>
        <v>-7643.6674912602248</v>
      </c>
      <c r="M42" s="45">
        <f ca="1">-OFFSET(Leases!$F$9,COLUMN(M36)-COLUMN($B36)-ROUNDDOWN((COLUMN(M36)-COLUMN($B36))/13,0),0,1,1)</f>
        <v>-7716.9193047181343</v>
      </c>
      <c r="N42" s="45">
        <f ca="1">-OFFSET(Leases!$F$9,COLUMN(N36)-COLUMN($B36)-ROUNDDOWN((COLUMN(N36)-COLUMN($B36))/13,0),0,1,1)</f>
        <v>-7790.873114721684</v>
      </c>
      <c r="O42" s="46">
        <f t="shared" ca="1" si="18"/>
        <v>-88760.716217221925</v>
      </c>
      <c r="P42" s="45">
        <f ca="1">-OFFSET(Leases!$F$9,COLUMN(P36)-COLUMN($B36)-ROUNDDOWN((COLUMN(P36)-COLUMN($B36))/13,0),0,1,1)</f>
        <v>-7865.5356487377667</v>
      </c>
      <c r="Q42" s="45">
        <f ca="1">-OFFSET(Leases!$F$9,COLUMN(Q36)-COLUMN($B36)-ROUNDDOWN((COLUMN(Q36)-COLUMN($B36))/13,0),0,1,1)</f>
        <v>-7940.9136987048369</v>
      </c>
      <c r="R42" s="45">
        <f ca="1">-OFFSET(Leases!$F$9,COLUMN(R36)-COLUMN($B36)-ROUNDDOWN((COLUMN(R36)-COLUMN($B36))/13,0),0,1,1)</f>
        <v>-8017.0141216507582</v>
      </c>
      <c r="S42" s="45">
        <f ca="1">-OFFSET(Leases!$F$9,COLUMN(S36)-COLUMN($B36)-ROUNDDOWN((COLUMN(S36)-COLUMN($B36))/13,0),0,1,1)</f>
        <v>-8093.8438403165783</v>
      </c>
      <c r="T42" s="45">
        <f ca="1">-OFFSET(Leases!$F$9,COLUMN(T36)-COLUMN($B36)-ROUNDDOWN((COLUMN(T36)-COLUMN($B36))/13,0),0,1,1)</f>
        <v>-8171.4098437862795</v>
      </c>
      <c r="U42" s="45">
        <f ca="1">-OFFSET(Leases!$F$9,COLUMN(U36)-COLUMN($B36)-ROUNDDOWN((COLUMN(U36)-COLUMN($B36))/13,0),0,1,1)</f>
        <v>-8249.7191881225644</v>
      </c>
      <c r="V42" s="45">
        <f ca="1">-OFFSET(Leases!$F$9,COLUMN(V36)-COLUMN($B36)-ROUNDDOWN((COLUMN(V36)-COLUMN($B36))/13,0),0,1,1)</f>
        <v>-8328.7789970087379</v>
      </c>
      <c r="W42" s="45">
        <f ca="1">-OFFSET(Leases!$F$9,COLUMN(W36)-COLUMN($B36)-ROUNDDOWN((COLUMN(W36)-COLUMN($B36))/13,0),0,1,1)</f>
        <v>-8408.5964623967393</v>
      </c>
      <c r="X42" s="45">
        <f ca="1">-OFFSET(Leases!$F$9,COLUMN(X36)-COLUMN($B36)-ROUNDDOWN((COLUMN(X36)-COLUMN($B36))/13,0),0,1,1)</f>
        <v>-8489.1788451613738</v>
      </c>
      <c r="Y42" s="45">
        <f ca="1">-OFFSET(Leases!$F$9,COLUMN(Y36)-COLUMN($B36)-ROUNDDOWN((COLUMN(Y36)-COLUMN($B36))/13,0),0,1,1)</f>
        <v>-8570.533475760838</v>
      </c>
      <c r="Z42" s="45">
        <f ca="1">-OFFSET(Leases!$F$9,COLUMN(Z36)-COLUMN($B36)-ROUNDDOWN((COLUMN(Z36)-COLUMN($B36))/13,0),0,1,1)</f>
        <v>-8652.6677549035448</v>
      </c>
      <c r="AA42" s="45">
        <f ca="1">-OFFSET(Leases!$F$9,COLUMN(AA36)-COLUMN($B36)-ROUNDDOWN((COLUMN(AA36)-COLUMN($B36))/13,0),0,1,1)</f>
        <v>-8735.5891542213722</v>
      </c>
      <c r="AB42" s="46">
        <f t="shared" ca="1" si="19"/>
        <v>-99523.781030771381</v>
      </c>
      <c r="AC42" s="45">
        <f ca="1">-OFFSET(Leases!$F$9,COLUMN(AC36)-COLUMN($B36)-ROUNDDOWN((COLUMN(AC36)-COLUMN($B36))/13,0),0,1,1)</f>
        <v>-8819.3052169493258</v>
      </c>
      <c r="AD42" s="45">
        <f ca="1">-OFFSET(Leases!$F$9,COLUMN(AD36)-COLUMN($B36)-ROUNDDOWN((COLUMN(AD36)-COLUMN($B36))/13,0),0,1,1)</f>
        <v>-8903.8235586117571</v>
      </c>
      <c r="AE42" s="45">
        <f ca="1">-OFFSET(Leases!$F$9,COLUMN(AE36)-COLUMN($B36)-ROUNDDOWN((COLUMN(AE36)-COLUMN($B36))/13,0),0,1,1)</f>
        <v>-8989.1518677151198</v>
      </c>
      <c r="AF42" s="45">
        <f ca="1">-OFFSET(Leases!$F$9,COLUMN(AF36)-COLUMN($B36)-ROUNDDOWN((COLUMN(AF36)-COLUMN($B36))/13,0),0,1,1)</f>
        <v>-9075.2979064473893</v>
      </c>
      <c r="AG42" s="45">
        <f ca="1">-OFFSET(Leases!$F$9,COLUMN(AG36)-COLUMN($B36)-ROUNDDOWN((COLUMN(AG36)-COLUMN($B36))/13,0),0,1,1)</f>
        <v>-9162.2695113841764</v>
      </c>
      <c r="AH42" s="45">
        <f ca="1">-OFFSET(Leases!$F$9,COLUMN(AH36)-COLUMN($B36)-ROUNDDOWN((COLUMN(AH36)-COLUMN($B36))/13,0),0,1,1)</f>
        <v>-9250.0745942016092</v>
      </c>
      <c r="AI42" s="45">
        <f ca="1">-OFFSET(Leases!$F$9,COLUMN(AI36)-COLUMN($B36)-ROUNDDOWN((COLUMN(AI36)-COLUMN($B36))/13,0),0,1,1)</f>
        <v>-9338.7211423960416</v>
      </c>
      <c r="AJ42" s="45">
        <f ca="1">-OFFSET(Leases!$F$9,COLUMN(AJ36)-COLUMN($B36)-ROUNDDOWN((COLUMN(AJ36)-COLUMN($B36))/13,0),0,1,1)</f>
        <v>-9428.2172200106688</v>
      </c>
      <c r="AK42" s="45">
        <f ca="1">-OFFSET(Leases!$F$9,COLUMN(AK36)-COLUMN($B36)-ROUNDDOWN((COLUMN(AK36)-COLUMN($B36))/13,0),0,1,1)</f>
        <v>-9518.5709683691057</v>
      </c>
      <c r="AL42" s="45">
        <f ca="1">-OFFSET(Leases!$F$9,COLUMN(AL36)-COLUMN($B36)-ROUNDDOWN((COLUMN(AL36)-COLUMN($B36))/13,0),0,1,1)</f>
        <v>-9609.7906068159755</v>
      </c>
      <c r="AM42" s="45">
        <f ca="1">-OFFSET(Leases!$F$9,COLUMN(AM36)-COLUMN($B36)-ROUNDDOWN((COLUMN(AM36)-COLUMN($B36))/13,0),0,1,1)</f>
        <v>-9701.8844334646292</v>
      </c>
      <c r="AN42" s="45">
        <f ca="1">-OFFSET(Leases!$F$9,COLUMN(AN36)-COLUMN($B36)-ROUNDDOWN((COLUMN(AN36)-COLUMN($B36))/13,0),0,1,1)</f>
        <v>-9794.8608259519988</v>
      </c>
      <c r="AO42" s="46">
        <f t="shared" ca="1" si="20"/>
        <v>-111591.9678523178</v>
      </c>
    </row>
    <row r="43" spans="1:41" s="84" customFormat="1" ht="16.149999999999999" customHeight="1" thickBot="1" x14ac:dyDescent="0.3">
      <c r="A43" s="159"/>
      <c r="B43" s="87" t="s">
        <v>82</v>
      </c>
      <c r="C43" s="85">
        <f ca="1">SUM(C33:C42)</f>
        <v>-16325.535757082604</v>
      </c>
      <c r="D43" s="85">
        <f t="shared" ref="D43:AO43" ca="1" si="21">SUM(D33:D42)</f>
        <v>-16469.343622286313</v>
      </c>
      <c r="E43" s="85">
        <f t="shared" ca="1" si="21"/>
        <v>-16614.427160147756</v>
      </c>
      <c r="F43" s="85">
        <f t="shared" ca="1" si="21"/>
        <v>-16760.797763049406</v>
      </c>
      <c r="G43" s="85">
        <f t="shared" ca="1" si="21"/>
        <v>-16908.466925765417</v>
      </c>
      <c r="H43" s="85">
        <f t="shared" ca="1" si="21"/>
        <v>82235.365070903237</v>
      </c>
      <c r="I43" s="85">
        <f t="shared" ca="1" si="21"/>
        <v>-17920.387356063991</v>
      </c>
      <c r="J43" s="85">
        <f t="shared" ca="1" si="21"/>
        <v>-18077.515470840412</v>
      </c>
      <c r="K43" s="85">
        <f t="shared" ca="1" si="21"/>
        <v>-18236.031511013967</v>
      </c>
      <c r="L43" s="85">
        <f t="shared" ca="1" si="21"/>
        <v>-18395.947823775135</v>
      </c>
      <c r="M43" s="85">
        <f t="shared" ca="1" si="21"/>
        <v>218543.21795899537</v>
      </c>
      <c r="N43" s="85">
        <f t="shared" ca="1" si="21"/>
        <v>-21649.739562768031</v>
      </c>
      <c r="O43" s="86">
        <f t="shared" ca="1" si="21"/>
        <v>123420.39007710555</v>
      </c>
      <c r="P43" s="85">
        <f t="shared" ca="1" si="21"/>
        <v>-21844.449682676648</v>
      </c>
      <c r="Q43" s="85">
        <f t="shared" ca="1" si="21"/>
        <v>-22040.928473555083</v>
      </c>
      <c r="R43" s="85">
        <f t="shared" ca="1" si="21"/>
        <v>-22239.192156998615</v>
      </c>
      <c r="S43" s="85">
        <f t="shared" ca="1" si="21"/>
        <v>-22439.257104762382</v>
      </c>
      <c r="T43" s="85">
        <f t="shared" ca="1" si="21"/>
        <v>-22641.139840163632</v>
      </c>
      <c r="U43" s="85">
        <f t="shared" ca="1" si="21"/>
        <v>273530.76149287808</v>
      </c>
      <c r="V43" s="85">
        <f t="shared" ca="1" si="21"/>
        <v>-26712.560974709952</v>
      </c>
      <c r="W43" s="85">
        <f t="shared" ca="1" si="21"/>
        <v>-26958.144994039627</v>
      </c>
      <c r="X43" s="85">
        <f t="shared" ca="1" si="21"/>
        <v>-27206.011805533301</v>
      </c>
      <c r="Y43" s="85">
        <f t="shared" ca="1" si="21"/>
        <v>-27456.182851059835</v>
      </c>
      <c r="Z43" s="85">
        <f t="shared" ca="1" si="21"/>
        <v>-27708.679775862409</v>
      </c>
      <c r="AA43" s="85">
        <f t="shared" ca="1" si="21"/>
        <v>-27963.524430505058</v>
      </c>
      <c r="AB43" s="86">
        <f t="shared" ca="1" si="21"/>
        <v>-1679.3105969884491</v>
      </c>
      <c r="AC43" s="85">
        <f t="shared" ca="1" si="21"/>
        <v>-28220.738872837886</v>
      </c>
      <c r="AD43" s="85">
        <f t="shared" ca="1" si="21"/>
        <v>149345.02574944383</v>
      </c>
      <c r="AE43" s="85">
        <f t="shared" ca="1" si="21"/>
        <v>-30939.647665076969</v>
      </c>
      <c r="AF43" s="85">
        <f t="shared" ca="1" si="21"/>
        <v>-31226.994266828122</v>
      </c>
      <c r="AG43" s="85">
        <f t="shared" ca="1" si="21"/>
        <v>-31517.039420779769</v>
      </c>
      <c r="AH43" s="85">
        <f t="shared" ca="1" si="21"/>
        <v>-31809.808734906219</v>
      </c>
      <c r="AI43" s="85">
        <f t="shared" ca="1" si="21"/>
        <v>-32105.328062534485</v>
      </c>
      <c r="AJ43" s="85">
        <f t="shared" ca="1" si="21"/>
        <v>-32403.623504715735</v>
      </c>
      <c r="AK43" s="85">
        <f t="shared" ca="1" si="21"/>
        <v>-32704.721412619871</v>
      </c>
      <c r="AL43" s="85">
        <f t="shared" ca="1" si="21"/>
        <v>-33008.648389953363</v>
      </c>
      <c r="AM43" s="85">
        <f t="shared" ca="1" si="21"/>
        <v>-33315.431295400711</v>
      </c>
      <c r="AN43" s="85">
        <f t="shared" ca="1" si="21"/>
        <v>-33625.097245089702</v>
      </c>
      <c r="AO43" s="86">
        <f t="shared" ca="1" si="21"/>
        <v>-201532.05312129902</v>
      </c>
    </row>
    <row r="44" spans="1:41" ht="16.149999999999999" customHeight="1" x14ac:dyDescent="0.3">
      <c r="B44" s="14" t="s">
        <v>83</v>
      </c>
      <c r="C44" s="45">
        <f t="shared" ref="C44:AO44" ca="1" si="22">SUM(C26,C31,C43)</f>
        <v>-34016.449735577153</v>
      </c>
      <c r="D44" s="45">
        <f t="shared" ca="1" si="22"/>
        <v>55995.044888078628</v>
      </c>
      <c r="E44" s="45">
        <f t="shared" ca="1" si="22"/>
        <v>37313.700802057181</v>
      </c>
      <c r="F44" s="45">
        <f t="shared" ca="1" si="22"/>
        <v>45061.227683777644</v>
      </c>
      <c r="G44" s="45">
        <f t="shared" ca="1" si="22"/>
        <v>-1008.0948968675693</v>
      </c>
      <c r="H44" s="45">
        <f t="shared" ca="1" si="22"/>
        <v>101545.43482520711</v>
      </c>
      <c r="I44" s="45">
        <f t="shared" ca="1" si="22"/>
        <v>13594.823947304842</v>
      </c>
      <c r="J44" s="45">
        <f t="shared" ca="1" si="22"/>
        <v>73500.022872035915</v>
      </c>
      <c r="K44" s="45">
        <f t="shared" ca="1" si="22"/>
        <v>-11117.205084953228</v>
      </c>
      <c r="L44" s="45">
        <f t="shared" ca="1" si="22"/>
        <v>127389.85674300384</v>
      </c>
      <c r="M44" s="45">
        <f t="shared" ca="1" si="22"/>
        <v>-42686.978538622934</v>
      </c>
      <c r="N44" s="45">
        <f t="shared" ca="1" si="22"/>
        <v>81206.510575374443</v>
      </c>
      <c r="O44" s="46">
        <f t="shared" ca="1" si="22"/>
        <v>446777.89408081846</v>
      </c>
      <c r="P44" s="45">
        <f t="shared" ca="1" si="22"/>
        <v>-34800.927847378654</v>
      </c>
      <c r="Q44" s="45">
        <f t="shared" ca="1" si="22"/>
        <v>75039.373074280244</v>
      </c>
      <c r="R44" s="45">
        <f t="shared" ca="1" si="22"/>
        <v>35559.397267828776</v>
      </c>
      <c r="S44" s="45">
        <f t="shared" ca="1" si="22"/>
        <v>42420.976837721129</v>
      </c>
      <c r="T44" s="45">
        <f t="shared" ca="1" si="22"/>
        <v>39649.648343097411</v>
      </c>
      <c r="U44" s="45">
        <f t="shared" ca="1" si="22"/>
        <v>-5447.1986066395184</v>
      </c>
      <c r="V44" s="45">
        <f t="shared" ca="1" si="22"/>
        <v>15275.320101279198</v>
      </c>
      <c r="W44" s="45">
        <f t="shared" ca="1" si="22"/>
        <v>-349439.16430732294</v>
      </c>
      <c r="X44" s="45">
        <f t="shared" ca="1" si="22"/>
        <v>3550.6254776232417</v>
      </c>
      <c r="Y44" s="45">
        <f t="shared" ca="1" si="22"/>
        <v>146491.18999375237</v>
      </c>
      <c r="Z44" s="45">
        <f t="shared" ca="1" si="22"/>
        <v>-104738.79065140901</v>
      </c>
      <c r="AA44" s="45">
        <f t="shared" ca="1" si="22"/>
        <v>58252.777534318942</v>
      </c>
      <c r="AB44" s="46">
        <f t="shared" ca="1" si="22"/>
        <v>-78186.772782848944</v>
      </c>
      <c r="AC44" s="45">
        <f t="shared" ca="1" si="22"/>
        <v>-8718.1964117776915</v>
      </c>
      <c r="AD44" s="45">
        <f t="shared" ca="1" si="22"/>
        <v>-555976.99748897308</v>
      </c>
      <c r="AE44" s="45">
        <f t="shared" ca="1" si="22"/>
        <v>17037.039070166764</v>
      </c>
      <c r="AF44" s="45">
        <f t="shared" ca="1" si="22"/>
        <v>67322.231005650538</v>
      </c>
      <c r="AG44" s="45">
        <f t="shared" ca="1" si="22"/>
        <v>-913.6571663923969</v>
      </c>
      <c r="AH44" s="45">
        <f t="shared" ca="1" si="22"/>
        <v>-47079.52809098459</v>
      </c>
      <c r="AI44" s="45">
        <f t="shared" ca="1" si="22"/>
        <v>6880.0788551129954</v>
      </c>
      <c r="AJ44" s="45">
        <f t="shared" ca="1" si="22"/>
        <v>126230.1611131774</v>
      </c>
      <c r="AK44" s="45">
        <f t="shared" ca="1" si="22"/>
        <v>3406.775629306565</v>
      </c>
      <c r="AL44" s="45">
        <f t="shared" ca="1" si="22"/>
        <v>158369.86756479056</v>
      </c>
      <c r="AM44" s="45">
        <f t="shared" ca="1" si="22"/>
        <v>-56289.337273919395</v>
      </c>
      <c r="AN44" s="45">
        <f t="shared" ca="1" si="22"/>
        <v>63995.72550708356</v>
      </c>
      <c r="AO44" s="46">
        <f t="shared" ca="1" si="22"/>
        <v>-225735.83768675849</v>
      </c>
    </row>
    <row r="45" spans="1:41" ht="16.149999999999999" customHeight="1" x14ac:dyDescent="0.3">
      <c r="B45" s="14" t="s">
        <v>84</v>
      </c>
      <c r="C45" s="45">
        <f ca="1">BalanceSheet!C16-BalanceSheet!C32</f>
        <v>171000</v>
      </c>
      <c r="D45" s="45">
        <f t="shared" ref="D45:N45" ca="1" si="23">C46</f>
        <v>136983.55026442284</v>
      </c>
      <c r="E45" s="45">
        <f t="shared" ca="1" si="23"/>
        <v>192978.59515250148</v>
      </c>
      <c r="F45" s="45">
        <f t="shared" ca="1" si="23"/>
        <v>230292.29595455865</v>
      </c>
      <c r="G45" s="45">
        <f t="shared" ca="1" si="23"/>
        <v>275353.52363833628</v>
      </c>
      <c r="H45" s="45">
        <f t="shared" ca="1" si="23"/>
        <v>274345.4287414687</v>
      </c>
      <c r="I45" s="45">
        <f t="shared" ca="1" si="23"/>
        <v>375890.86356667581</v>
      </c>
      <c r="J45" s="45">
        <f t="shared" ca="1" si="23"/>
        <v>389485.68751398067</v>
      </c>
      <c r="K45" s="45">
        <f t="shared" ca="1" si="23"/>
        <v>462985.71038601658</v>
      </c>
      <c r="L45" s="45">
        <f t="shared" ca="1" si="23"/>
        <v>451868.50530106336</v>
      </c>
      <c r="M45" s="45">
        <f t="shared" ca="1" si="23"/>
        <v>579258.36204406724</v>
      </c>
      <c r="N45" s="45">
        <f t="shared" ca="1" si="23"/>
        <v>536571.38350544428</v>
      </c>
      <c r="O45" s="46">
        <f ca="1">C45</f>
        <v>171000</v>
      </c>
      <c r="P45" s="45">
        <f t="shared" ref="P45:AA45" ca="1" si="24">O46</f>
        <v>617777.8940808184</v>
      </c>
      <c r="Q45" s="45">
        <f t="shared" ca="1" si="24"/>
        <v>582976.96623343974</v>
      </c>
      <c r="R45" s="45">
        <f t="shared" ca="1" si="24"/>
        <v>658016.33930771996</v>
      </c>
      <c r="S45" s="45">
        <f t="shared" ca="1" si="24"/>
        <v>693575.73657554877</v>
      </c>
      <c r="T45" s="45">
        <f t="shared" ca="1" si="24"/>
        <v>735996.71341326996</v>
      </c>
      <c r="U45" s="45">
        <f t="shared" ca="1" si="24"/>
        <v>775646.36175636738</v>
      </c>
      <c r="V45" s="45">
        <f t="shared" ca="1" si="24"/>
        <v>770199.16314972786</v>
      </c>
      <c r="W45" s="45">
        <f t="shared" ca="1" si="24"/>
        <v>785474.48325100704</v>
      </c>
      <c r="X45" s="45">
        <f t="shared" ca="1" si="24"/>
        <v>436035.31894368411</v>
      </c>
      <c r="Y45" s="45">
        <f t="shared" ca="1" si="24"/>
        <v>439585.94442130736</v>
      </c>
      <c r="Z45" s="45">
        <f t="shared" ca="1" si="24"/>
        <v>586077.1344150597</v>
      </c>
      <c r="AA45" s="45">
        <f t="shared" ca="1" si="24"/>
        <v>481338.34376365069</v>
      </c>
      <c r="AB45" s="46">
        <f ca="1">P45</f>
        <v>617777.8940808184</v>
      </c>
      <c r="AC45" s="45">
        <f t="shared" ref="AC45:AN45" ca="1" si="25">AB46</f>
        <v>539591.12129796948</v>
      </c>
      <c r="AD45" s="45">
        <f t="shared" ca="1" si="25"/>
        <v>530872.92488619185</v>
      </c>
      <c r="AE45" s="45">
        <f t="shared" ca="1" si="25"/>
        <v>-25104.072602781234</v>
      </c>
      <c r="AF45" s="45">
        <f t="shared" ca="1" si="25"/>
        <v>-8067.0335326144705</v>
      </c>
      <c r="AG45" s="45">
        <f t="shared" ca="1" si="25"/>
        <v>59255.197473036067</v>
      </c>
      <c r="AH45" s="45">
        <f t="shared" ca="1" si="25"/>
        <v>58341.54030664367</v>
      </c>
      <c r="AI45" s="45">
        <f t="shared" ca="1" si="25"/>
        <v>11262.012215659081</v>
      </c>
      <c r="AJ45" s="45">
        <f t="shared" ca="1" si="25"/>
        <v>18142.091070772076</v>
      </c>
      <c r="AK45" s="45">
        <f t="shared" ca="1" si="25"/>
        <v>144372.25218394946</v>
      </c>
      <c r="AL45" s="45">
        <f t="shared" ca="1" si="25"/>
        <v>147779.02781325602</v>
      </c>
      <c r="AM45" s="45">
        <f t="shared" ca="1" si="25"/>
        <v>306148.89537804655</v>
      </c>
      <c r="AN45" s="45">
        <f t="shared" ca="1" si="25"/>
        <v>249859.55810412715</v>
      </c>
      <c r="AO45" s="46">
        <f ca="1">AC45</f>
        <v>539591.12129796948</v>
      </c>
    </row>
    <row r="46" spans="1:41" ht="16.149999999999999" customHeight="1" thickBot="1" x14ac:dyDescent="0.35">
      <c r="B46" s="2" t="s">
        <v>85</v>
      </c>
      <c r="C46" s="88">
        <f t="shared" ref="C46:AO46" ca="1" si="26">SUM(C44,C45)</f>
        <v>136983.55026442284</v>
      </c>
      <c r="D46" s="88">
        <f t="shared" ca="1" si="26"/>
        <v>192978.59515250148</v>
      </c>
      <c r="E46" s="88">
        <f t="shared" ca="1" si="26"/>
        <v>230292.29595455865</v>
      </c>
      <c r="F46" s="88">
        <f t="shared" ca="1" si="26"/>
        <v>275353.52363833628</v>
      </c>
      <c r="G46" s="88">
        <f t="shared" ca="1" si="26"/>
        <v>274345.4287414687</v>
      </c>
      <c r="H46" s="88">
        <f t="shared" ca="1" si="26"/>
        <v>375890.86356667581</v>
      </c>
      <c r="I46" s="88">
        <f t="shared" ca="1" si="26"/>
        <v>389485.68751398067</v>
      </c>
      <c r="J46" s="88">
        <f t="shared" ca="1" si="26"/>
        <v>462985.71038601658</v>
      </c>
      <c r="K46" s="88">
        <f t="shared" ca="1" si="26"/>
        <v>451868.50530106336</v>
      </c>
      <c r="L46" s="88">
        <f t="shared" ca="1" si="26"/>
        <v>579258.36204406724</v>
      </c>
      <c r="M46" s="88">
        <f t="shared" ca="1" si="26"/>
        <v>536571.38350544428</v>
      </c>
      <c r="N46" s="88">
        <f t="shared" ca="1" si="26"/>
        <v>617777.89408081875</v>
      </c>
      <c r="O46" s="88">
        <f t="shared" ca="1" si="26"/>
        <v>617777.8940808184</v>
      </c>
      <c r="P46" s="88">
        <f t="shared" ca="1" si="26"/>
        <v>582976.96623343974</v>
      </c>
      <c r="Q46" s="88">
        <f t="shared" ca="1" si="26"/>
        <v>658016.33930771996</v>
      </c>
      <c r="R46" s="88">
        <f t="shared" ca="1" si="26"/>
        <v>693575.73657554877</v>
      </c>
      <c r="S46" s="88">
        <f t="shared" ca="1" si="26"/>
        <v>735996.71341326996</v>
      </c>
      <c r="T46" s="88">
        <f t="shared" ca="1" si="26"/>
        <v>775646.36175636738</v>
      </c>
      <c r="U46" s="88">
        <f t="shared" ca="1" si="26"/>
        <v>770199.16314972786</v>
      </c>
      <c r="V46" s="88">
        <f t="shared" ca="1" si="26"/>
        <v>785474.48325100704</v>
      </c>
      <c r="W46" s="88">
        <f t="shared" ca="1" si="26"/>
        <v>436035.31894368411</v>
      </c>
      <c r="X46" s="88">
        <f t="shared" ca="1" si="26"/>
        <v>439585.94442130736</v>
      </c>
      <c r="Y46" s="88">
        <f t="shared" ca="1" si="26"/>
        <v>586077.1344150597</v>
      </c>
      <c r="Z46" s="88">
        <f t="shared" ca="1" si="26"/>
        <v>481338.34376365069</v>
      </c>
      <c r="AA46" s="88">
        <f t="shared" ca="1" si="26"/>
        <v>539591.1212979696</v>
      </c>
      <c r="AB46" s="88">
        <f t="shared" ca="1" si="26"/>
        <v>539591.12129796948</v>
      </c>
      <c r="AC46" s="88">
        <f t="shared" ca="1" si="26"/>
        <v>530872.92488619185</v>
      </c>
      <c r="AD46" s="88">
        <f t="shared" ca="1" si="26"/>
        <v>-25104.072602781234</v>
      </c>
      <c r="AE46" s="88">
        <f t="shared" ca="1" si="26"/>
        <v>-8067.0335326144705</v>
      </c>
      <c r="AF46" s="88">
        <f t="shared" ca="1" si="26"/>
        <v>59255.197473036067</v>
      </c>
      <c r="AG46" s="88">
        <f t="shared" ca="1" si="26"/>
        <v>58341.54030664367</v>
      </c>
      <c r="AH46" s="88">
        <f t="shared" ca="1" si="26"/>
        <v>11262.012215659081</v>
      </c>
      <c r="AI46" s="88">
        <f t="shared" ca="1" si="26"/>
        <v>18142.091070772076</v>
      </c>
      <c r="AJ46" s="88">
        <f t="shared" ca="1" si="26"/>
        <v>144372.25218394946</v>
      </c>
      <c r="AK46" s="88">
        <f t="shared" ca="1" si="26"/>
        <v>147779.02781325602</v>
      </c>
      <c r="AL46" s="88">
        <f t="shared" ca="1" si="26"/>
        <v>306148.89537804655</v>
      </c>
      <c r="AM46" s="88">
        <f t="shared" ca="1" si="26"/>
        <v>249859.55810412715</v>
      </c>
      <c r="AN46" s="88">
        <f t="shared" ca="1" si="26"/>
        <v>313855.2836112107</v>
      </c>
      <c r="AO46" s="88">
        <f t="shared" ca="1" si="26"/>
        <v>313855.28361121099</v>
      </c>
    </row>
    <row r="47" spans="1:41" ht="16.149999999999999" customHeight="1" thickTop="1" x14ac:dyDescent="0.3"/>
  </sheetData>
  <pageMargins left="0.59055118110236227" right="0.59055118110236227" top="0.59055118110236227" bottom="0.59055118110236227" header="0.39370078740157483" footer="0.39370078740157483"/>
  <pageSetup paperSize="9" scale="65" fitToWidth="3" orientation="landscape"/>
  <headerFooter>
    <oddFooter>&amp;C&amp;9Page &amp;P of &amp;N</oddFooter>
  </headerFooter>
  <colBreaks count="2" manualBreakCount="2">
    <brk id="15" max="33" man="1"/>
    <brk id="28" max="33" man="1"/>
  </colBreaks>
  <ignoredErrors>
    <ignoredError sqref="O23:O24 AB23:AB24 AO23 O45 AB45 AB39 O39 O40:O42 AB40:AB42"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P83"/>
  <sheetViews>
    <sheetView zoomScale="95" zoomScaleNormal="95" workbookViewId="0">
      <pane xSplit="2" ySplit="4" topLeftCell="C5" activePane="bottomRight" state="frozen"/>
      <selection pane="topRight" activeCell="C1" sqref="C1"/>
      <selection pane="bottomLeft" activeCell="A5" sqref="A5"/>
      <selection pane="bottomRight" activeCell="B4" sqref="B4"/>
    </sheetView>
  </sheetViews>
  <sheetFormatPr defaultColWidth="9.140625" defaultRowHeight="16.149999999999999" customHeight="1" x14ac:dyDescent="0.3"/>
  <cols>
    <col min="1" max="1" width="5.7109375" style="153" customWidth="1"/>
    <col min="2" max="2" width="35.7109375" style="14" customWidth="1"/>
    <col min="3" max="7" width="12.7109375" style="11" customWidth="1"/>
    <col min="8" max="15" width="12.7109375" style="5" customWidth="1"/>
    <col min="16" max="16" width="12.7109375" style="10" customWidth="1"/>
    <col min="17" max="28" width="12.7109375" style="5" customWidth="1"/>
    <col min="29" max="29" width="12.7109375" style="10" customWidth="1"/>
    <col min="30" max="41" width="12.7109375" style="5" customWidth="1"/>
    <col min="42" max="42" width="12.7109375" style="10" customWidth="1"/>
    <col min="43" max="76" width="9.140625" style="5" customWidth="1"/>
    <col min="77" max="16384" width="9.140625" style="5"/>
  </cols>
  <sheetData>
    <row r="1" spans="1:42" ht="16.149999999999999" customHeight="1" x14ac:dyDescent="0.3">
      <c r="B1" s="142" t="str">
        <f>IF(ISBLANK(Assumptions!$C$4),"Example Limited",Assumptions!$C$4)</f>
        <v>Example (Pty) Limited</v>
      </c>
      <c r="C1" s="3"/>
      <c r="O1" s="89"/>
      <c r="P1" s="89"/>
      <c r="AB1" s="89"/>
      <c r="AC1" s="89"/>
      <c r="AO1" s="89"/>
      <c r="AP1" s="89"/>
    </row>
    <row r="2" spans="1:42" ht="16.149999999999999" customHeight="1" x14ac:dyDescent="0.3">
      <c r="B2" s="6" t="s">
        <v>69</v>
      </c>
      <c r="C2" s="3"/>
    </row>
    <row r="3" spans="1:42" ht="16.149999999999999" customHeight="1" x14ac:dyDescent="0.3">
      <c r="B3" s="73" t="s">
        <v>59</v>
      </c>
    </row>
    <row r="4" spans="1:42" s="92" customFormat="1" ht="18" customHeight="1" x14ac:dyDescent="0.25">
      <c r="A4" s="154"/>
      <c r="B4" s="90"/>
      <c r="C4" s="91">
        <f ca="1">IF(ISBLANK(Assumptions!$C$5)=TRUE,DATE(YEAR(TODAY()),MONTH(TODAY())+1,0),DATE(YEAR(Assumptions!$C$5),MONTH(Assumptions!$C$5),0))</f>
        <v>44255</v>
      </c>
      <c r="D4" s="36">
        <f ca="1">IF(ISBLANK(Assumptions!$C$5)=TRUE,DATE(YEAR(TODAY()),MONTH(TODAY())+1,0),DATE(YEAR(Assumptions!$C$5),MONTH(Assumptions!$C$5)+1,0))</f>
        <v>44286</v>
      </c>
      <c r="E4" s="36">
        <f ca="1">DATE(YEAR(D4),MONTH(D4)+2,0)</f>
        <v>44316</v>
      </c>
      <c r="F4" s="36">
        <f t="shared" ref="F4:N4" ca="1" si="0">DATE(YEAR(E4),MONTH(E4)+2,0)</f>
        <v>44347</v>
      </c>
      <c r="G4" s="36">
        <f t="shared" ca="1" si="0"/>
        <v>44377</v>
      </c>
      <c r="H4" s="36">
        <f t="shared" ca="1" si="0"/>
        <v>44408</v>
      </c>
      <c r="I4" s="36">
        <f t="shared" ca="1" si="0"/>
        <v>44439</v>
      </c>
      <c r="J4" s="36">
        <f t="shared" ca="1" si="0"/>
        <v>44469</v>
      </c>
      <c r="K4" s="36">
        <f t="shared" ca="1" si="0"/>
        <v>44500</v>
      </c>
      <c r="L4" s="36">
        <f t="shared" ca="1" si="0"/>
        <v>44530</v>
      </c>
      <c r="M4" s="36">
        <f t="shared" ca="1" si="0"/>
        <v>44561</v>
      </c>
      <c r="N4" s="36">
        <f t="shared" ca="1" si="0"/>
        <v>44592</v>
      </c>
      <c r="O4" s="36">
        <f ca="1">DATE(YEAR(N4),MONTH(N4)+2,0)</f>
        <v>44620</v>
      </c>
      <c r="P4" s="74" t="str">
        <f ca="1">"Year-"&amp;YEAR(O4)</f>
        <v>Year-2022</v>
      </c>
      <c r="Q4" s="36">
        <f ca="1">DATE(YEAR(O4),MONTH(O4)+2,0)</f>
        <v>44651</v>
      </c>
      <c r="R4" s="36">
        <f t="shared" ref="R4:AB4" ca="1" si="1">DATE(YEAR(Q4),MONTH(Q4)+2,0)</f>
        <v>44681</v>
      </c>
      <c r="S4" s="36">
        <f t="shared" ca="1" si="1"/>
        <v>44712</v>
      </c>
      <c r="T4" s="36">
        <f t="shared" ca="1" si="1"/>
        <v>44742</v>
      </c>
      <c r="U4" s="36">
        <f t="shared" ca="1" si="1"/>
        <v>44773</v>
      </c>
      <c r="V4" s="36">
        <f t="shared" ca="1" si="1"/>
        <v>44804</v>
      </c>
      <c r="W4" s="36">
        <f t="shared" ca="1" si="1"/>
        <v>44834</v>
      </c>
      <c r="X4" s="36">
        <f t="shared" ca="1" si="1"/>
        <v>44865</v>
      </c>
      <c r="Y4" s="36">
        <f t="shared" ca="1" si="1"/>
        <v>44895</v>
      </c>
      <c r="Z4" s="36">
        <f t="shared" ca="1" si="1"/>
        <v>44926</v>
      </c>
      <c r="AA4" s="36">
        <f t="shared" ca="1" si="1"/>
        <v>44957</v>
      </c>
      <c r="AB4" s="36">
        <f t="shared" ca="1" si="1"/>
        <v>44985</v>
      </c>
      <c r="AC4" s="74" t="str">
        <f ca="1">"Year-"&amp;YEAR(AB4)</f>
        <v>Year-2023</v>
      </c>
      <c r="AD4" s="36">
        <f ca="1">DATE(YEAR(AB4),MONTH(AB4)+2,0)</f>
        <v>45016</v>
      </c>
      <c r="AE4" s="36">
        <f t="shared" ref="AE4:AO4" ca="1" si="2">DATE(YEAR(AD4),MONTH(AD4)+2,0)</f>
        <v>45046</v>
      </c>
      <c r="AF4" s="36">
        <f t="shared" ca="1" si="2"/>
        <v>45077</v>
      </c>
      <c r="AG4" s="36">
        <f t="shared" ca="1" si="2"/>
        <v>45107</v>
      </c>
      <c r="AH4" s="36">
        <f t="shared" ca="1" si="2"/>
        <v>45138</v>
      </c>
      <c r="AI4" s="36">
        <f t="shared" ca="1" si="2"/>
        <v>45169</v>
      </c>
      <c r="AJ4" s="36">
        <f t="shared" ca="1" si="2"/>
        <v>45199</v>
      </c>
      <c r="AK4" s="36">
        <f t="shared" ca="1" si="2"/>
        <v>45230</v>
      </c>
      <c r="AL4" s="36">
        <f t="shared" ca="1" si="2"/>
        <v>45260</v>
      </c>
      <c r="AM4" s="36">
        <f t="shared" ca="1" si="2"/>
        <v>45291</v>
      </c>
      <c r="AN4" s="36">
        <f t="shared" ca="1" si="2"/>
        <v>45322</v>
      </c>
      <c r="AO4" s="36">
        <f t="shared" ca="1" si="2"/>
        <v>45351</v>
      </c>
      <c r="AP4" s="74" t="str">
        <f ca="1">"Year-"&amp;YEAR(AO4)</f>
        <v>Year-2024</v>
      </c>
    </row>
    <row r="5" spans="1:42" s="10" customFormat="1" ht="16.149999999999999" customHeight="1" x14ac:dyDescent="0.3">
      <c r="A5" s="153"/>
      <c r="B5" s="2" t="s">
        <v>90</v>
      </c>
      <c r="C5" s="42"/>
      <c r="D5" s="93"/>
      <c r="E5" s="42"/>
      <c r="F5" s="42"/>
      <c r="G5" s="42"/>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row>
    <row r="6" spans="1:42" s="10" customFormat="1" ht="16.149999999999999" customHeight="1" x14ac:dyDescent="0.3">
      <c r="A6" s="153"/>
      <c r="B6" s="2" t="s">
        <v>91</v>
      </c>
      <c r="C6" s="46"/>
      <c r="D6" s="95"/>
      <c r="E6" s="46"/>
      <c r="F6" s="46"/>
      <c r="G6" s="46"/>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row>
    <row r="7" spans="1:42" ht="16.149999999999999" customHeight="1" x14ac:dyDescent="0.3">
      <c r="A7" s="153" t="s">
        <v>110</v>
      </c>
      <c r="B7" s="14" t="s">
        <v>51</v>
      </c>
      <c r="C7" s="45">
        <f ca="1">SUMIF(Assumptions!$A$71:$C$95,$A7,Assumptions!$C$71:$C$95)</f>
        <v>1050000</v>
      </c>
      <c r="D7" s="45">
        <f ca="1">C7-CashFlow!C28-CashFlow!C10</f>
        <v>1035000</v>
      </c>
      <c r="E7" s="45">
        <f ca="1">D7-CashFlow!D28-CashFlow!D10</f>
        <v>1020000</v>
      </c>
      <c r="F7" s="45">
        <f ca="1">E7-CashFlow!E28-CashFlow!E10</f>
        <v>1005000</v>
      </c>
      <c r="G7" s="45">
        <f ca="1">F7-CashFlow!F28-CashFlow!F10</f>
        <v>990000</v>
      </c>
      <c r="H7" s="45">
        <f ca="1">G7-CashFlow!G28-CashFlow!G10</f>
        <v>975000</v>
      </c>
      <c r="I7" s="45">
        <f ca="1">H7-CashFlow!H28-CashFlow!H10</f>
        <v>960000</v>
      </c>
      <c r="J7" s="45">
        <f ca="1">I7-CashFlow!I28-CashFlow!I10</f>
        <v>945000</v>
      </c>
      <c r="K7" s="45">
        <f ca="1">J7-CashFlow!J28-CashFlow!J10</f>
        <v>930000</v>
      </c>
      <c r="L7" s="45">
        <f ca="1">K7-CashFlow!K28-CashFlow!K10</f>
        <v>915000</v>
      </c>
      <c r="M7" s="45">
        <f ca="1">L7-CashFlow!L28-CashFlow!L10</f>
        <v>900000</v>
      </c>
      <c r="N7" s="45">
        <f ca="1">M7-CashFlow!M28-CashFlow!M10</f>
        <v>1121000</v>
      </c>
      <c r="O7" s="45">
        <f ca="1">N7-CashFlow!N28-CashFlow!N10</f>
        <v>1102000</v>
      </c>
      <c r="P7" s="46">
        <f ca="1">O7</f>
        <v>1102000</v>
      </c>
      <c r="Q7" s="45">
        <f ca="1">P7-CashFlow!P28-CashFlow!P10</f>
        <v>1083000</v>
      </c>
      <c r="R7" s="45">
        <f ca="1">Q7-CashFlow!Q28-CashFlow!Q10</f>
        <v>1064000</v>
      </c>
      <c r="S7" s="45">
        <f ca="1">R7-CashFlow!R28-CashFlow!R10</f>
        <v>1045000</v>
      </c>
      <c r="T7" s="45">
        <f ca="1">S7-CashFlow!S28-CashFlow!S10</f>
        <v>1026000</v>
      </c>
      <c r="U7" s="45">
        <f ca="1">T7-CashFlow!T28-CashFlow!T10</f>
        <v>1007000</v>
      </c>
      <c r="V7" s="45">
        <f ca="1">U7-CashFlow!U28-CashFlow!U10</f>
        <v>1283000</v>
      </c>
      <c r="W7" s="45">
        <f ca="1">V7-CashFlow!V28-CashFlow!V10</f>
        <v>1259000</v>
      </c>
      <c r="X7" s="45">
        <f ca="1">W7-CashFlow!W28-CashFlow!W10</f>
        <v>1235000</v>
      </c>
      <c r="Y7" s="45">
        <f ca="1">X7-CashFlow!X28-CashFlow!X10</f>
        <v>1211000</v>
      </c>
      <c r="Z7" s="45">
        <f ca="1">Y7-CashFlow!Y28-CashFlow!Y10</f>
        <v>1187000</v>
      </c>
      <c r="AA7" s="45">
        <f ca="1">Z7-CashFlow!Z28-CashFlow!Z10</f>
        <v>1163000</v>
      </c>
      <c r="AB7" s="45">
        <f ca="1">AA7-CashFlow!AA28-CashFlow!AA10</f>
        <v>1139000</v>
      </c>
      <c r="AC7" s="46">
        <f ca="1">AB7</f>
        <v>1139000</v>
      </c>
      <c r="AD7" s="45">
        <f ca="1">AC7-CashFlow!AC28-CashFlow!AC10</f>
        <v>1115000</v>
      </c>
      <c r="AE7" s="45">
        <f ca="1">AD7-CashFlow!AD28-CashFlow!AD10</f>
        <v>1268000</v>
      </c>
      <c r="AF7" s="45">
        <f ca="1">AE7-CashFlow!AE28-CashFlow!AE10</f>
        <v>1241000</v>
      </c>
      <c r="AG7" s="45">
        <f ca="1">AF7-CashFlow!AF28-CashFlow!AF10</f>
        <v>1214000</v>
      </c>
      <c r="AH7" s="45">
        <f ca="1">AG7-CashFlow!AG28-CashFlow!AG10</f>
        <v>1187000</v>
      </c>
      <c r="AI7" s="45">
        <f ca="1">AH7-CashFlow!AH28-CashFlow!AH10</f>
        <v>1162000</v>
      </c>
      <c r="AJ7" s="45">
        <f ca="1">AI7-CashFlow!AI28-CashFlow!AI10</f>
        <v>1137000</v>
      </c>
      <c r="AK7" s="45">
        <f ca="1">AJ7-CashFlow!AJ28-CashFlow!AJ10</f>
        <v>1112000</v>
      </c>
      <c r="AL7" s="45">
        <f ca="1">AK7-CashFlow!AK28-CashFlow!AK10</f>
        <v>1087000</v>
      </c>
      <c r="AM7" s="45">
        <f ca="1">AL7-CashFlow!AL28-CashFlow!AL10</f>
        <v>1062000</v>
      </c>
      <c r="AN7" s="45">
        <f ca="1">AM7-CashFlow!AM28-CashFlow!AM10</f>
        <v>1037000</v>
      </c>
      <c r="AO7" s="45">
        <f ca="1">AN7-CashFlow!AN28-CashFlow!AN10</f>
        <v>1012000</v>
      </c>
      <c r="AP7" s="46">
        <f ca="1">AO7</f>
        <v>1012000</v>
      </c>
    </row>
    <row r="8" spans="1:42" ht="16.149999999999999" customHeight="1" x14ac:dyDescent="0.3">
      <c r="A8" s="153" t="s">
        <v>114</v>
      </c>
      <c r="B8" s="14" t="s">
        <v>95</v>
      </c>
      <c r="C8" s="45">
        <f ca="1">SUMIF(Assumptions!$A$71:$C$95,$A8,Assumptions!$C$71:$C$95)</f>
        <v>120000</v>
      </c>
      <c r="D8" s="45">
        <f ca="1">C8-CashFlow!C29-CashFlow!C11</f>
        <v>119000</v>
      </c>
      <c r="E8" s="45">
        <f ca="1">D8-CashFlow!D29-CashFlow!D11</f>
        <v>118000</v>
      </c>
      <c r="F8" s="45">
        <f ca="1">E8-CashFlow!E29-CashFlow!E11</f>
        <v>117000</v>
      </c>
      <c r="G8" s="45">
        <f ca="1">F8-CashFlow!F29-CashFlow!F11</f>
        <v>116000</v>
      </c>
      <c r="H8" s="45">
        <f ca="1">G8-CashFlow!G29-CashFlow!G11</f>
        <v>115000</v>
      </c>
      <c r="I8" s="45">
        <f ca="1">H8-CashFlow!H29-CashFlow!H11</f>
        <v>114000</v>
      </c>
      <c r="J8" s="45">
        <f ca="1">I8-CashFlow!I29-CashFlow!I11</f>
        <v>113000</v>
      </c>
      <c r="K8" s="45">
        <f ca="1">J8-CashFlow!J29-CashFlow!J11</f>
        <v>112000</v>
      </c>
      <c r="L8" s="45">
        <f ca="1">K8-CashFlow!K29-CashFlow!K11</f>
        <v>111000</v>
      </c>
      <c r="M8" s="45">
        <f ca="1">L8-CashFlow!L29-CashFlow!L11</f>
        <v>110000</v>
      </c>
      <c r="N8" s="45">
        <f ca="1">M8-CashFlow!M29-CashFlow!M11</f>
        <v>109000</v>
      </c>
      <c r="O8" s="45">
        <f ca="1">N8-CashFlow!N29-CashFlow!N11</f>
        <v>108000</v>
      </c>
      <c r="P8" s="46">
        <f t="shared" ref="P8:P9" ca="1" si="3">O8</f>
        <v>108000</v>
      </c>
      <c r="Q8" s="45">
        <f ca="1">P8-CashFlow!P29-CashFlow!P11</f>
        <v>107000</v>
      </c>
      <c r="R8" s="45">
        <f ca="1">Q8-CashFlow!Q29-CashFlow!Q11</f>
        <v>106000</v>
      </c>
      <c r="S8" s="45">
        <f ca="1">R8-CashFlow!R29-CashFlow!R11</f>
        <v>105000</v>
      </c>
      <c r="T8" s="45">
        <f ca="1">S8-CashFlow!S29-CashFlow!S11</f>
        <v>104000</v>
      </c>
      <c r="U8" s="45">
        <f ca="1">T8-CashFlow!T29-CashFlow!T11</f>
        <v>103000</v>
      </c>
      <c r="V8" s="45">
        <f ca="1">U8-CashFlow!U29-CashFlow!U11</f>
        <v>102000</v>
      </c>
      <c r="W8" s="45">
        <f ca="1">V8-CashFlow!V29-CashFlow!V11</f>
        <v>101000</v>
      </c>
      <c r="X8" s="45">
        <f ca="1">W8-CashFlow!W29-CashFlow!W11</f>
        <v>100000</v>
      </c>
      <c r="Y8" s="45">
        <f ca="1">X8-CashFlow!X29-CashFlow!X11</f>
        <v>99000</v>
      </c>
      <c r="Z8" s="45">
        <f ca="1">Y8-CashFlow!Y29-CashFlow!Y11</f>
        <v>98000</v>
      </c>
      <c r="AA8" s="45">
        <f ca="1">Z8-CashFlow!Z29-CashFlow!Z11</f>
        <v>97000</v>
      </c>
      <c r="AB8" s="45">
        <f ca="1">AA8-CashFlow!AA29-CashFlow!AA11</f>
        <v>96000</v>
      </c>
      <c r="AC8" s="46">
        <f t="shared" ref="AC8:AC9" ca="1" si="4">AB8</f>
        <v>96000</v>
      </c>
      <c r="AD8" s="45">
        <f ca="1">AC8-CashFlow!AC29-CashFlow!AC11</f>
        <v>95000</v>
      </c>
      <c r="AE8" s="45">
        <f ca="1">AD8-CashFlow!AD29-CashFlow!AD11</f>
        <v>94000</v>
      </c>
      <c r="AF8" s="45">
        <f ca="1">AE8-CashFlow!AE29-CashFlow!AE11</f>
        <v>93000</v>
      </c>
      <c r="AG8" s="45">
        <f ca="1">AF8-CashFlow!AF29-CashFlow!AF11</f>
        <v>92000</v>
      </c>
      <c r="AH8" s="45">
        <f ca="1">AG8-CashFlow!AG29-CashFlow!AG11</f>
        <v>91000</v>
      </c>
      <c r="AI8" s="45">
        <f ca="1">AH8-CashFlow!AH29-CashFlow!AH11</f>
        <v>90000</v>
      </c>
      <c r="AJ8" s="45">
        <f ca="1">AI8-CashFlow!AI29-CashFlow!AI11</f>
        <v>89000</v>
      </c>
      <c r="AK8" s="45">
        <f ca="1">AJ8-CashFlow!AJ29-CashFlow!AJ11</f>
        <v>88000</v>
      </c>
      <c r="AL8" s="45">
        <f ca="1">AK8-CashFlow!AK29-CashFlow!AK11</f>
        <v>87000</v>
      </c>
      <c r="AM8" s="45">
        <f ca="1">AL8-CashFlow!AL29-CashFlow!AL11</f>
        <v>86000</v>
      </c>
      <c r="AN8" s="45">
        <f ca="1">AM8-CashFlow!AM29-CashFlow!AM11</f>
        <v>85000</v>
      </c>
      <c r="AO8" s="45">
        <f ca="1">AN8-CashFlow!AN29-CashFlow!AN11</f>
        <v>84000</v>
      </c>
      <c r="AP8" s="46">
        <f t="shared" ref="AP8:AP9" ca="1" si="5">AO8</f>
        <v>84000</v>
      </c>
    </row>
    <row r="9" spans="1:42" ht="16.149999999999999" customHeight="1" x14ac:dyDescent="0.3">
      <c r="A9" s="153" t="s">
        <v>115</v>
      </c>
      <c r="B9" s="14" t="s">
        <v>92</v>
      </c>
      <c r="C9" s="45">
        <f ca="1">SUMIF(Assumptions!$A$71:$C$95,$A9,Assumptions!$C$71:$C$95)</f>
        <v>800000</v>
      </c>
      <c r="D9" s="45">
        <f ca="1">C9-CashFlow!C30</f>
        <v>800000</v>
      </c>
      <c r="E9" s="45">
        <f ca="1">D9-CashFlow!D30</f>
        <v>800000</v>
      </c>
      <c r="F9" s="45">
        <f ca="1">E9-CashFlow!E30</f>
        <v>800000</v>
      </c>
      <c r="G9" s="45">
        <f ca="1">F9-CashFlow!F30</f>
        <v>800000</v>
      </c>
      <c r="H9" s="45">
        <f ca="1">G9-CashFlow!G30</f>
        <v>800000</v>
      </c>
      <c r="I9" s="45">
        <f ca="1">H9-CashFlow!H30</f>
        <v>800000</v>
      </c>
      <c r="J9" s="45">
        <f ca="1">I9-CashFlow!I30</f>
        <v>800000</v>
      </c>
      <c r="K9" s="45">
        <f ca="1">J9-CashFlow!J30</f>
        <v>800000</v>
      </c>
      <c r="L9" s="45">
        <f ca="1">K9-CashFlow!K30</f>
        <v>800000</v>
      </c>
      <c r="M9" s="45">
        <f ca="1">L9-CashFlow!L30</f>
        <v>800000</v>
      </c>
      <c r="N9" s="45">
        <f ca="1">M9-CashFlow!M30</f>
        <v>800000</v>
      </c>
      <c r="O9" s="45">
        <f ca="1">N9-CashFlow!N30</f>
        <v>800000</v>
      </c>
      <c r="P9" s="46">
        <f t="shared" ca="1" si="3"/>
        <v>800000</v>
      </c>
      <c r="Q9" s="45">
        <f ca="1">P9-CashFlow!P30</f>
        <v>800000</v>
      </c>
      <c r="R9" s="45">
        <f ca="1">Q9-CashFlow!Q30</f>
        <v>800000</v>
      </c>
      <c r="S9" s="45">
        <f ca="1">R9-CashFlow!R30</f>
        <v>800000</v>
      </c>
      <c r="T9" s="45">
        <f ca="1">S9-CashFlow!S30</f>
        <v>800000</v>
      </c>
      <c r="U9" s="45">
        <f ca="1">T9-CashFlow!T30</f>
        <v>800000</v>
      </c>
      <c r="V9" s="45">
        <f ca="1">U9-CashFlow!U30</f>
        <v>800000</v>
      </c>
      <c r="W9" s="45">
        <f ca="1">V9-CashFlow!V30</f>
        <v>800000</v>
      </c>
      <c r="X9" s="45">
        <f ca="1">W9-CashFlow!W30</f>
        <v>1200000</v>
      </c>
      <c r="Y9" s="45">
        <f ca="1">X9-CashFlow!X30</f>
        <v>1200000</v>
      </c>
      <c r="Z9" s="45">
        <f ca="1">Y9-CashFlow!Y30</f>
        <v>1200000</v>
      </c>
      <c r="AA9" s="45">
        <f ca="1">Z9-CashFlow!Z30</f>
        <v>1200000</v>
      </c>
      <c r="AB9" s="45">
        <f ca="1">AA9-CashFlow!AA30</f>
        <v>1200000</v>
      </c>
      <c r="AC9" s="46">
        <f t="shared" ca="1" si="4"/>
        <v>1200000</v>
      </c>
      <c r="AD9" s="45">
        <f ca="1">AC9-CashFlow!AC30</f>
        <v>1200000</v>
      </c>
      <c r="AE9" s="45">
        <f ca="1">AD9-CashFlow!AD30</f>
        <v>1800000</v>
      </c>
      <c r="AF9" s="45">
        <f ca="1">AE9-CashFlow!AE30</f>
        <v>1800000</v>
      </c>
      <c r="AG9" s="45">
        <f ca="1">AF9-CashFlow!AF30</f>
        <v>1800000</v>
      </c>
      <c r="AH9" s="45">
        <f ca="1">AG9-CashFlow!AG30</f>
        <v>1800000</v>
      </c>
      <c r="AI9" s="45">
        <f ca="1">AH9-CashFlow!AH30</f>
        <v>1800000</v>
      </c>
      <c r="AJ9" s="45">
        <f ca="1">AI9-CashFlow!AI30</f>
        <v>1800000</v>
      </c>
      <c r="AK9" s="45">
        <f ca="1">AJ9-CashFlow!AJ30</f>
        <v>1800000</v>
      </c>
      <c r="AL9" s="45">
        <f ca="1">AK9-CashFlow!AK30</f>
        <v>1800000</v>
      </c>
      <c r="AM9" s="45">
        <f ca="1">AL9-CashFlow!AL30</f>
        <v>1800000</v>
      </c>
      <c r="AN9" s="45">
        <f ca="1">AM9-CashFlow!AM30</f>
        <v>1800000</v>
      </c>
      <c r="AO9" s="45">
        <f ca="1">AN9-CashFlow!AN30</f>
        <v>1800000</v>
      </c>
      <c r="AP9" s="46">
        <f t="shared" ca="1" si="5"/>
        <v>1800000</v>
      </c>
    </row>
    <row r="10" spans="1:42" ht="16.149999999999999" customHeight="1" thickBot="1" x14ac:dyDescent="0.35">
      <c r="C10" s="96">
        <f t="shared" ref="C10:AP10" ca="1" si="6">SUM(C7:C9)</f>
        <v>1970000</v>
      </c>
      <c r="D10" s="96">
        <f t="shared" ca="1" si="6"/>
        <v>1954000</v>
      </c>
      <c r="E10" s="96">
        <f t="shared" ca="1" si="6"/>
        <v>1938000</v>
      </c>
      <c r="F10" s="96">
        <f t="shared" ca="1" si="6"/>
        <v>1922000</v>
      </c>
      <c r="G10" s="96">
        <f t="shared" ca="1" si="6"/>
        <v>1906000</v>
      </c>
      <c r="H10" s="96">
        <f t="shared" ca="1" si="6"/>
        <v>1890000</v>
      </c>
      <c r="I10" s="96">
        <f t="shared" ca="1" si="6"/>
        <v>1874000</v>
      </c>
      <c r="J10" s="96">
        <f t="shared" ca="1" si="6"/>
        <v>1858000</v>
      </c>
      <c r="K10" s="96">
        <f t="shared" ca="1" si="6"/>
        <v>1842000</v>
      </c>
      <c r="L10" s="96">
        <f t="shared" ca="1" si="6"/>
        <v>1826000</v>
      </c>
      <c r="M10" s="96">
        <f t="shared" ca="1" si="6"/>
        <v>1810000</v>
      </c>
      <c r="N10" s="96">
        <f t="shared" ca="1" si="6"/>
        <v>2030000</v>
      </c>
      <c r="O10" s="96">
        <f t="shared" ca="1" si="6"/>
        <v>2010000</v>
      </c>
      <c r="P10" s="58">
        <f t="shared" ca="1" si="6"/>
        <v>2010000</v>
      </c>
      <c r="Q10" s="96">
        <f t="shared" ca="1" si="6"/>
        <v>1990000</v>
      </c>
      <c r="R10" s="96">
        <f t="shared" ca="1" si="6"/>
        <v>1970000</v>
      </c>
      <c r="S10" s="96">
        <f t="shared" ca="1" si="6"/>
        <v>1950000</v>
      </c>
      <c r="T10" s="96">
        <f t="shared" ca="1" si="6"/>
        <v>1930000</v>
      </c>
      <c r="U10" s="96">
        <f t="shared" ca="1" si="6"/>
        <v>1910000</v>
      </c>
      <c r="V10" s="96">
        <f t="shared" ca="1" si="6"/>
        <v>2185000</v>
      </c>
      <c r="W10" s="96">
        <f t="shared" ca="1" si="6"/>
        <v>2160000</v>
      </c>
      <c r="X10" s="96">
        <f t="shared" ca="1" si="6"/>
        <v>2535000</v>
      </c>
      <c r="Y10" s="96">
        <f t="shared" ca="1" si="6"/>
        <v>2510000</v>
      </c>
      <c r="Z10" s="96">
        <f t="shared" ca="1" si="6"/>
        <v>2485000</v>
      </c>
      <c r="AA10" s="96">
        <f t="shared" ca="1" si="6"/>
        <v>2460000</v>
      </c>
      <c r="AB10" s="96">
        <f t="shared" ca="1" si="6"/>
        <v>2435000</v>
      </c>
      <c r="AC10" s="58">
        <f t="shared" ca="1" si="6"/>
        <v>2435000</v>
      </c>
      <c r="AD10" s="96">
        <f t="shared" ca="1" si="6"/>
        <v>2410000</v>
      </c>
      <c r="AE10" s="96">
        <f t="shared" ca="1" si="6"/>
        <v>3162000</v>
      </c>
      <c r="AF10" s="96">
        <f t="shared" ca="1" si="6"/>
        <v>3134000</v>
      </c>
      <c r="AG10" s="96">
        <f t="shared" ca="1" si="6"/>
        <v>3106000</v>
      </c>
      <c r="AH10" s="96">
        <f t="shared" ca="1" si="6"/>
        <v>3078000</v>
      </c>
      <c r="AI10" s="96">
        <f t="shared" ca="1" si="6"/>
        <v>3052000</v>
      </c>
      <c r="AJ10" s="96">
        <f t="shared" ca="1" si="6"/>
        <v>3026000</v>
      </c>
      <c r="AK10" s="96">
        <f t="shared" ca="1" si="6"/>
        <v>3000000</v>
      </c>
      <c r="AL10" s="96">
        <f t="shared" ca="1" si="6"/>
        <v>2974000</v>
      </c>
      <c r="AM10" s="96">
        <f t="shared" ca="1" si="6"/>
        <v>2948000</v>
      </c>
      <c r="AN10" s="96">
        <f t="shared" ca="1" si="6"/>
        <v>2922000</v>
      </c>
      <c r="AO10" s="96">
        <f t="shared" ca="1" si="6"/>
        <v>2896000</v>
      </c>
      <c r="AP10" s="58">
        <f t="shared" ca="1" si="6"/>
        <v>2896000</v>
      </c>
    </row>
    <row r="11" spans="1:42" s="10" customFormat="1" ht="16.149999999999999" customHeight="1" x14ac:dyDescent="0.3">
      <c r="A11" s="160"/>
      <c r="B11" s="97" t="s">
        <v>34</v>
      </c>
      <c r="C11" s="46"/>
      <c r="D11" s="46"/>
      <c r="E11" s="46"/>
      <c r="F11" s="46"/>
      <c r="G11" s="46"/>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row>
    <row r="12" spans="1:42" ht="16.149999999999999" customHeight="1" x14ac:dyDescent="0.3">
      <c r="A12" s="153" t="s">
        <v>120</v>
      </c>
      <c r="B12" s="25" t="s">
        <v>25</v>
      </c>
      <c r="C12" s="45">
        <f ca="1">SUMIF(Assumptions!$A$71:$C$95,$A12,Assumptions!$C$71:$C$95)</f>
        <v>170000</v>
      </c>
      <c r="D12" s="45">
        <f ca="1">(IF(COLUMN(D$4)-MATCH(MAX(DATE(YEAR(D$4-D$53),MONTH(D$4-D$53)+1,0),DATE(YEAR($D$4),MONTH($D$4),0)),$A$4:$AP$4,0)=0,0,SUM(OFFSET($A$54,0,MATCH(MAX(DATE(YEAR(D$4-D$53),MONTH(D$4-D$53)+1,0),DATE(YEAR($D$4),MONTH($D$4),0)),$A$4:$AP$4,0),1,COLUMN(D$4)-MATCH(MAX(DATE(YEAR(D$4-D$53),MONTH(D$4-D$53)+1,0),DATE(YEAR($D$4),MONTH($D$4),0)),$A$4:$AP$4,0))))+IF(ISNA(MATCH(DATE(YEAR(D$4-D$53),MONTH(D$4-D$53)+1,0),$A$4:$AP$4,0)),0,IF(DATE(YEAR(D$4-D$53),MONTH(D$4-D$53)+1,0)&lt;=$C$4,0,OFFSET($A$54,0,MATCH(DATE(YEAR(D$4-D$53),MONTH(D$4-D$53)+1,0),$A$4:$AP$4,0)-1,1,1)/OFFSET($A$43,0,MATCH(DATE(YEAR(D$4-D$53),MONTH(D$4-D$53)+1,0),$A$4:$AP$4,0)-1,1,1)*IF((D$4-D$53)&gt;DATE(YEAR($D$4),MONTH($D$4),0),(D$53-(D$4-DATE(YEAR(D$4-D$53),MONTH(D$4-D$53)+1,0))),0)))+IF($C$53=0,0,($C$12/$C$53*IF(DATE(YEAR($D$4),MONTH($D$4),0)&gt;(D$4-D$53),DATE(YEAR($D$4),MONTH($D$4),0)-(D$4-D$53),0))))</f>
        <v>179651.61290322579</v>
      </c>
      <c r="E12" s="45">
        <f t="shared" ref="E12:O12" ca="1" si="7">(IF(COLUMN(E$4)-MATCH(MAX(DATE(YEAR(E$4-E$53),MONTH(E$4-E$53)+1,0),DATE(YEAR($D$4),MONTH($D$4),0)),$A$4:$AP$4,0)=0,0,SUM(OFFSET($A$54,0,MATCH(MAX(DATE(YEAR(E$4-E$53),MONTH(E$4-E$53)+1,0),DATE(YEAR($D$4),MONTH($D$4),0)),$A$4:$AP$4,0),1,COLUMN(E$4)-MATCH(MAX(DATE(YEAR(E$4-E$53),MONTH(E$4-E$53)+1,0),DATE(YEAR($D$4),MONTH($D$4),0)),$A$4:$AP$4,0))))+IF(ISNA(MATCH(DATE(YEAR(E$4-E$53),MONTH(E$4-E$53)+1,0),$A$4:$AP$4,0)),0,IF(DATE(YEAR(E$4-E$53),MONTH(E$4-E$53)+1,0)&lt;=$C$4,0,OFFSET($A$54,0,MATCH(DATE(YEAR(E$4-E$53),MONTH(E$4-E$53)+1,0),$A$4:$AP$4,0)-1,1,1)/OFFSET($A$43,0,MATCH(DATE(YEAR(E$4-E$53),MONTH(E$4-E$53)+1,0),$A$4:$AP$4,0)-1,1,1)*IF((E$4-E$53)&gt;DATE(YEAR($D$4),MONTH($D$4),0),(E$53-(E$4-DATE(YEAR(E$4-E$53),MONTH(E$4-E$53)+1,0))),0)))+IF($C$53=0,0,($C$12/$C$53*IF(DATE(YEAR($D$4),MONTH($D$4),0)&gt;(E$4-E$53),DATE(YEAR($D$4),MONTH($D$4),0)-(E$4-E$53),0))))</f>
        <v>198380</v>
      </c>
      <c r="F12" s="45">
        <f t="shared" ca="1" si="7"/>
        <v>193741.93548387097</v>
      </c>
      <c r="G12" s="45">
        <f t="shared" ca="1" si="7"/>
        <v>202280</v>
      </c>
      <c r="H12" s="45">
        <f t="shared" ca="1" si="7"/>
        <v>198648.38709677421</v>
      </c>
      <c r="I12" s="45">
        <f t="shared" ca="1" si="7"/>
        <v>195000</v>
      </c>
      <c r="J12" s="45">
        <f t="shared" ca="1" si="7"/>
        <v>193280</v>
      </c>
      <c r="K12" s="45">
        <f t="shared" ca="1" si="7"/>
        <v>194477.41935483873</v>
      </c>
      <c r="L12" s="45">
        <f t="shared" ca="1" si="7"/>
        <v>203648</v>
      </c>
      <c r="M12" s="45">
        <f t="shared" ca="1" si="7"/>
        <v>158864.51612903224</v>
      </c>
      <c r="N12" s="45">
        <f t="shared" ca="1" si="7"/>
        <v>204758.70967741933</v>
      </c>
      <c r="O12" s="45">
        <f t="shared" ca="1" si="7"/>
        <v>208978.5806451613</v>
      </c>
      <c r="P12" s="46">
        <f t="shared" ref="P12:P16" ca="1" si="8">O12</f>
        <v>208978.5806451613</v>
      </c>
      <c r="Q12" s="45">
        <f t="shared" ref="Q12:AB12" ca="1" si="9">(IF(COLUMN(Q$4)-MATCH(MAX(DATE(YEAR(Q$4-Q$53),MONTH(Q$4-Q$53)+1,0),DATE(YEAR($D$4),MONTH($D$4),0)),$A$4:$AP$4,0)=0,0,SUM(OFFSET($A$54,0,MATCH(MAX(DATE(YEAR(Q$4-Q$53),MONTH(Q$4-Q$53)+1,0),DATE(YEAR($D$4),MONTH($D$4),0)),$A$4:$AP$4,0),1,COLUMN(Q$4)-MATCH(MAX(DATE(YEAR(Q$4-Q$53),MONTH(Q$4-Q$53)+1,0),DATE(YEAR($D$4),MONTH($D$4),0)),$A$4:$AP$4,0))))+IF(ISNA(MATCH(DATE(YEAR(Q$4-Q$53),MONTH(Q$4-Q$53)+1,0),$A$4:$AP$4,0)),0,IF(DATE(YEAR(Q$4-Q$53),MONTH(Q$4-Q$53)+1,0)&lt;=$C$4,0,OFFSET($A$54,0,MATCH(DATE(YEAR(Q$4-Q$53),MONTH(Q$4-Q$53)+1,0),$A$4:$AP$4,0)-1,1,1)/OFFSET($A$43,0,MATCH(DATE(YEAR(Q$4-Q$53),MONTH(Q$4-Q$53)+1,0),$A$4:$AP$4,0)-1,1,1)*IF((Q$4-Q$53)&gt;DATE(YEAR($D$4),MONTH($D$4),0),(Q$53-(Q$4-DATE(YEAR(Q$4-Q$53),MONTH(Q$4-Q$53)+1,0))),0)))+IF($C$53=0,0,($C$12/$C$53*IF(DATE(YEAR($D$4),MONTH($D$4),0)&gt;(Q$4-Q$53),DATE(YEAR($D$4),MONTH($D$4),0)-(Q$4-Q$53),0))))</f>
        <v>201414.19354838709</v>
      </c>
      <c r="R12" s="45">
        <f t="shared" ca="1" si="9"/>
        <v>203520</v>
      </c>
      <c r="S12" s="45">
        <f t="shared" ca="1" si="9"/>
        <v>192123.87096774194</v>
      </c>
      <c r="T12" s="45">
        <f t="shared" ca="1" si="9"/>
        <v>211584</v>
      </c>
      <c r="U12" s="45">
        <f t="shared" ca="1" si="9"/>
        <v>213801.29032258067</v>
      </c>
      <c r="V12" s="45">
        <f t="shared" ca="1" si="9"/>
        <v>201352.25806451612</v>
      </c>
      <c r="W12" s="45">
        <f t="shared" ca="1" si="9"/>
        <v>189224</v>
      </c>
      <c r="X12" s="45">
        <f t="shared" ca="1" si="9"/>
        <v>194460</v>
      </c>
      <c r="Y12" s="45">
        <f t="shared" ca="1" si="9"/>
        <v>214272</v>
      </c>
      <c r="Z12" s="45">
        <f t="shared" ca="1" si="9"/>
        <v>156360</v>
      </c>
      <c r="AA12" s="45">
        <f t="shared" ca="1" si="9"/>
        <v>210240</v>
      </c>
      <c r="AB12" s="45">
        <f t="shared" ca="1" si="9"/>
        <v>222336</v>
      </c>
      <c r="AC12" s="46">
        <f t="shared" ref="AC12:AC16" ca="1" si="10">AB12</f>
        <v>222336</v>
      </c>
      <c r="AD12" s="45">
        <f t="shared" ref="AD12:AO12" ca="1" si="11">(IF(COLUMN(AD$4)-MATCH(MAX(DATE(YEAR(AD$4-AD$53),MONTH(AD$4-AD$53)+1,0),DATE(YEAR($D$4),MONTH($D$4),0)),$A$4:$AP$4,0)=0,0,SUM(OFFSET($A$54,0,MATCH(MAX(DATE(YEAR(AD$4-AD$53),MONTH(AD$4-AD$53)+1,0),DATE(YEAR($D$4),MONTH($D$4),0)),$A$4:$AP$4,0),1,COLUMN(AD$4)-MATCH(MAX(DATE(YEAR(AD$4-AD$53),MONTH(AD$4-AD$53)+1,0),DATE(YEAR($D$4),MONTH($D$4),0)),$A$4:$AP$4,0))))+IF(ISNA(MATCH(DATE(YEAR(AD$4-AD$53),MONTH(AD$4-AD$53)+1,0),$A$4:$AP$4,0)),0,IF(DATE(YEAR(AD$4-AD$53),MONTH(AD$4-AD$53)+1,0)&lt;=$C$4,0,OFFSET($A$54,0,MATCH(DATE(YEAR(AD$4-AD$53),MONTH(AD$4-AD$53)+1,0),$A$4:$AP$4,0)-1,1,1)/OFFSET($A$43,0,MATCH(DATE(YEAR(AD$4-AD$53),MONTH(AD$4-AD$53)+1,0),$A$4:$AP$4,0)-1,1,1)*IF((AD$4-AD$53)&gt;DATE(YEAR($D$4),MONTH($D$4),0),(AD$53-(AD$4-DATE(YEAR(AD$4-AD$53),MONTH(AD$4-AD$53)+1,0))),0)))+IF($C$53=0,0,($C$12/$C$53*IF(DATE(YEAR($D$4),MONTH($D$4),0)&gt;(AD$4-AD$53),DATE(YEAR($D$4),MONTH($D$4),0)-(AD$4-AD$53),0))))</f>
        <v>198929.03225806452</v>
      </c>
      <c r="AE12" s="45">
        <f t="shared" ca="1" si="11"/>
        <v>216300</v>
      </c>
      <c r="AF12" s="45">
        <f t="shared" ca="1" si="11"/>
        <v>206941.93548387097</v>
      </c>
      <c r="AG12" s="45">
        <f t="shared" ca="1" si="11"/>
        <v>222000</v>
      </c>
      <c r="AH12" s="45">
        <f t="shared" ca="1" si="11"/>
        <v>213038.70967741933</v>
      </c>
      <c r="AI12" s="45">
        <f t="shared" ca="1" si="11"/>
        <v>221864.51612903224</v>
      </c>
      <c r="AJ12" s="45">
        <f t="shared" ca="1" si="11"/>
        <v>228540</v>
      </c>
      <c r="AK12" s="45">
        <f t="shared" ca="1" si="11"/>
        <v>218206.45161290324</v>
      </c>
      <c r="AL12" s="45">
        <f t="shared" ca="1" si="11"/>
        <v>233700</v>
      </c>
      <c r="AM12" s="45">
        <f t="shared" ca="1" si="11"/>
        <v>180000</v>
      </c>
      <c r="AN12" s="45">
        <f t="shared" ca="1" si="11"/>
        <v>226509.67741935482</v>
      </c>
      <c r="AO12" s="45">
        <f t="shared" ca="1" si="11"/>
        <v>232790.32258064515</v>
      </c>
      <c r="AP12" s="46">
        <f t="shared" ref="AP12:AP16" ca="1" si="12">AO12</f>
        <v>232790.32258064515</v>
      </c>
    </row>
    <row r="13" spans="1:42" ht="16.149999999999999" customHeight="1" x14ac:dyDescent="0.3">
      <c r="A13" s="153" t="s">
        <v>121</v>
      </c>
      <c r="B13" s="25" t="s">
        <v>96</v>
      </c>
      <c r="C13" s="45">
        <f ca="1">SUMIF(Assumptions!$A$71:$C$95,$A13,Assumptions!$C$71:$C$95)</f>
        <v>370000</v>
      </c>
      <c r="D13" s="45">
        <f ca="1">(IF(COLUMN(D$4)-MATCH(MAX(DATE(YEAR(D$4-D$55),MONTH(D$4-D$55)+1,0),DATE(YEAR($D$4),MONTH($D$4),0)),$A$4:$AP$4,0)=0,0,SUM(OFFSET($A$56,0,MATCH(MAX(DATE(YEAR(D$4-D$55),MONTH(D$4-D$55)+1,0),DATE(YEAR($D$4),MONTH($D$4),0)),$A$4:$AP$4,0),1,COLUMN(D$4)-MATCH(MAX(DATE(YEAR(D$4-D$55),MONTH(D$4-D$55)+1,0),DATE(YEAR($D$4),MONTH($D$4),0)),$A$4:$AP$4,0))))+IF(ISNA(MATCH(DATE(YEAR(D$4-D$55),MONTH(D$4-D$55)+1,0),$A$4:$AP$4,0)),0,IF(DATE(YEAR(D$4-D$55),MONTH(D$4-D$55)+1,0)&lt;=$C$4,0,OFFSET($A$56,0,MATCH(DATE(YEAR(D$4-D$55),MONTH(D$4-D$55)+1,0),$A$4:$AP$4,0)-1,1,1)/OFFSET($A$43,0,MATCH(DATE(YEAR(D$4-D$55),MONTH(D$4-D$55)+1,0),$A$4:$AP$4,0)-1,1,1)*IF((D$4-D$55)&gt;DATE(YEAR($D$4),MONTH($D$4),0),(D$55-(D$4-DATE(YEAR(D$4-D$55),MONTH(D$4-D$55)+1,0))),0)))+IF(C$55=0,0,($C$13/$C$55*IF(DATE(YEAR($D$4),MONTH($D$4),0)&gt;(D$4-D$55),DATE(YEAR($D$4),MONTH($D$4),0)-(D$4-D$55),0))))</f>
        <v>380798.38709677412</v>
      </c>
      <c r="E13" s="45">
        <f t="shared" ref="E13:O13" ca="1" si="13">(IF(COLUMN(E$4)-MATCH(MAX(DATE(YEAR(E$4-E$55),MONTH(E$4-E$55)+1,0),DATE(YEAR($D$4),MONTH($D$4),0)),$A$4:$AP$4,0)=0,0,SUM(OFFSET($A$56,0,MATCH(MAX(DATE(YEAR(E$4-E$55),MONTH(E$4-E$55)+1,0),DATE(YEAR($D$4),MONTH($D$4),0)),$A$4:$AP$4,0),1,COLUMN(E$4)-MATCH(MAX(DATE(YEAR(E$4-E$55),MONTH(E$4-E$55)+1,0),DATE(YEAR($D$4),MONTH($D$4),0)),$A$4:$AP$4,0))))+IF(ISNA(MATCH(DATE(YEAR(E$4-E$55),MONTH(E$4-E$55)+1,0),$A$4:$AP$4,0)),0,IF(DATE(YEAR(E$4-E$55),MONTH(E$4-E$55)+1,0)&lt;=$C$4,0,OFFSET($A$56,0,MATCH(DATE(YEAR(E$4-E$55),MONTH(E$4-E$55)+1,0),$A$4:$AP$4,0)-1,1,1)/OFFSET($A$43,0,MATCH(DATE(YEAR(E$4-E$55),MONTH(E$4-E$55)+1,0),$A$4:$AP$4,0)-1,1,1)*IF((E$4-E$55)&gt;DATE(YEAR($D$4),MONTH($D$4),0),(E$55-(E$4-DATE(YEAR(E$4-E$55),MONTH(E$4-E$55)+1,0))),0)))+IF(D$55=0,0,($C$13/$C$55*IF(DATE(YEAR($D$4),MONTH($D$4),0)&gt;(E$4-E$55),DATE(YEAR($D$4),MONTH($D$4),0)-(E$4-E$55),0))))</f>
        <v>402691.66666666663</v>
      </c>
      <c r="F13" s="45">
        <f t="shared" ca="1" si="13"/>
        <v>404354.83870967739</v>
      </c>
      <c r="G13" s="45">
        <f t="shared" ca="1" si="13"/>
        <v>424733.33333333331</v>
      </c>
      <c r="H13" s="45">
        <f t="shared" ca="1" si="13"/>
        <v>410661.29032258061</v>
      </c>
      <c r="I13" s="45">
        <f t="shared" ca="1" si="13"/>
        <v>410846.77419354831</v>
      </c>
      <c r="J13" s="45">
        <f t="shared" ca="1" si="13"/>
        <v>413999.99999999988</v>
      </c>
      <c r="K13" s="45">
        <f t="shared" ca="1" si="13"/>
        <v>410754.03225806449</v>
      </c>
      <c r="L13" s="45">
        <f t="shared" ca="1" si="13"/>
        <v>431441.66666666663</v>
      </c>
      <c r="M13" s="45">
        <f t="shared" ca="1" si="13"/>
        <v>347318.54838709673</v>
      </c>
      <c r="N13" s="45">
        <f t="shared" ca="1" si="13"/>
        <v>431806.45161290321</v>
      </c>
      <c r="O13" s="45">
        <f t="shared" ca="1" si="13"/>
        <v>448089.28571428568</v>
      </c>
      <c r="P13" s="46">
        <f t="shared" ca="1" si="8"/>
        <v>448089.28571428568</v>
      </c>
      <c r="Q13" s="45">
        <f ca="1">(IF(COLUMN(Q$4)-MATCH(MAX(DATE(YEAR(Q$4-Q$55),MONTH(Q$4-Q$55)+1,0),DATE(YEAR($D$4),MONTH($D$4),0)),$A$4:$AP$4,0)=0,0,SUM(OFFSET($A$56,0,MATCH(MAX(DATE(YEAR(Q$4-Q$55),MONTH(Q$4-Q$55)+1,0),DATE(YEAR($D$4),MONTH($D$4),0)),$A$4:$AP$4,0),1,COLUMN(Q$4)-MATCH(MAX(DATE(YEAR(Q$4-Q$55),MONTH(Q$4-Q$55)+1,0),DATE(YEAR($D$4),MONTH($D$4),0)),$A$4:$AP$4,0))))+IF(ISNA(MATCH(DATE(YEAR(Q$4-Q$55),MONTH(Q$4-Q$55)+1,0),$A$4:$AP$4,0)),0,IF(DATE(YEAR(Q$4-Q$55),MONTH(Q$4-Q$55)+1,0)&lt;=$C$4,0,OFFSET($A$56,0,MATCH(DATE(YEAR(Q$4-Q$55),MONTH(Q$4-Q$55)+1,0),$A$4:$AP$4,0)-1,1,1)/OFFSET($A$43,0,MATCH(DATE(YEAR(Q$4-Q$55),MONTH(Q$4-Q$55)+1,0),$A$4:$AP$4,0)-1,1,1)*IF((Q$4-Q$55)&gt;DATE(YEAR($D$4),MONTH($D$4),0),(Q$55-(Q$4-DATE(YEAR(Q$4-Q$55),MONTH(Q$4-Q$55)+1,0))),0)))+IF(P$55=0,0,($C$13/$C$55*IF(DATE(YEAR($D$4),MONTH($D$4),0)&gt;(Q$4-Q$55),DATE(YEAR($D$4),MONTH($D$4),0)-(Q$4-Q$55),0))))</f>
        <v>427725.80645161285</v>
      </c>
      <c r="R13" s="45">
        <f t="shared" ref="R13:AB13" ca="1" si="14">(IF(COLUMN(R$4)-MATCH(MAX(DATE(YEAR(R$4-R$55),MONTH(R$4-R$55)+1,0),DATE(YEAR($D$4),MONTH($D$4),0)),$A$4:$AP$4,0)=0,0,SUM(OFFSET($A$56,0,MATCH(MAX(DATE(YEAR(R$4-R$55),MONTH(R$4-R$55)+1,0),DATE(YEAR($D$4),MONTH($D$4),0)),$A$4:$AP$4,0),1,COLUMN(R$4)-MATCH(MAX(DATE(YEAR(R$4-R$55),MONTH(R$4-R$55)+1,0),DATE(YEAR($D$4),MONTH($D$4),0)),$A$4:$AP$4,0))))+IF(ISNA(MATCH(DATE(YEAR(R$4-R$55),MONTH(R$4-R$55)+1,0),$A$4:$AP$4,0)),0,IF(DATE(YEAR(R$4-R$55),MONTH(R$4-R$55)+1,0)&lt;=$C$4,0,OFFSET($A$56,0,MATCH(DATE(YEAR(R$4-R$55),MONTH(R$4-R$55)+1,0),$A$4:$AP$4,0)-1,1,1)/OFFSET($A$43,0,MATCH(DATE(YEAR(R$4-R$55),MONTH(R$4-R$55)+1,0),$A$4:$AP$4,0)-1,1,1)*IF((R$4-R$55)&gt;DATE(YEAR($D$4),MONTH($D$4),0),(R$55-(R$4-DATE(YEAR(R$4-R$55),MONTH(R$4-R$55)+1,0))),0)))+IF(Q$55=0,0,($C$13/$C$55*IF(DATE(YEAR($D$4),MONTH($D$4),0)&gt;(R$4-R$55),DATE(YEAR($D$4),MONTH($D$4),0)-(R$4-R$55),0))))</f>
        <v>437479.16666666669</v>
      </c>
      <c r="S13" s="45">
        <f t="shared" ca="1" si="14"/>
        <v>414741.93548387091</v>
      </c>
      <c r="T13" s="45">
        <f t="shared" ca="1" si="14"/>
        <v>446775</v>
      </c>
      <c r="U13" s="45">
        <f t="shared" ca="1" si="14"/>
        <v>443955.64516129036</v>
      </c>
      <c r="V13" s="45">
        <f t="shared" ca="1" si="14"/>
        <v>432288.70967741933</v>
      </c>
      <c r="W13" s="45">
        <f t="shared" ca="1" si="14"/>
        <v>431729.16666666663</v>
      </c>
      <c r="X13" s="45">
        <f t="shared" ca="1" si="14"/>
        <v>434866.93548387091</v>
      </c>
      <c r="Y13" s="45">
        <f t="shared" ca="1" si="14"/>
        <v>469679.16666666669</v>
      </c>
      <c r="Z13" s="45">
        <f t="shared" ca="1" si="14"/>
        <v>361229.83870967739</v>
      </c>
      <c r="AA13" s="45">
        <f t="shared" ca="1" si="14"/>
        <v>462318.54838709679</v>
      </c>
      <c r="AB13" s="45">
        <f t="shared" ca="1" si="14"/>
        <v>487825.89285714284</v>
      </c>
      <c r="AC13" s="46">
        <f t="shared" ca="1" si="10"/>
        <v>487825.89285714284</v>
      </c>
      <c r="AD13" s="45">
        <f ca="1">(IF(COLUMN(AD$4)-MATCH(MAX(DATE(YEAR(AD$4-AD$55),MONTH(AD$4-AD$55)+1,0),DATE(YEAR($D$4),MONTH($D$4),0)),$A$4:$AP$4,0)=0,0,SUM(OFFSET($A$56,0,MATCH(MAX(DATE(YEAR(AD$4-AD$55),MONTH(AD$4-AD$55)+1,0),DATE(YEAR($D$4),MONTH($D$4),0)),$A$4:$AP$4,0),1,COLUMN(AD$4)-MATCH(MAX(DATE(YEAR(AD$4-AD$55),MONTH(AD$4-AD$55)+1,0),DATE(YEAR($D$4),MONTH($D$4),0)),$A$4:$AP$4,0))))+IF(ISNA(MATCH(DATE(YEAR(AD$4-AD$55),MONTH(AD$4-AD$55)+1,0),$A$4:$AP$4,0)),0,IF(DATE(YEAR(AD$4-AD$55),MONTH(AD$4-AD$55)+1,0)&lt;=$C$4,0,OFFSET($A$56,0,MATCH(DATE(YEAR(AD$4-AD$55),MONTH(AD$4-AD$55)+1,0),$A$4:$AP$4,0)-1,1,1)/OFFSET($A$43,0,MATCH(DATE(YEAR(AD$4-AD$55),MONTH(AD$4-AD$55)+1,0),$A$4:$AP$4,0)-1,1,1)*IF((AD$4-AD$55)&gt;DATE(YEAR($D$4),MONTH($D$4),0),(AD$55-(AD$4-DATE(YEAR(AD$4-AD$55),MONTH(AD$4-AD$55)+1,0))),0)))+IF(AC$55=0,0,($C$13/$C$55*IF(DATE(YEAR($D$4),MONTH($D$4),0)&gt;(AD$4-AD$55),DATE(YEAR($D$4),MONTH($D$4),0)-(AD$4-AD$55),0))))</f>
        <v>447758.06451612909</v>
      </c>
      <c r="AE13" s="45">
        <f t="shared" ref="AE13:AO13" ca="1" si="15">(IF(COLUMN(AE$4)-MATCH(MAX(DATE(YEAR(AE$4-AE$55),MONTH(AE$4-AE$55)+1,0),DATE(YEAR($D$4),MONTH($D$4),0)),$A$4:$AP$4,0)=0,0,SUM(OFFSET($A$56,0,MATCH(MAX(DATE(YEAR(AE$4-AE$55),MONTH(AE$4-AE$55)+1,0),DATE(YEAR($D$4),MONTH($D$4),0)),$A$4:$AP$4,0),1,COLUMN(AE$4)-MATCH(MAX(DATE(YEAR(AE$4-AE$55),MONTH(AE$4-AE$55)+1,0),DATE(YEAR($D$4),MONTH($D$4),0)),$A$4:$AP$4,0))))+IF(ISNA(MATCH(DATE(YEAR(AE$4-AE$55),MONTH(AE$4-AE$55)+1,0),$A$4:$AP$4,0)),0,IF(DATE(YEAR(AE$4-AE$55),MONTH(AE$4-AE$55)+1,0)&lt;=$C$4,0,OFFSET($A$56,0,MATCH(DATE(YEAR(AE$4-AE$55),MONTH(AE$4-AE$55)+1,0),$A$4:$AP$4,0)-1,1,1)/OFFSET($A$43,0,MATCH(DATE(YEAR(AE$4-AE$55),MONTH(AE$4-AE$55)+1,0),$A$4:$AP$4,0)-1,1,1)*IF((AE$4-AE$55)&gt;DATE(YEAR($D$4),MONTH($D$4),0),(AE$55-(AE$4-DATE(YEAR(AE$4-AE$55),MONTH(AE$4-AE$55)+1,0))),0)))+IF(AD$55=0,0,($C$13/$C$55*IF(DATE(YEAR($D$4),MONTH($D$4),0)&gt;(AE$4-AE$55),DATE(YEAR($D$4),MONTH($D$4),0)-(AE$4-AE$55),0))))</f>
        <v>484437.5</v>
      </c>
      <c r="AF13" s="45">
        <f t="shared" ca="1" si="15"/>
        <v>467419.35483870964</v>
      </c>
      <c r="AG13" s="45">
        <f t="shared" ca="1" si="15"/>
        <v>492775</v>
      </c>
      <c r="AH13" s="45">
        <f t="shared" ca="1" si="15"/>
        <v>479290.32258064515</v>
      </c>
      <c r="AI13" s="45">
        <f t="shared" ca="1" si="15"/>
        <v>489120.96774193551</v>
      </c>
      <c r="AJ13" s="45">
        <f t="shared" ca="1" si="15"/>
        <v>500633.33333333331</v>
      </c>
      <c r="AK13" s="45">
        <f t="shared" ca="1" si="15"/>
        <v>487451.61290322588</v>
      </c>
      <c r="AL13" s="45">
        <f t="shared" ca="1" si="15"/>
        <v>517998.33333333337</v>
      </c>
      <c r="AM13" s="45">
        <f t="shared" ca="1" si="15"/>
        <v>413999.99999999988</v>
      </c>
      <c r="AN13" s="45">
        <f t="shared" ca="1" si="15"/>
        <v>499415.32258064515</v>
      </c>
      <c r="AO13" s="45">
        <f t="shared" ca="1" si="15"/>
        <v>515170.25862068968</v>
      </c>
      <c r="AP13" s="46">
        <f t="shared" ca="1" si="12"/>
        <v>515170.25862068968</v>
      </c>
    </row>
    <row r="14" spans="1:42" ht="16.149999999999999" customHeight="1" x14ac:dyDescent="0.3">
      <c r="A14" s="153" t="s">
        <v>118</v>
      </c>
      <c r="B14" s="25" t="s">
        <v>93</v>
      </c>
      <c r="C14" s="45">
        <f ca="1">SUMIF(Assumptions!$A$71:$C$95,$A14,Assumptions!$C$71:$C$95)</f>
        <v>55000</v>
      </c>
      <c r="D14" s="45">
        <f ca="1">C14-CashFlow!C16</f>
        <v>55000</v>
      </c>
      <c r="E14" s="45">
        <f ca="1">D14-CashFlow!D16</f>
        <v>55000</v>
      </c>
      <c r="F14" s="45">
        <f ca="1">E14-CashFlow!E16</f>
        <v>55000</v>
      </c>
      <c r="G14" s="45">
        <f ca="1">F14-CashFlow!F16</f>
        <v>55000</v>
      </c>
      <c r="H14" s="45">
        <f ca="1">G14-CashFlow!G16</f>
        <v>55000</v>
      </c>
      <c r="I14" s="45">
        <f ca="1">H14-CashFlow!H16</f>
        <v>55000</v>
      </c>
      <c r="J14" s="45">
        <f ca="1">I14-CashFlow!I16</f>
        <v>65000</v>
      </c>
      <c r="K14" s="45">
        <f ca="1">J14-CashFlow!J16</f>
        <v>65000</v>
      </c>
      <c r="L14" s="45">
        <f ca="1">K14-CashFlow!K16</f>
        <v>55000</v>
      </c>
      <c r="M14" s="45">
        <f ca="1">L14-CashFlow!L16</f>
        <v>55000</v>
      </c>
      <c r="N14" s="45">
        <f ca="1">M14-CashFlow!M16</f>
        <v>55000</v>
      </c>
      <c r="O14" s="45">
        <f ca="1">N14-CashFlow!N16</f>
        <v>55000</v>
      </c>
      <c r="P14" s="46">
        <f t="shared" ca="1" si="8"/>
        <v>55000</v>
      </c>
      <c r="Q14" s="45">
        <f ca="1">P14-CashFlow!P16</f>
        <v>55000</v>
      </c>
      <c r="R14" s="45">
        <f ca="1">Q14-CashFlow!Q16</f>
        <v>55000</v>
      </c>
      <c r="S14" s="45">
        <f ca="1">R14-CashFlow!R16</f>
        <v>55000</v>
      </c>
      <c r="T14" s="45">
        <f ca="1">S14-CashFlow!S16</f>
        <v>55000</v>
      </c>
      <c r="U14" s="45">
        <f ca="1">T14-CashFlow!T16</f>
        <v>55000</v>
      </c>
      <c r="V14" s="45">
        <f ca="1">U14-CashFlow!U16</f>
        <v>55000</v>
      </c>
      <c r="W14" s="45">
        <f ca="1">V14-CashFlow!V16</f>
        <v>55000</v>
      </c>
      <c r="X14" s="45">
        <f ca="1">W14-CashFlow!W16</f>
        <v>75000</v>
      </c>
      <c r="Y14" s="45">
        <f ca="1">X14-CashFlow!X16</f>
        <v>75000</v>
      </c>
      <c r="Z14" s="45">
        <f ca="1">Y14-CashFlow!Y16</f>
        <v>75000</v>
      </c>
      <c r="AA14" s="45">
        <f ca="1">Z14-CashFlow!Z16</f>
        <v>75000</v>
      </c>
      <c r="AB14" s="45">
        <f ca="1">AA14-CashFlow!AA16</f>
        <v>75000</v>
      </c>
      <c r="AC14" s="46">
        <f t="shared" ca="1" si="10"/>
        <v>75000</v>
      </c>
      <c r="AD14" s="45">
        <f ca="1">AC14-CashFlow!AC16</f>
        <v>75000</v>
      </c>
      <c r="AE14" s="45">
        <f ca="1">AD14-CashFlow!AD16</f>
        <v>75000</v>
      </c>
      <c r="AF14" s="45">
        <f ca="1">AE14-CashFlow!AE16</f>
        <v>75000</v>
      </c>
      <c r="AG14" s="45">
        <f ca="1">AF14-CashFlow!AF16</f>
        <v>75000</v>
      </c>
      <c r="AH14" s="45">
        <f ca="1">AG14-CashFlow!AG16</f>
        <v>75000</v>
      </c>
      <c r="AI14" s="45">
        <f ca="1">AH14-CashFlow!AH16</f>
        <v>75000</v>
      </c>
      <c r="AJ14" s="45">
        <f ca="1">AI14-CashFlow!AI16</f>
        <v>75000</v>
      </c>
      <c r="AK14" s="45">
        <f ca="1">AJ14-CashFlow!AJ16</f>
        <v>75000</v>
      </c>
      <c r="AL14" s="45">
        <f ca="1">AK14-CashFlow!AK16</f>
        <v>75000</v>
      </c>
      <c r="AM14" s="45">
        <f ca="1">AL14-CashFlow!AL16</f>
        <v>75000</v>
      </c>
      <c r="AN14" s="45">
        <f ca="1">AM14-CashFlow!AM16</f>
        <v>75000</v>
      </c>
      <c r="AO14" s="45">
        <f ca="1">AN14-CashFlow!AN16</f>
        <v>75000</v>
      </c>
      <c r="AP14" s="46">
        <f t="shared" ca="1" si="12"/>
        <v>75000</v>
      </c>
    </row>
    <row r="15" spans="1:42" ht="16.149999999999999" customHeight="1" x14ac:dyDescent="0.3">
      <c r="A15" s="153" t="s">
        <v>122</v>
      </c>
      <c r="B15" s="25" t="s">
        <v>97</v>
      </c>
      <c r="C15" s="45">
        <f ca="1">SUMIF(Assumptions!$A$71:$C$95,$A15,Assumptions!$C$71:$C$95)</f>
        <v>53000</v>
      </c>
      <c r="D15" s="45">
        <f ca="1">C15-CashFlow!C17</f>
        <v>53000</v>
      </c>
      <c r="E15" s="45">
        <f ca="1">D15-CashFlow!D17</f>
        <v>53000</v>
      </c>
      <c r="F15" s="45">
        <f ca="1">E15-CashFlow!E17</f>
        <v>53000</v>
      </c>
      <c r="G15" s="45">
        <f ca="1">F15-CashFlow!F17</f>
        <v>53000</v>
      </c>
      <c r="H15" s="45">
        <f ca="1">G15-CashFlow!G17</f>
        <v>53000</v>
      </c>
      <c r="I15" s="45">
        <f ca="1">H15-CashFlow!H17</f>
        <v>53000</v>
      </c>
      <c r="J15" s="45">
        <f ca="1">I15-CashFlow!I17</f>
        <v>53000</v>
      </c>
      <c r="K15" s="45">
        <f ca="1">J15-CashFlow!J17</f>
        <v>53000</v>
      </c>
      <c r="L15" s="45">
        <f ca="1">K15-CashFlow!K17</f>
        <v>53000</v>
      </c>
      <c r="M15" s="45">
        <f ca="1">L15-CashFlow!L17</f>
        <v>53000</v>
      </c>
      <c r="N15" s="45">
        <f ca="1">M15-CashFlow!M17</f>
        <v>53000</v>
      </c>
      <c r="O15" s="45">
        <f ca="1">N15-CashFlow!N17</f>
        <v>53000</v>
      </c>
      <c r="P15" s="46">
        <f t="shared" ca="1" si="8"/>
        <v>53000</v>
      </c>
      <c r="Q15" s="45">
        <f ca="1">P15-CashFlow!P17</f>
        <v>53000</v>
      </c>
      <c r="R15" s="45">
        <f ca="1">Q15-CashFlow!Q17</f>
        <v>53000</v>
      </c>
      <c r="S15" s="45">
        <f ca="1">R15-CashFlow!R17</f>
        <v>53000</v>
      </c>
      <c r="T15" s="45">
        <f ca="1">S15-CashFlow!S17</f>
        <v>53000</v>
      </c>
      <c r="U15" s="45">
        <f ca="1">T15-CashFlow!T17</f>
        <v>53000</v>
      </c>
      <c r="V15" s="45">
        <f ca="1">U15-CashFlow!U17</f>
        <v>60000</v>
      </c>
      <c r="W15" s="45">
        <f ca="1">V15-CashFlow!V17</f>
        <v>60000</v>
      </c>
      <c r="X15" s="45">
        <f ca="1">W15-CashFlow!W17</f>
        <v>60000</v>
      </c>
      <c r="Y15" s="45">
        <f ca="1">X15-CashFlow!X17</f>
        <v>60000</v>
      </c>
      <c r="Z15" s="45">
        <f ca="1">Y15-CashFlow!Y17</f>
        <v>60000</v>
      </c>
      <c r="AA15" s="45">
        <f ca="1">Z15-CashFlow!Z17</f>
        <v>60000</v>
      </c>
      <c r="AB15" s="45">
        <f ca="1">AA15-CashFlow!AA17</f>
        <v>60000</v>
      </c>
      <c r="AC15" s="46">
        <f t="shared" ca="1" si="10"/>
        <v>60000</v>
      </c>
      <c r="AD15" s="45">
        <f ca="1">AC15-CashFlow!AC17</f>
        <v>60000</v>
      </c>
      <c r="AE15" s="45">
        <f ca="1">AD15-CashFlow!AD17</f>
        <v>60000</v>
      </c>
      <c r="AF15" s="45">
        <f ca="1">AE15-CashFlow!AE17</f>
        <v>60000</v>
      </c>
      <c r="AG15" s="45">
        <f ca="1">AF15-CashFlow!AF17</f>
        <v>60000</v>
      </c>
      <c r="AH15" s="45">
        <f ca="1">AG15-CashFlow!AG17</f>
        <v>60000</v>
      </c>
      <c r="AI15" s="45">
        <f ca="1">AH15-CashFlow!AH17</f>
        <v>60000</v>
      </c>
      <c r="AJ15" s="45">
        <f ca="1">AI15-CashFlow!AI17</f>
        <v>60000</v>
      </c>
      <c r="AK15" s="45">
        <f ca="1">AJ15-CashFlow!AJ17</f>
        <v>60000</v>
      </c>
      <c r="AL15" s="45">
        <f ca="1">AK15-CashFlow!AK17</f>
        <v>60000</v>
      </c>
      <c r="AM15" s="45">
        <f ca="1">AL15-CashFlow!AL17</f>
        <v>60000</v>
      </c>
      <c r="AN15" s="45">
        <f ca="1">AM15-CashFlow!AM17</f>
        <v>60000</v>
      </c>
      <c r="AO15" s="45">
        <f ca="1">AN15-CashFlow!AN17</f>
        <v>60000</v>
      </c>
      <c r="AP15" s="46">
        <f t="shared" ca="1" si="12"/>
        <v>60000</v>
      </c>
    </row>
    <row r="16" spans="1:42" ht="16.149999999999999" customHeight="1" x14ac:dyDescent="0.3">
      <c r="A16" s="153" t="s">
        <v>123</v>
      </c>
      <c r="B16" s="25" t="s">
        <v>98</v>
      </c>
      <c r="C16" s="45">
        <f ca="1">SUMIF(Assumptions!$A$71:$C$95,$A16,Assumptions!$C$71:$C$95)</f>
        <v>171000</v>
      </c>
      <c r="D16" s="45">
        <f ca="1">IF(CashFlow!C46&gt;=0,CashFlow!C46,0)</f>
        <v>136983.55026442284</v>
      </c>
      <c r="E16" s="45">
        <f ca="1">IF(CashFlow!D46&gt;=0,CashFlow!D46,0)</f>
        <v>192978.59515250148</v>
      </c>
      <c r="F16" s="45">
        <f ca="1">IF(CashFlow!E46&gt;=0,CashFlow!E46,0)</f>
        <v>230292.29595455865</v>
      </c>
      <c r="G16" s="45">
        <f ca="1">IF(CashFlow!F46&gt;=0,CashFlow!F46,0)</f>
        <v>275353.52363833628</v>
      </c>
      <c r="H16" s="45">
        <f ca="1">IF(CashFlow!G46&gt;=0,CashFlow!G46,0)</f>
        <v>274345.4287414687</v>
      </c>
      <c r="I16" s="45">
        <f ca="1">IF(CashFlow!H46&gt;=0,CashFlow!H46,0)</f>
        <v>375890.86356667581</v>
      </c>
      <c r="J16" s="45">
        <f ca="1">IF(CashFlow!I46&gt;=0,CashFlow!I46,0)</f>
        <v>389485.68751398067</v>
      </c>
      <c r="K16" s="45">
        <f ca="1">IF(CashFlow!J46&gt;=0,CashFlow!J46,0)</f>
        <v>462985.71038601658</v>
      </c>
      <c r="L16" s="45">
        <f ca="1">IF(CashFlow!K46&gt;=0,CashFlow!K46,0)</f>
        <v>451868.50530106336</v>
      </c>
      <c r="M16" s="45">
        <f ca="1">IF(CashFlow!L46&gt;=0,CashFlow!L46,0)</f>
        <v>579258.36204406724</v>
      </c>
      <c r="N16" s="45">
        <f ca="1">IF(CashFlow!M46&gt;=0,CashFlow!M46,0)</f>
        <v>536571.38350544428</v>
      </c>
      <c r="O16" s="45">
        <f ca="1">IF(CashFlow!N46&gt;=0,CashFlow!N46,0)</f>
        <v>617777.89408081875</v>
      </c>
      <c r="P16" s="46">
        <f t="shared" ca="1" si="8"/>
        <v>617777.89408081875</v>
      </c>
      <c r="Q16" s="45">
        <f ca="1">IF(CashFlow!P46&gt;=0,CashFlow!P46,0)</f>
        <v>582976.96623343974</v>
      </c>
      <c r="R16" s="45">
        <f ca="1">IF(CashFlow!Q46&gt;=0,CashFlow!Q46,0)</f>
        <v>658016.33930771996</v>
      </c>
      <c r="S16" s="45">
        <f ca="1">IF(CashFlow!R46&gt;=0,CashFlow!R46,0)</f>
        <v>693575.73657554877</v>
      </c>
      <c r="T16" s="45">
        <f ca="1">IF(CashFlow!S46&gt;=0,CashFlow!S46,0)</f>
        <v>735996.71341326996</v>
      </c>
      <c r="U16" s="45">
        <f ca="1">IF(CashFlow!T46&gt;=0,CashFlow!T46,0)</f>
        <v>775646.36175636738</v>
      </c>
      <c r="V16" s="45">
        <f ca="1">IF(CashFlow!U46&gt;=0,CashFlow!U46,0)</f>
        <v>770199.16314972786</v>
      </c>
      <c r="W16" s="45">
        <f ca="1">IF(CashFlow!V46&gt;=0,CashFlow!V46,0)</f>
        <v>785474.48325100704</v>
      </c>
      <c r="X16" s="45">
        <f ca="1">IF(CashFlow!W46&gt;=0,CashFlow!W46,0)</f>
        <v>436035.31894368411</v>
      </c>
      <c r="Y16" s="45">
        <f ca="1">IF(CashFlow!X46&gt;=0,CashFlow!X46,0)</f>
        <v>439585.94442130736</v>
      </c>
      <c r="Z16" s="45">
        <f ca="1">IF(CashFlow!Y46&gt;=0,CashFlow!Y46,0)</f>
        <v>586077.1344150597</v>
      </c>
      <c r="AA16" s="45">
        <f ca="1">IF(CashFlow!Z46&gt;=0,CashFlow!Z46,0)</f>
        <v>481338.34376365069</v>
      </c>
      <c r="AB16" s="45">
        <f ca="1">IF(CashFlow!AA46&gt;=0,CashFlow!AA46,0)</f>
        <v>539591.1212979696</v>
      </c>
      <c r="AC16" s="46">
        <f t="shared" ca="1" si="10"/>
        <v>539591.1212979696</v>
      </c>
      <c r="AD16" s="45">
        <f ca="1">IF(CashFlow!AC46&gt;=0,CashFlow!AC46,0)</f>
        <v>530872.92488619185</v>
      </c>
      <c r="AE16" s="45">
        <f ca="1">IF(CashFlow!AD46&gt;=0,CashFlow!AD46,0)</f>
        <v>0</v>
      </c>
      <c r="AF16" s="45">
        <f ca="1">IF(CashFlow!AE46&gt;=0,CashFlow!AE46,0)</f>
        <v>0</v>
      </c>
      <c r="AG16" s="45">
        <f ca="1">IF(CashFlow!AF46&gt;=0,CashFlow!AF46,0)</f>
        <v>59255.197473036067</v>
      </c>
      <c r="AH16" s="45">
        <f ca="1">IF(CashFlow!AG46&gt;=0,CashFlow!AG46,0)</f>
        <v>58341.54030664367</v>
      </c>
      <c r="AI16" s="45">
        <f ca="1">IF(CashFlow!AH46&gt;=0,CashFlow!AH46,0)</f>
        <v>11262.012215659081</v>
      </c>
      <c r="AJ16" s="45">
        <f ca="1">IF(CashFlow!AI46&gt;=0,CashFlow!AI46,0)</f>
        <v>18142.091070772076</v>
      </c>
      <c r="AK16" s="45">
        <f ca="1">IF(CashFlow!AJ46&gt;=0,CashFlow!AJ46,0)</f>
        <v>144372.25218394946</v>
      </c>
      <c r="AL16" s="45">
        <f ca="1">IF(CashFlow!AK46&gt;=0,CashFlow!AK46,0)</f>
        <v>147779.02781325602</v>
      </c>
      <c r="AM16" s="45">
        <f ca="1">IF(CashFlow!AL46&gt;=0,CashFlow!AL46,0)</f>
        <v>306148.89537804655</v>
      </c>
      <c r="AN16" s="45">
        <f ca="1">IF(CashFlow!AM46&gt;=0,CashFlow!AM46,0)</f>
        <v>249859.55810412715</v>
      </c>
      <c r="AO16" s="45">
        <f ca="1">IF(CashFlow!AN46&gt;=0,CashFlow!AN46,0)</f>
        <v>313855.2836112107</v>
      </c>
      <c r="AP16" s="46">
        <f t="shared" ca="1" si="12"/>
        <v>313855.2836112107</v>
      </c>
    </row>
    <row r="17" spans="1:42" ht="16.149999999999999" customHeight="1" thickBot="1" x14ac:dyDescent="0.35">
      <c r="B17" s="25"/>
      <c r="C17" s="96">
        <f ca="1">SUM(C12:C16)</f>
        <v>819000</v>
      </c>
      <c r="D17" s="96">
        <f t="shared" ref="D17:AO17" ca="1" si="16">SUM(D12:D16)</f>
        <v>805433.55026442278</v>
      </c>
      <c r="E17" s="96">
        <f t="shared" ca="1" si="16"/>
        <v>902050.26181916811</v>
      </c>
      <c r="F17" s="96">
        <f t="shared" ca="1" si="16"/>
        <v>936389.07014810701</v>
      </c>
      <c r="G17" s="96">
        <f t="shared" ca="1" si="16"/>
        <v>1010366.8569716695</v>
      </c>
      <c r="H17" s="96">
        <f t="shared" ca="1" si="16"/>
        <v>991655.10616082349</v>
      </c>
      <c r="I17" s="96">
        <f t="shared" ca="1" si="16"/>
        <v>1089737.6377602243</v>
      </c>
      <c r="J17" s="96">
        <f t="shared" ca="1" si="16"/>
        <v>1114765.6875139805</v>
      </c>
      <c r="K17" s="96">
        <f t="shared" ca="1" si="16"/>
        <v>1186217.1619989199</v>
      </c>
      <c r="L17" s="96">
        <f t="shared" ca="1" si="16"/>
        <v>1194958.1719677299</v>
      </c>
      <c r="M17" s="96">
        <f t="shared" ca="1" si="16"/>
        <v>1193441.4265601961</v>
      </c>
      <c r="N17" s="96">
        <f t="shared" ca="1" si="16"/>
        <v>1281136.5447957669</v>
      </c>
      <c r="O17" s="96">
        <f t="shared" ca="1" si="16"/>
        <v>1382845.7604402658</v>
      </c>
      <c r="P17" s="58">
        <f t="shared" ref="P17" ca="1" si="17">SUM(P12:P16)</f>
        <v>1382845.7604402658</v>
      </c>
      <c r="Q17" s="96">
        <f t="shared" ca="1" si="16"/>
        <v>1320116.9662334397</v>
      </c>
      <c r="R17" s="96">
        <f t="shared" ca="1" si="16"/>
        <v>1407015.5059743868</v>
      </c>
      <c r="S17" s="96">
        <f t="shared" ca="1" si="16"/>
        <v>1408441.5430271616</v>
      </c>
      <c r="T17" s="96">
        <f t="shared" ca="1" si="16"/>
        <v>1502355.71341327</v>
      </c>
      <c r="U17" s="96">
        <f t="shared" ca="1" si="16"/>
        <v>1541403.2972402384</v>
      </c>
      <c r="V17" s="96">
        <f t="shared" ca="1" si="16"/>
        <v>1518840.1308916635</v>
      </c>
      <c r="W17" s="96">
        <f t="shared" ca="1" si="16"/>
        <v>1521427.6499176738</v>
      </c>
      <c r="X17" s="96">
        <f t="shared" ca="1" si="16"/>
        <v>1200362.254427555</v>
      </c>
      <c r="Y17" s="96">
        <f t="shared" ca="1" si="16"/>
        <v>1258537.1110879742</v>
      </c>
      <c r="Z17" s="96">
        <f t="shared" ca="1" si="16"/>
        <v>1238666.9731247369</v>
      </c>
      <c r="AA17" s="96">
        <f t="shared" ca="1" si="16"/>
        <v>1288896.8921507474</v>
      </c>
      <c r="AB17" s="96">
        <f t="shared" ca="1" si="16"/>
        <v>1384753.0141551124</v>
      </c>
      <c r="AC17" s="58">
        <f t="shared" ref="AC17" ca="1" si="18">SUM(AC12:AC16)</f>
        <v>1384753.0141551124</v>
      </c>
      <c r="AD17" s="96">
        <f t="shared" ca="1" si="16"/>
        <v>1312560.0216603854</v>
      </c>
      <c r="AE17" s="96">
        <f t="shared" ca="1" si="16"/>
        <v>835737.5</v>
      </c>
      <c r="AF17" s="96">
        <f t="shared" ca="1" si="16"/>
        <v>809361.29032258061</v>
      </c>
      <c r="AG17" s="96">
        <f t="shared" ca="1" si="16"/>
        <v>909030.19747303613</v>
      </c>
      <c r="AH17" s="96">
        <f t="shared" ca="1" si="16"/>
        <v>885670.57256470819</v>
      </c>
      <c r="AI17" s="96">
        <f t="shared" ca="1" si="16"/>
        <v>857247.49608662678</v>
      </c>
      <c r="AJ17" s="96">
        <f t="shared" ca="1" si="16"/>
        <v>882315.42440410529</v>
      </c>
      <c r="AK17" s="96">
        <f t="shared" ca="1" si="16"/>
        <v>985030.31670007855</v>
      </c>
      <c r="AL17" s="96">
        <f t="shared" ca="1" si="16"/>
        <v>1034477.3611465894</v>
      </c>
      <c r="AM17" s="96">
        <f t="shared" ca="1" si="16"/>
        <v>1035148.8953780464</v>
      </c>
      <c r="AN17" s="96">
        <f t="shared" ca="1" si="16"/>
        <v>1110784.5581041272</v>
      </c>
      <c r="AO17" s="96">
        <f t="shared" ca="1" si="16"/>
        <v>1196815.8648125455</v>
      </c>
      <c r="AP17" s="58">
        <f t="shared" ref="AP17" ca="1" si="19">SUM(AP12:AP16)</f>
        <v>1196815.8648125455</v>
      </c>
    </row>
    <row r="18" spans="1:42" s="10" customFormat="1" ht="16.149999999999999" customHeight="1" thickBot="1" x14ac:dyDescent="0.35">
      <c r="A18" s="160"/>
      <c r="B18" s="2" t="s">
        <v>94</v>
      </c>
      <c r="C18" s="98">
        <f ca="1">SUM(C10,C17)</f>
        <v>2789000</v>
      </c>
      <c r="D18" s="98">
        <f t="shared" ref="D18:AO18" ca="1" si="20">SUM(D10,D17)</f>
        <v>2759433.5502644228</v>
      </c>
      <c r="E18" s="98">
        <f t="shared" ca="1" si="20"/>
        <v>2840050.261819168</v>
      </c>
      <c r="F18" s="98">
        <f t="shared" ca="1" si="20"/>
        <v>2858389.0701481071</v>
      </c>
      <c r="G18" s="98">
        <f t="shared" ca="1" si="20"/>
        <v>2916366.8569716695</v>
      </c>
      <c r="H18" s="98">
        <f t="shared" ca="1" si="20"/>
        <v>2881655.1061608233</v>
      </c>
      <c r="I18" s="98">
        <f t="shared" ca="1" si="20"/>
        <v>2963737.6377602243</v>
      </c>
      <c r="J18" s="98">
        <f t="shared" ca="1" si="20"/>
        <v>2972765.6875139805</v>
      </c>
      <c r="K18" s="98">
        <f t="shared" ca="1" si="20"/>
        <v>3028217.1619989201</v>
      </c>
      <c r="L18" s="98">
        <f t="shared" ca="1" si="20"/>
        <v>3020958.1719677299</v>
      </c>
      <c r="M18" s="98">
        <f t="shared" ca="1" si="20"/>
        <v>3003441.4265601961</v>
      </c>
      <c r="N18" s="98">
        <f t="shared" ca="1" si="20"/>
        <v>3311136.5447957669</v>
      </c>
      <c r="O18" s="98">
        <f t="shared" ca="1" si="20"/>
        <v>3392845.7604402658</v>
      </c>
      <c r="P18" s="98">
        <f t="shared" ref="P18" ca="1" si="21">SUM(P10,P17)</f>
        <v>3392845.7604402658</v>
      </c>
      <c r="Q18" s="98">
        <f t="shared" ca="1" si="20"/>
        <v>3310116.9662334397</v>
      </c>
      <c r="R18" s="98">
        <f t="shared" ca="1" si="20"/>
        <v>3377015.5059743868</v>
      </c>
      <c r="S18" s="98">
        <f t="shared" ca="1" si="20"/>
        <v>3358441.5430271616</v>
      </c>
      <c r="T18" s="98">
        <f t="shared" ca="1" si="20"/>
        <v>3432355.7134132702</v>
      </c>
      <c r="U18" s="98">
        <f t="shared" ca="1" si="20"/>
        <v>3451403.2972402386</v>
      </c>
      <c r="V18" s="98">
        <f t="shared" ca="1" si="20"/>
        <v>3703840.1308916635</v>
      </c>
      <c r="W18" s="98">
        <f t="shared" ca="1" si="20"/>
        <v>3681427.6499176738</v>
      </c>
      <c r="X18" s="98">
        <f t="shared" ca="1" si="20"/>
        <v>3735362.254427555</v>
      </c>
      <c r="Y18" s="98">
        <f t="shared" ca="1" si="20"/>
        <v>3768537.1110879742</v>
      </c>
      <c r="Z18" s="98">
        <f t="shared" ca="1" si="20"/>
        <v>3723666.9731247369</v>
      </c>
      <c r="AA18" s="98">
        <f t="shared" ca="1" si="20"/>
        <v>3748896.8921507476</v>
      </c>
      <c r="AB18" s="98">
        <f t="shared" ca="1" si="20"/>
        <v>3819753.0141551122</v>
      </c>
      <c r="AC18" s="98">
        <f t="shared" ref="AC18" ca="1" si="22">SUM(AC10,AC17)</f>
        <v>3819753.0141551122</v>
      </c>
      <c r="AD18" s="98">
        <f t="shared" ca="1" si="20"/>
        <v>3722560.0216603857</v>
      </c>
      <c r="AE18" s="98">
        <f t="shared" ca="1" si="20"/>
        <v>3997737.5</v>
      </c>
      <c r="AF18" s="98">
        <f t="shared" ca="1" si="20"/>
        <v>3943361.2903225804</v>
      </c>
      <c r="AG18" s="98">
        <f t="shared" ca="1" si="20"/>
        <v>4015030.1974730361</v>
      </c>
      <c r="AH18" s="98">
        <f t="shared" ca="1" si="20"/>
        <v>3963670.5725647081</v>
      </c>
      <c r="AI18" s="98">
        <f t="shared" ca="1" si="20"/>
        <v>3909247.4960866268</v>
      </c>
      <c r="AJ18" s="98">
        <f t="shared" ca="1" si="20"/>
        <v>3908315.4244041052</v>
      </c>
      <c r="AK18" s="98">
        <f t="shared" ca="1" si="20"/>
        <v>3985030.3167000785</v>
      </c>
      <c r="AL18" s="98">
        <f t="shared" ca="1" si="20"/>
        <v>4008477.3611465893</v>
      </c>
      <c r="AM18" s="98">
        <f t="shared" ca="1" si="20"/>
        <v>3983148.8953780467</v>
      </c>
      <c r="AN18" s="98">
        <f t="shared" ca="1" si="20"/>
        <v>4032784.5581041272</v>
      </c>
      <c r="AO18" s="98">
        <f t="shared" ca="1" si="20"/>
        <v>4092815.8648125455</v>
      </c>
      <c r="AP18" s="98">
        <f t="shared" ref="AP18" ca="1" si="23">SUM(AP10,AP17)</f>
        <v>4092815.8648125455</v>
      </c>
    </row>
    <row r="19" spans="1:42" ht="16.149999999999999" customHeight="1" thickTop="1" x14ac:dyDescent="0.3">
      <c r="B19" s="2" t="s">
        <v>99</v>
      </c>
      <c r="C19" s="45"/>
      <c r="D19" s="45"/>
      <c r="E19" s="45"/>
      <c r="F19" s="45"/>
      <c r="G19" s="45"/>
      <c r="H19" s="56"/>
      <c r="I19" s="56"/>
      <c r="J19" s="56"/>
      <c r="K19" s="56"/>
      <c r="L19" s="56"/>
      <c r="M19" s="56"/>
      <c r="N19" s="56"/>
      <c r="O19" s="56"/>
      <c r="P19" s="57"/>
      <c r="Q19" s="56"/>
      <c r="R19" s="56"/>
      <c r="S19" s="56"/>
      <c r="T19" s="56"/>
      <c r="U19" s="56"/>
      <c r="V19" s="56"/>
      <c r="W19" s="56"/>
      <c r="X19" s="56"/>
      <c r="Y19" s="56"/>
      <c r="Z19" s="56"/>
      <c r="AA19" s="56"/>
      <c r="AB19" s="56"/>
      <c r="AC19" s="57"/>
      <c r="AD19" s="56"/>
      <c r="AE19" s="56"/>
      <c r="AF19" s="56"/>
      <c r="AG19" s="56"/>
      <c r="AH19" s="56"/>
      <c r="AI19" s="56"/>
      <c r="AJ19" s="56"/>
      <c r="AK19" s="56"/>
      <c r="AL19" s="56"/>
      <c r="AM19" s="56"/>
      <c r="AN19" s="56"/>
      <c r="AO19" s="56"/>
      <c r="AP19" s="57"/>
    </row>
    <row r="20" spans="1:42" ht="16.149999999999999" customHeight="1" x14ac:dyDescent="0.3">
      <c r="B20" s="2" t="s">
        <v>100</v>
      </c>
      <c r="C20" s="45"/>
      <c r="D20" s="45"/>
      <c r="E20" s="45"/>
      <c r="F20" s="45"/>
      <c r="G20" s="45"/>
      <c r="H20" s="56"/>
      <c r="I20" s="56"/>
      <c r="J20" s="56"/>
      <c r="K20" s="56"/>
      <c r="L20" s="56"/>
      <c r="M20" s="56"/>
      <c r="N20" s="56"/>
      <c r="O20" s="56"/>
      <c r="P20" s="57"/>
      <c r="Q20" s="56"/>
      <c r="R20" s="56"/>
      <c r="S20" s="56"/>
      <c r="T20" s="56"/>
      <c r="U20" s="56"/>
      <c r="V20" s="56"/>
      <c r="W20" s="56"/>
      <c r="X20" s="56"/>
      <c r="Y20" s="56"/>
      <c r="Z20" s="56"/>
      <c r="AA20" s="56"/>
      <c r="AB20" s="56"/>
      <c r="AC20" s="57"/>
      <c r="AD20" s="56"/>
      <c r="AE20" s="56"/>
      <c r="AF20" s="56"/>
      <c r="AG20" s="56"/>
      <c r="AH20" s="56"/>
      <c r="AI20" s="56"/>
      <c r="AJ20" s="56"/>
      <c r="AK20" s="56"/>
      <c r="AL20" s="56"/>
      <c r="AM20" s="56"/>
      <c r="AN20" s="56"/>
      <c r="AO20" s="56"/>
      <c r="AP20" s="57"/>
    </row>
    <row r="21" spans="1:42" ht="16.149999999999999" customHeight="1" x14ac:dyDescent="0.3">
      <c r="A21" s="153" t="s">
        <v>124</v>
      </c>
      <c r="B21" s="14" t="s">
        <v>0</v>
      </c>
      <c r="C21" s="45">
        <f ca="1">-SUMIF(Assumptions!$A$71:$C$95,$A21,Assumptions!$C$71:$C$95)</f>
        <v>1000</v>
      </c>
      <c r="D21" s="45">
        <f ca="1">C21+CashFlow!C33</f>
        <v>1000</v>
      </c>
      <c r="E21" s="45">
        <f ca="1">D21+CashFlow!D33</f>
        <v>1000</v>
      </c>
      <c r="F21" s="45">
        <f ca="1">E21+CashFlow!E33</f>
        <v>1000</v>
      </c>
      <c r="G21" s="45">
        <f ca="1">F21+CashFlow!F33</f>
        <v>1000</v>
      </c>
      <c r="H21" s="45">
        <f ca="1">G21+CashFlow!G33</f>
        <v>1000</v>
      </c>
      <c r="I21" s="45">
        <f ca="1">H21+CashFlow!H33</f>
        <v>1000</v>
      </c>
      <c r="J21" s="45">
        <f ca="1">I21+CashFlow!I33</f>
        <v>1000</v>
      </c>
      <c r="K21" s="45">
        <f ca="1">J21+CashFlow!J33</f>
        <v>1000</v>
      </c>
      <c r="L21" s="45">
        <f ca="1">K21+CashFlow!K33</f>
        <v>1000</v>
      </c>
      <c r="M21" s="45">
        <f ca="1">L21+CashFlow!L33</f>
        <v>1000</v>
      </c>
      <c r="N21" s="45">
        <f ca="1">M21+CashFlow!M33</f>
        <v>1000</v>
      </c>
      <c r="O21" s="45">
        <f ca="1">N21+CashFlow!N33</f>
        <v>1000</v>
      </c>
      <c r="P21" s="46">
        <f t="shared" ref="P21:P23" ca="1" si="24">O21</f>
        <v>1000</v>
      </c>
      <c r="Q21" s="45">
        <f ca="1">P21+CashFlow!P33</f>
        <v>1000</v>
      </c>
      <c r="R21" s="45">
        <f ca="1">Q21+CashFlow!Q33</f>
        <v>1000</v>
      </c>
      <c r="S21" s="45">
        <f ca="1">R21+CashFlow!R33</f>
        <v>1000</v>
      </c>
      <c r="T21" s="45">
        <f ca="1">S21+CashFlow!S33</f>
        <v>1000</v>
      </c>
      <c r="U21" s="45">
        <f ca="1">T21+CashFlow!T33</f>
        <v>1000</v>
      </c>
      <c r="V21" s="45">
        <f ca="1">U21+CashFlow!U33</f>
        <v>1000</v>
      </c>
      <c r="W21" s="45">
        <f ca="1">V21+CashFlow!V33</f>
        <v>1000</v>
      </c>
      <c r="X21" s="45">
        <f ca="1">W21+CashFlow!W33</f>
        <v>1000</v>
      </c>
      <c r="Y21" s="45">
        <f ca="1">X21+CashFlow!X33</f>
        <v>1000</v>
      </c>
      <c r="Z21" s="45">
        <f ca="1">Y21+CashFlow!Y33</f>
        <v>1000</v>
      </c>
      <c r="AA21" s="45">
        <f ca="1">Z21+CashFlow!Z33</f>
        <v>1000</v>
      </c>
      <c r="AB21" s="45">
        <f ca="1">AA21+CashFlow!AA33</f>
        <v>1000</v>
      </c>
      <c r="AC21" s="46">
        <f t="shared" ref="AC21:AC23" ca="1" si="25">AB21</f>
        <v>1000</v>
      </c>
      <c r="AD21" s="45">
        <f ca="1">AC21+CashFlow!AC33</f>
        <v>1000</v>
      </c>
      <c r="AE21" s="45">
        <f ca="1">AD21+CashFlow!AD33</f>
        <v>1000</v>
      </c>
      <c r="AF21" s="45">
        <f ca="1">AE21+CashFlow!AE33</f>
        <v>1000</v>
      </c>
      <c r="AG21" s="45">
        <f ca="1">AF21+CashFlow!AF33</f>
        <v>1000</v>
      </c>
      <c r="AH21" s="45">
        <f ca="1">AG21+CashFlow!AG33</f>
        <v>1000</v>
      </c>
      <c r="AI21" s="45">
        <f ca="1">AH21+CashFlow!AH33</f>
        <v>1000</v>
      </c>
      <c r="AJ21" s="45">
        <f ca="1">AI21+CashFlow!AI33</f>
        <v>1000</v>
      </c>
      <c r="AK21" s="45">
        <f ca="1">AJ21+CashFlow!AJ33</f>
        <v>1000</v>
      </c>
      <c r="AL21" s="45">
        <f ca="1">AK21+CashFlow!AK33</f>
        <v>1000</v>
      </c>
      <c r="AM21" s="45">
        <f ca="1">AL21+CashFlow!AL33</f>
        <v>1000</v>
      </c>
      <c r="AN21" s="45">
        <f ca="1">AM21+CashFlow!AM33</f>
        <v>1000</v>
      </c>
      <c r="AO21" s="45">
        <f ca="1">AN21+CashFlow!AN33</f>
        <v>1000</v>
      </c>
      <c r="AP21" s="46">
        <f t="shared" ref="AP21:AP23" ca="1" si="26">AO21</f>
        <v>1000</v>
      </c>
    </row>
    <row r="22" spans="1:42" ht="16.149999999999999" customHeight="1" x14ac:dyDescent="0.3">
      <c r="A22" s="153" t="s">
        <v>116</v>
      </c>
      <c r="B22" s="14" t="s">
        <v>101</v>
      </c>
      <c r="C22" s="45">
        <f ca="1">-SUMIF(Assumptions!$A$71:$C$95,$A22,Assumptions!$C$71:$C$95)</f>
        <v>0</v>
      </c>
      <c r="D22" s="45">
        <f ca="1">C22+CashFlow!C12</f>
        <v>0</v>
      </c>
      <c r="E22" s="45">
        <f ca="1">D22+CashFlow!D12</f>
        <v>0</v>
      </c>
      <c r="F22" s="45">
        <f ca="1">E22+CashFlow!E12</f>
        <v>0</v>
      </c>
      <c r="G22" s="45">
        <f ca="1">F22+CashFlow!F12</f>
        <v>0</v>
      </c>
      <c r="H22" s="45">
        <f ca="1">G22+CashFlow!G12</f>
        <v>0</v>
      </c>
      <c r="I22" s="45">
        <f ca="1">H22+CashFlow!H12</f>
        <v>0</v>
      </c>
      <c r="J22" s="45">
        <f ca="1">I22+CashFlow!I12</f>
        <v>0</v>
      </c>
      <c r="K22" s="45">
        <f ca="1">J22+CashFlow!J12</f>
        <v>0</v>
      </c>
      <c r="L22" s="45">
        <f ca="1">K22+CashFlow!K12</f>
        <v>0</v>
      </c>
      <c r="M22" s="45">
        <f ca="1">L22+CashFlow!L12</f>
        <v>0</v>
      </c>
      <c r="N22" s="45">
        <f ca="1">M22+CashFlow!M12</f>
        <v>0</v>
      </c>
      <c r="O22" s="45">
        <f ca="1">N22+CashFlow!N12</f>
        <v>0</v>
      </c>
      <c r="P22" s="46">
        <f t="shared" ca="1" si="24"/>
        <v>0</v>
      </c>
      <c r="Q22" s="45">
        <f ca="1">P22+CashFlow!P12</f>
        <v>0</v>
      </c>
      <c r="R22" s="45">
        <f ca="1">Q22+CashFlow!Q12</f>
        <v>0</v>
      </c>
      <c r="S22" s="45">
        <f ca="1">R22+CashFlow!R12</f>
        <v>0</v>
      </c>
      <c r="T22" s="45">
        <f ca="1">S22+CashFlow!S12</f>
        <v>0</v>
      </c>
      <c r="U22" s="45">
        <f ca="1">T22+CashFlow!T12</f>
        <v>0</v>
      </c>
      <c r="V22" s="45">
        <f ca="1">U22+CashFlow!U12</f>
        <v>0</v>
      </c>
      <c r="W22" s="45">
        <f ca="1">V22+CashFlow!V12</f>
        <v>0</v>
      </c>
      <c r="X22" s="45">
        <f ca="1">W22+CashFlow!W12</f>
        <v>0</v>
      </c>
      <c r="Y22" s="45">
        <f ca="1">X22+CashFlow!X12</f>
        <v>0</v>
      </c>
      <c r="Z22" s="45">
        <f ca="1">Y22+CashFlow!Y12</f>
        <v>0</v>
      </c>
      <c r="AA22" s="45">
        <f ca="1">Z22+CashFlow!Z12</f>
        <v>0</v>
      </c>
      <c r="AB22" s="45">
        <f ca="1">AA22+CashFlow!AA12</f>
        <v>0</v>
      </c>
      <c r="AC22" s="46">
        <f t="shared" ca="1" si="25"/>
        <v>0</v>
      </c>
      <c r="AD22" s="45">
        <f ca="1">AC22+CashFlow!AC12</f>
        <v>0</v>
      </c>
      <c r="AE22" s="45">
        <f ca="1">AD22+CashFlow!AD12</f>
        <v>0</v>
      </c>
      <c r="AF22" s="45">
        <f ca="1">AE22+CashFlow!AE12</f>
        <v>0</v>
      </c>
      <c r="AG22" s="45">
        <f ca="1">AF22+CashFlow!AF12</f>
        <v>0</v>
      </c>
      <c r="AH22" s="45">
        <f ca="1">AG22+CashFlow!AG12</f>
        <v>0</v>
      </c>
      <c r="AI22" s="45">
        <f ca="1">AH22+CashFlow!AH12</f>
        <v>0</v>
      </c>
      <c r="AJ22" s="45">
        <f ca="1">AI22+CashFlow!AI12</f>
        <v>0</v>
      </c>
      <c r="AK22" s="45">
        <f ca="1">AJ22+CashFlow!AJ12</f>
        <v>0</v>
      </c>
      <c r="AL22" s="45">
        <f ca="1">AK22+CashFlow!AK12</f>
        <v>0</v>
      </c>
      <c r="AM22" s="45">
        <f ca="1">AL22+CashFlow!AL12</f>
        <v>0</v>
      </c>
      <c r="AN22" s="45">
        <f ca="1">AM22+CashFlow!AM12</f>
        <v>0</v>
      </c>
      <c r="AO22" s="45">
        <f ca="1">AN22+CashFlow!AN12</f>
        <v>0</v>
      </c>
      <c r="AP22" s="46">
        <f t="shared" ca="1" si="26"/>
        <v>0</v>
      </c>
    </row>
    <row r="23" spans="1:42" ht="16.149999999999999" customHeight="1" x14ac:dyDescent="0.3">
      <c r="A23" s="153" t="s">
        <v>125</v>
      </c>
      <c r="B23" s="14" t="s">
        <v>35</v>
      </c>
      <c r="C23" s="45">
        <f ca="1">-SUMIF(Assumptions!$A$71:$C$95,$A23,Assumptions!$C$71:$C$95)</f>
        <v>400000</v>
      </c>
      <c r="D23" s="45">
        <f ca="1">C23+IncState!C61</f>
        <v>440354.5</v>
      </c>
      <c r="E23" s="45">
        <f ca="1">D23+IncState!D61</f>
        <v>479451.74166294665</v>
      </c>
      <c r="F23" s="45">
        <f ca="1">E23+IncState!E61</f>
        <v>524327.04347315361</v>
      </c>
      <c r="G23" s="45">
        <f ca="1">F23+IncState!F61</f>
        <v>521154.13211744971</v>
      </c>
      <c r="H23" s="45">
        <f ca="1">G23+IncState!G61</f>
        <v>557046.74255890131</v>
      </c>
      <c r="I23" s="45">
        <f ca="1">H23+IncState!H61</f>
        <v>591951.61811120075</v>
      </c>
      <c r="J23" s="45">
        <f ca="1">I23+IncState!I61</f>
        <v>639316.63541091664</v>
      </c>
      <c r="K23" s="45">
        <f ca="1">J23+IncState!J61</f>
        <v>652054.7849532715</v>
      </c>
      <c r="L23" s="45">
        <f ca="1">K23+IncState!K61</f>
        <v>678091.70604455133</v>
      </c>
      <c r="M23" s="45">
        <f ca="1">L23+IncState!L61</f>
        <v>702320.64688101923</v>
      </c>
      <c r="N23" s="45">
        <f ca="1">M23+IncState!M61</f>
        <v>758298.94462854054</v>
      </c>
      <c r="O23" s="45">
        <f ca="1">N23+IncState!N61</f>
        <v>802072.49179173145</v>
      </c>
      <c r="P23" s="46">
        <f t="shared" ca="1" si="24"/>
        <v>802072.49179173145</v>
      </c>
      <c r="Q23" s="45">
        <f ca="1">P23+IncState!P61</f>
        <v>848019.51024125656</v>
      </c>
      <c r="R23" s="45">
        <f ca="1">Q23+IncState!Q61</f>
        <v>876785.51342021418</v>
      </c>
      <c r="S23" s="45">
        <f ca="1">R23+IncState!R61</f>
        <v>920239.70645125106</v>
      </c>
      <c r="T23" s="45">
        <f ca="1">S23+IncState!S61</f>
        <v>957119.62624467793</v>
      </c>
      <c r="U23" s="45">
        <f ca="1">T23+IncState!T61</f>
        <v>1006358.9816075937</v>
      </c>
      <c r="V23" s="45">
        <f ca="1">U23+IncState!U61</f>
        <v>1022851.0933540296</v>
      </c>
      <c r="W23" s="45">
        <f ca="1">V23+IncState!V61</f>
        <v>1069493.4372771289</v>
      </c>
      <c r="X23" s="45">
        <f ca="1">W23+IncState!W61</f>
        <v>1101123.4816941456</v>
      </c>
      <c r="Y23" s="45">
        <f ca="1">X23+IncState!X61</f>
        <v>1152086.1502154376</v>
      </c>
      <c r="Z23" s="45">
        <f ca="1">Y23+IncState!Y61</f>
        <v>1133439.3418895088</v>
      </c>
      <c r="AA23" s="45">
        <f ca="1">Z23+IncState!Z61</f>
        <v>1169459.6113494379</v>
      </c>
      <c r="AB23" s="45">
        <f ca="1">AA23+IncState!AA61</f>
        <v>1218539.8489607095</v>
      </c>
      <c r="AC23" s="46">
        <f t="shared" ca="1" si="25"/>
        <v>1218539.8489607095</v>
      </c>
      <c r="AD23" s="45">
        <f ca="1">AC23+IncState!AC61</f>
        <v>1265185.9209704609</v>
      </c>
      <c r="AE23" s="45">
        <f ca="1">AD23+IncState!AD61</f>
        <v>1279244.5096581555</v>
      </c>
      <c r="AF23" s="45">
        <f ca="1">AE23+IncState!AE61</f>
        <v>1324471.6632043051</v>
      </c>
      <c r="AG23" s="45">
        <f ca="1">AF23+IncState!AF61</f>
        <v>1362734.5063037155</v>
      </c>
      <c r="AH23" s="45">
        <f ca="1">AG23+IncState!AG61</f>
        <v>1351634.1819139712</v>
      </c>
      <c r="AI23" s="45">
        <f ca="1">AH23+IncState!AH61</f>
        <v>1402388.171430398</v>
      </c>
      <c r="AJ23" s="45">
        <f ca="1">AI23+IncState!AI61</f>
        <v>1436725.094862717</v>
      </c>
      <c r="AK23" s="45">
        <f ca="1">AJ23+IncState!AJ61</f>
        <v>1494726.4710134065</v>
      </c>
      <c r="AL23" s="45">
        <f ca="1">AK23+IncState!AK61</f>
        <v>1539153.7576577871</v>
      </c>
      <c r="AM23" s="45">
        <f ca="1">AL23+IncState!AL61</f>
        <v>1563265.4717258476</v>
      </c>
      <c r="AN23" s="45">
        <f ca="1">AM23+IncState!AM61</f>
        <v>1617323.2694858303</v>
      </c>
      <c r="AO23" s="45">
        <f ca="1">AN23+IncState!AN61</f>
        <v>1663999.3867295892</v>
      </c>
      <c r="AP23" s="46">
        <f t="shared" ca="1" si="26"/>
        <v>1663999.3867295892</v>
      </c>
    </row>
    <row r="24" spans="1:42" ht="16.149999999999999" customHeight="1" thickBot="1" x14ac:dyDescent="0.35">
      <c r="C24" s="96">
        <f ca="1">SUM(C21:C23)</f>
        <v>401000</v>
      </c>
      <c r="D24" s="96">
        <f t="shared" ref="D24:AO24" ca="1" si="27">SUM(D21:D23)</f>
        <v>441354.5</v>
      </c>
      <c r="E24" s="96">
        <f t="shared" ca="1" si="27"/>
        <v>480451.74166294665</v>
      </c>
      <c r="F24" s="96">
        <f t="shared" ca="1" si="27"/>
        <v>525327.04347315361</v>
      </c>
      <c r="G24" s="96">
        <f t="shared" ca="1" si="27"/>
        <v>522154.13211744971</v>
      </c>
      <c r="H24" s="96">
        <f t="shared" ca="1" si="27"/>
        <v>558046.74255890131</v>
      </c>
      <c r="I24" s="96">
        <f t="shared" ca="1" si="27"/>
        <v>592951.61811120075</v>
      </c>
      <c r="J24" s="96">
        <f t="shared" ca="1" si="27"/>
        <v>640316.63541091664</v>
      </c>
      <c r="K24" s="96">
        <f t="shared" ca="1" si="27"/>
        <v>653054.7849532715</v>
      </c>
      <c r="L24" s="96">
        <f t="shared" ca="1" si="27"/>
        <v>679091.70604455133</v>
      </c>
      <c r="M24" s="96">
        <f t="shared" ca="1" si="27"/>
        <v>703320.64688101923</v>
      </c>
      <c r="N24" s="96">
        <f t="shared" ca="1" si="27"/>
        <v>759298.94462854054</v>
      </c>
      <c r="O24" s="96">
        <f t="shared" ca="1" si="27"/>
        <v>803072.49179173145</v>
      </c>
      <c r="P24" s="58">
        <f t="shared" ref="P24" ca="1" si="28">SUM(P21:P23)</f>
        <v>803072.49179173145</v>
      </c>
      <c r="Q24" s="96">
        <f t="shared" ca="1" si="27"/>
        <v>849019.51024125656</v>
      </c>
      <c r="R24" s="96">
        <f t="shared" ca="1" si="27"/>
        <v>877785.51342021418</v>
      </c>
      <c r="S24" s="96">
        <f t="shared" ca="1" si="27"/>
        <v>921239.70645125106</v>
      </c>
      <c r="T24" s="96">
        <f t="shared" ca="1" si="27"/>
        <v>958119.62624467793</v>
      </c>
      <c r="U24" s="96">
        <f t="shared" ca="1" si="27"/>
        <v>1007358.9816075937</v>
      </c>
      <c r="V24" s="96">
        <f t="shared" ca="1" si="27"/>
        <v>1023851.0933540296</v>
      </c>
      <c r="W24" s="96">
        <f t="shared" ca="1" si="27"/>
        <v>1070493.4372771289</v>
      </c>
      <c r="X24" s="96">
        <f t="shared" ca="1" si="27"/>
        <v>1102123.4816941456</v>
      </c>
      <c r="Y24" s="96">
        <f t="shared" ca="1" si="27"/>
        <v>1153086.1502154376</v>
      </c>
      <c r="Z24" s="96">
        <f t="shared" ca="1" si="27"/>
        <v>1134439.3418895088</v>
      </c>
      <c r="AA24" s="96">
        <f t="shared" ca="1" si="27"/>
        <v>1170459.6113494379</v>
      </c>
      <c r="AB24" s="96">
        <f t="shared" ca="1" si="27"/>
        <v>1219539.8489607095</v>
      </c>
      <c r="AC24" s="58">
        <f t="shared" ca="1" si="27"/>
        <v>1219539.8489607095</v>
      </c>
      <c r="AD24" s="96">
        <f t="shared" ca="1" si="27"/>
        <v>1266185.9209704609</v>
      </c>
      <c r="AE24" s="96">
        <f t="shared" ca="1" si="27"/>
        <v>1280244.5096581555</v>
      </c>
      <c r="AF24" s="96">
        <f t="shared" ca="1" si="27"/>
        <v>1325471.6632043051</v>
      </c>
      <c r="AG24" s="96">
        <f t="shared" ca="1" si="27"/>
        <v>1363734.5063037155</v>
      </c>
      <c r="AH24" s="96">
        <f t="shared" ca="1" si="27"/>
        <v>1352634.1819139712</v>
      </c>
      <c r="AI24" s="96">
        <f t="shared" ca="1" si="27"/>
        <v>1403388.171430398</v>
      </c>
      <c r="AJ24" s="96">
        <f t="shared" ca="1" si="27"/>
        <v>1437725.094862717</v>
      </c>
      <c r="AK24" s="96">
        <f t="shared" ca="1" si="27"/>
        <v>1495726.4710134065</v>
      </c>
      <c r="AL24" s="96">
        <f t="shared" ca="1" si="27"/>
        <v>1540153.7576577871</v>
      </c>
      <c r="AM24" s="96">
        <f t="shared" ca="1" si="27"/>
        <v>1564265.4717258476</v>
      </c>
      <c r="AN24" s="96">
        <f t="shared" ca="1" si="27"/>
        <v>1618323.2694858303</v>
      </c>
      <c r="AO24" s="96">
        <f t="shared" ca="1" si="27"/>
        <v>1664999.3867295892</v>
      </c>
      <c r="AP24" s="58">
        <f t="shared" ref="AP24" ca="1" si="29">SUM(AP21:AP23)</f>
        <v>1664999.3867295892</v>
      </c>
    </row>
    <row r="25" spans="1:42" ht="16.149999999999999" customHeight="1" x14ac:dyDescent="0.3">
      <c r="B25" s="2" t="s">
        <v>102</v>
      </c>
      <c r="C25" s="45"/>
      <c r="D25" s="45"/>
      <c r="E25" s="45"/>
      <c r="F25" s="45"/>
      <c r="G25" s="45"/>
      <c r="H25" s="45"/>
      <c r="I25" s="45"/>
      <c r="J25" s="45"/>
      <c r="K25" s="45"/>
      <c r="L25" s="45"/>
      <c r="M25" s="45"/>
      <c r="N25" s="45"/>
      <c r="O25" s="45"/>
      <c r="P25" s="46"/>
      <c r="Q25" s="45"/>
      <c r="R25" s="45"/>
      <c r="S25" s="45"/>
      <c r="T25" s="45"/>
      <c r="U25" s="45"/>
      <c r="V25" s="45"/>
      <c r="W25" s="45"/>
      <c r="X25" s="45"/>
      <c r="Y25" s="45"/>
      <c r="Z25" s="45"/>
      <c r="AA25" s="45"/>
      <c r="AB25" s="45"/>
      <c r="AC25" s="46"/>
      <c r="AD25" s="45"/>
      <c r="AE25" s="45"/>
      <c r="AF25" s="45"/>
      <c r="AG25" s="45"/>
      <c r="AH25" s="45"/>
      <c r="AI25" s="45"/>
      <c r="AJ25" s="45"/>
      <c r="AK25" s="45"/>
      <c r="AL25" s="45"/>
      <c r="AM25" s="45"/>
      <c r="AN25" s="45"/>
      <c r="AO25" s="45"/>
      <c r="AP25" s="46"/>
    </row>
    <row r="26" spans="1:42" s="102" customFormat="1" ht="16.149999999999999" customHeight="1" x14ac:dyDescent="0.3">
      <c r="A26" s="153" t="s">
        <v>126</v>
      </c>
      <c r="B26" s="99" t="s">
        <v>111</v>
      </c>
      <c r="C26" s="45">
        <f ca="1">-SUMIF(Assumptions!$A$71:$C$95,$A26,Assumptions!$C$71:$C$95)</f>
        <v>1200000</v>
      </c>
      <c r="D26" s="100">
        <f ca="1">C26+CashFlow!C39+CashFlow!C35</f>
        <v>1194225.3197747867</v>
      </c>
      <c r="E26" s="100">
        <f ca="1">D26+CashFlow!D39+CashFlow!D35</f>
        <v>1188401.314155983</v>
      </c>
      <c r="F26" s="100">
        <f ca="1">E26+CashFlow!E39+CashFlow!E35</f>
        <v>1182527.5618225189</v>
      </c>
      <c r="G26" s="100">
        <f ca="1">F26+CashFlow!F39+CashFlow!F35</f>
        <v>1176603.6378545398</v>
      </c>
      <c r="H26" s="100">
        <f ca="1">G26+CashFlow!G39+CashFlow!G35</f>
        <v>1170629.1137026674</v>
      </c>
      <c r="I26" s="100">
        <f ca="1">H26+CashFlow!H39+CashFlow!H35</f>
        <v>1164603.5571569977</v>
      </c>
      <c r="J26" s="100">
        <f ca="1">I26+CashFlow!I39+CashFlow!I35</f>
        <v>1158526.532315834</v>
      </c>
      <c r="K26" s="100">
        <f ca="1">J26+CashFlow!J39+CashFlow!J35</f>
        <v>1152397.5995541518</v>
      </c>
      <c r="L26" s="100">
        <f ca="1">K26+CashFlow!K39+CashFlow!K35</f>
        <v>1146216.3154917969</v>
      </c>
      <c r="M26" s="100">
        <f ca="1">L26+CashFlow!L39+CashFlow!L35</f>
        <v>1139982.2329614095</v>
      </c>
      <c r="N26" s="100">
        <f ca="1">M26+CashFlow!M39+CashFlow!M35</f>
        <v>1133694.9009760751</v>
      </c>
      <c r="O26" s="100">
        <f ca="1">N26+CashFlow!N39+CashFlow!N35</f>
        <v>1127353.8646966992</v>
      </c>
      <c r="P26" s="101">
        <f t="shared" ref="P26:P29" ca="1" si="30">O26</f>
        <v>1127353.8646966992</v>
      </c>
      <c r="Q26" s="100">
        <f ca="1">P26+CashFlow!P39+CashFlow!P35</f>
        <v>1120958.6653991037</v>
      </c>
      <c r="R26" s="100">
        <f ca="1">Q26+CashFlow!Q39+CashFlow!Q35</f>
        <v>1114508.8404408412</v>
      </c>
      <c r="S26" s="100">
        <f ca="1">R26+CashFlow!R39+CashFlow!R35</f>
        <v>1108003.9232277267</v>
      </c>
      <c r="T26" s="100">
        <f ca="1">S26+CashFlow!S39+CashFlow!S35</f>
        <v>1101443.4431800838</v>
      </c>
      <c r="U26" s="100">
        <f ca="1">T26+CashFlow!T39+CashFlow!T35</f>
        <v>1094826.9256987004</v>
      </c>
      <c r="V26" s="100">
        <f ca="1">U26+CashFlow!U39+CashFlow!U35</f>
        <v>1088153.8921304969</v>
      </c>
      <c r="W26" s="100">
        <f ca="1">V26+CashFlow!V39+CashFlow!V35</f>
        <v>1081423.8597338984</v>
      </c>
      <c r="X26" s="100">
        <f ca="1">W26+CashFlow!W39+CashFlow!W35</f>
        <v>1074636.3416439123</v>
      </c>
      <c r="Y26" s="100">
        <f ca="1">X26+CashFlow!X39+CashFlow!X35</f>
        <v>1067790.8468369076</v>
      </c>
      <c r="Z26" s="100">
        <f ca="1">Y26+CashFlow!Y39+CashFlow!Y35</f>
        <v>1060886.880095093</v>
      </c>
      <c r="AA26" s="100">
        <f ca="1">Z26+CashFlow!Z39+CashFlow!Z35</f>
        <v>1053923.941970692</v>
      </c>
      <c r="AB26" s="100">
        <f ca="1">AA26+CashFlow!AA39+CashFlow!AA35</f>
        <v>1046901.5287498118</v>
      </c>
      <c r="AC26" s="101">
        <f t="shared" ref="AC26:AC29" ca="1" si="31">AB26</f>
        <v>1046901.5287498118</v>
      </c>
      <c r="AD26" s="100">
        <f ca="1">AC26+CashFlow!AC39+CashFlow!AC35</f>
        <v>1039819.1324160033</v>
      </c>
      <c r="AE26" s="100">
        <f ca="1">AD26+CashFlow!AD39+CashFlow!AD35</f>
        <v>1032676.2406135101</v>
      </c>
      <c r="AF26" s="100">
        <f ca="1">AE26+CashFlow!AE39+CashFlow!AE35</f>
        <v>1025472.336610204</v>
      </c>
      <c r="AG26" s="100">
        <f ca="1">AF26+CashFlow!AF39+CashFlow!AF35</f>
        <v>1018206.8992602029</v>
      </c>
      <c r="AH26" s="100">
        <f ca="1">AG26+CashFlow!AG39+CashFlow!AG35</f>
        <v>1010879.4029661706</v>
      </c>
      <c r="AI26" s="100">
        <f ca="1">AH26+CashFlow!AH39+CashFlow!AH35</f>
        <v>1003489.3176412934</v>
      </c>
      <c r="AJ26" s="100">
        <f ca="1">AI26+CashFlow!AI39+CashFlow!AI35</f>
        <v>996036.10867093294</v>
      </c>
      <c r="AK26" s="100">
        <f ca="1">AJ26+CashFlow!AJ39+CashFlow!AJ35</f>
        <v>988519.23687395058</v>
      </c>
      <c r="AL26" s="100">
        <f ca="1">AK26+CashFlow!AK39+CashFlow!AK35</f>
        <v>980938.15846370242</v>
      </c>
      <c r="AM26" s="100">
        <f ca="1">AL26+CashFlow!AL39+CashFlow!AL35</f>
        <v>973292.32500870002</v>
      </c>
      <c r="AN26" s="100">
        <f ca="1">AM26+CashFlow!AM39+CashFlow!AM35</f>
        <v>965581.18339293613</v>
      </c>
      <c r="AO26" s="100">
        <f ca="1">AN26+CashFlow!AN39+CashFlow!AN35</f>
        <v>957804.17577587091</v>
      </c>
      <c r="AP26" s="101">
        <f t="shared" ref="AP26:AP29" ca="1" si="32">AO26</f>
        <v>957804.17577587091</v>
      </c>
    </row>
    <row r="27" spans="1:42" s="102" customFormat="1" ht="16.149999999999999" customHeight="1" x14ac:dyDescent="0.3">
      <c r="A27" s="153" t="s">
        <v>127</v>
      </c>
      <c r="B27" s="99" t="s">
        <v>112</v>
      </c>
      <c r="C27" s="45">
        <f ca="1">-SUMIF(Assumptions!$A$71:$C$95,$A27,Assumptions!$C$71:$C$95)</f>
        <v>500000</v>
      </c>
      <c r="D27" s="100">
        <f ca="1">C27+CashFlow!C40+CashFlow!C36</f>
        <v>496464.05658645334</v>
      </c>
      <c r="E27" s="100">
        <f ca="1">D27+CashFlow!D40+CashFlow!D36</f>
        <v>492900.85694242723</v>
      </c>
      <c r="F27" s="100">
        <f ca="1">E27+CashFlow!E40+CashFlow!E36</f>
        <v>489310.19096781174</v>
      </c>
      <c r="G27" s="100">
        <f ca="1">F27+CashFlow!F40+CashFlow!F36</f>
        <v>485691.84694297524</v>
      </c>
      <c r="H27" s="100">
        <f ca="1">G27+CashFlow!G40+CashFlow!G36</f>
        <v>482045.61151628068</v>
      </c>
      <c r="I27" s="100">
        <f ca="1">H27+CashFlow!H40+CashFlow!H36</f>
        <v>577664.081008796</v>
      </c>
      <c r="J27" s="100">
        <f ca="1">I27+CashFlow!I40+CashFlow!I36</f>
        <v>573248.77620364947</v>
      </c>
      <c r="K27" s="100">
        <f ca="1">J27+CashFlow!J40+CashFlow!J36</f>
        <v>568799.43675729656</v>
      </c>
      <c r="L27" s="100">
        <f ca="1">K27+CashFlow!K40+CashFlow!K36</f>
        <v>564315.80031937803</v>
      </c>
      <c r="M27" s="100">
        <f ca="1">L27+CashFlow!L40+CashFlow!L36</f>
        <v>559797.60251725058</v>
      </c>
      <c r="N27" s="100">
        <f ca="1">M27+CashFlow!M40+CashFlow!M36</f>
        <v>555244.57694039831</v>
      </c>
      <c r="O27" s="100">
        <f ca="1">N27+CashFlow!N40+CashFlow!N36</f>
        <v>550656.45512472454</v>
      </c>
      <c r="P27" s="101">
        <f t="shared" ca="1" si="30"/>
        <v>550656.45512472454</v>
      </c>
      <c r="Q27" s="100">
        <f ca="1">P27+CashFlow!P40+CashFlow!P36</f>
        <v>546032.96653672156</v>
      </c>
      <c r="R27" s="100">
        <f ca="1">Q27+CashFlow!Q40+CashFlow!Q36</f>
        <v>541373.83855751948</v>
      </c>
      <c r="S27" s="100">
        <f ca="1">R27+CashFlow!R40+CashFlow!R36</f>
        <v>536678.79646681098</v>
      </c>
      <c r="T27" s="100">
        <f ca="1">S27+CashFlow!S40+CashFlow!S36</f>
        <v>531947.56342665327</v>
      </c>
      <c r="U27" s="100">
        <f ca="1">T27+CashFlow!T40+CashFlow!T36</f>
        <v>527179.86046514439</v>
      </c>
      <c r="V27" s="100">
        <f ca="1">U27+CashFlow!U40+CashFlow!U36</f>
        <v>522375.40645997383</v>
      </c>
      <c r="W27" s="100">
        <f ca="1">V27+CashFlow!V40+CashFlow!V36</f>
        <v>517533.9181218468</v>
      </c>
      <c r="X27" s="100">
        <f ca="1">W27+CashFlow!W40+CashFlow!W36</f>
        <v>512655.10997778003</v>
      </c>
      <c r="Y27" s="100">
        <f ca="1">X27+CashFlow!X40+CashFlow!X36</f>
        <v>507738.69435426936</v>
      </c>
      <c r="Z27" s="100">
        <f ca="1">Y27+CashFlow!Y40+CashFlow!Y36</f>
        <v>502784.38136032748</v>
      </c>
      <c r="AA27" s="100">
        <f ca="1">Z27+CashFlow!Z40+CashFlow!Z36</f>
        <v>497791.87887039065</v>
      </c>
      <c r="AB27" s="100">
        <f ca="1">AA27+CashFlow!AA40+CashFlow!AA36</f>
        <v>492760.8925070939</v>
      </c>
      <c r="AC27" s="101">
        <f t="shared" ca="1" si="31"/>
        <v>492760.8925070939</v>
      </c>
      <c r="AD27" s="100">
        <f ca="1">AC27+CashFlow!AC40+CashFlow!AC36</f>
        <v>487691.12562391337</v>
      </c>
      <c r="AE27" s="100">
        <f ca="1">AD27+CashFlow!AD40+CashFlow!AD36</f>
        <v>482582.27928767499</v>
      </c>
      <c r="AF27" s="100">
        <f ca="1">AE27+CashFlow!AE40+CashFlow!AE36</f>
        <v>477434.05226092815</v>
      </c>
      <c r="AG27" s="100">
        <f ca="1">AF27+CashFlow!AF40+CashFlow!AF36</f>
        <v>472246.14098418347</v>
      </c>
      <c r="AH27" s="100">
        <f ca="1">AG27+CashFlow!AG40+CashFlow!AG36</f>
        <v>467018.23955801385</v>
      </c>
      <c r="AI27" s="100">
        <f ca="1">AH27+CashFlow!AH40+CashFlow!AH36</f>
        <v>461750.0397250175</v>
      </c>
      <c r="AJ27" s="100">
        <f ca="1">AI27+CashFlow!AI40+CashFlow!AI36</f>
        <v>456441.2308516418</v>
      </c>
      <c r="AK27" s="100">
        <f ca="1">AJ27+CashFlow!AJ40+CashFlow!AJ36</f>
        <v>451091.49990986718</v>
      </c>
      <c r="AL27" s="100">
        <f ca="1">AK27+CashFlow!AK40+CashFlow!AK36</f>
        <v>445700.53145874973</v>
      </c>
      <c r="AM27" s="100">
        <f ca="1">AL27+CashFlow!AL40+CashFlow!AL36</f>
        <v>440268.00762582157</v>
      </c>
      <c r="AN27" s="100">
        <f ca="1">AM27+CashFlow!AM40+CashFlow!AM36</f>
        <v>434793.60808834794</v>
      </c>
      <c r="AO27" s="100">
        <f ca="1">AN27+CashFlow!AN40+CashFlow!AN36</f>
        <v>429277.0100544396</v>
      </c>
      <c r="AP27" s="101">
        <f t="shared" ca="1" si="32"/>
        <v>429277.0100544396</v>
      </c>
    </row>
    <row r="28" spans="1:42" s="102" customFormat="1" ht="16.149999999999999" customHeight="1" x14ac:dyDescent="0.3">
      <c r="A28" s="153" t="s">
        <v>128</v>
      </c>
      <c r="B28" s="99" t="s">
        <v>113</v>
      </c>
      <c r="C28" s="45">
        <f ca="1">-SUMIF(Assumptions!$A$71:$C$95,$A28,Assumptions!$C$71:$C$95)</f>
        <v>0</v>
      </c>
      <c r="D28" s="100">
        <f ca="1">C28+CashFlow!C41+CashFlow!C37</f>
        <v>0</v>
      </c>
      <c r="E28" s="100">
        <f ca="1">D28+CashFlow!D41+CashFlow!D37</f>
        <v>0</v>
      </c>
      <c r="F28" s="100">
        <f ca="1">E28+CashFlow!E41+CashFlow!E37</f>
        <v>0</v>
      </c>
      <c r="G28" s="100">
        <f ca="1">F28+CashFlow!F41+CashFlow!F37</f>
        <v>0</v>
      </c>
      <c r="H28" s="100">
        <f ca="1">G28+CashFlow!G41+CashFlow!G37</f>
        <v>0</v>
      </c>
      <c r="I28" s="100">
        <f ca="1">H28+CashFlow!H41+CashFlow!H37</f>
        <v>0</v>
      </c>
      <c r="J28" s="100">
        <f ca="1">I28+CashFlow!I41+CashFlow!I37</f>
        <v>0</v>
      </c>
      <c r="K28" s="100">
        <f ca="1">J28+CashFlow!J41+CashFlow!J37</f>
        <v>0</v>
      </c>
      <c r="L28" s="100">
        <f ca="1">K28+CashFlow!K41+CashFlow!K37</f>
        <v>0</v>
      </c>
      <c r="M28" s="100">
        <f ca="1">L28+CashFlow!L41+CashFlow!L37</f>
        <v>0</v>
      </c>
      <c r="N28" s="100">
        <f ca="1">M28+CashFlow!M41+CashFlow!M37</f>
        <v>237100.49482590021</v>
      </c>
      <c r="O28" s="100">
        <f ca="1">N28+CashFlow!N41+CashFlow!N37</f>
        <v>234170.78647290354</v>
      </c>
      <c r="P28" s="101">
        <f t="shared" ca="1" si="30"/>
        <v>234170.78647290354</v>
      </c>
      <c r="Q28" s="100">
        <f ca="1">P28+CashFlow!P41+CashFlow!P37</f>
        <v>231210.56032456315</v>
      </c>
      <c r="R28" s="100">
        <f ca="1">Q28+CashFlow!Q41+CashFlow!Q37</f>
        <v>228219.49848717754</v>
      </c>
      <c r="S28" s="100">
        <f ca="1">R28+CashFlow!R41+CashFlow!R37</f>
        <v>225197.2797556525</v>
      </c>
      <c r="T28" s="100">
        <f ca="1">S28+CashFlow!S41+CashFlow!S37</f>
        <v>222143.5795790074</v>
      </c>
      <c r="U28" s="100">
        <f ca="1">T28+CashFlow!T41+CashFlow!T37</f>
        <v>219058.07002552226</v>
      </c>
      <c r="V28" s="100">
        <f ca="1">U28+CashFlow!U41+CashFlow!U37</f>
        <v>512316.03827989689</v>
      </c>
      <c r="W28" s="100">
        <f ca="1">V28+CashFlow!V41+CashFlow!V37</f>
        <v>505503.77703692124</v>
      </c>
      <c r="X28" s="100">
        <f ca="1">W28+CashFlow!W41+CashFlow!W37</f>
        <v>498620.5547393313</v>
      </c>
      <c r="Y28" s="100">
        <f ca="1">X28+CashFlow!X41+CashFlow!X37</f>
        <v>491665.6322094748</v>
      </c>
      <c r="Z28" s="100">
        <f ca="1">Y28+CashFlow!Y41+CashFlow!Y37</f>
        <v>484638.26256993227</v>
      </c>
      <c r="AA28" s="100">
        <f ca="1">Z28+CashFlow!Z41+CashFlow!Z37</f>
        <v>477537.69116331119</v>
      </c>
      <c r="AB28" s="100">
        <f ca="1">AA28+CashFlow!AA41+CashFlow!AA37</f>
        <v>470363.15547120443</v>
      </c>
      <c r="AC28" s="101">
        <f t="shared" ca="1" si="31"/>
        <v>470363.15547120443</v>
      </c>
      <c r="AD28" s="100">
        <f ca="1">AC28+CashFlow!AC41+CashFlow!AC37</f>
        <v>463113.88503230491</v>
      </c>
      <c r="AE28" s="100">
        <f ca="1">AD28+CashFlow!AD41+CashFlow!AD37</f>
        <v>633614.47247909196</v>
      </c>
      <c r="AF28" s="100">
        <f ca="1">AE28+CashFlow!AE41+CashFlow!AE37</f>
        <v>624016.10771178314</v>
      </c>
      <c r="AG28" s="100">
        <f ca="1">AF28+CashFlow!AF41+CashFlow!AF37</f>
        <v>614317.75997814815</v>
      </c>
      <c r="AH28" s="100">
        <f ca="1">AG28+CashFlow!AG41+CashFlow!AG37</f>
        <v>604518.38778895442</v>
      </c>
      <c r="AI28" s="100">
        <f ca="1">AH28+CashFlow!AH41+CashFlow!AH37</f>
        <v>594616.93880612333</v>
      </c>
      <c r="AJ28" s="100">
        <f ca="1">AI28+CashFlow!AI41+CashFlow!AI37</f>
        <v>584612.34972972109</v>
      </c>
      <c r="AK28" s="100">
        <f ca="1">AJ28+CashFlow!AJ41+CashFlow!AJ37</f>
        <v>574503.54618377297</v>
      </c>
      <c r="AL28" s="100">
        <f ca="1">AK28+CashFlow!AK41+CashFlow!AK37</f>
        <v>564289.44260088785</v>
      </c>
      <c r="AM28" s="100">
        <f ca="1">AL28+CashFlow!AL41+CashFlow!AL37</f>
        <v>553968.94210568105</v>
      </c>
      <c r="AN28" s="100">
        <f ca="1">AM28+CashFlow!AM41+CashFlow!AM37</f>
        <v>543540.93639698252</v>
      </c>
      <c r="AO28" s="100">
        <f ca="1">AN28+CashFlow!AN41+CashFlow!AN37</f>
        <v>533004.30562881834</v>
      </c>
      <c r="AP28" s="101">
        <f t="shared" ca="1" si="32"/>
        <v>533004.30562881834</v>
      </c>
    </row>
    <row r="29" spans="1:42" s="102" customFormat="1" ht="16.149999999999999" customHeight="1" x14ac:dyDescent="0.3">
      <c r="A29" s="153" t="s">
        <v>138</v>
      </c>
      <c r="B29" s="99" t="s">
        <v>103</v>
      </c>
      <c r="C29" s="45">
        <f ca="1">-SUMIF(Assumptions!$A$71:$C$95,$A29,Assumptions!$C$71:$C$95)</f>
        <v>425000</v>
      </c>
      <c r="D29" s="100">
        <f ca="1">C29+CashFlow!C42+CashFlow!C38</f>
        <v>417985.08788167726</v>
      </c>
      <c r="E29" s="100">
        <f ca="1">D29+CashFlow!D42+CashFlow!D38</f>
        <v>410902.94952222059</v>
      </c>
      <c r="F29" s="100">
        <f ca="1">E29+CashFlow!E42+CashFlow!E38</f>
        <v>403752.94067015249</v>
      </c>
      <c r="G29" s="100">
        <f ca="1">F29+CashFlow!F42+CashFlow!F38</f>
        <v>396534.4108999187</v>
      </c>
      <c r="H29" s="100">
        <f ca="1">G29+CashFlow!G42+CashFlow!G38</f>
        <v>389246.7035527202</v>
      </c>
      <c r="I29" s="100">
        <f ca="1">H29+CashFlow!H42+CashFlow!H38</f>
        <v>381889.15567677771</v>
      </c>
      <c r="J29" s="100">
        <f ca="1">I29+CashFlow!I42+CashFlow!I38</f>
        <v>374461.09796702408</v>
      </c>
      <c r="K29" s="100">
        <f ca="1">J29+CashFlow!J42+CashFlow!J38</f>
        <v>366961.85470421868</v>
      </c>
      <c r="L29" s="100">
        <f ca="1">K29+CashFlow!K42+CashFlow!K38</f>
        <v>359390.74369347806</v>
      </c>
      <c r="M29" s="100">
        <f ca="1">L29+CashFlow!L42+CashFlow!L38</f>
        <v>351747.07620221784</v>
      </c>
      <c r="N29" s="100">
        <f ca="1">M29+CashFlow!M42+CashFlow!M38</f>
        <v>344030.15689749969</v>
      </c>
      <c r="O29" s="100">
        <f ca="1">N29+CashFlow!N42+CashFlow!N38</f>
        <v>336239.28378277802</v>
      </c>
      <c r="P29" s="101">
        <f t="shared" ca="1" si="30"/>
        <v>336239.28378277802</v>
      </c>
      <c r="Q29" s="100">
        <f ca="1">P29+CashFlow!P42+CashFlow!P38</f>
        <v>328373.74813404027</v>
      </c>
      <c r="R29" s="100">
        <f ca="1">Q29+CashFlow!Q42+CashFlow!Q38</f>
        <v>320432.83443533542</v>
      </c>
      <c r="S29" s="100">
        <f ca="1">R29+CashFlow!R42+CashFlow!R38</f>
        <v>312415.82031368464</v>
      </c>
      <c r="T29" s="100">
        <f ca="1">S29+CashFlow!S42+CashFlow!S38</f>
        <v>304321.97647336806</v>
      </c>
      <c r="U29" s="100">
        <f ca="1">T29+CashFlow!T42+CashFlow!T38</f>
        <v>296150.56662958179</v>
      </c>
      <c r="V29" s="100">
        <f ca="1">U29+CashFlow!U42+CashFlow!U38</f>
        <v>287900.84744145925</v>
      </c>
      <c r="W29" s="100">
        <f ca="1">V29+CashFlow!V42+CashFlow!V38</f>
        <v>279572.0684444505</v>
      </c>
      <c r="X29" s="100">
        <f ca="1">W29+CashFlow!W42+CashFlow!W38</f>
        <v>271163.47198205377</v>
      </c>
      <c r="Y29" s="100">
        <f ca="1">X29+CashFlow!X42+CashFlow!X38</f>
        <v>262674.29313689237</v>
      </c>
      <c r="Z29" s="100">
        <f ca="1">Y29+CashFlow!Y42+CashFlow!Y38</f>
        <v>254103.75966113154</v>
      </c>
      <c r="AA29" s="100">
        <f ca="1">Z29+CashFlow!Z42+CashFlow!Z38</f>
        <v>245451.09190622799</v>
      </c>
      <c r="AB29" s="100">
        <f ca="1">AA29+CashFlow!AA42+CashFlow!AA38</f>
        <v>236715.50275200661</v>
      </c>
      <c r="AC29" s="101">
        <f t="shared" ca="1" si="31"/>
        <v>236715.50275200661</v>
      </c>
      <c r="AD29" s="100">
        <f ca="1">AC29+CashFlow!AC42+CashFlow!AC38</f>
        <v>227896.19753505729</v>
      </c>
      <c r="AE29" s="100">
        <f ca="1">AD29+CashFlow!AD42+CashFlow!AD38</f>
        <v>218992.37397644552</v>
      </c>
      <c r="AF29" s="100">
        <f ca="1">AE29+CashFlow!AE42+CashFlow!AE38</f>
        <v>210003.22210873041</v>
      </c>
      <c r="AG29" s="100">
        <f ca="1">AF29+CashFlow!AF42+CashFlow!AF38</f>
        <v>200927.92420228303</v>
      </c>
      <c r="AH29" s="100">
        <f ca="1">AG29+CashFlow!AG42+CashFlow!AG38</f>
        <v>191765.65469089884</v>
      </c>
      <c r="AI29" s="100">
        <f ca="1">AH29+CashFlow!AH42+CashFlow!AH38</f>
        <v>182515.58009669723</v>
      </c>
      <c r="AJ29" s="100">
        <f ca="1">AI29+CashFlow!AI42+CashFlow!AI38</f>
        <v>173176.85895430119</v>
      </c>
      <c r="AK29" s="100">
        <f ca="1">AJ29+CashFlow!AJ42+CashFlow!AJ38</f>
        <v>163748.64173429052</v>
      </c>
      <c r="AL29" s="100">
        <f ca="1">AK29+CashFlow!AK42+CashFlow!AK38</f>
        <v>154230.07076592141</v>
      </c>
      <c r="AM29" s="100">
        <f ca="1">AL29+CashFlow!AL42+CashFlow!AL38</f>
        <v>144620.28015910543</v>
      </c>
      <c r="AN29" s="100">
        <f ca="1">AM29+CashFlow!AM42+CashFlow!AM38</f>
        <v>134918.39572564079</v>
      </c>
      <c r="AO29" s="100">
        <f ca="1">AN29+CashFlow!AN42+CashFlow!AN38</f>
        <v>125123.53489968879</v>
      </c>
      <c r="AP29" s="101">
        <f t="shared" ca="1" si="32"/>
        <v>125123.53489968879</v>
      </c>
    </row>
    <row r="30" spans="1:42" s="102" customFormat="1" ht="16.149999999999999" customHeight="1" thickBot="1" x14ac:dyDescent="0.35">
      <c r="A30" s="161"/>
      <c r="B30" s="99"/>
      <c r="C30" s="103">
        <f ca="1">SUM(C26:C29)</f>
        <v>2125000</v>
      </c>
      <c r="D30" s="103">
        <f t="shared" ref="D30:AO30" ca="1" si="33">SUM(D26:D29)</f>
        <v>2108674.4642429175</v>
      </c>
      <c r="E30" s="103">
        <f t="shared" ca="1" si="33"/>
        <v>2092205.1206206307</v>
      </c>
      <c r="F30" s="103">
        <f t="shared" ca="1" si="33"/>
        <v>2075590.6934604831</v>
      </c>
      <c r="G30" s="103">
        <f t="shared" ca="1" si="33"/>
        <v>2058829.8956974337</v>
      </c>
      <c r="H30" s="103">
        <f t="shared" ca="1" si="33"/>
        <v>2041921.4287716681</v>
      </c>
      <c r="I30" s="103">
        <f t="shared" ca="1" si="33"/>
        <v>2124156.7938425718</v>
      </c>
      <c r="J30" s="103">
        <f t="shared" ca="1" si="33"/>
        <v>2106236.4064865075</v>
      </c>
      <c r="K30" s="103">
        <f t="shared" ca="1" si="33"/>
        <v>2088158.891015667</v>
      </c>
      <c r="L30" s="103">
        <f t="shared" ca="1" si="33"/>
        <v>2069922.8595046531</v>
      </c>
      <c r="M30" s="103">
        <f t="shared" ca="1" si="33"/>
        <v>2051526.9116808781</v>
      </c>
      <c r="N30" s="103">
        <f t="shared" ca="1" si="33"/>
        <v>2270070.1296398733</v>
      </c>
      <c r="O30" s="103">
        <f t="shared" ca="1" si="33"/>
        <v>2248420.3900771053</v>
      </c>
      <c r="P30" s="104">
        <f t="shared" ref="P30" ca="1" si="34">SUM(P26:P29)</f>
        <v>2248420.3900771053</v>
      </c>
      <c r="Q30" s="103">
        <f t="shared" ca="1" si="33"/>
        <v>2226575.9403944286</v>
      </c>
      <c r="R30" s="103">
        <f t="shared" ca="1" si="33"/>
        <v>2204535.0119208735</v>
      </c>
      <c r="S30" s="103">
        <f t="shared" ca="1" si="33"/>
        <v>2182295.8197638746</v>
      </c>
      <c r="T30" s="103">
        <f t="shared" ca="1" si="33"/>
        <v>2159856.5626591127</v>
      </c>
      <c r="U30" s="103">
        <f t="shared" ca="1" si="33"/>
        <v>2137215.4228189485</v>
      </c>
      <c r="V30" s="103">
        <f t="shared" ca="1" si="33"/>
        <v>2410746.1843118267</v>
      </c>
      <c r="W30" s="103">
        <f t="shared" ca="1" si="33"/>
        <v>2384033.623337117</v>
      </c>
      <c r="X30" s="103">
        <f t="shared" ca="1" si="33"/>
        <v>2357075.4783430775</v>
      </c>
      <c r="Y30" s="103">
        <f t="shared" ca="1" si="33"/>
        <v>2329869.466537544</v>
      </c>
      <c r="Z30" s="103">
        <f t="shared" ca="1" si="33"/>
        <v>2302413.2836864842</v>
      </c>
      <c r="AA30" s="103">
        <f t="shared" ca="1" si="33"/>
        <v>2274704.6039106217</v>
      </c>
      <c r="AB30" s="103">
        <f t="shared" ca="1" si="33"/>
        <v>2246741.0794801167</v>
      </c>
      <c r="AC30" s="104">
        <f t="shared" ca="1" si="33"/>
        <v>2246741.0794801167</v>
      </c>
      <c r="AD30" s="103">
        <f t="shared" ca="1" si="33"/>
        <v>2218520.3406072785</v>
      </c>
      <c r="AE30" s="103">
        <f t="shared" ca="1" si="33"/>
        <v>2367865.366356723</v>
      </c>
      <c r="AF30" s="103">
        <f t="shared" ca="1" si="33"/>
        <v>2336925.7186916457</v>
      </c>
      <c r="AG30" s="103">
        <f t="shared" ca="1" si="33"/>
        <v>2305698.7244248176</v>
      </c>
      <c r="AH30" s="103">
        <f t="shared" ca="1" si="33"/>
        <v>2274181.6850040378</v>
      </c>
      <c r="AI30" s="103">
        <f t="shared" ca="1" si="33"/>
        <v>2242371.8762691314</v>
      </c>
      <c r="AJ30" s="103">
        <f t="shared" ca="1" si="33"/>
        <v>2210266.5482065971</v>
      </c>
      <c r="AK30" s="103">
        <f t="shared" ca="1" si="33"/>
        <v>2177862.9247018811</v>
      </c>
      <c r="AL30" s="103">
        <f t="shared" ca="1" si="33"/>
        <v>2145158.2032892616</v>
      </c>
      <c r="AM30" s="103">
        <f t="shared" ca="1" si="33"/>
        <v>2112149.5548993084</v>
      </c>
      <c r="AN30" s="103">
        <f t="shared" ca="1" si="33"/>
        <v>2078834.1236039072</v>
      </c>
      <c r="AO30" s="103">
        <f t="shared" ca="1" si="33"/>
        <v>2045209.0263588177</v>
      </c>
      <c r="AP30" s="104">
        <f t="shared" ref="AP30" ca="1" si="35">SUM(AP26:AP29)</f>
        <v>2045209.0263588177</v>
      </c>
    </row>
    <row r="31" spans="1:42" s="10" customFormat="1" ht="16.149999999999999" customHeight="1" x14ac:dyDescent="0.25">
      <c r="A31" s="162"/>
      <c r="B31" s="2" t="s">
        <v>36</v>
      </c>
      <c r="C31" s="46"/>
      <c r="D31" s="46"/>
      <c r="E31" s="46"/>
      <c r="F31" s="46"/>
      <c r="G31" s="46"/>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row>
    <row r="32" spans="1:42" ht="16.149999999999999" customHeight="1" x14ac:dyDescent="0.3">
      <c r="A32" s="153" t="s">
        <v>129</v>
      </c>
      <c r="B32" s="14" t="s">
        <v>104</v>
      </c>
      <c r="C32" s="45">
        <f ca="1">-SUMIF(Assumptions!$A$71:$C$95,$A32,Assumptions!$C$71:$C$95)</f>
        <v>0</v>
      </c>
      <c r="D32" s="45">
        <f ca="1">IF(CashFlow!C46&lt;0,-CashFlow!C46,0)</f>
        <v>0</v>
      </c>
      <c r="E32" s="45">
        <f ca="1">IF(CashFlow!D46&lt;0,-CashFlow!D46,0)</f>
        <v>0</v>
      </c>
      <c r="F32" s="45">
        <f ca="1">IF(CashFlow!E46&lt;0,-CashFlow!E46,0)</f>
        <v>0</v>
      </c>
      <c r="G32" s="45">
        <f ca="1">IF(CashFlow!F46&lt;0,-CashFlow!F46,0)</f>
        <v>0</v>
      </c>
      <c r="H32" s="45">
        <f ca="1">IF(CashFlow!G46&lt;0,-CashFlow!G46,0)</f>
        <v>0</v>
      </c>
      <c r="I32" s="45">
        <f ca="1">IF(CashFlow!H46&lt;0,-CashFlow!H46,0)</f>
        <v>0</v>
      </c>
      <c r="J32" s="45">
        <f ca="1">IF(CashFlow!I46&lt;0,-CashFlow!I46,0)</f>
        <v>0</v>
      </c>
      <c r="K32" s="45">
        <f ca="1">IF(CashFlow!J46&lt;0,-CashFlow!J46,0)</f>
        <v>0</v>
      </c>
      <c r="L32" s="45">
        <f ca="1">IF(CashFlow!K46&lt;0,-CashFlow!K46,0)</f>
        <v>0</v>
      </c>
      <c r="M32" s="45">
        <f ca="1">IF(CashFlow!L46&lt;0,-CashFlow!L46,0)</f>
        <v>0</v>
      </c>
      <c r="N32" s="45">
        <f ca="1">IF(CashFlow!M46&lt;0,-CashFlow!M46,0)</f>
        <v>0</v>
      </c>
      <c r="O32" s="45">
        <f ca="1">IF(CashFlow!N46&lt;0,-CashFlow!N46,0)</f>
        <v>0</v>
      </c>
      <c r="P32" s="46">
        <f t="shared" ref="P32:P39" ca="1" si="36">O32</f>
        <v>0</v>
      </c>
      <c r="Q32" s="45">
        <f ca="1">IF(CashFlow!P46&lt;0,-CashFlow!P46,0)</f>
        <v>0</v>
      </c>
      <c r="R32" s="45">
        <f ca="1">IF(CashFlow!Q46&lt;0,-CashFlow!Q46,0)</f>
        <v>0</v>
      </c>
      <c r="S32" s="45">
        <f ca="1">IF(CashFlow!R46&lt;0,-CashFlow!R46,0)</f>
        <v>0</v>
      </c>
      <c r="T32" s="45">
        <f ca="1">IF(CashFlow!S46&lt;0,-CashFlow!S46,0)</f>
        <v>0</v>
      </c>
      <c r="U32" s="45">
        <f ca="1">IF(CashFlow!T46&lt;0,-CashFlow!T46,0)</f>
        <v>0</v>
      </c>
      <c r="V32" s="45">
        <f ca="1">IF(CashFlow!U46&lt;0,-CashFlow!U46,0)</f>
        <v>0</v>
      </c>
      <c r="W32" s="45">
        <f ca="1">IF(CashFlow!V46&lt;0,-CashFlow!V46,0)</f>
        <v>0</v>
      </c>
      <c r="X32" s="45">
        <f ca="1">IF(CashFlow!W46&lt;0,-CashFlow!W46,0)</f>
        <v>0</v>
      </c>
      <c r="Y32" s="45">
        <f ca="1">IF(CashFlow!X46&lt;0,-CashFlow!X46,0)</f>
        <v>0</v>
      </c>
      <c r="Z32" s="45">
        <f ca="1">IF(CashFlow!Y46&lt;0,-CashFlow!Y46,0)</f>
        <v>0</v>
      </c>
      <c r="AA32" s="45">
        <f ca="1">IF(CashFlow!Z46&lt;0,-CashFlow!Z46,0)</f>
        <v>0</v>
      </c>
      <c r="AB32" s="45">
        <f ca="1">IF(CashFlow!AA46&lt;0,-CashFlow!AA46,0)</f>
        <v>0</v>
      </c>
      <c r="AC32" s="46">
        <f t="shared" ref="AC32:AC39" ca="1" si="37">AB32</f>
        <v>0</v>
      </c>
      <c r="AD32" s="45">
        <f ca="1">IF(CashFlow!AC46&lt;0,-CashFlow!AC46,0)</f>
        <v>0</v>
      </c>
      <c r="AE32" s="45">
        <f ca="1">IF(CashFlow!AD46&lt;0,-CashFlow!AD46,0)</f>
        <v>25104.072602781234</v>
      </c>
      <c r="AF32" s="45">
        <f ca="1">IF(CashFlow!AE46&lt;0,-CashFlow!AE46,0)</f>
        <v>8067.0335326144705</v>
      </c>
      <c r="AG32" s="45">
        <f ca="1">IF(CashFlow!AF46&lt;0,-CashFlow!AF46,0)</f>
        <v>0</v>
      </c>
      <c r="AH32" s="45">
        <f ca="1">IF(CashFlow!AG46&lt;0,-CashFlow!AG46,0)</f>
        <v>0</v>
      </c>
      <c r="AI32" s="45">
        <f ca="1">IF(CashFlow!AH46&lt;0,-CashFlow!AH46,0)</f>
        <v>0</v>
      </c>
      <c r="AJ32" s="45">
        <f ca="1">IF(CashFlow!AI46&lt;0,-CashFlow!AI46,0)</f>
        <v>0</v>
      </c>
      <c r="AK32" s="45">
        <f ca="1">IF(CashFlow!AJ46&lt;0,-CashFlow!AJ46,0)</f>
        <v>0</v>
      </c>
      <c r="AL32" s="45">
        <f ca="1">IF(CashFlow!AK46&lt;0,-CashFlow!AK46,0)</f>
        <v>0</v>
      </c>
      <c r="AM32" s="45">
        <f ca="1">IF(CashFlow!AL46&lt;0,-CashFlow!AL46,0)</f>
        <v>0</v>
      </c>
      <c r="AN32" s="45">
        <f ca="1">IF(CashFlow!AM46&lt;0,-CashFlow!AM46,0)</f>
        <v>0</v>
      </c>
      <c r="AO32" s="45">
        <f ca="1">IF(CashFlow!AN46&lt;0,-CashFlow!AN46,0)</f>
        <v>0</v>
      </c>
      <c r="AP32" s="46">
        <f t="shared" ref="AP32:AP39" ca="1" si="38">AO32</f>
        <v>0</v>
      </c>
    </row>
    <row r="33" spans="1:42" ht="16.149999999999999" customHeight="1" x14ac:dyDescent="0.3">
      <c r="A33" s="153" t="s">
        <v>182</v>
      </c>
      <c r="B33" s="14" t="s">
        <v>105</v>
      </c>
      <c r="C33" s="45">
        <f ca="1">-SUMIF(Assumptions!$A$71:$C$95,$A33,Assumptions!$C$71:$C$95)</f>
        <v>130000</v>
      </c>
      <c r="D33" s="45">
        <f ca="1">(IF(COLUMN(D$4)-MATCH(MAX(DATE(YEAR(D$4-D$57),MONTH(D$4-D$57)+1,0),DATE(YEAR($D$4),MONTH($D$4),0)),$A$4:$AP$4,0)=0,0,SUM(OFFSET($A$58,0,MATCH(MAX(DATE(YEAR(D$4-D$57),MONTH(D$4-D$57)+1,0),DATE(YEAR($D$4),MONTH($D$4),0)),$A$4:$AP$4,0),1,COLUMN(D$4)-MATCH(MAX(DATE(YEAR(D$4-D$57),MONTH(D$4-D$57)+1,0),DATE(YEAR($D$4),MONTH($D$4),0)),$A$4:$AP$4,0))))+IF(ISNA(MATCH(DATE(YEAR(D$4-D$57),MONTH(D$4-D$57)+1,0),$A$4:$AP$4,0)),0,IF(DATE(YEAR(D$4-D$57),MONTH(D$4-D$57)+1,0)&lt;=$C$4,0,OFFSET($A$58,0,MATCH(DATE(YEAR(D$4-D$57),MONTH(D$4-D$57)+1,0),$A$4:$AP$4,0)-1,1,1)/OFFSET($A$43,0,MATCH(DATE(YEAR(D$4-D$57),MONTH(D$4-D$57)+1,0),$A$4:$AP$4,0)-1,1,1)*IF((D$4-D$57)&gt;DATE(YEAR($D$4),MONTH($D$4),0),(D$57-(D$4-DATE(YEAR(D$4-D$57),MONTH(D$4-D$57)+1,0))),0)))+IF(C$57=0,0,($C$33/$C$57*IF(DATE(YEAR($D$4),MONTH($D$4),0)&gt;(D$4-D$57),DATE(YEAR($D$4),MONTH($D$4),0)-(D$4-D$57),0))))</f>
        <v>145252.4193548387</v>
      </c>
      <c r="E33" s="45">
        <f t="shared" ref="E33:O33" ca="1" si="39">(IF(COLUMN(E$4)-MATCH(MAX(DATE(YEAR(E$4-E$57),MONTH(E$4-E$57)+1,0),DATE(YEAR($D$4),MONTH($D$4),0)),$A$4:$AP$4,0)=0,0,SUM(OFFSET($A$58,0,MATCH(MAX(DATE(YEAR(E$4-E$57),MONTH(E$4-E$57)+1,0),DATE(YEAR($D$4),MONTH($D$4),0)),$A$4:$AP$4,0),1,COLUMN(E$4)-MATCH(MAX(DATE(YEAR(E$4-E$57),MONTH(E$4-E$57)+1,0),DATE(YEAR($D$4),MONTH($D$4),0)),$A$4:$AP$4,0))))+IF(ISNA(MATCH(DATE(YEAR(E$4-E$57),MONTH(E$4-E$57)+1,0),$A$4:$AP$4,0)),0,IF(DATE(YEAR(E$4-E$57),MONTH(E$4-E$57)+1,0)&lt;=$C$4,0,OFFSET($A$58,0,MATCH(DATE(YEAR(E$4-E$57),MONTH(E$4-E$57)+1,0),$A$4:$AP$4,0)-1,1,1)/OFFSET($A$43,0,MATCH(DATE(YEAR(E$4-E$57),MONTH(E$4-E$57)+1,0),$A$4:$AP$4,0)-1,1,1)*IF((E$4-E$57)&gt;DATE(YEAR($D$4),MONTH($D$4),0),(E$57-(E$4-DATE(YEAR(E$4-E$57),MONTH(E$4-E$57)+1,0))),0)))+IF(D$57=0,0,($C$33/$C$57*IF(DATE(YEAR($D$4),MONTH($D$4),0)&gt;(E$4-E$57),DATE(YEAR($D$4),MONTH($D$4),0)-(E$4-E$57),0))))</f>
        <v>159861.49999999997</v>
      </c>
      <c r="F33" s="45">
        <f t="shared" ca="1" si="39"/>
        <v>159764.67741935482</v>
      </c>
      <c r="G33" s="45">
        <f t="shared" ca="1" si="39"/>
        <v>219584.83333333334</v>
      </c>
      <c r="H33" s="45">
        <f t="shared" ca="1" si="39"/>
        <v>173171.45161290321</v>
      </c>
      <c r="I33" s="45">
        <f t="shared" ca="1" si="39"/>
        <v>171858.22580645164</v>
      </c>
      <c r="J33" s="45">
        <f t="shared" ca="1" si="39"/>
        <v>157891.16666666666</v>
      </c>
      <c r="K33" s="45">
        <f t="shared" ca="1" si="39"/>
        <v>189264.03225806452</v>
      </c>
      <c r="L33" s="45">
        <f t="shared" ca="1" si="39"/>
        <v>193033.6333333333</v>
      </c>
      <c r="M33" s="45">
        <f t="shared" ca="1" si="39"/>
        <v>135251.12903225806</v>
      </c>
      <c r="N33" s="45">
        <f t="shared" ca="1" si="39"/>
        <v>164501.19354838709</v>
      </c>
      <c r="O33" s="45">
        <f t="shared" ca="1" si="39"/>
        <v>168773.17857142855</v>
      </c>
      <c r="P33" s="46">
        <f t="shared" ca="1" si="36"/>
        <v>168773.17857142855</v>
      </c>
      <c r="Q33" s="45">
        <f ca="1">(IF(COLUMN(Q$4)-MATCH(MAX(DATE(YEAR(Q$4-Q$57),MONTH(Q$4-Q$57)+1,0),DATE(YEAR($D$4),MONTH($D$4),0)),$A$4:$AP$4,0)=0,0,SUM(OFFSET($A$58,0,MATCH(MAX(DATE(YEAR(Q$4-Q$57),MONTH(Q$4-Q$57)+1,0),DATE(YEAR($D$4),MONTH($D$4),0)),$A$4:$AP$4,0),1,COLUMN(Q$4)-MATCH(MAX(DATE(YEAR(Q$4-Q$57),MONTH(Q$4-Q$57)+1,0),DATE(YEAR($D$4),MONTH($D$4),0)),$A$4:$AP$4,0))))+IF(ISNA(MATCH(DATE(YEAR(Q$4-Q$57),MONTH(Q$4-Q$57)+1,0),$A$4:$AP$4,0)),0,IF(DATE(YEAR(Q$4-Q$57),MONTH(Q$4-Q$57)+1,0)&lt;=$C$4,0,OFFSET($A$58,0,MATCH(DATE(YEAR(Q$4-Q$57),MONTH(Q$4-Q$57)+1,0),$A$4:$AP$4,0)-1,1,1)/OFFSET($A$43,0,MATCH(DATE(YEAR(Q$4-Q$57),MONTH(Q$4-Q$57)+1,0),$A$4:$AP$4,0)-1,1,1)*IF((Q$4-Q$57)&gt;DATE(YEAR($D$4),MONTH($D$4),0),(Q$57-(Q$4-DATE(YEAR(Q$4-Q$57),MONTH(Q$4-Q$57)+1,0))),0)))+IF(P$57=0,0,($C$33/$C$57*IF(DATE(YEAR($D$4),MONTH($D$4),0)&gt;(Q$4-Q$57),DATE(YEAR($D$4),MONTH($D$4),0)-(Q$4-Q$57),0))))</f>
        <v>162740.58064516127</v>
      </c>
      <c r="R33" s="45">
        <f t="shared" ref="R33:AB33" ca="1" si="40">(IF(COLUMN(R$4)-MATCH(MAX(DATE(YEAR(R$4-R$57),MONTH(R$4-R$57)+1,0),DATE(YEAR($D$4),MONTH($D$4),0)),$A$4:$AP$4,0)=0,0,SUM(OFFSET($A$58,0,MATCH(MAX(DATE(YEAR(R$4-R$57),MONTH(R$4-R$57)+1,0),DATE(YEAR($D$4),MONTH($D$4),0)),$A$4:$AP$4,0),1,COLUMN(R$4)-MATCH(MAX(DATE(YEAR(R$4-R$57),MONTH(R$4-R$57)+1,0),DATE(YEAR($D$4),MONTH($D$4),0)),$A$4:$AP$4,0))))+IF(ISNA(MATCH(DATE(YEAR(R$4-R$57),MONTH(R$4-R$57)+1,0),$A$4:$AP$4,0)),0,IF(DATE(YEAR(R$4-R$57),MONTH(R$4-R$57)+1,0)&lt;=$C$4,0,OFFSET($A$58,0,MATCH(DATE(YEAR(R$4-R$57),MONTH(R$4-R$57)+1,0),$A$4:$AP$4,0)-1,1,1)/OFFSET($A$43,0,MATCH(DATE(YEAR(R$4-R$57),MONTH(R$4-R$57)+1,0),$A$4:$AP$4,0)-1,1,1)*IF((R$4-R$57)&gt;DATE(YEAR($D$4),MONTH($D$4),0),(R$57-(R$4-DATE(YEAR(R$4-R$57),MONTH(R$4-R$57)+1,0))),0)))+IF(Q$57=0,0,($C$33/$C$57*IF(DATE(YEAR($D$4),MONTH($D$4),0)&gt;(R$4-R$57),DATE(YEAR($D$4),MONTH($D$4),0)-(R$4-R$57),0))))</f>
        <v>183423.46666666665</v>
      </c>
      <c r="S33" s="45">
        <f t="shared" ca="1" si="40"/>
        <v>155618</v>
      </c>
      <c r="T33" s="45">
        <f t="shared" ca="1" si="40"/>
        <v>170814.86666666667</v>
      </c>
      <c r="U33" s="45">
        <f t="shared" ca="1" si="40"/>
        <v>172905.09677419352</v>
      </c>
      <c r="V33" s="45">
        <f t="shared" ca="1" si="40"/>
        <v>187918.90322580645</v>
      </c>
      <c r="W33" s="45">
        <f t="shared" ca="1" si="40"/>
        <v>153672.19999999998</v>
      </c>
      <c r="X33" s="45">
        <f t="shared" ca="1" si="40"/>
        <v>157409.03225806449</v>
      </c>
      <c r="Y33" s="45">
        <f t="shared" ca="1" si="40"/>
        <v>179407.66666666666</v>
      </c>
      <c r="Z33" s="45">
        <f t="shared" ca="1" si="40"/>
        <v>168515.80645161288</v>
      </c>
      <c r="AA33" s="45">
        <f t="shared" ca="1" si="40"/>
        <v>193990.90322580643</v>
      </c>
      <c r="AB33" s="45">
        <f t="shared" ca="1" si="40"/>
        <v>180334.78571428571</v>
      </c>
      <c r="AC33" s="46">
        <f t="shared" ca="1" si="37"/>
        <v>180334.78571428571</v>
      </c>
      <c r="AD33" s="45">
        <f ca="1">(IF(COLUMN(AD$4)-MATCH(MAX(DATE(YEAR(AD$4-AD$57),MONTH(AD$4-AD$57)+1,0),DATE(YEAR($D$4),MONTH($D$4),0)),$A$4:$AP$4,0)=0,0,SUM(OFFSET($A$58,0,MATCH(MAX(DATE(YEAR(AD$4-AD$57),MONTH(AD$4-AD$57)+1,0),DATE(YEAR($D$4),MONTH($D$4),0)),$A$4:$AP$4,0),1,COLUMN(AD$4)-MATCH(MAX(DATE(YEAR(AD$4-AD$57),MONTH(AD$4-AD$57)+1,0),DATE(YEAR($D$4),MONTH($D$4),0)),$A$4:$AP$4,0))))+IF(ISNA(MATCH(DATE(YEAR(AD$4-AD$57),MONTH(AD$4-AD$57)+1,0),$A$4:$AP$4,0)),0,IF(DATE(YEAR(AD$4-AD$57),MONTH(AD$4-AD$57)+1,0)&lt;=$C$4,0,OFFSET($A$58,0,MATCH(DATE(YEAR(AD$4-AD$57),MONTH(AD$4-AD$57)+1,0),$A$4:$AP$4,0)-1,1,1)/OFFSET($A$43,0,MATCH(DATE(YEAR(AD$4-AD$57),MONTH(AD$4-AD$57)+1,0),$A$4:$AP$4,0)-1,1,1)*IF((AD$4-AD$57)&gt;DATE(YEAR($D$4),MONTH($D$4),0),(AD$57-(AD$4-DATE(YEAR(AD$4-AD$57),MONTH(AD$4-AD$57)+1,0))),0)))+IF(AC$57=0,0,($C$33/$C$57*IF(DATE(YEAR($D$4),MONTH($D$4),0)&gt;(AD$4-AD$57),DATE(YEAR($D$4),MONTH($D$4),0)-(AD$4-AD$57),0))))</f>
        <v>161356.87096774194</v>
      </c>
      <c r="AE33" s="45">
        <f t="shared" ref="AE33:AO33" ca="1" si="41">(IF(COLUMN(AE$4)-MATCH(MAX(DATE(YEAR(AE$4-AE$57),MONTH(AE$4-AE$57)+1,0),DATE(YEAR($D$4),MONTH($D$4),0)),$A$4:$AP$4,0)=0,0,SUM(OFFSET($A$58,0,MATCH(MAX(DATE(YEAR(AE$4-AE$57),MONTH(AE$4-AE$57)+1,0),DATE(YEAR($D$4),MONTH($D$4),0)),$A$4:$AP$4,0),1,COLUMN(AE$4)-MATCH(MAX(DATE(YEAR(AE$4-AE$57),MONTH(AE$4-AE$57)+1,0),DATE(YEAR($D$4),MONTH($D$4),0)),$A$4:$AP$4,0))))+IF(ISNA(MATCH(DATE(YEAR(AE$4-AE$57),MONTH(AE$4-AE$57)+1,0),$A$4:$AP$4,0)),0,IF(DATE(YEAR(AE$4-AE$57),MONTH(AE$4-AE$57)+1,0)&lt;=$C$4,0,OFFSET($A$58,0,MATCH(DATE(YEAR(AE$4-AE$57),MONTH(AE$4-AE$57)+1,0),$A$4:$AP$4,0)-1,1,1)/OFFSET($A$43,0,MATCH(DATE(YEAR(AE$4-AE$57),MONTH(AE$4-AE$57)+1,0),$A$4:$AP$4,0)-1,1,1)*IF((AE$4-AE$57)&gt;DATE(YEAR($D$4),MONTH($D$4),0),(AE$57-(AE$4-DATE(YEAR(AE$4-AE$57),MONTH(AE$4-AE$57)+1,0))),0)))+IF(AD$57=0,0,($C$33/$C$57*IF(DATE(YEAR($D$4),MONTH($D$4),0)&gt;(AE$4-AE$57),DATE(YEAR($D$4),MONTH($D$4),0)-(AE$4-AE$57),0))))</f>
        <v>214299.43333333332</v>
      </c>
      <c r="AF33" s="45">
        <f t="shared" ca="1" si="41"/>
        <v>172990.4193548387</v>
      </c>
      <c r="AG33" s="45">
        <f t="shared" ca="1" si="41"/>
        <v>197593.76666666663</v>
      </c>
      <c r="AH33" s="45">
        <f t="shared" ca="1" si="41"/>
        <v>238206.54838709673</v>
      </c>
      <c r="AI33" s="45">
        <f t="shared" ca="1" si="41"/>
        <v>181166.54838709673</v>
      </c>
      <c r="AJ33" s="45">
        <f t="shared" ca="1" si="41"/>
        <v>186653.43333333329</v>
      </c>
      <c r="AK33" s="45">
        <f t="shared" ca="1" si="41"/>
        <v>178362.03225806449</v>
      </c>
      <c r="AL33" s="45">
        <f t="shared" ca="1" si="41"/>
        <v>211999.43333333332</v>
      </c>
      <c r="AM33" s="45">
        <f t="shared" ca="1" si="41"/>
        <v>156489.77419354839</v>
      </c>
      <c r="AN33" s="45">
        <f t="shared" ca="1" si="41"/>
        <v>192147.19354838709</v>
      </c>
      <c r="AO33" s="45">
        <f t="shared" ca="1" si="41"/>
        <v>198403.55172413791</v>
      </c>
      <c r="AP33" s="46">
        <f t="shared" ca="1" si="38"/>
        <v>198403.55172413791</v>
      </c>
    </row>
    <row r="34" spans="1:42" ht="16.149999999999999" customHeight="1" x14ac:dyDescent="0.3">
      <c r="A34" s="153" t="s">
        <v>131</v>
      </c>
      <c r="B34" s="14" t="s">
        <v>108</v>
      </c>
      <c r="C34" s="45">
        <f ca="1">-SUMIF(Assumptions!$A$71:$C$95,$A34,Assumptions!$C$71:$C$95)</f>
        <v>16000</v>
      </c>
      <c r="D34" s="45">
        <f ca="1">IF(D61=0,0,SUM(OFFSET(D62,0,0,1,-MIN(D61,COLUMN(D$4)-COLUMN($B$4))))-SUM(OFFSET(D63,0,0,1,-MIN(D61,COLUMN(D$4)-COLUMN($B$4)))))</f>
        <v>28458.75</v>
      </c>
      <c r="E34" s="45">
        <f t="shared" ref="E34:O34" ca="1" si="42">IF(E61=0,0,SUM(OFFSET(E62,0,0,1,-MIN(E61,COLUMN(E$4)-COLUMN($B$4))))-SUM(OFFSET(E63,0,0,1,-MIN(E61,COLUMN(E$4)-COLUMN($B$4)))))</f>
        <v>56634</v>
      </c>
      <c r="F34" s="45">
        <f t="shared" ca="1" si="42"/>
        <v>29357.25</v>
      </c>
      <c r="G34" s="45">
        <f t="shared" ca="1" si="42"/>
        <v>48682.5</v>
      </c>
      <c r="H34" s="45">
        <f t="shared" ca="1" si="42"/>
        <v>27441.75</v>
      </c>
      <c r="I34" s="45">
        <f t="shared" ca="1" si="42"/>
        <v>54771</v>
      </c>
      <c r="J34" s="45">
        <f t="shared" ca="1" si="42"/>
        <v>29901.75</v>
      </c>
      <c r="K34" s="45">
        <f t="shared" ca="1" si="42"/>
        <v>54366</v>
      </c>
      <c r="L34" s="45">
        <f t="shared" ca="1" si="42"/>
        <v>25411.050000000003</v>
      </c>
      <c r="M34" s="45">
        <f t="shared" ca="1" si="42"/>
        <v>50421.450000000012</v>
      </c>
      <c r="N34" s="45">
        <f t="shared" ca="1" si="42"/>
        <v>32575.65</v>
      </c>
      <c r="O34" s="45">
        <f t="shared" ca="1" si="42"/>
        <v>62579.700000000012</v>
      </c>
      <c r="P34" s="46">
        <f t="shared" ca="1" si="36"/>
        <v>62579.700000000012</v>
      </c>
      <c r="Q34" s="45">
        <f t="shared" ref="Q34:AB34" ca="1" si="43">IF(Q61=0,0,SUM(OFFSET(Q62,0,0,1,-MIN(Q61,COLUMN(Q$4)-COLUMN($B$4))))-SUM(OFFSET(Q63,0,0,1,-MIN(Q61,COLUMN(Q$4)-COLUMN($B$4)))))</f>
        <v>31912.65</v>
      </c>
      <c r="R34" s="45">
        <f t="shared" ca="1" si="43"/>
        <v>60216.450000000012</v>
      </c>
      <c r="S34" s="45">
        <f t="shared" ca="1" si="43"/>
        <v>31334.1</v>
      </c>
      <c r="T34" s="45">
        <f t="shared" ca="1" si="43"/>
        <v>61268.55</v>
      </c>
      <c r="U34" s="45">
        <f t="shared" ca="1" si="43"/>
        <v>32479.050000000003</v>
      </c>
      <c r="V34" s="45">
        <f t="shared" ca="1" si="43"/>
        <v>59323.950000000012</v>
      </c>
      <c r="W34" s="45">
        <f t="shared" ca="1" si="43"/>
        <v>33089.700000000004</v>
      </c>
      <c r="X34" s="45">
        <f t="shared" ca="1" si="43"/>
        <v>66315</v>
      </c>
      <c r="Y34" s="45">
        <f t="shared" ca="1" si="43"/>
        <v>33915.75</v>
      </c>
      <c r="Z34" s="45">
        <f t="shared" ca="1" si="43"/>
        <v>53292</v>
      </c>
      <c r="AA34" s="45">
        <f t="shared" ca="1" si="43"/>
        <v>30727.35</v>
      </c>
      <c r="AB34" s="45">
        <f t="shared" ca="1" si="43"/>
        <v>64137.3</v>
      </c>
      <c r="AC34" s="46">
        <f t="shared" ca="1" si="37"/>
        <v>64137.3</v>
      </c>
      <c r="AD34" s="45">
        <f t="shared" ref="AD34:AO34" ca="1" si="44">IF(AD61=0,0,SUM(OFFSET(AD62,0,0,1,-MIN(AD61,COLUMN(AD$4)-COLUMN($B$4))))-SUM(OFFSET(AD63,0,0,1,-MIN(AD61,COLUMN(AD$4)-COLUMN($B$4)))))</f>
        <v>34356.75</v>
      </c>
      <c r="AE34" s="45">
        <f t="shared" ca="1" si="44"/>
        <v>62616.75</v>
      </c>
      <c r="AF34" s="45">
        <f t="shared" ca="1" si="44"/>
        <v>34710.75</v>
      </c>
      <c r="AG34" s="45">
        <f t="shared" ca="1" si="44"/>
        <v>67927.5</v>
      </c>
      <c r="AH34" s="45">
        <f t="shared" ca="1" si="44"/>
        <v>22889.25</v>
      </c>
      <c r="AI34" s="45">
        <f t="shared" ca="1" si="44"/>
        <v>58320.899999999994</v>
      </c>
      <c r="AJ34" s="45">
        <f t="shared" ca="1" si="44"/>
        <v>36317.1</v>
      </c>
      <c r="AK34" s="45">
        <f t="shared" ca="1" si="44"/>
        <v>73169.55</v>
      </c>
      <c r="AL34" s="45">
        <f t="shared" ca="1" si="44"/>
        <v>33979.35</v>
      </c>
      <c r="AM34" s="45">
        <f t="shared" ca="1" si="44"/>
        <v>63680.7</v>
      </c>
      <c r="AN34" s="45">
        <f t="shared" ca="1" si="44"/>
        <v>35894.1</v>
      </c>
      <c r="AO34" s="45">
        <f t="shared" ca="1" si="44"/>
        <v>70203.899999999994</v>
      </c>
      <c r="AP34" s="46">
        <f t="shared" ca="1" si="38"/>
        <v>70203.899999999994</v>
      </c>
    </row>
    <row r="35" spans="1:42" ht="16.149999999999999" customHeight="1" x14ac:dyDescent="0.3">
      <c r="A35" s="153" t="s">
        <v>130</v>
      </c>
      <c r="B35" s="14" t="s">
        <v>180</v>
      </c>
      <c r="C35" s="45">
        <f ca="1">-SUMIF(Assumptions!$A$71:$C$95,$A35,Assumptions!$C$71:$C$95)</f>
        <v>20000</v>
      </c>
      <c r="D35" s="45">
        <f t="shared" ref="D35:O35" ca="1" si="45">IF(D71=0,0,SUM(OFFSET(D72,0,0,1,-MIN(D71,COLUMN(D$4)-COLUMN($B$4)))))</f>
        <v>20000</v>
      </c>
      <c r="E35" s="45">
        <f t="shared" ca="1" si="45"/>
        <v>20000</v>
      </c>
      <c r="F35" s="45">
        <f t="shared" ca="1" si="45"/>
        <v>20000</v>
      </c>
      <c r="G35" s="45">
        <f t="shared" ca="1" si="45"/>
        <v>20000</v>
      </c>
      <c r="H35" s="45">
        <f t="shared" ca="1" si="45"/>
        <v>20000</v>
      </c>
      <c r="I35" s="45">
        <f t="shared" ca="1" si="45"/>
        <v>20000</v>
      </c>
      <c r="J35" s="45">
        <f t="shared" ca="1" si="45"/>
        <v>20000</v>
      </c>
      <c r="K35" s="45">
        <f t="shared" ca="1" si="45"/>
        <v>20000</v>
      </c>
      <c r="L35" s="45">
        <f t="shared" ca="1" si="45"/>
        <v>20000</v>
      </c>
      <c r="M35" s="45">
        <f t="shared" ca="1" si="45"/>
        <v>20000</v>
      </c>
      <c r="N35" s="45">
        <f t="shared" ca="1" si="45"/>
        <v>20000</v>
      </c>
      <c r="O35" s="45">
        <f t="shared" ca="1" si="45"/>
        <v>20000</v>
      </c>
      <c r="P35" s="46">
        <f t="shared" ca="1" si="36"/>
        <v>20000</v>
      </c>
      <c r="Q35" s="45">
        <f t="shared" ref="Q35:AB35" ca="1" si="46">IF(Q71=0,0,SUM(OFFSET(Q72,0,0,1,-MIN(Q71,COLUMN(Q$4)-COLUMN($B$4)))))</f>
        <v>22000</v>
      </c>
      <c r="R35" s="45">
        <f t="shared" ca="1" si="46"/>
        <v>22000</v>
      </c>
      <c r="S35" s="45">
        <f t="shared" ca="1" si="46"/>
        <v>22000</v>
      </c>
      <c r="T35" s="45">
        <f t="shared" ca="1" si="46"/>
        <v>22000</v>
      </c>
      <c r="U35" s="45">
        <f t="shared" ca="1" si="46"/>
        <v>22000</v>
      </c>
      <c r="V35" s="45">
        <f t="shared" ca="1" si="46"/>
        <v>22000</v>
      </c>
      <c r="W35" s="45">
        <f t="shared" ca="1" si="46"/>
        <v>22000</v>
      </c>
      <c r="X35" s="45">
        <f t="shared" ca="1" si="46"/>
        <v>22000</v>
      </c>
      <c r="Y35" s="45">
        <f t="shared" ca="1" si="46"/>
        <v>22000</v>
      </c>
      <c r="Z35" s="45">
        <f t="shared" ca="1" si="46"/>
        <v>22000</v>
      </c>
      <c r="AA35" s="45">
        <f t="shared" ca="1" si="46"/>
        <v>22000</v>
      </c>
      <c r="AB35" s="45">
        <f t="shared" ca="1" si="46"/>
        <v>22000</v>
      </c>
      <c r="AC35" s="46">
        <f t="shared" ca="1" si="37"/>
        <v>22000</v>
      </c>
      <c r="AD35" s="45">
        <f t="shared" ref="AD35:AO35" ca="1" si="47">IF(AD71=0,0,SUM(OFFSET(AD72,0,0,1,-MIN(AD71,COLUMN(AD$4)-COLUMN($B$4)))))</f>
        <v>24000</v>
      </c>
      <c r="AE35" s="45">
        <f t="shared" ca="1" si="47"/>
        <v>24000</v>
      </c>
      <c r="AF35" s="45">
        <f t="shared" ca="1" si="47"/>
        <v>24000</v>
      </c>
      <c r="AG35" s="45">
        <f t="shared" ca="1" si="47"/>
        <v>24000</v>
      </c>
      <c r="AH35" s="45">
        <f t="shared" ca="1" si="47"/>
        <v>24000</v>
      </c>
      <c r="AI35" s="45">
        <f t="shared" ca="1" si="47"/>
        <v>24000</v>
      </c>
      <c r="AJ35" s="45">
        <f t="shared" ca="1" si="47"/>
        <v>24000</v>
      </c>
      <c r="AK35" s="45">
        <f t="shared" ca="1" si="47"/>
        <v>24000</v>
      </c>
      <c r="AL35" s="45">
        <f t="shared" ca="1" si="47"/>
        <v>24000</v>
      </c>
      <c r="AM35" s="45">
        <f t="shared" ca="1" si="47"/>
        <v>24000</v>
      </c>
      <c r="AN35" s="45">
        <f t="shared" ca="1" si="47"/>
        <v>24000</v>
      </c>
      <c r="AO35" s="45">
        <f t="shared" ca="1" si="47"/>
        <v>24000</v>
      </c>
      <c r="AP35" s="46">
        <f t="shared" ca="1" si="38"/>
        <v>24000</v>
      </c>
    </row>
    <row r="36" spans="1:42" ht="16.149999999999999" customHeight="1" x14ac:dyDescent="0.3">
      <c r="A36" s="153" t="s">
        <v>117</v>
      </c>
      <c r="B36" s="14" t="s">
        <v>181</v>
      </c>
      <c r="C36" s="45">
        <f ca="1">-SUMIF(Assumptions!$A$71:$C$95,$A36,Assumptions!$C$71:$C$95)</f>
        <v>55000</v>
      </c>
      <c r="D36" s="45">
        <f ca="1">C36+CashFlow!C21</f>
        <v>0</v>
      </c>
      <c r="E36" s="45">
        <f ca="1">D36+CashFlow!D21</f>
        <v>0</v>
      </c>
      <c r="F36" s="45">
        <f ca="1">E36+CashFlow!E21</f>
        <v>0</v>
      </c>
      <c r="G36" s="45">
        <f ca="1">F36+CashFlow!F21</f>
        <v>0</v>
      </c>
      <c r="H36" s="45">
        <f ca="1">G36+CashFlow!G21</f>
        <v>0</v>
      </c>
      <c r="I36" s="45">
        <f ca="1">H36+CashFlow!H21</f>
        <v>0</v>
      </c>
      <c r="J36" s="45">
        <f ca="1">I36+CashFlow!I21</f>
        <v>0</v>
      </c>
      <c r="K36" s="45">
        <f ca="1">J36+CashFlow!J21</f>
        <v>0</v>
      </c>
      <c r="L36" s="45">
        <f ca="1">K36+CashFlow!K21</f>
        <v>0</v>
      </c>
      <c r="M36" s="45">
        <f ca="1">L36+CashFlow!L21</f>
        <v>0</v>
      </c>
      <c r="N36" s="45">
        <f ca="1">M36+CashFlow!M21</f>
        <v>0</v>
      </c>
      <c r="O36" s="45">
        <f ca="1">N36+CashFlow!N21</f>
        <v>60000</v>
      </c>
      <c r="P36" s="46">
        <f t="shared" ca="1" si="36"/>
        <v>60000</v>
      </c>
      <c r="Q36" s="45">
        <f ca="1">P36+CashFlow!P21</f>
        <v>0</v>
      </c>
      <c r="R36" s="45">
        <f ca="1">Q36+CashFlow!Q21</f>
        <v>0</v>
      </c>
      <c r="S36" s="45">
        <f ca="1">R36+CashFlow!R21</f>
        <v>0</v>
      </c>
      <c r="T36" s="45">
        <f ca="1">S36+CashFlow!S21</f>
        <v>0</v>
      </c>
      <c r="U36" s="45">
        <f ca="1">T36+CashFlow!T21</f>
        <v>0</v>
      </c>
      <c r="V36" s="45">
        <f ca="1">U36+CashFlow!U21</f>
        <v>0</v>
      </c>
      <c r="W36" s="45">
        <f ca="1">V36+CashFlow!V21</f>
        <v>0</v>
      </c>
      <c r="X36" s="45">
        <f ca="1">W36+CashFlow!W21</f>
        <v>0</v>
      </c>
      <c r="Y36" s="45">
        <f ca="1">X36+CashFlow!X21</f>
        <v>0</v>
      </c>
      <c r="Z36" s="45">
        <f ca="1">Y36+CashFlow!Y21</f>
        <v>0</v>
      </c>
      <c r="AA36" s="45">
        <f ca="1">Z36+CashFlow!Z21</f>
        <v>0</v>
      </c>
      <c r="AB36" s="45">
        <f ca="1">AA36+CashFlow!AA21</f>
        <v>66000</v>
      </c>
      <c r="AC36" s="46">
        <f t="shared" ca="1" si="37"/>
        <v>66000</v>
      </c>
      <c r="AD36" s="45">
        <f ca="1">AC36+CashFlow!AC21</f>
        <v>0</v>
      </c>
      <c r="AE36" s="45">
        <f ca="1">AD36+CashFlow!AD21</f>
        <v>0</v>
      </c>
      <c r="AF36" s="45">
        <f ca="1">AE36+CashFlow!AE21</f>
        <v>0</v>
      </c>
      <c r="AG36" s="45">
        <f ca="1">AF36+CashFlow!AF21</f>
        <v>0</v>
      </c>
      <c r="AH36" s="45">
        <f ca="1">AG36+CashFlow!AG21</f>
        <v>0</v>
      </c>
      <c r="AI36" s="45">
        <f ca="1">AH36+CashFlow!AH21</f>
        <v>0</v>
      </c>
      <c r="AJ36" s="45">
        <f ca="1">AI36+CashFlow!AI21</f>
        <v>0</v>
      </c>
      <c r="AK36" s="45">
        <f ca="1">AJ36+CashFlow!AJ21</f>
        <v>0</v>
      </c>
      <c r="AL36" s="45">
        <f ca="1">AK36+CashFlow!AK21</f>
        <v>0</v>
      </c>
      <c r="AM36" s="45">
        <f ca="1">AL36+CashFlow!AL21</f>
        <v>0</v>
      </c>
      <c r="AN36" s="45">
        <f ca="1">AM36+CashFlow!AM21</f>
        <v>0</v>
      </c>
      <c r="AO36" s="45">
        <f ca="1">AN36+CashFlow!AN21</f>
        <v>50000</v>
      </c>
      <c r="AP36" s="46">
        <f t="shared" ca="1" si="38"/>
        <v>50000</v>
      </c>
    </row>
    <row r="37" spans="1:42" ht="16.149999999999999" customHeight="1" x14ac:dyDescent="0.3">
      <c r="A37" s="153" t="s">
        <v>119</v>
      </c>
      <c r="B37" s="14" t="s">
        <v>109</v>
      </c>
      <c r="C37" s="45">
        <f ca="1">-SUMIF(Assumptions!$A$71:$C$95,$A37,Assumptions!$C$71:$C$95)</f>
        <v>0</v>
      </c>
      <c r="D37" s="45">
        <f t="shared" ref="D37:O37" ca="1" si="48">IF(D66=0,0,SUM(OFFSET(D67,0,0,1,-MIN(D66,COLUMN(D$4)-COLUMN($B$4)))))</f>
        <v>15693.41666666667</v>
      </c>
      <c r="E37" s="45">
        <f t="shared" ca="1" si="48"/>
        <v>30897.899535590375</v>
      </c>
      <c r="F37" s="45">
        <f t="shared" ca="1" si="48"/>
        <v>48349.405795115294</v>
      </c>
      <c r="G37" s="45">
        <f t="shared" ca="1" si="48"/>
        <v>47115.495823452671</v>
      </c>
      <c r="H37" s="45">
        <f t="shared" ca="1" si="48"/>
        <v>61073.733217350527</v>
      </c>
      <c r="I37" s="45">
        <f t="shared" ca="1" si="48"/>
        <v>0</v>
      </c>
      <c r="J37" s="45">
        <f t="shared" ca="1" si="48"/>
        <v>18419.728949889512</v>
      </c>
      <c r="K37" s="45">
        <f t="shared" ca="1" si="48"/>
        <v>23373.453771916422</v>
      </c>
      <c r="L37" s="45">
        <f t="shared" ca="1" si="48"/>
        <v>33498.923085191927</v>
      </c>
      <c r="M37" s="45">
        <f t="shared" ca="1" si="48"/>
        <v>42921.288966040549</v>
      </c>
      <c r="N37" s="45">
        <f t="shared" ca="1" si="48"/>
        <v>64690.626978965505</v>
      </c>
      <c r="O37" s="45">
        <f t="shared" ca="1" si="48"/>
        <v>0</v>
      </c>
      <c r="P37" s="46">
        <f t="shared" ca="1" si="36"/>
        <v>0</v>
      </c>
      <c r="Q37" s="45">
        <f t="shared" ref="Q37:AB37" ca="1" si="49">IF(Q66=0,0,SUM(OFFSET(Q67,0,0,1,-MIN(Q66,COLUMN(Q$4)-COLUMN($B$4)))))</f>
        <v>17868.284952593094</v>
      </c>
      <c r="R37" s="45">
        <f t="shared" ca="1" si="49"/>
        <v>29055.06396663218</v>
      </c>
      <c r="S37" s="45">
        <f t="shared" ca="1" si="49"/>
        <v>45953.916812035459</v>
      </c>
      <c r="T37" s="45">
        <f t="shared" ca="1" si="49"/>
        <v>60296.107842812547</v>
      </c>
      <c r="U37" s="45">
        <f t="shared" ca="1" si="49"/>
        <v>79444.746039502003</v>
      </c>
      <c r="V37" s="45">
        <f t="shared" ca="1" si="49"/>
        <v>0</v>
      </c>
      <c r="W37" s="45">
        <f t="shared" ca="1" si="49"/>
        <v>18138.689303427498</v>
      </c>
      <c r="X37" s="45">
        <f t="shared" ca="1" si="49"/>
        <v>30439.262132267322</v>
      </c>
      <c r="Y37" s="45">
        <f t="shared" ca="1" si="49"/>
        <v>50258.077668325364</v>
      </c>
      <c r="Z37" s="45">
        <f t="shared" ca="1" si="49"/>
        <v>43006.54109713083</v>
      </c>
      <c r="AA37" s="45">
        <f t="shared" ca="1" si="49"/>
        <v>57014.423664881004</v>
      </c>
      <c r="AB37" s="45">
        <f t="shared" ca="1" si="49"/>
        <v>0</v>
      </c>
      <c r="AC37" s="46">
        <f t="shared" ca="1" si="37"/>
        <v>0</v>
      </c>
      <c r="AD37" s="45">
        <f t="shared" ref="AD37:AO37" ca="1" si="50">IF(AD66=0,0,SUM(OFFSET(AD67,0,0,1,-MIN(AD66,COLUMN(AD$4)-COLUMN($B$4)))))</f>
        <v>18140.139114903344</v>
      </c>
      <c r="AE37" s="45">
        <f t="shared" ca="1" si="50"/>
        <v>23607.368049006793</v>
      </c>
      <c r="AF37" s="45">
        <f t="shared" ca="1" si="50"/>
        <v>41195.705539176066</v>
      </c>
      <c r="AG37" s="45">
        <f t="shared" ca="1" si="50"/>
        <v>56075.700077835703</v>
      </c>
      <c r="AH37" s="45">
        <f t="shared" ca="1" si="50"/>
        <v>51758.907259601867</v>
      </c>
      <c r="AI37" s="45">
        <f t="shared" ca="1" si="50"/>
        <v>0</v>
      </c>
      <c r="AJ37" s="45">
        <f t="shared" ca="1" si="50"/>
        <v>13353.248001457425</v>
      </c>
      <c r="AK37" s="45">
        <f t="shared" ca="1" si="50"/>
        <v>35909.338726725546</v>
      </c>
      <c r="AL37" s="45">
        <f t="shared" ca="1" si="50"/>
        <v>53186.616866206867</v>
      </c>
      <c r="AM37" s="45">
        <f t="shared" ca="1" si="50"/>
        <v>62563.394559341599</v>
      </c>
      <c r="AN37" s="45">
        <f t="shared" ca="1" si="50"/>
        <v>83585.871466001554</v>
      </c>
      <c r="AO37" s="45">
        <f t="shared" ca="1" si="50"/>
        <v>0</v>
      </c>
      <c r="AP37" s="46">
        <f t="shared" ca="1" si="38"/>
        <v>0</v>
      </c>
    </row>
    <row r="38" spans="1:42" ht="16.149999999999999" customHeight="1" x14ac:dyDescent="0.3">
      <c r="A38" s="153" t="s">
        <v>253</v>
      </c>
      <c r="B38" s="14" t="s">
        <v>256</v>
      </c>
      <c r="C38" s="45">
        <f ca="1">-SUMIF(Assumptions!$A$71:$C$95,$A38,Assumptions!$C$71:$C$95)</f>
        <v>0</v>
      </c>
      <c r="D38" s="45">
        <f ca="1">D80</f>
        <v>0</v>
      </c>
      <c r="E38" s="45">
        <f t="shared" ref="E38:AO38" ca="1" si="51">E80</f>
        <v>0</v>
      </c>
      <c r="F38" s="45">
        <f t="shared" ca="1" si="51"/>
        <v>0</v>
      </c>
      <c r="G38" s="45">
        <f t="shared" ca="1" si="51"/>
        <v>0</v>
      </c>
      <c r="H38" s="45">
        <f t="shared" ca="1" si="51"/>
        <v>0</v>
      </c>
      <c r="I38" s="45">
        <f t="shared" ca="1" si="51"/>
        <v>0</v>
      </c>
      <c r="J38" s="45">
        <f t="shared" ca="1" si="51"/>
        <v>0</v>
      </c>
      <c r="K38" s="45">
        <f t="shared" ca="1" si="51"/>
        <v>0</v>
      </c>
      <c r="L38" s="45">
        <f t="shared" ca="1" si="51"/>
        <v>0</v>
      </c>
      <c r="M38" s="45">
        <f t="shared" ca="1" si="51"/>
        <v>0</v>
      </c>
      <c r="N38" s="45">
        <f t="shared" ca="1" si="51"/>
        <v>0</v>
      </c>
      <c r="O38" s="45">
        <f t="shared" ca="1" si="51"/>
        <v>0</v>
      </c>
      <c r="P38" s="46">
        <f t="shared" ca="1" si="36"/>
        <v>0</v>
      </c>
      <c r="Q38" s="45">
        <f t="shared" ca="1" si="51"/>
        <v>0</v>
      </c>
      <c r="R38" s="45">
        <f t="shared" ca="1" si="51"/>
        <v>0</v>
      </c>
      <c r="S38" s="45">
        <f t="shared" ca="1" si="51"/>
        <v>0</v>
      </c>
      <c r="T38" s="45">
        <f t="shared" ca="1" si="51"/>
        <v>0</v>
      </c>
      <c r="U38" s="45">
        <f t="shared" ca="1" si="51"/>
        <v>0</v>
      </c>
      <c r="V38" s="45">
        <f t="shared" ca="1" si="51"/>
        <v>0</v>
      </c>
      <c r="W38" s="45">
        <f t="shared" ca="1" si="51"/>
        <v>0</v>
      </c>
      <c r="X38" s="45">
        <f t="shared" ca="1" si="51"/>
        <v>0</v>
      </c>
      <c r="Y38" s="45">
        <f t="shared" ca="1" si="51"/>
        <v>0</v>
      </c>
      <c r="Z38" s="45">
        <f t="shared" ca="1" si="51"/>
        <v>0</v>
      </c>
      <c r="AA38" s="45">
        <f t="shared" ca="1" si="51"/>
        <v>0</v>
      </c>
      <c r="AB38" s="45">
        <f t="shared" ca="1" si="51"/>
        <v>0</v>
      </c>
      <c r="AC38" s="46">
        <f t="shared" ca="1" si="37"/>
        <v>0</v>
      </c>
      <c r="AD38" s="45">
        <f t="shared" ca="1" si="51"/>
        <v>0</v>
      </c>
      <c r="AE38" s="45">
        <f t="shared" ca="1" si="51"/>
        <v>0</v>
      </c>
      <c r="AF38" s="45">
        <f t="shared" ca="1" si="51"/>
        <v>0</v>
      </c>
      <c r="AG38" s="45">
        <f t="shared" ca="1" si="51"/>
        <v>0</v>
      </c>
      <c r="AH38" s="45">
        <f t="shared" ca="1" si="51"/>
        <v>0</v>
      </c>
      <c r="AI38" s="45">
        <f t="shared" ca="1" si="51"/>
        <v>0</v>
      </c>
      <c r="AJ38" s="45">
        <f t="shared" ca="1" si="51"/>
        <v>0</v>
      </c>
      <c r="AK38" s="45">
        <f t="shared" ca="1" si="51"/>
        <v>0</v>
      </c>
      <c r="AL38" s="45">
        <f t="shared" ca="1" si="51"/>
        <v>0</v>
      </c>
      <c r="AM38" s="45">
        <f t="shared" ca="1" si="51"/>
        <v>0</v>
      </c>
      <c r="AN38" s="45">
        <f t="shared" ca="1" si="51"/>
        <v>0</v>
      </c>
      <c r="AO38" s="45">
        <f t="shared" ca="1" si="51"/>
        <v>0</v>
      </c>
      <c r="AP38" s="46">
        <f t="shared" ca="1" si="38"/>
        <v>0</v>
      </c>
    </row>
    <row r="39" spans="1:42" ht="16.149999999999999" customHeight="1" x14ac:dyDescent="0.3">
      <c r="A39" s="153" t="s">
        <v>132</v>
      </c>
      <c r="B39" s="14" t="s">
        <v>107</v>
      </c>
      <c r="C39" s="45">
        <f ca="1">-SUMIF(Assumptions!$A$71:$C$95,$A39,Assumptions!$C$71:$C$95)</f>
        <v>42000</v>
      </c>
      <c r="D39" s="45">
        <f ca="1">C39+CashFlow!C22</f>
        <v>0</v>
      </c>
      <c r="E39" s="45">
        <f ca="1">D39+CashFlow!D22</f>
        <v>0</v>
      </c>
      <c r="F39" s="45">
        <f ca="1">E39+CashFlow!E22</f>
        <v>0</v>
      </c>
      <c r="G39" s="45">
        <f ca="1">F39+CashFlow!F22</f>
        <v>0</v>
      </c>
      <c r="H39" s="45">
        <f ca="1">G39+CashFlow!G22</f>
        <v>0</v>
      </c>
      <c r="I39" s="45">
        <f ca="1">H39+CashFlow!H22</f>
        <v>0</v>
      </c>
      <c r="J39" s="45">
        <f ca="1">I39+CashFlow!I22</f>
        <v>0</v>
      </c>
      <c r="K39" s="45">
        <f ca="1">J39+CashFlow!J22</f>
        <v>0</v>
      </c>
      <c r="L39" s="45">
        <f ca="1">K39+CashFlow!K22</f>
        <v>0</v>
      </c>
      <c r="M39" s="45">
        <f ca="1">L39+CashFlow!L22</f>
        <v>0</v>
      </c>
      <c r="N39" s="45">
        <f ca="1">M39+CashFlow!M22</f>
        <v>0</v>
      </c>
      <c r="O39" s="45">
        <f ca="1">N39+CashFlow!N22</f>
        <v>30000</v>
      </c>
      <c r="P39" s="46">
        <f t="shared" ca="1" si="36"/>
        <v>30000</v>
      </c>
      <c r="Q39" s="45">
        <f ca="1">P39+CashFlow!P22</f>
        <v>0</v>
      </c>
      <c r="R39" s="45">
        <f ca="1">Q39+CashFlow!Q22</f>
        <v>0</v>
      </c>
      <c r="S39" s="45">
        <f ca="1">R39+CashFlow!R22</f>
        <v>0</v>
      </c>
      <c r="T39" s="45">
        <f ca="1">S39+CashFlow!S22</f>
        <v>0</v>
      </c>
      <c r="U39" s="45">
        <f ca="1">T39+CashFlow!T22</f>
        <v>0</v>
      </c>
      <c r="V39" s="45">
        <f ca="1">U39+CashFlow!U22</f>
        <v>0</v>
      </c>
      <c r="W39" s="45">
        <f ca="1">V39+CashFlow!V22</f>
        <v>0</v>
      </c>
      <c r="X39" s="45">
        <f ca="1">W39+CashFlow!W22</f>
        <v>0</v>
      </c>
      <c r="Y39" s="45">
        <f ca="1">X39+CashFlow!X22</f>
        <v>0</v>
      </c>
      <c r="Z39" s="45">
        <f ca="1">Y39+CashFlow!Y22</f>
        <v>0</v>
      </c>
      <c r="AA39" s="45">
        <f ca="1">Z39+CashFlow!Z22</f>
        <v>0</v>
      </c>
      <c r="AB39" s="45">
        <f ca="1">AA39+CashFlow!AA22</f>
        <v>21000</v>
      </c>
      <c r="AC39" s="46">
        <f t="shared" ca="1" si="37"/>
        <v>21000</v>
      </c>
      <c r="AD39" s="45">
        <f ca="1">AC39+CashFlow!AC22</f>
        <v>0</v>
      </c>
      <c r="AE39" s="45">
        <f ca="1">AD39+CashFlow!AD22</f>
        <v>0</v>
      </c>
      <c r="AF39" s="45">
        <f ca="1">AE39+CashFlow!AE22</f>
        <v>0</v>
      </c>
      <c r="AG39" s="45">
        <f ca="1">AF39+CashFlow!AF22</f>
        <v>0</v>
      </c>
      <c r="AH39" s="45">
        <f ca="1">AG39+CashFlow!AG22</f>
        <v>0</v>
      </c>
      <c r="AI39" s="45">
        <f ca="1">AH39+CashFlow!AH22</f>
        <v>0</v>
      </c>
      <c r="AJ39" s="45">
        <f ca="1">AI39+CashFlow!AI22</f>
        <v>0</v>
      </c>
      <c r="AK39" s="45">
        <f ca="1">AJ39+CashFlow!AJ22</f>
        <v>0</v>
      </c>
      <c r="AL39" s="45">
        <f ca="1">AK39+CashFlow!AK22</f>
        <v>0</v>
      </c>
      <c r="AM39" s="45">
        <f ca="1">AL39+CashFlow!AL22</f>
        <v>0</v>
      </c>
      <c r="AN39" s="45">
        <f ca="1">AM39+CashFlow!AM22</f>
        <v>0</v>
      </c>
      <c r="AO39" s="45">
        <f ca="1">AN39+CashFlow!AN22</f>
        <v>40000</v>
      </c>
      <c r="AP39" s="46">
        <f t="shared" ca="1" si="38"/>
        <v>40000</v>
      </c>
    </row>
    <row r="40" spans="1:42" ht="16.149999999999999" customHeight="1" thickBot="1" x14ac:dyDescent="0.35">
      <c r="C40" s="96">
        <f ca="1">SUM(C32:C39)</f>
        <v>263000</v>
      </c>
      <c r="D40" s="96">
        <f t="shared" ref="D40:AO40" ca="1" si="52">SUM(D32:D39)</f>
        <v>209404.58602150535</v>
      </c>
      <c r="E40" s="96">
        <f t="shared" ca="1" si="52"/>
        <v>267393.39953559032</v>
      </c>
      <c r="F40" s="96">
        <f t="shared" ca="1" si="52"/>
        <v>257471.33321447013</v>
      </c>
      <c r="G40" s="96">
        <f t="shared" ca="1" si="52"/>
        <v>335382.82915678603</v>
      </c>
      <c r="H40" s="96">
        <f t="shared" ca="1" si="52"/>
        <v>281686.93483025371</v>
      </c>
      <c r="I40" s="96">
        <f t="shared" ca="1" si="52"/>
        <v>246629.22580645164</v>
      </c>
      <c r="J40" s="96">
        <f t="shared" ca="1" si="52"/>
        <v>226212.64561655617</v>
      </c>
      <c r="K40" s="96">
        <f t="shared" ca="1" si="52"/>
        <v>287003.48602998094</v>
      </c>
      <c r="L40" s="96">
        <f t="shared" ca="1" si="52"/>
        <v>271943.60641852522</v>
      </c>
      <c r="M40" s="96">
        <f t="shared" ca="1" si="52"/>
        <v>248593.86799829861</v>
      </c>
      <c r="N40" s="96">
        <f t="shared" ca="1" si="52"/>
        <v>281767.47052735259</v>
      </c>
      <c r="O40" s="96">
        <f t="shared" ca="1" si="52"/>
        <v>341352.87857142859</v>
      </c>
      <c r="P40" s="58">
        <f t="shared" ref="P40" ca="1" si="53">SUM(P32:P39)</f>
        <v>341352.87857142859</v>
      </c>
      <c r="Q40" s="96">
        <f t="shared" ca="1" si="52"/>
        <v>234521.51559775436</v>
      </c>
      <c r="R40" s="96">
        <f t="shared" ca="1" si="52"/>
        <v>294694.98063329881</v>
      </c>
      <c r="S40" s="96">
        <f t="shared" ca="1" si="52"/>
        <v>254906.01681203546</v>
      </c>
      <c r="T40" s="96">
        <f t="shared" ca="1" si="52"/>
        <v>314379.52450947923</v>
      </c>
      <c r="U40" s="96">
        <f t="shared" ca="1" si="52"/>
        <v>306828.89281369548</v>
      </c>
      <c r="V40" s="96">
        <f t="shared" ca="1" si="52"/>
        <v>269242.8532258065</v>
      </c>
      <c r="W40" s="96">
        <f t="shared" ca="1" si="52"/>
        <v>226900.58930342749</v>
      </c>
      <c r="X40" s="96">
        <f t="shared" ca="1" si="52"/>
        <v>276163.29439033184</v>
      </c>
      <c r="Y40" s="96">
        <f t="shared" ca="1" si="52"/>
        <v>285581.49433499202</v>
      </c>
      <c r="Z40" s="96">
        <f t="shared" ca="1" si="52"/>
        <v>286814.34754874371</v>
      </c>
      <c r="AA40" s="96">
        <f t="shared" ca="1" si="52"/>
        <v>303732.67689068743</v>
      </c>
      <c r="AB40" s="96">
        <f t="shared" ca="1" si="52"/>
        <v>353472.08571428573</v>
      </c>
      <c r="AC40" s="58">
        <f t="shared" ref="AC40" ca="1" si="54">SUM(AC32:AC39)</f>
        <v>353472.08571428573</v>
      </c>
      <c r="AD40" s="96">
        <f t="shared" ca="1" si="52"/>
        <v>237853.76008264528</v>
      </c>
      <c r="AE40" s="96">
        <f t="shared" ca="1" si="52"/>
        <v>349627.62398512138</v>
      </c>
      <c r="AF40" s="96">
        <f t="shared" ca="1" si="52"/>
        <v>280963.90842662926</v>
      </c>
      <c r="AG40" s="96">
        <f t="shared" ca="1" si="52"/>
        <v>345596.96674450231</v>
      </c>
      <c r="AH40" s="96">
        <f t="shared" ca="1" si="52"/>
        <v>336854.7056466986</v>
      </c>
      <c r="AI40" s="96">
        <f t="shared" ca="1" si="52"/>
        <v>263487.44838709675</v>
      </c>
      <c r="AJ40" s="96">
        <f t="shared" ca="1" si="52"/>
        <v>260323.78133479072</v>
      </c>
      <c r="AK40" s="96">
        <f t="shared" ca="1" si="52"/>
        <v>311440.92098479002</v>
      </c>
      <c r="AL40" s="96">
        <f t="shared" ca="1" si="52"/>
        <v>323165.40019954019</v>
      </c>
      <c r="AM40" s="96">
        <f t="shared" ca="1" si="52"/>
        <v>306733.86875288998</v>
      </c>
      <c r="AN40" s="96">
        <f t="shared" ca="1" si="52"/>
        <v>335627.16501438862</v>
      </c>
      <c r="AO40" s="96">
        <f t="shared" ca="1" si="52"/>
        <v>382607.45172413788</v>
      </c>
      <c r="AP40" s="58">
        <f t="shared" ref="AP40" ca="1" si="55">SUM(AP32:AP39)</f>
        <v>382607.45172413788</v>
      </c>
    </row>
    <row r="41" spans="1:42" s="10" customFormat="1" ht="16.149999999999999" customHeight="1" thickBot="1" x14ac:dyDescent="0.35">
      <c r="A41" s="153"/>
      <c r="B41" s="2" t="s">
        <v>134</v>
      </c>
      <c r="C41" s="98">
        <f ca="1">SUM(C24,C30,C40)</f>
        <v>2789000</v>
      </c>
      <c r="D41" s="98">
        <f t="shared" ref="D41:AO41" ca="1" si="56">SUM(D24,D30,D40)</f>
        <v>2759433.5502644228</v>
      </c>
      <c r="E41" s="98">
        <f t="shared" ca="1" si="56"/>
        <v>2840050.2618191675</v>
      </c>
      <c r="F41" s="98">
        <f t="shared" ca="1" si="56"/>
        <v>2858389.0701481067</v>
      </c>
      <c r="G41" s="98">
        <f t="shared" ca="1" si="56"/>
        <v>2916366.8569716695</v>
      </c>
      <c r="H41" s="98">
        <f t="shared" ca="1" si="56"/>
        <v>2881655.1061608233</v>
      </c>
      <c r="I41" s="98">
        <f t="shared" ca="1" si="56"/>
        <v>2963737.6377602238</v>
      </c>
      <c r="J41" s="98">
        <f t="shared" ca="1" si="56"/>
        <v>2972765.6875139801</v>
      </c>
      <c r="K41" s="98">
        <f t="shared" ca="1" si="56"/>
        <v>3028217.1619989192</v>
      </c>
      <c r="L41" s="98">
        <f t="shared" ca="1" si="56"/>
        <v>3020958.1719677299</v>
      </c>
      <c r="M41" s="98">
        <f t="shared" ca="1" si="56"/>
        <v>3003441.4265601961</v>
      </c>
      <c r="N41" s="98">
        <f t="shared" ca="1" si="56"/>
        <v>3311136.5447957665</v>
      </c>
      <c r="O41" s="98">
        <f t="shared" ca="1" si="56"/>
        <v>3392845.7604402648</v>
      </c>
      <c r="P41" s="98">
        <f t="shared" ref="P41" ca="1" si="57">SUM(P24,P30,P40)</f>
        <v>3392845.7604402648</v>
      </c>
      <c r="Q41" s="98">
        <f t="shared" ca="1" si="56"/>
        <v>3310116.9662334393</v>
      </c>
      <c r="R41" s="98">
        <f t="shared" ca="1" si="56"/>
        <v>3377015.5059743868</v>
      </c>
      <c r="S41" s="98">
        <f t="shared" ca="1" si="56"/>
        <v>3358441.5430271612</v>
      </c>
      <c r="T41" s="98">
        <f t="shared" ca="1" si="56"/>
        <v>3432355.7134132702</v>
      </c>
      <c r="U41" s="98">
        <f t="shared" ca="1" si="56"/>
        <v>3451403.2972402377</v>
      </c>
      <c r="V41" s="98">
        <f t="shared" ca="1" si="56"/>
        <v>3703840.130891663</v>
      </c>
      <c r="W41" s="98">
        <f t="shared" ca="1" si="56"/>
        <v>3681427.6499176733</v>
      </c>
      <c r="X41" s="98">
        <f t="shared" ca="1" si="56"/>
        <v>3735362.254427555</v>
      </c>
      <c r="Y41" s="98">
        <f t="shared" ca="1" si="56"/>
        <v>3768537.1110879737</v>
      </c>
      <c r="Z41" s="98">
        <f t="shared" ca="1" si="56"/>
        <v>3723666.9731247369</v>
      </c>
      <c r="AA41" s="98">
        <f t="shared" ca="1" si="56"/>
        <v>3748896.8921507471</v>
      </c>
      <c r="AB41" s="98">
        <f t="shared" ca="1" si="56"/>
        <v>3819753.0141551117</v>
      </c>
      <c r="AC41" s="98">
        <f t="shared" ref="AC41" ca="1" si="58">SUM(AC24,AC30,AC40)</f>
        <v>3819753.0141551117</v>
      </c>
      <c r="AD41" s="98">
        <f t="shared" ca="1" si="56"/>
        <v>3722560.0216603847</v>
      </c>
      <c r="AE41" s="98">
        <f t="shared" ca="1" si="56"/>
        <v>3997737.5</v>
      </c>
      <c r="AF41" s="98">
        <f t="shared" ca="1" si="56"/>
        <v>3943361.2903225804</v>
      </c>
      <c r="AG41" s="98">
        <f t="shared" ca="1" si="56"/>
        <v>4015030.1974730352</v>
      </c>
      <c r="AH41" s="98">
        <f t="shared" ca="1" si="56"/>
        <v>3963670.5725647071</v>
      </c>
      <c r="AI41" s="98">
        <f t="shared" ca="1" si="56"/>
        <v>3909247.4960866263</v>
      </c>
      <c r="AJ41" s="98">
        <f t="shared" ca="1" si="56"/>
        <v>3908315.4244041047</v>
      </c>
      <c r="AK41" s="98">
        <f t="shared" ca="1" si="56"/>
        <v>3985030.3167000781</v>
      </c>
      <c r="AL41" s="98">
        <f t="shared" ca="1" si="56"/>
        <v>4008477.3611465888</v>
      </c>
      <c r="AM41" s="98">
        <f t="shared" ca="1" si="56"/>
        <v>3983148.8953780457</v>
      </c>
      <c r="AN41" s="98">
        <f t="shared" ca="1" si="56"/>
        <v>4032784.5581041262</v>
      </c>
      <c r="AO41" s="98">
        <f t="shared" ca="1" si="56"/>
        <v>4092815.8648125445</v>
      </c>
      <c r="AP41" s="98">
        <f t="shared" ref="AP41" ca="1" si="59">SUM(AP24,AP30,AP40)</f>
        <v>4092815.8648125445</v>
      </c>
    </row>
    <row r="42" spans="1:42" s="106" customFormat="1" ht="16.149999999999999" customHeight="1" thickTop="1" x14ac:dyDescent="0.3">
      <c r="A42" s="163"/>
      <c r="B42" s="105"/>
      <c r="C42" s="106" t="str">
        <f t="shared" ref="C42:AP42" ca="1" si="60">IF(ROUND(C18-C41,0)&lt;&gt;0,ROUND(C18-C41,0),"")</f>
        <v/>
      </c>
      <c r="D42" s="106" t="str">
        <f t="shared" ca="1" si="60"/>
        <v/>
      </c>
      <c r="E42" s="106" t="str">
        <f t="shared" ca="1" si="60"/>
        <v/>
      </c>
      <c r="F42" s="106" t="str">
        <f t="shared" ca="1" si="60"/>
        <v/>
      </c>
      <c r="G42" s="106" t="str">
        <f t="shared" ca="1" si="60"/>
        <v/>
      </c>
      <c r="H42" s="106" t="str">
        <f t="shared" ca="1" si="60"/>
        <v/>
      </c>
      <c r="I42" s="106" t="str">
        <f t="shared" ca="1" si="60"/>
        <v/>
      </c>
      <c r="J42" s="106" t="str">
        <f t="shared" ca="1" si="60"/>
        <v/>
      </c>
      <c r="K42" s="106" t="str">
        <f t="shared" ca="1" si="60"/>
        <v/>
      </c>
      <c r="L42" s="106" t="str">
        <f t="shared" ca="1" si="60"/>
        <v/>
      </c>
      <c r="M42" s="106" t="str">
        <f t="shared" ca="1" si="60"/>
        <v/>
      </c>
      <c r="N42" s="106" t="str">
        <f t="shared" ca="1" si="60"/>
        <v/>
      </c>
      <c r="O42" s="106" t="str">
        <f t="shared" ca="1" si="60"/>
        <v/>
      </c>
      <c r="P42" s="107" t="str">
        <f t="shared" ca="1" si="60"/>
        <v/>
      </c>
      <c r="Q42" s="106" t="str">
        <f t="shared" ca="1" si="60"/>
        <v/>
      </c>
      <c r="R42" s="106" t="str">
        <f t="shared" ca="1" si="60"/>
        <v/>
      </c>
      <c r="S42" s="106" t="str">
        <f t="shared" ca="1" si="60"/>
        <v/>
      </c>
      <c r="T42" s="106" t="str">
        <f t="shared" ca="1" si="60"/>
        <v/>
      </c>
      <c r="U42" s="106" t="str">
        <f t="shared" ca="1" si="60"/>
        <v/>
      </c>
      <c r="V42" s="106" t="str">
        <f t="shared" ca="1" si="60"/>
        <v/>
      </c>
      <c r="W42" s="106" t="str">
        <f t="shared" ca="1" si="60"/>
        <v/>
      </c>
      <c r="X42" s="106" t="str">
        <f t="shared" ca="1" si="60"/>
        <v/>
      </c>
      <c r="Y42" s="106" t="str">
        <f t="shared" ca="1" si="60"/>
        <v/>
      </c>
      <c r="Z42" s="106" t="str">
        <f t="shared" ca="1" si="60"/>
        <v/>
      </c>
      <c r="AA42" s="106" t="str">
        <f t="shared" ca="1" si="60"/>
        <v/>
      </c>
      <c r="AB42" s="106" t="str">
        <f t="shared" ca="1" si="60"/>
        <v/>
      </c>
      <c r="AC42" s="107" t="str">
        <f t="shared" ca="1" si="60"/>
        <v/>
      </c>
      <c r="AD42" s="106" t="str">
        <f t="shared" ca="1" si="60"/>
        <v/>
      </c>
      <c r="AE42" s="106" t="str">
        <f t="shared" ca="1" si="60"/>
        <v/>
      </c>
      <c r="AF42" s="106" t="str">
        <f t="shared" ca="1" si="60"/>
        <v/>
      </c>
      <c r="AG42" s="106" t="str">
        <f t="shared" ca="1" si="60"/>
        <v/>
      </c>
      <c r="AH42" s="106" t="str">
        <f t="shared" ca="1" si="60"/>
        <v/>
      </c>
      <c r="AI42" s="106" t="str">
        <f t="shared" ca="1" si="60"/>
        <v/>
      </c>
      <c r="AJ42" s="106" t="str">
        <f t="shared" ca="1" si="60"/>
        <v/>
      </c>
      <c r="AK42" s="106" t="str">
        <f t="shared" ca="1" si="60"/>
        <v/>
      </c>
      <c r="AL42" s="106" t="str">
        <f t="shared" ca="1" si="60"/>
        <v/>
      </c>
      <c r="AM42" s="106" t="str">
        <f t="shared" ca="1" si="60"/>
        <v/>
      </c>
      <c r="AN42" s="106" t="str">
        <f t="shared" ca="1" si="60"/>
        <v/>
      </c>
      <c r="AO42" s="106" t="str">
        <f t="shared" ca="1" si="60"/>
        <v/>
      </c>
      <c r="AP42" s="107" t="str">
        <f t="shared" ca="1" si="60"/>
        <v/>
      </c>
    </row>
    <row r="43" spans="1:42" s="15" customFormat="1" ht="16.149999999999999" customHeight="1" x14ac:dyDescent="0.25">
      <c r="A43" s="164"/>
      <c r="B43" s="6" t="s">
        <v>46</v>
      </c>
      <c r="C43" s="84"/>
      <c r="D43" s="84">
        <f t="shared" ref="D43:O43" ca="1" si="61">D4-DATE(YEAR(D4),MONTH(D4),1)+1</f>
        <v>31</v>
      </c>
      <c r="E43" s="84">
        <f t="shared" ca="1" si="61"/>
        <v>30</v>
      </c>
      <c r="F43" s="84">
        <f t="shared" ca="1" si="61"/>
        <v>31</v>
      </c>
      <c r="G43" s="84">
        <f t="shared" ca="1" si="61"/>
        <v>30</v>
      </c>
      <c r="H43" s="84">
        <f t="shared" ca="1" si="61"/>
        <v>31</v>
      </c>
      <c r="I43" s="84">
        <f t="shared" ca="1" si="61"/>
        <v>31</v>
      </c>
      <c r="J43" s="84">
        <f t="shared" ca="1" si="61"/>
        <v>30</v>
      </c>
      <c r="K43" s="84">
        <f t="shared" ca="1" si="61"/>
        <v>31</v>
      </c>
      <c r="L43" s="84">
        <f t="shared" ca="1" si="61"/>
        <v>30</v>
      </c>
      <c r="M43" s="84">
        <f t="shared" ca="1" si="61"/>
        <v>31</v>
      </c>
      <c r="N43" s="84">
        <f t="shared" ca="1" si="61"/>
        <v>31</v>
      </c>
      <c r="O43" s="84">
        <f t="shared" ca="1" si="61"/>
        <v>28</v>
      </c>
      <c r="P43" s="108">
        <f ca="1">SUM(D43:O43)</f>
        <v>365</v>
      </c>
      <c r="Q43" s="84">
        <f t="shared" ref="Q43:AB43" ca="1" si="62">Q4-DATE(YEAR(Q4),MONTH(Q4),1)+1</f>
        <v>31</v>
      </c>
      <c r="R43" s="84">
        <f t="shared" ca="1" si="62"/>
        <v>30</v>
      </c>
      <c r="S43" s="84">
        <f t="shared" ca="1" si="62"/>
        <v>31</v>
      </c>
      <c r="T43" s="84">
        <f t="shared" ca="1" si="62"/>
        <v>30</v>
      </c>
      <c r="U43" s="84">
        <f t="shared" ca="1" si="62"/>
        <v>31</v>
      </c>
      <c r="V43" s="84">
        <f t="shared" ca="1" si="62"/>
        <v>31</v>
      </c>
      <c r="W43" s="84">
        <f t="shared" ca="1" si="62"/>
        <v>30</v>
      </c>
      <c r="X43" s="84">
        <f t="shared" ca="1" si="62"/>
        <v>31</v>
      </c>
      <c r="Y43" s="84">
        <f t="shared" ca="1" si="62"/>
        <v>30</v>
      </c>
      <c r="Z43" s="84">
        <f t="shared" ca="1" si="62"/>
        <v>31</v>
      </c>
      <c r="AA43" s="84">
        <f t="shared" ca="1" si="62"/>
        <v>31</v>
      </c>
      <c r="AB43" s="84">
        <f t="shared" ca="1" si="62"/>
        <v>28</v>
      </c>
      <c r="AC43" s="108">
        <f ca="1">SUM(Q43:AB43)</f>
        <v>365</v>
      </c>
      <c r="AD43" s="84">
        <f t="shared" ref="AD43:AO43" ca="1" si="63">AD4-DATE(YEAR(AD4),MONTH(AD4),1)+1</f>
        <v>31</v>
      </c>
      <c r="AE43" s="84">
        <f t="shared" ca="1" si="63"/>
        <v>30</v>
      </c>
      <c r="AF43" s="84">
        <f t="shared" ca="1" si="63"/>
        <v>31</v>
      </c>
      <c r="AG43" s="84">
        <f t="shared" ca="1" si="63"/>
        <v>30</v>
      </c>
      <c r="AH43" s="84">
        <f t="shared" ca="1" si="63"/>
        <v>31</v>
      </c>
      <c r="AI43" s="84">
        <f t="shared" ca="1" si="63"/>
        <v>31</v>
      </c>
      <c r="AJ43" s="84">
        <f t="shared" ca="1" si="63"/>
        <v>30</v>
      </c>
      <c r="AK43" s="84">
        <f t="shared" ca="1" si="63"/>
        <v>31</v>
      </c>
      <c r="AL43" s="84">
        <f t="shared" ca="1" si="63"/>
        <v>30</v>
      </c>
      <c r="AM43" s="84">
        <f t="shared" ca="1" si="63"/>
        <v>31</v>
      </c>
      <c r="AN43" s="84">
        <f t="shared" ca="1" si="63"/>
        <v>31</v>
      </c>
      <c r="AO43" s="84">
        <f t="shared" ca="1" si="63"/>
        <v>29</v>
      </c>
      <c r="AP43" s="108">
        <f ca="1">SUM(AD43:AO43)</f>
        <v>366</v>
      </c>
    </row>
    <row r="44" spans="1:42" s="15" customFormat="1" ht="16.149999999999999" customHeight="1" x14ac:dyDescent="0.25">
      <c r="A44" s="164"/>
      <c r="B44" s="6"/>
      <c r="C44" s="84"/>
      <c r="D44" s="84"/>
      <c r="E44" s="84"/>
      <c r="F44" s="84"/>
      <c r="G44" s="84"/>
      <c r="P44" s="109"/>
      <c r="AC44" s="109"/>
      <c r="AP44" s="109"/>
    </row>
    <row r="45" spans="1:42" s="15" customFormat="1" ht="16.149999999999999" customHeight="1" x14ac:dyDescent="0.25">
      <c r="A45" s="164"/>
      <c r="B45" s="6" t="s">
        <v>53</v>
      </c>
      <c r="C45" s="84"/>
      <c r="D45" s="65">
        <f t="shared" ref="D45:AP45" ca="1" si="64">IF(D$40=0,0,D$17/D$40)</f>
        <v>3.8463033000705469</v>
      </c>
      <c r="E45" s="65">
        <f t="shared" ca="1" si="64"/>
        <v>3.3734948708002959</v>
      </c>
      <c r="F45" s="65">
        <f t="shared" ca="1" si="64"/>
        <v>3.6368672910397666</v>
      </c>
      <c r="G45" s="65">
        <f t="shared" ca="1" si="64"/>
        <v>3.0125777742167577</v>
      </c>
      <c r="H45" s="65">
        <f t="shared" ca="1" si="64"/>
        <v>3.5204156939632325</v>
      </c>
      <c r="I45" s="65">
        <f t="shared" ca="1" si="64"/>
        <v>4.4185259642157035</v>
      </c>
      <c r="J45" s="65">
        <f t="shared" ca="1" si="64"/>
        <v>4.927954776690842</v>
      </c>
      <c r="K45" s="65">
        <f t="shared" ca="1" si="64"/>
        <v>4.1331106405969065</v>
      </c>
      <c r="L45" s="65">
        <f t="shared" ca="1" si="64"/>
        <v>4.3941396074915318</v>
      </c>
      <c r="M45" s="65">
        <f t="shared" ca="1" si="64"/>
        <v>4.8007677589551969</v>
      </c>
      <c r="N45" s="65">
        <f t="shared" ca="1" si="64"/>
        <v>4.5467865484898145</v>
      </c>
      <c r="O45" s="65">
        <f t="shared" ca="1" si="64"/>
        <v>4.051073968461945</v>
      </c>
      <c r="P45" s="66">
        <f t="shared" ca="1" si="64"/>
        <v>4.051073968461945</v>
      </c>
      <c r="Q45" s="65">
        <f t="shared" ca="1" si="64"/>
        <v>5.6289801934321133</v>
      </c>
      <c r="R45" s="65">
        <f t="shared" ca="1" si="64"/>
        <v>4.7744807290260383</v>
      </c>
      <c r="S45" s="65">
        <f t="shared" ca="1" si="64"/>
        <v>5.5253365951959026</v>
      </c>
      <c r="T45" s="65">
        <f t="shared" ca="1" si="64"/>
        <v>4.778796315559573</v>
      </c>
      <c r="U45" s="65">
        <f t="shared" ca="1" si="64"/>
        <v>5.0236575933419951</v>
      </c>
      <c r="V45" s="65">
        <f t="shared" ca="1" si="64"/>
        <v>5.6411530062707165</v>
      </c>
      <c r="W45" s="65">
        <f t="shared" ca="1" si="64"/>
        <v>6.7052609012095301</v>
      </c>
      <c r="X45" s="65">
        <f t="shared" ca="1" si="64"/>
        <v>4.346566972549768</v>
      </c>
      <c r="Y45" s="65">
        <f t="shared" ca="1" si="64"/>
        <v>4.4069280960190245</v>
      </c>
      <c r="Z45" s="65">
        <f t="shared" ca="1" si="64"/>
        <v>4.318706451441475</v>
      </c>
      <c r="AA45" s="65">
        <f t="shared" ca="1" si="64"/>
        <v>4.2435239610870639</v>
      </c>
      <c r="AB45" s="65">
        <f t="shared" ca="1" si="64"/>
        <v>3.9175738908967741</v>
      </c>
      <c r="AC45" s="66">
        <f t="shared" ca="1" si="64"/>
        <v>3.9175738908967741</v>
      </c>
      <c r="AD45" s="65">
        <f t="shared" ca="1" si="64"/>
        <v>5.5183488426011005</v>
      </c>
      <c r="AE45" s="65">
        <f t="shared" ca="1" si="64"/>
        <v>2.3903646127102514</v>
      </c>
      <c r="AF45" s="65">
        <f t="shared" ca="1" si="64"/>
        <v>2.8806592805991547</v>
      </c>
      <c r="AG45" s="65">
        <f t="shared" ca="1" si="64"/>
        <v>2.6303187960126877</v>
      </c>
      <c r="AH45" s="65">
        <f t="shared" ca="1" si="64"/>
        <v>2.6292361594426441</v>
      </c>
      <c r="AI45" s="65">
        <f t="shared" ca="1" si="64"/>
        <v>3.253466156866875</v>
      </c>
      <c r="AJ45" s="65">
        <f t="shared" ca="1" si="64"/>
        <v>3.3893001241765117</v>
      </c>
      <c r="AK45" s="65">
        <f t="shared" ca="1" si="64"/>
        <v>3.1628159638925064</v>
      </c>
      <c r="AL45" s="65">
        <f t="shared" ca="1" si="64"/>
        <v>3.2010770970773663</v>
      </c>
      <c r="AM45" s="65">
        <f t="shared" ca="1" si="64"/>
        <v>3.3747459958912462</v>
      </c>
      <c r="AN45" s="65">
        <f t="shared" ca="1" si="64"/>
        <v>3.309578824039785</v>
      </c>
      <c r="AO45" s="65">
        <f t="shared" ca="1" si="64"/>
        <v>3.1280516346959608</v>
      </c>
      <c r="AP45" s="66">
        <f t="shared" ca="1" si="64"/>
        <v>3.1280516346959608</v>
      </c>
    </row>
    <row r="46" spans="1:42" s="15" customFormat="1" ht="16.149999999999999" customHeight="1" x14ac:dyDescent="0.25">
      <c r="A46" s="164"/>
      <c r="B46" s="6" t="s">
        <v>54</v>
      </c>
      <c r="C46" s="84"/>
      <c r="D46" s="65">
        <f t="shared" ref="D46:AP46" ca="1" si="65">IF(D$40=0,0,(D$17-D$12)/D$40)</f>
        <v>2.9883869749487273</v>
      </c>
      <c r="E46" s="65">
        <f t="shared" ca="1" si="65"/>
        <v>2.6315917410126981</v>
      </c>
      <c r="F46" s="65">
        <f t="shared" ca="1" si="65"/>
        <v>2.8843876535397479</v>
      </c>
      <c r="G46" s="65">
        <f t="shared" ca="1" si="65"/>
        <v>2.4094461216256899</v>
      </c>
      <c r="H46" s="65">
        <f t="shared" ca="1" si="65"/>
        <v>2.8152058935282889</v>
      </c>
      <c r="I46" s="65">
        <f t="shared" ca="1" si="65"/>
        <v>3.6278654114674622</v>
      </c>
      <c r="J46" s="65">
        <f t="shared" ca="1" si="65"/>
        <v>4.0735374673790492</v>
      </c>
      <c r="K46" s="65">
        <f t="shared" ca="1" si="65"/>
        <v>3.4554972009659912</v>
      </c>
      <c r="L46" s="65">
        <f t="shared" ca="1" si="65"/>
        <v>3.6452784642492713</v>
      </c>
      <c r="M46" s="65">
        <f t="shared" ca="1" si="65"/>
        <v>4.1617153261328417</v>
      </c>
      <c r="N46" s="65">
        <f t="shared" ca="1" si="65"/>
        <v>3.8200926214222379</v>
      </c>
      <c r="O46" s="65">
        <f t="shared" ca="1" si="65"/>
        <v>3.4388670888254165</v>
      </c>
      <c r="P46" s="66">
        <f t="shared" ca="1" si="65"/>
        <v>3.4388670888254165</v>
      </c>
      <c r="Q46" s="65">
        <f t="shared" ca="1" si="65"/>
        <v>4.7701498510005562</v>
      </c>
      <c r="R46" s="65">
        <f t="shared" ca="1" si="65"/>
        <v>4.0838683556403907</v>
      </c>
      <c r="S46" s="65">
        <f t="shared" ca="1" si="65"/>
        <v>4.7716318636618027</v>
      </c>
      <c r="T46" s="65">
        <f t="shared" ca="1" si="65"/>
        <v>4.1057753854270187</v>
      </c>
      <c r="U46" s="65">
        <f t="shared" ca="1" si="65"/>
        <v>4.3268480837747214</v>
      </c>
      <c r="V46" s="65">
        <f t="shared" ca="1" si="65"/>
        <v>4.8933067564924624</v>
      </c>
      <c r="W46" s="65">
        <f t="shared" ca="1" si="65"/>
        <v>5.8713097837580186</v>
      </c>
      <c r="X46" s="65">
        <f t="shared" ca="1" si="65"/>
        <v>3.6424183621079025</v>
      </c>
      <c r="Y46" s="65">
        <f t="shared" ca="1" si="65"/>
        <v>3.6566273788841275</v>
      </c>
      <c r="Z46" s="65">
        <f t="shared" ca="1" si="65"/>
        <v>3.7735454393222092</v>
      </c>
      <c r="AA46" s="65">
        <f t="shared" ca="1" si="65"/>
        <v>3.5513363369162714</v>
      </c>
      <c r="AB46" s="65">
        <f t="shared" ca="1" si="65"/>
        <v>3.2885680684123479</v>
      </c>
      <c r="AC46" s="66">
        <f t="shared" ca="1" si="65"/>
        <v>3.2885680684123479</v>
      </c>
      <c r="AD46" s="65">
        <f t="shared" ca="1" si="65"/>
        <v>4.6819986743761204</v>
      </c>
      <c r="AE46" s="65">
        <f t="shared" ca="1" si="65"/>
        <v>1.7717064027708536</v>
      </c>
      <c r="AF46" s="65">
        <f t="shared" ca="1" si="65"/>
        <v>2.1441165102386273</v>
      </c>
      <c r="AG46" s="65">
        <f t="shared" ca="1" si="65"/>
        <v>1.9879520469893281</v>
      </c>
      <c r="AH46" s="65">
        <f t="shared" ca="1" si="65"/>
        <v>1.9968011478300725</v>
      </c>
      <c r="AI46" s="65">
        <f t="shared" ca="1" si="65"/>
        <v>2.4114354738603554</v>
      </c>
      <c r="AJ46" s="65">
        <f t="shared" ca="1" si="65"/>
        <v>2.5113933926893681</v>
      </c>
      <c r="AK46" s="65">
        <f t="shared" ca="1" si="65"/>
        <v>2.4621808292322158</v>
      </c>
      <c r="AL46" s="65">
        <f t="shared" ca="1" si="65"/>
        <v>2.4779179969518554</v>
      </c>
      <c r="AM46" s="65">
        <f t="shared" ca="1" si="65"/>
        <v>2.787918070002791</v>
      </c>
      <c r="AN46" s="65">
        <f t="shared" ca="1" si="65"/>
        <v>2.6346940082959698</v>
      </c>
      <c r="AO46" s="65">
        <f t="shared" ca="1" si="65"/>
        <v>2.5196204043798085</v>
      </c>
      <c r="AP46" s="66">
        <f t="shared" ca="1" si="65"/>
        <v>2.5196204043798085</v>
      </c>
    </row>
    <row r="47" spans="1:42" s="15" customFormat="1" ht="16.149999999999999" customHeight="1" x14ac:dyDescent="0.25">
      <c r="A47" s="164"/>
      <c r="B47" s="6" t="s">
        <v>31</v>
      </c>
      <c r="C47" s="84"/>
      <c r="D47" s="65">
        <f t="shared" ref="D47:O47" ca="1" si="66">IF(D$54=0,0,D$12/D$54*D$43)</f>
        <v>29.999999999999996</v>
      </c>
      <c r="E47" s="65">
        <f t="shared" ca="1" si="66"/>
        <v>30</v>
      </c>
      <c r="F47" s="65">
        <f t="shared" ca="1" si="66"/>
        <v>30</v>
      </c>
      <c r="G47" s="65">
        <f t="shared" ca="1" si="66"/>
        <v>30</v>
      </c>
      <c r="H47" s="65">
        <f t="shared" ca="1" si="66"/>
        <v>30.000000000000004</v>
      </c>
      <c r="I47" s="65">
        <f t="shared" ca="1" si="66"/>
        <v>30</v>
      </c>
      <c r="J47" s="65">
        <f t="shared" ca="1" si="66"/>
        <v>30</v>
      </c>
      <c r="K47" s="65">
        <f t="shared" ca="1" si="66"/>
        <v>30</v>
      </c>
      <c r="L47" s="65">
        <f t="shared" ca="1" si="66"/>
        <v>30</v>
      </c>
      <c r="M47" s="65">
        <f t="shared" ca="1" si="66"/>
        <v>29.999999999999996</v>
      </c>
      <c r="N47" s="65">
        <f t="shared" ca="1" si="66"/>
        <v>29.999999999999996</v>
      </c>
      <c r="O47" s="65">
        <f t="shared" ca="1" si="66"/>
        <v>29.956791950281151</v>
      </c>
      <c r="P47" s="66">
        <f ca="1">O47</f>
        <v>29.956791950281151</v>
      </c>
      <c r="Q47" s="65">
        <f t="shared" ref="Q47:AB47" ca="1" si="67">IF(Q$54=0,0,Q$12/Q$54*Q$43)</f>
        <v>29.999999999999996</v>
      </c>
      <c r="R47" s="65">
        <f t="shared" ca="1" si="67"/>
        <v>30</v>
      </c>
      <c r="S47" s="65">
        <f t="shared" ca="1" si="67"/>
        <v>30</v>
      </c>
      <c r="T47" s="65">
        <f t="shared" ca="1" si="67"/>
        <v>30</v>
      </c>
      <c r="U47" s="65">
        <f t="shared" ca="1" si="67"/>
        <v>30.000000000000004</v>
      </c>
      <c r="V47" s="65">
        <f t="shared" ca="1" si="67"/>
        <v>29.999999999999996</v>
      </c>
      <c r="W47" s="65">
        <f t="shared" ca="1" si="67"/>
        <v>30</v>
      </c>
      <c r="X47" s="65">
        <f t="shared" ca="1" si="67"/>
        <v>30</v>
      </c>
      <c r="Y47" s="65">
        <f t="shared" ca="1" si="67"/>
        <v>30</v>
      </c>
      <c r="Z47" s="65">
        <f t="shared" ca="1" si="67"/>
        <v>30</v>
      </c>
      <c r="AA47" s="65">
        <f t="shared" ca="1" si="67"/>
        <v>30</v>
      </c>
      <c r="AB47" s="65">
        <f t="shared" ca="1" si="67"/>
        <v>29.883870967741935</v>
      </c>
      <c r="AC47" s="66">
        <f ca="1">AB47</f>
        <v>29.883870967741935</v>
      </c>
      <c r="AD47" s="65">
        <f t="shared" ref="AD47:AO47" ca="1" si="68">IF(AD$54=0,0,AD$12/AD$54*AD$43)</f>
        <v>30</v>
      </c>
      <c r="AE47" s="65">
        <f t="shared" ca="1" si="68"/>
        <v>30</v>
      </c>
      <c r="AF47" s="65">
        <f t="shared" ca="1" si="68"/>
        <v>30</v>
      </c>
      <c r="AG47" s="65">
        <f t="shared" ca="1" si="68"/>
        <v>30</v>
      </c>
      <c r="AH47" s="65">
        <f t="shared" ca="1" si="68"/>
        <v>29.999999999999996</v>
      </c>
      <c r="AI47" s="65">
        <f t="shared" ca="1" si="68"/>
        <v>29.999999999999996</v>
      </c>
      <c r="AJ47" s="65">
        <f t="shared" ca="1" si="68"/>
        <v>30</v>
      </c>
      <c r="AK47" s="65">
        <f t="shared" ca="1" si="68"/>
        <v>30</v>
      </c>
      <c r="AL47" s="65">
        <f t="shared" ca="1" si="68"/>
        <v>30</v>
      </c>
      <c r="AM47" s="65">
        <f t="shared" ca="1" si="68"/>
        <v>30</v>
      </c>
      <c r="AN47" s="65">
        <f t="shared" ca="1" si="68"/>
        <v>29.999999999999996</v>
      </c>
      <c r="AO47" s="65">
        <f t="shared" ca="1" si="68"/>
        <v>29.972115764689704</v>
      </c>
      <c r="AP47" s="66">
        <f ca="1">AO47</f>
        <v>29.972115764689704</v>
      </c>
    </row>
    <row r="48" spans="1:42" s="15" customFormat="1" ht="16.149999999999999" customHeight="1" x14ac:dyDescent="0.25">
      <c r="A48" s="164"/>
      <c r="B48" s="6" t="s">
        <v>29</v>
      </c>
      <c r="C48" s="84"/>
      <c r="D48" s="65">
        <f t="shared" ref="D48:O48" ca="1" si="69">IF(D$56=0,0,D$13/D$56*D$43)</f>
        <v>25</v>
      </c>
      <c r="E48" s="65">
        <f t="shared" ca="1" si="69"/>
        <v>25</v>
      </c>
      <c r="F48" s="65">
        <f t="shared" ca="1" si="69"/>
        <v>25.000000000000004</v>
      </c>
      <c r="G48" s="65">
        <f t="shared" ca="1" si="69"/>
        <v>25</v>
      </c>
      <c r="H48" s="65">
        <f t="shared" ca="1" si="69"/>
        <v>25.000000000000004</v>
      </c>
      <c r="I48" s="65">
        <f t="shared" ca="1" si="69"/>
        <v>25</v>
      </c>
      <c r="J48" s="65">
        <f t="shared" ca="1" si="69"/>
        <v>24.999999999999993</v>
      </c>
      <c r="K48" s="65">
        <f t="shared" ca="1" si="69"/>
        <v>25.000000000000004</v>
      </c>
      <c r="L48" s="65">
        <f t="shared" ca="1" si="69"/>
        <v>25</v>
      </c>
      <c r="M48" s="65">
        <f t="shared" ca="1" si="69"/>
        <v>25</v>
      </c>
      <c r="N48" s="65">
        <f t="shared" ca="1" si="69"/>
        <v>25</v>
      </c>
      <c r="O48" s="65">
        <f t="shared" ca="1" si="69"/>
        <v>25</v>
      </c>
      <c r="P48" s="66">
        <f t="shared" ref="P48:P49" ca="1" si="70">O48</f>
        <v>25</v>
      </c>
      <c r="Q48" s="65">
        <f t="shared" ref="Q48:AB48" ca="1" si="71">IF(Q$56=0,0,Q$13/Q$56*Q$43)</f>
        <v>25</v>
      </c>
      <c r="R48" s="65">
        <f t="shared" ca="1" si="71"/>
        <v>25</v>
      </c>
      <c r="S48" s="65">
        <f t="shared" ca="1" si="71"/>
        <v>25</v>
      </c>
      <c r="T48" s="65">
        <f t="shared" ca="1" si="71"/>
        <v>25</v>
      </c>
      <c r="U48" s="65">
        <f t="shared" ca="1" si="71"/>
        <v>25.000000000000004</v>
      </c>
      <c r="V48" s="65">
        <f t="shared" ca="1" si="71"/>
        <v>25</v>
      </c>
      <c r="W48" s="65">
        <f t="shared" ca="1" si="71"/>
        <v>25</v>
      </c>
      <c r="X48" s="65">
        <f t="shared" ca="1" si="71"/>
        <v>25</v>
      </c>
      <c r="Y48" s="65">
        <f t="shared" ca="1" si="71"/>
        <v>25</v>
      </c>
      <c r="Z48" s="65">
        <f t="shared" ca="1" si="71"/>
        <v>25.000000000000004</v>
      </c>
      <c r="AA48" s="65">
        <f t="shared" ca="1" si="71"/>
        <v>25.000000000000004</v>
      </c>
      <c r="AB48" s="65">
        <f t="shared" ca="1" si="71"/>
        <v>25</v>
      </c>
      <c r="AC48" s="66">
        <f t="shared" ref="AC48:AC49" ca="1" si="72">AB48</f>
        <v>25</v>
      </c>
      <c r="AD48" s="65">
        <f t="shared" ref="AD48:AO48" ca="1" si="73">IF(AD$56=0,0,AD$13/AD$56*AD$43)</f>
        <v>25.000000000000004</v>
      </c>
      <c r="AE48" s="65">
        <f t="shared" ca="1" si="73"/>
        <v>25</v>
      </c>
      <c r="AF48" s="65">
        <f t="shared" ca="1" si="73"/>
        <v>25</v>
      </c>
      <c r="AG48" s="65">
        <f t="shared" ca="1" si="73"/>
        <v>25</v>
      </c>
      <c r="AH48" s="65">
        <f t="shared" ca="1" si="73"/>
        <v>25</v>
      </c>
      <c r="AI48" s="65">
        <f t="shared" ca="1" si="73"/>
        <v>25.000000000000004</v>
      </c>
      <c r="AJ48" s="65">
        <f t="shared" ca="1" si="73"/>
        <v>24.999999999999996</v>
      </c>
      <c r="AK48" s="65">
        <f t="shared" ca="1" si="73"/>
        <v>25.000000000000004</v>
      </c>
      <c r="AL48" s="65">
        <f t="shared" ca="1" si="73"/>
        <v>25</v>
      </c>
      <c r="AM48" s="65">
        <f t="shared" ca="1" si="73"/>
        <v>24.999999999999996</v>
      </c>
      <c r="AN48" s="65">
        <f t="shared" ca="1" si="73"/>
        <v>25</v>
      </c>
      <c r="AO48" s="65">
        <f t="shared" ca="1" si="73"/>
        <v>25</v>
      </c>
      <c r="AP48" s="66">
        <f t="shared" ref="AP48:AP49" ca="1" si="74">AO48</f>
        <v>25</v>
      </c>
    </row>
    <row r="49" spans="1:42" s="15" customFormat="1" ht="16.149999999999999" customHeight="1" x14ac:dyDescent="0.25">
      <c r="A49" s="164"/>
      <c r="B49" s="6" t="s">
        <v>30</v>
      </c>
      <c r="C49" s="84"/>
      <c r="D49" s="65">
        <f t="shared" ref="D49:O49" ca="1" si="75">IF(D$58=0,0,D$33/D$58*D$43)</f>
        <v>20</v>
      </c>
      <c r="E49" s="65">
        <f t="shared" ca="1" si="75"/>
        <v>20</v>
      </c>
      <c r="F49" s="65">
        <f t="shared" ca="1" si="75"/>
        <v>20</v>
      </c>
      <c r="G49" s="65">
        <f t="shared" ca="1" si="75"/>
        <v>20.000000000000004</v>
      </c>
      <c r="H49" s="65">
        <f t="shared" ca="1" si="75"/>
        <v>20</v>
      </c>
      <c r="I49" s="65">
        <f t="shared" ca="1" si="75"/>
        <v>20.000000000000004</v>
      </c>
      <c r="J49" s="65">
        <f t="shared" ca="1" si="75"/>
        <v>20.000000000000004</v>
      </c>
      <c r="K49" s="65">
        <f t="shared" ca="1" si="75"/>
        <v>20</v>
      </c>
      <c r="L49" s="65">
        <f t="shared" ca="1" si="75"/>
        <v>20</v>
      </c>
      <c r="M49" s="65">
        <f t="shared" ca="1" si="75"/>
        <v>20.000000000000004</v>
      </c>
      <c r="N49" s="65">
        <f t="shared" ca="1" si="75"/>
        <v>20</v>
      </c>
      <c r="O49" s="65">
        <f t="shared" ca="1" si="75"/>
        <v>20</v>
      </c>
      <c r="P49" s="66">
        <f t="shared" ca="1" si="70"/>
        <v>20</v>
      </c>
      <c r="Q49" s="65">
        <f t="shared" ref="Q49:AB49" ca="1" si="76">IF(Q$58=0,0,Q$33/Q$58*Q$43)</f>
        <v>20</v>
      </c>
      <c r="R49" s="65">
        <f t="shared" ca="1" si="76"/>
        <v>20.000000000000004</v>
      </c>
      <c r="S49" s="65">
        <f t="shared" ca="1" si="76"/>
        <v>20</v>
      </c>
      <c r="T49" s="65">
        <f t="shared" ca="1" si="76"/>
        <v>20.000000000000004</v>
      </c>
      <c r="U49" s="65">
        <f t="shared" ca="1" si="76"/>
        <v>20</v>
      </c>
      <c r="V49" s="65">
        <f t="shared" ca="1" si="76"/>
        <v>20</v>
      </c>
      <c r="W49" s="65">
        <f t="shared" ca="1" si="76"/>
        <v>20</v>
      </c>
      <c r="X49" s="65">
        <f t="shared" ca="1" si="76"/>
        <v>20</v>
      </c>
      <c r="Y49" s="65">
        <f t="shared" ca="1" si="76"/>
        <v>20</v>
      </c>
      <c r="Z49" s="65">
        <f t="shared" ca="1" si="76"/>
        <v>20</v>
      </c>
      <c r="AA49" s="65">
        <f t="shared" ca="1" si="76"/>
        <v>20</v>
      </c>
      <c r="AB49" s="65">
        <f t="shared" ca="1" si="76"/>
        <v>20</v>
      </c>
      <c r="AC49" s="66">
        <f t="shared" ca="1" si="72"/>
        <v>20</v>
      </c>
      <c r="AD49" s="65">
        <f t="shared" ref="AD49:AO49" ca="1" si="77">IF(AD$58=0,0,AD$33/AD$58*AD$43)</f>
        <v>20</v>
      </c>
      <c r="AE49" s="65">
        <f t="shared" ca="1" si="77"/>
        <v>20.000000000000004</v>
      </c>
      <c r="AF49" s="65">
        <f t="shared" ca="1" si="77"/>
        <v>20.000000000000004</v>
      </c>
      <c r="AG49" s="65">
        <f t="shared" ca="1" si="77"/>
        <v>20</v>
      </c>
      <c r="AH49" s="65">
        <f t="shared" ca="1" si="77"/>
        <v>20</v>
      </c>
      <c r="AI49" s="65">
        <f t="shared" ca="1" si="77"/>
        <v>19.999999999999996</v>
      </c>
      <c r="AJ49" s="65">
        <f t="shared" ca="1" si="77"/>
        <v>20</v>
      </c>
      <c r="AK49" s="65">
        <f t="shared" ca="1" si="77"/>
        <v>20</v>
      </c>
      <c r="AL49" s="65">
        <f t="shared" ca="1" si="77"/>
        <v>20.000000000000004</v>
      </c>
      <c r="AM49" s="65">
        <f t="shared" ca="1" si="77"/>
        <v>20.000000000000004</v>
      </c>
      <c r="AN49" s="65">
        <f t="shared" ca="1" si="77"/>
        <v>20.000000000000004</v>
      </c>
      <c r="AO49" s="65">
        <f t="shared" ca="1" si="77"/>
        <v>20</v>
      </c>
      <c r="AP49" s="66">
        <f t="shared" ca="1" si="74"/>
        <v>20</v>
      </c>
    </row>
    <row r="50" spans="1:42" s="15" customFormat="1" ht="16.149999999999999" customHeight="1" x14ac:dyDescent="0.25">
      <c r="A50" s="164"/>
      <c r="B50" s="6" t="s">
        <v>55</v>
      </c>
      <c r="C50" s="84"/>
      <c r="D50" s="65">
        <f ca="1">IF(D$24=0,0,D$30/D$24)</f>
        <v>4.7777341439657182</v>
      </c>
      <c r="E50" s="65">
        <f t="shared" ref="E50:AP50" ca="1" si="78">IF(E$24=0,0,E$30/E$24)</f>
        <v>4.3546623712488994</v>
      </c>
      <c r="F50" s="65">
        <f t="shared" ca="1" si="78"/>
        <v>3.951044819124288</v>
      </c>
      <c r="G50" s="65">
        <f t="shared" ca="1" si="78"/>
        <v>3.942954329114329</v>
      </c>
      <c r="H50" s="65">
        <f t="shared" ca="1" si="78"/>
        <v>3.6590508877599</v>
      </c>
      <c r="I50" s="65">
        <f t="shared" ca="1" si="78"/>
        <v>3.5823442064445339</v>
      </c>
      <c r="J50" s="65">
        <f t="shared" ca="1" si="78"/>
        <v>3.2893669944009059</v>
      </c>
      <c r="K50" s="65">
        <f t="shared" ca="1" si="78"/>
        <v>3.1975248311902078</v>
      </c>
      <c r="L50" s="65">
        <f t="shared" ca="1" si="78"/>
        <v>3.0480756002177669</v>
      </c>
      <c r="M50" s="65">
        <f t="shared" ca="1" si="78"/>
        <v>2.9169155217875113</v>
      </c>
      <c r="N50" s="65">
        <f t="shared" ca="1" si="78"/>
        <v>2.9896921965964576</v>
      </c>
      <c r="O50" s="65">
        <f t="shared" ca="1" si="78"/>
        <v>2.7997726395292966</v>
      </c>
      <c r="P50" s="66">
        <f t="shared" ca="1" si="78"/>
        <v>2.7997726395292966</v>
      </c>
      <c r="Q50" s="65">
        <f t="shared" ca="1" si="78"/>
        <v>2.6225262358950112</v>
      </c>
      <c r="R50" s="65">
        <f t="shared" ca="1" si="78"/>
        <v>2.5114734501952491</v>
      </c>
      <c r="S50" s="65">
        <f t="shared" ca="1" si="78"/>
        <v>2.3688686065979447</v>
      </c>
      <c r="T50" s="65">
        <f t="shared" ca="1" si="78"/>
        <v>2.2542660681366145</v>
      </c>
      <c r="U50" s="65">
        <f t="shared" ca="1" si="78"/>
        <v>2.1216025883923462</v>
      </c>
      <c r="V50" s="65">
        <f t="shared" ca="1" si="78"/>
        <v>2.3545867167211525</v>
      </c>
      <c r="W50" s="65">
        <f t="shared" ca="1" si="78"/>
        <v>2.22704179242898</v>
      </c>
      <c r="X50" s="65">
        <f t="shared" ca="1" si="78"/>
        <v>2.1386673249351911</v>
      </c>
      <c r="Y50" s="65">
        <f t="shared" ca="1" si="78"/>
        <v>2.0205510803353603</v>
      </c>
      <c r="Z50" s="65">
        <f t="shared" ca="1" si="78"/>
        <v>2.0295605050611272</v>
      </c>
      <c r="AA50" s="65">
        <f t="shared" ca="1" si="78"/>
        <v>1.9434285317099371</v>
      </c>
      <c r="AB50" s="65">
        <f t="shared" ca="1" si="78"/>
        <v>1.8422859092261616</v>
      </c>
      <c r="AC50" s="66">
        <f t="shared" ca="1" si="78"/>
        <v>1.8422859092261616</v>
      </c>
      <c r="AD50" s="65">
        <f t="shared" ca="1" si="78"/>
        <v>1.7521284227413509</v>
      </c>
      <c r="AE50" s="65">
        <f t="shared" ca="1" si="78"/>
        <v>1.8495415121826835</v>
      </c>
      <c r="AF50" s="65">
        <f t="shared" ca="1" si="78"/>
        <v>1.7630899124936157</v>
      </c>
      <c r="AG50" s="65">
        <f t="shared" ca="1" si="78"/>
        <v>1.6907240476551515</v>
      </c>
      <c r="AH50" s="65">
        <f t="shared" ca="1" si="78"/>
        <v>1.6812983993839938</v>
      </c>
      <c r="AI50" s="65">
        <f t="shared" ca="1" si="78"/>
        <v>1.5978272597121881</v>
      </c>
      <c r="AJ50" s="65">
        <f t="shared" ca="1" si="78"/>
        <v>1.5373360012316175</v>
      </c>
      <c r="AK50" s="65">
        <f t="shared" ca="1" si="78"/>
        <v>1.4560569508583368</v>
      </c>
      <c r="AL50" s="65">
        <f t="shared" ca="1" si="78"/>
        <v>1.3928208093661665</v>
      </c>
      <c r="AM50" s="65">
        <f t="shared" ca="1" si="78"/>
        <v>1.3502500650154878</v>
      </c>
      <c r="AN50" s="65">
        <f t="shared" ca="1" si="78"/>
        <v>1.2845604847938628</v>
      </c>
      <c r="AO50" s="65">
        <f t="shared" ca="1" si="78"/>
        <v>1.228354222025295</v>
      </c>
      <c r="AP50" s="66">
        <f t="shared" ca="1" si="78"/>
        <v>1.228354222025295</v>
      </c>
    </row>
    <row r="51" spans="1:42" s="68" customFormat="1" ht="16.149999999999999" customHeight="1" x14ac:dyDescent="0.25">
      <c r="A51" s="164"/>
      <c r="B51" s="6"/>
      <c r="C51" s="67"/>
      <c r="D51" s="110"/>
      <c r="E51" s="110"/>
      <c r="F51" s="110"/>
      <c r="G51" s="110"/>
      <c r="H51" s="110"/>
      <c r="I51" s="110"/>
      <c r="J51" s="110"/>
      <c r="K51" s="110"/>
      <c r="L51" s="110"/>
      <c r="M51" s="110"/>
      <c r="N51" s="110"/>
      <c r="O51" s="110"/>
      <c r="P51" s="111"/>
      <c r="Q51" s="110"/>
      <c r="R51" s="110"/>
      <c r="S51" s="110"/>
      <c r="T51" s="110"/>
      <c r="U51" s="110"/>
      <c r="V51" s="110"/>
      <c r="W51" s="110"/>
      <c r="X51" s="110"/>
      <c r="Y51" s="110"/>
      <c r="Z51" s="110"/>
      <c r="AA51" s="110"/>
      <c r="AB51" s="110"/>
      <c r="AC51" s="111"/>
      <c r="AD51" s="110"/>
      <c r="AE51" s="110"/>
      <c r="AF51" s="110"/>
      <c r="AG51" s="110"/>
      <c r="AH51" s="110"/>
      <c r="AI51" s="110"/>
      <c r="AJ51" s="110"/>
      <c r="AK51" s="110"/>
      <c r="AL51" s="110"/>
      <c r="AM51" s="110"/>
      <c r="AN51" s="110"/>
      <c r="AO51" s="110"/>
      <c r="AP51" s="111"/>
    </row>
    <row r="52" spans="1:42" s="68" customFormat="1" ht="16.149999999999999" customHeight="1" x14ac:dyDescent="0.25">
      <c r="A52" s="164"/>
      <c r="B52" s="6" t="s">
        <v>228</v>
      </c>
      <c r="C52" s="67"/>
      <c r="D52" s="110"/>
      <c r="E52" s="110"/>
      <c r="F52" s="110"/>
      <c r="G52" s="110"/>
      <c r="H52" s="110"/>
      <c r="I52" s="110"/>
      <c r="J52" s="110"/>
      <c r="K52" s="110"/>
      <c r="L52" s="110"/>
      <c r="M52" s="110"/>
      <c r="N52" s="110"/>
      <c r="O52" s="110"/>
      <c r="P52" s="111"/>
      <c r="Q52" s="110"/>
      <c r="R52" s="110"/>
      <c r="S52" s="110"/>
      <c r="T52" s="110"/>
      <c r="U52" s="110"/>
      <c r="V52" s="110"/>
      <c r="W52" s="110"/>
      <c r="X52" s="110"/>
      <c r="Y52" s="110"/>
      <c r="Z52" s="110"/>
      <c r="AA52" s="110"/>
      <c r="AB52" s="110"/>
      <c r="AC52" s="111"/>
      <c r="AD52" s="110"/>
      <c r="AE52" s="110"/>
      <c r="AF52" s="110"/>
      <c r="AG52" s="110"/>
      <c r="AH52" s="110"/>
      <c r="AI52" s="110"/>
      <c r="AJ52" s="110"/>
      <c r="AK52" s="110"/>
      <c r="AL52" s="110"/>
      <c r="AM52" s="110"/>
      <c r="AN52" s="110"/>
      <c r="AO52" s="110"/>
      <c r="AP52" s="111"/>
    </row>
    <row r="53" spans="1:42" s="15" customFormat="1" ht="16.149999999999999" customHeight="1" x14ac:dyDescent="0.25">
      <c r="A53" s="164"/>
      <c r="B53" s="6" t="s">
        <v>31</v>
      </c>
      <c r="C53" s="112">
        <f>Assumptions!$C$42</f>
        <v>30</v>
      </c>
      <c r="D53" s="112">
        <f>Assumptions!$C$42</f>
        <v>30</v>
      </c>
      <c r="E53" s="112">
        <f>Assumptions!$C$42</f>
        <v>30</v>
      </c>
      <c r="F53" s="112">
        <f>Assumptions!$C$42</f>
        <v>30</v>
      </c>
      <c r="G53" s="112">
        <f>Assumptions!$C$42</f>
        <v>30</v>
      </c>
      <c r="H53" s="112">
        <f>Assumptions!$C$42</f>
        <v>30</v>
      </c>
      <c r="I53" s="112">
        <f>Assumptions!$C$42</f>
        <v>30</v>
      </c>
      <c r="J53" s="112">
        <f>Assumptions!$C$42</f>
        <v>30</v>
      </c>
      <c r="K53" s="112">
        <f>Assumptions!$C$42</f>
        <v>30</v>
      </c>
      <c r="L53" s="112">
        <f>Assumptions!$C$42</f>
        <v>30</v>
      </c>
      <c r="M53" s="112">
        <f>Assumptions!$C$42</f>
        <v>30</v>
      </c>
      <c r="N53" s="112">
        <f>Assumptions!$C$42</f>
        <v>30</v>
      </c>
      <c r="O53" s="112">
        <f>Assumptions!$C$42</f>
        <v>30</v>
      </c>
      <c r="P53" s="113"/>
      <c r="Q53" s="112">
        <f>Assumptions!$C$42</f>
        <v>30</v>
      </c>
      <c r="R53" s="112">
        <f>Assumptions!$C$42</f>
        <v>30</v>
      </c>
      <c r="S53" s="112">
        <f>Assumptions!$C$42</f>
        <v>30</v>
      </c>
      <c r="T53" s="112">
        <f>Assumptions!$C$42</f>
        <v>30</v>
      </c>
      <c r="U53" s="112">
        <f>Assumptions!$C$42</f>
        <v>30</v>
      </c>
      <c r="V53" s="112">
        <f>Assumptions!$C$42</f>
        <v>30</v>
      </c>
      <c r="W53" s="112">
        <f>Assumptions!$C$42</f>
        <v>30</v>
      </c>
      <c r="X53" s="112">
        <f>Assumptions!$C$42</f>
        <v>30</v>
      </c>
      <c r="Y53" s="112">
        <f>Assumptions!$C$42</f>
        <v>30</v>
      </c>
      <c r="Z53" s="112">
        <f>Assumptions!$C$42</f>
        <v>30</v>
      </c>
      <c r="AA53" s="112">
        <f>Assumptions!$C$42</f>
        <v>30</v>
      </c>
      <c r="AB53" s="112">
        <f>Assumptions!$C$42</f>
        <v>30</v>
      </c>
      <c r="AC53" s="113"/>
      <c r="AD53" s="112">
        <f>Assumptions!$C$42</f>
        <v>30</v>
      </c>
      <c r="AE53" s="112">
        <f>Assumptions!$C$42</f>
        <v>30</v>
      </c>
      <c r="AF53" s="112">
        <f>Assumptions!$C$42</f>
        <v>30</v>
      </c>
      <c r="AG53" s="112">
        <f>Assumptions!$C$42</f>
        <v>30</v>
      </c>
      <c r="AH53" s="112">
        <f>Assumptions!$C$42</f>
        <v>30</v>
      </c>
      <c r="AI53" s="112">
        <f>Assumptions!$C$42</f>
        <v>30</v>
      </c>
      <c r="AJ53" s="112">
        <f>Assumptions!$C$42</f>
        <v>30</v>
      </c>
      <c r="AK53" s="112">
        <f>Assumptions!$C$42</f>
        <v>30</v>
      </c>
      <c r="AL53" s="112">
        <f>Assumptions!$C$42</f>
        <v>30</v>
      </c>
      <c r="AM53" s="112">
        <f>Assumptions!$C$42</f>
        <v>30</v>
      </c>
      <c r="AN53" s="112">
        <f>Assumptions!$C$42</f>
        <v>30</v>
      </c>
      <c r="AO53" s="112">
        <f>Assumptions!$C$42</f>
        <v>30</v>
      </c>
      <c r="AP53" s="113"/>
    </row>
    <row r="54" spans="1:42" s="15" customFormat="1" ht="16.149999999999999" customHeight="1" x14ac:dyDescent="0.25">
      <c r="A54" s="164"/>
      <c r="B54" s="6" t="s">
        <v>185</v>
      </c>
      <c r="C54" s="112"/>
      <c r="D54" s="114">
        <f ca="1">IncState!C10</f>
        <v>185640</v>
      </c>
      <c r="E54" s="114">
        <f ca="1">IncState!D10</f>
        <v>198380</v>
      </c>
      <c r="F54" s="114">
        <f ca="1">IncState!E10</f>
        <v>200200</v>
      </c>
      <c r="G54" s="114">
        <f ca="1">IncState!F10</f>
        <v>202280</v>
      </c>
      <c r="H54" s="114">
        <f ca="1">IncState!G10</f>
        <v>205270</v>
      </c>
      <c r="I54" s="114">
        <f ca="1">IncState!H10</f>
        <v>201500</v>
      </c>
      <c r="J54" s="114">
        <f ca="1">IncState!I10</f>
        <v>193280</v>
      </c>
      <c r="K54" s="114">
        <f ca="1">IncState!J10</f>
        <v>200960</v>
      </c>
      <c r="L54" s="114">
        <f ca="1">IncState!K10</f>
        <v>203648</v>
      </c>
      <c r="M54" s="114">
        <f ca="1">IncState!L10</f>
        <v>164160</v>
      </c>
      <c r="N54" s="114">
        <f ca="1">IncState!M10</f>
        <v>211584</v>
      </c>
      <c r="O54" s="114">
        <f ca="1">IncState!N10</f>
        <v>195328</v>
      </c>
      <c r="P54" s="115"/>
      <c r="Q54" s="114">
        <f ca="1">IncState!P10</f>
        <v>208128</v>
      </c>
      <c r="R54" s="114">
        <f ca="1">IncState!Q10</f>
        <v>203520</v>
      </c>
      <c r="S54" s="114">
        <f ca="1">IncState!R10</f>
        <v>198528</v>
      </c>
      <c r="T54" s="114">
        <f ca="1">IncState!S10</f>
        <v>211584</v>
      </c>
      <c r="U54" s="114">
        <f ca="1">IncState!T10</f>
        <v>220928</v>
      </c>
      <c r="V54" s="114">
        <f ca="1">IncState!U10</f>
        <v>208064</v>
      </c>
      <c r="W54" s="114">
        <f ca="1">IncState!V10</f>
        <v>189224</v>
      </c>
      <c r="X54" s="114">
        <f ca="1">IncState!W10</f>
        <v>200942</v>
      </c>
      <c r="Y54" s="114">
        <f ca="1">IncState!X10</f>
        <v>214272</v>
      </c>
      <c r="Z54" s="114">
        <f ca="1">IncState!Y10</f>
        <v>161572</v>
      </c>
      <c r="AA54" s="114">
        <f ca="1">IncState!Z10</f>
        <v>217248</v>
      </c>
      <c r="AB54" s="114">
        <f ca="1">IncState!AA10</f>
        <v>208320</v>
      </c>
      <c r="AC54" s="115"/>
      <c r="AD54" s="114">
        <f ca="1">IncState!AC10</f>
        <v>205560</v>
      </c>
      <c r="AE54" s="114">
        <f ca="1">IncState!AD10</f>
        <v>216300</v>
      </c>
      <c r="AF54" s="114">
        <f ca="1">IncState!AE10</f>
        <v>213840</v>
      </c>
      <c r="AG54" s="114">
        <f ca="1">IncState!AF10</f>
        <v>222000</v>
      </c>
      <c r="AH54" s="114">
        <f ca="1">IncState!AG10</f>
        <v>220140</v>
      </c>
      <c r="AI54" s="114">
        <f ca="1">IncState!AH10</f>
        <v>229260</v>
      </c>
      <c r="AJ54" s="114">
        <f ca="1">IncState!AI10</f>
        <v>228540</v>
      </c>
      <c r="AK54" s="114">
        <f ca="1">IncState!AJ10</f>
        <v>225480</v>
      </c>
      <c r="AL54" s="114">
        <f ca="1">IncState!AK10</f>
        <v>233700</v>
      </c>
      <c r="AM54" s="114">
        <f ca="1">IncState!AL10</f>
        <v>186000</v>
      </c>
      <c r="AN54" s="114">
        <f ca="1">IncState!AM10</f>
        <v>234060</v>
      </c>
      <c r="AO54" s="114">
        <f ca="1">IncState!AN10</f>
        <v>225240</v>
      </c>
      <c r="AP54" s="115"/>
    </row>
    <row r="55" spans="1:42" s="15" customFormat="1" ht="16.149999999999999" customHeight="1" x14ac:dyDescent="0.25">
      <c r="A55" s="164"/>
      <c r="B55" s="6" t="s">
        <v>29</v>
      </c>
      <c r="C55" s="112">
        <f>Assumptions!$C$43</f>
        <v>25</v>
      </c>
      <c r="D55" s="112">
        <f>Assumptions!$C$43</f>
        <v>25</v>
      </c>
      <c r="E55" s="112">
        <f>Assumptions!$C$43</f>
        <v>25</v>
      </c>
      <c r="F55" s="112">
        <f>Assumptions!$C$43</f>
        <v>25</v>
      </c>
      <c r="G55" s="112">
        <f>Assumptions!$C$43</f>
        <v>25</v>
      </c>
      <c r="H55" s="112">
        <f>Assumptions!$C$43</f>
        <v>25</v>
      </c>
      <c r="I55" s="112">
        <f>Assumptions!$C$43</f>
        <v>25</v>
      </c>
      <c r="J55" s="112">
        <f>Assumptions!$C$43</f>
        <v>25</v>
      </c>
      <c r="K55" s="112">
        <f>Assumptions!$C$43</f>
        <v>25</v>
      </c>
      <c r="L55" s="112">
        <f>Assumptions!$C$43</f>
        <v>25</v>
      </c>
      <c r="M55" s="112">
        <f>Assumptions!$C$43</f>
        <v>25</v>
      </c>
      <c r="N55" s="112">
        <f>Assumptions!$C$43</f>
        <v>25</v>
      </c>
      <c r="O55" s="112">
        <f>Assumptions!$C$43</f>
        <v>25</v>
      </c>
      <c r="P55" s="113"/>
      <c r="Q55" s="112">
        <f>Assumptions!$C$43</f>
        <v>25</v>
      </c>
      <c r="R55" s="112">
        <f>Assumptions!$C$43</f>
        <v>25</v>
      </c>
      <c r="S55" s="112">
        <f>Assumptions!$C$43</f>
        <v>25</v>
      </c>
      <c r="T55" s="112">
        <f>Assumptions!$C$43</f>
        <v>25</v>
      </c>
      <c r="U55" s="112">
        <f>Assumptions!$C$43</f>
        <v>25</v>
      </c>
      <c r="V55" s="112">
        <f>Assumptions!$C$43</f>
        <v>25</v>
      </c>
      <c r="W55" s="112">
        <f>Assumptions!$C$43</f>
        <v>25</v>
      </c>
      <c r="X55" s="112">
        <f>Assumptions!$C$43</f>
        <v>25</v>
      </c>
      <c r="Y55" s="112">
        <f>Assumptions!$C$43</f>
        <v>25</v>
      </c>
      <c r="Z55" s="112">
        <f>Assumptions!$C$43</f>
        <v>25</v>
      </c>
      <c r="AA55" s="112">
        <f>Assumptions!$C$43</f>
        <v>25</v>
      </c>
      <c r="AB55" s="112">
        <f>Assumptions!$C$43</f>
        <v>25</v>
      </c>
      <c r="AC55" s="113"/>
      <c r="AD55" s="112">
        <f>Assumptions!$C$43</f>
        <v>25</v>
      </c>
      <c r="AE55" s="112">
        <f>Assumptions!$C$43</f>
        <v>25</v>
      </c>
      <c r="AF55" s="112">
        <f>Assumptions!$C$43</f>
        <v>25</v>
      </c>
      <c r="AG55" s="112">
        <f>Assumptions!$C$43</f>
        <v>25</v>
      </c>
      <c r="AH55" s="112">
        <f>Assumptions!$C$43</f>
        <v>25</v>
      </c>
      <c r="AI55" s="112">
        <f>Assumptions!$C$43</f>
        <v>25</v>
      </c>
      <c r="AJ55" s="112">
        <f>Assumptions!$C$43</f>
        <v>25</v>
      </c>
      <c r="AK55" s="112">
        <f>Assumptions!$C$43</f>
        <v>25</v>
      </c>
      <c r="AL55" s="112">
        <f>Assumptions!$C$43</f>
        <v>25</v>
      </c>
      <c r="AM55" s="112">
        <f>Assumptions!$C$43</f>
        <v>25</v>
      </c>
      <c r="AN55" s="112">
        <f>Assumptions!$C$43</f>
        <v>25</v>
      </c>
      <c r="AO55" s="112">
        <f>Assumptions!$C$43</f>
        <v>25</v>
      </c>
      <c r="AP55" s="113">
        <f>Assumptions!$C$43</f>
        <v>25</v>
      </c>
    </row>
    <row r="56" spans="1:42" s="15" customFormat="1" ht="16.149999999999999" customHeight="1" x14ac:dyDescent="0.25">
      <c r="A56" s="164"/>
      <c r="B56" s="6" t="s">
        <v>202</v>
      </c>
      <c r="C56" s="112"/>
      <c r="D56" s="114">
        <f ca="1">(SUMIF(IncState!$A$4:$AO$7,"V1C1*",IncState!C$4:C$7)*(1+Assumptions!$C$52))+(SUMIF(IncState!$A$4:$AO$7,"V2C1*",IncState!C$4:C$7)*(1+Assumptions!$C$53))+(SUMIF(IncState!$A$4:$AO$7,"V3C1*",IncState!C$4:C$7)*(1+Assumptions!$C$54))+(SUMIF(IncState!$A$4:$AO$7,"V4C1*",IncState!C$4:C$7)*(1+Assumptions!$C$55))</f>
        <v>472189.99999999994</v>
      </c>
      <c r="E56" s="114">
        <f ca="1">(SUMIF(IncState!$A$4:$AO$7,"V1C1*",IncState!D$4:D$7)*(1+Assumptions!$C$52))+(SUMIF(IncState!$A$4:$AO$7,"V2C1*",IncState!D$4:D$7)*(1+Assumptions!$C$53))+(SUMIF(IncState!$A$4:$AO$7,"V3C1*",IncState!D$4:D$7)*(1+Assumptions!$C$54))+(SUMIF(IncState!$A$4:$AO$7,"V4C1*",IncState!D$4:D$7)*(1+Assumptions!$C$55))</f>
        <v>483229.99999999994</v>
      </c>
      <c r="F56" s="114">
        <f ca="1">(SUMIF(IncState!$A$4:$AO$7,"V1C1*",IncState!E$4:E$7)*(1+Assumptions!$C$52))+(SUMIF(IncState!$A$4:$AO$7,"V2C1*",IncState!E$4:E$7)*(1+Assumptions!$C$53))+(SUMIF(IncState!$A$4:$AO$7,"V3C1*",IncState!E$4:E$7)*(1+Assumptions!$C$54))+(SUMIF(IncState!$A$4:$AO$7,"V4C1*",IncState!E$4:E$7)*(1+Assumptions!$C$55))</f>
        <v>501399.99999999994</v>
      </c>
      <c r="G56" s="114">
        <f ca="1">(SUMIF(IncState!$A$4:$AO$7,"V1C1*",IncState!F$4:F$7)*(1+Assumptions!$C$52))+(SUMIF(IncState!$A$4:$AO$7,"V2C1*",IncState!F$4:F$7)*(1+Assumptions!$C$53))+(SUMIF(IncState!$A$4:$AO$7,"V3C1*",IncState!F$4:F$7)*(1+Assumptions!$C$54))+(SUMIF(IncState!$A$4:$AO$7,"V4C1*",IncState!F$4:F$7)*(1+Assumptions!$C$55))</f>
        <v>509679.99999999994</v>
      </c>
      <c r="H56" s="114">
        <f ca="1">(SUMIF(IncState!$A$4:$AO$7,"V1C1*",IncState!G$4:G$7)*(1+Assumptions!$C$52))+(SUMIF(IncState!$A$4:$AO$7,"V2C1*",IncState!G$4:G$7)*(1+Assumptions!$C$53))+(SUMIF(IncState!$A$4:$AO$7,"V3C1*",IncState!G$4:G$7)*(1+Assumptions!$C$54))+(SUMIF(IncState!$A$4:$AO$7,"V4C1*",IncState!G$4:G$7)*(1+Assumptions!$C$55))</f>
        <v>509219.99999999994</v>
      </c>
      <c r="I56" s="114">
        <f ca="1">(SUMIF(IncState!$A$4:$AO$7,"V1C1*",IncState!H$4:H$7)*(1+Assumptions!$C$52))+(SUMIF(IncState!$A$4:$AO$7,"V2C1*",IncState!H$4:H$7)*(1+Assumptions!$C$53))+(SUMIF(IncState!$A$4:$AO$7,"V3C1*",IncState!H$4:H$7)*(1+Assumptions!$C$54))+(SUMIF(IncState!$A$4:$AO$7,"V4C1*",IncState!H$4:H$7)*(1+Assumptions!$C$55))</f>
        <v>509449.99999999994</v>
      </c>
      <c r="J56" s="114">
        <f ca="1">(SUMIF(IncState!$A$4:$AO$7,"V1C1*",IncState!I$4:I$7)*(1+Assumptions!$C$52))+(SUMIF(IncState!$A$4:$AO$7,"V2C1*",IncState!I$4:I$7)*(1+Assumptions!$C$53))+(SUMIF(IncState!$A$4:$AO$7,"V3C1*",IncState!I$4:I$7)*(1+Assumptions!$C$54))+(SUMIF(IncState!$A$4:$AO$7,"V4C1*",IncState!I$4:I$7)*(1+Assumptions!$C$55))</f>
        <v>496799.99999999994</v>
      </c>
      <c r="K56" s="114">
        <f ca="1">(SUMIF(IncState!$A$4:$AO$7,"V1C1*",IncState!J$4:J$7)*(1+Assumptions!$C$52))+(SUMIF(IncState!$A$4:$AO$7,"V2C1*",IncState!J$4:J$7)*(1+Assumptions!$C$53))+(SUMIF(IncState!$A$4:$AO$7,"V3C1*",IncState!J$4:J$7)*(1+Assumptions!$C$54))+(SUMIF(IncState!$A$4:$AO$7,"V4C1*",IncState!J$4:J$7)*(1+Assumptions!$C$55))</f>
        <v>509334.99999999994</v>
      </c>
      <c r="L56" s="114">
        <f ca="1">(SUMIF(IncState!$A$4:$AO$7,"V1C1*",IncState!K$4:K$7)*(1+Assumptions!$C$52))+(SUMIF(IncState!$A$4:$AO$7,"V2C1*",IncState!K$4:K$7)*(1+Assumptions!$C$53))+(SUMIF(IncState!$A$4:$AO$7,"V3C1*",IncState!K$4:K$7)*(1+Assumptions!$C$54))+(SUMIF(IncState!$A$4:$AO$7,"V4C1*",IncState!K$4:K$7)*(1+Assumptions!$C$55))</f>
        <v>517729.99999999994</v>
      </c>
      <c r="M56" s="114">
        <f ca="1">(SUMIF(IncState!$A$4:$AO$7,"V1C1*",IncState!L$4:L$7)*(1+Assumptions!$C$52))+(SUMIF(IncState!$A$4:$AO$7,"V2C1*",IncState!L$4:L$7)*(1+Assumptions!$C$53))+(SUMIF(IncState!$A$4:$AO$7,"V3C1*",IncState!L$4:L$7)*(1+Assumptions!$C$54))+(SUMIF(IncState!$A$4:$AO$7,"V4C1*",IncState!L$4:L$7)*(1+Assumptions!$C$55))</f>
        <v>430674.99999999994</v>
      </c>
      <c r="N56" s="114">
        <f ca="1">(SUMIF(IncState!$A$4:$AO$7,"V1C1*",IncState!M$4:M$7)*(1+Assumptions!$C$52))+(SUMIF(IncState!$A$4:$AO$7,"V2C1*",IncState!M$4:M$7)*(1+Assumptions!$C$53))+(SUMIF(IncState!$A$4:$AO$7,"V3C1*",IncState!M$4:M$7)*(1+Assumptions!$C$54))+(SUMIF(IncState!$A$4:$AO$7,"V4C1*",IncState!M$4:M$7)*(1+Assumptions!$C$55))</f>
        <v>535440</v>
      </c>
      <c r="O56" s="114">
        <f ca="1">(SUMIF(IncState!$A$4:$AO$7,"V1C1*",IncState!N$4:N$7)*(1+Assumptions!$C$52))+(SUMIF(IncState!$A$4:$AO$7,"V2C1*",IncState!N$4:N$7)*(1+Assumptions!$C$53))+(SUMIF(IncState!$A$4:$AO$7,"V3C1*",IncState!N$4:N$7)*(1+Assumptions!$C$54))+(SUMIF(IncState!$A$4:$AO$7,"V4C1*",IncState!N$4:N$7)*(1+Assumptions!$C$55))</f>
        <v>501859.99999999994</v>
      </c>
      <c r="P56" s="115"/>
      <c r="Q56" s="114">
        <f ca="1">(SUMIF(IncState!$A$4:$AO$7,"V1C1*",IncState!P$4:P$7)*(1+Assumptions!$C$52))+(SUMIF(IncState!$A$4:$AO$7,"V2C1*",IncState!P$4:P$7)*(1+Assumptions!$C$53))+(SUMIF(IncState!$A$4:$AO$7,"V3C1*",IncState!P$4:P$7)*(1+Assumptions!$C$54))+(SUMIF(IncState!$A$4:$AO$7,"V4C1*",IncState!P$4:P$7)*(1+Assumptions!$C$55))</f>
        <v>530380</v>
      </c>
      <c r="R56" s="114">
        <f ca="1">(SUMIF(IncState!$A$4:$AO$7,"V1C1*",IncState!Q$4:Q$7)*(1+Assumptions!$C$52))+(SUMIF(IncState!$A$4:$AO$7,"V2C1*",IncState!Q$4:Q$7)*(1+Assumptions!$C$53))+(SUMIF(IncState!$A$4:$AO$7,"V3C1*",IncState!Q$4:Q$7)*(1+Assumptions!$C$54))+(SUMIF(IncState!$A$4:$AO$7,"V4C1*",IncState!Q$4:Q$7)*(1+Assumptions!$C$55))</f>
        <v>524975</v>
      </c>
      <c r="S56" s="114">
        <f ca="1">(SUMIF(IncState!$A$4:$AO$7,"V1C1*",IncState!R$4:R$7)*(1+Assumptions!$C$52))+(SUMIF(IncState!$A$4:$AO$7,"V2C1*",IncState!R$4:R$7)*(1+Assumptions!$C$53))+(SUMIF(IncState!$A$4:$AO$7,"V3C1*",IncState!R$4:R$7)*(1+Assumptions!$C$54))+(SUMIF(IncState!$A$4:$AO$7,"V4C1*",IncState!R$4:R$7)*(1+Assumptions!$C$55))</f>
        <v>514279.99999999994</v>
      </c>
      <c r="T56" s="114">
        <f ca="1">(SUMIF(IncState!$A$4:$AO$7,"V1C1*",IncState!S$4:S$7)*(1+Assumptions!$C$52))+(SUMIF(IncState!$A$4:$AO$7,"V2C1*",IncState!S$4:S$7)*(1+Assumptions!$C$53))+(SUMIF(IncState!$A$4:$AO$7,"V3C1*",IncState!S$4:S$7)*(1+Assumptions!$C$54))+(SUMIF(IncState!$A$4:$AO$7,"V4C1*",IncState!S$4:S$7)*(1+Assumptions!$C$55))</f>
        <v>536130</v>
      </c>
      <c r="U56" s="114">
        <f ca="1">(SUMIF(IncState!$A$4:$AO$7,"V1C1*",IncState!T$4:T$7)*(1+Assumptions!$C$52))+(SUMIF(IncState!$A$4:$AO$7,"V2C1*",IncState!T$4:T$7)*(1+Assumptions!$C$53))+(SUMIF(IncState!$A$4:$AO$7,"V3C1*",IncState!T$4:T$7)*(1+Assumptions!$C$54))+(SUMIF(IncState!$A$4:$AO$7,"V4C1*",IncState!T$4:T$7)*(1+Assumptions!$C$55))</f>
        <v>550505</v>
      </c>
      <c r="V56" s="114">
        <f ca="1">(SUMIF(IncState!$A$4:$AO$7,"V1C1*",IncState!U$4:U$7)*(1+Assumptions!$C$52))+(SUMIF(IncState!$A$4:$AO$7,"V2C1*",IncState!U$4:U$7)*(1+Assumptions!$C$53))+(SUMIF(IncState!$A$4:$AO$7,"V3C1*",IncState!U$4:U$7)*(1+Assumptions!$C$54))+(SUMIF(IncState!$A$4:$AO$7,"V4C1*",IncState!U$4:U$7)*(1+Assumptions!$C$55))</f>
        <v>536038</v>
      </c>
      <c r="W56" s="114">
        <f ca="1">(SUMIF(IncState!$A$4:$AO$7,"V1C1*",IncState!V$4:V$7)*(1+Assumptions!$C$52))+(SUMIF(IncState!$A$4:$AO$7,"V2C1*",IncState!V$4:V$7)*(1+Assumptions!$C$53))+(SUMIF(IncState!$A$4:$AO$7,"V3C1*",IncState!V$4:V$7)*(1+Assumptions!$C$54))+(SUMIF(IncState!$A$4:$AO$7,"V4C1*",IncState!V$4:V$7)*(1+Assumptions!$C$55))</f>
        <v>518074.99999999994</v>
      </c>
      <c r="X56" s="114">
        <f ca="1">(SUMIF(IncState!$A$4:$AO$7,"V1C1*",IncState!W$4:W$7)*(1+Assumptions!$C$52))+(SUMIF(IncState!$A$4:$AO$7,"V2C1*",IncState!W$4:W$7)*(1+Assumptions!$C$53))+(SUMIF(IncState!$A$4:$AO$7,"V3C1*",IncState!W$4:W$7)*(1+Assumptions!$C$54))+(SUMIF(IncState!$A$4:$AO$7,"V4C1*",IncState!W$4:W$7)*(1+Assumptions!$C$55))</f>
        <v>539235</v>
      </c>
      <c r="Y56" s="114">
        <f ca="1">(SUMIF(IncState!$A$4:$AO$7,"V1C1*",IncState!X$4:X$7)*(1+Assumptions!$C$52))+(SUMIF(IncState!$A$4:$AO$7,"V2C1*",IncState!X$4:X$7)*(1+Assumptions!$C$53))+(SUMIF(IncState!$A$4:$AO$7,"V3C1*",IncState!X$4:X$7)*(1+Assumptions!$C$54))+(SUMIF(IncState!$A$4:$AO$7,"V4C1*",IncState!X$4:X$7)*(1+Assumptions!$C$55))</f>
        <v>563615</v>
      </c>
      <c r="Z56" s="114">
        <f ca="1">(SUMIF(IncState!$A$4:$AO$7,"V1C1*",IncState!Y$4:Y$7)*(1+Assumptions!$C$52))+(SUMIF(IncState!$A$4:$AO$7,"V2C1*",IncState!Y$4:Y$7)*(1+Assumptions!$C$53))+(SUMIF(IncState!$A$4:$AO$7,"V3C1*",IncState!Y$4:Y$7)*(1+Assumptions!$C$54))+(SUMIF(IncState!$A$4:$AO$7,"V4C1*",IncState!Y$4:Y$7)*(1+Assumptions!$C$55))</f>
        <v>447924.99999999994</v>
      </c>
      <c r="AA56" s="114">
        <f ca="1">(SUMIF(IncState!$A$4:$AO$7,"V1C1*",IncState!Z$4:Z$7)*(1+Assumptions!$C$52))+(SUMIF(IncState!$A$4:$AO$7,"V2C1*",IncState!Z$4:Z$7)*(1+Assumptions!$C$53))+(SUMIF(IncState!$A$4:$AO$7,"V3C1*",IncState!Z$4:Z$7)*(1+Assumptions!$C$54))+(SUMIF(IncState!$A$4:$AO$7,"V4C1*",IncState!Z$4:Z$7)*(1+Assumptions!$C$55))</f>
        <v>573275</v>
      </c>
      <c r="AB56" s="114">
        <f ca="1">(SUMIF(IncState!$A$4:$AO$7,"V1C1*",IncState!AA$4:AA$7)*(1+Assumptions!$C$52))+(SUMIF(IncState!$A$4:$AO$7,"V2C1*",IncState!AA$4:AA$7)*(1+Assumptions!$C$53))+(SUMIF(IncState!$A$4:$AO$7,"V3C1*",IncState!AA$4:AA$7)*(1+Assumptions!$C$54))+(SUMIF(IncState!$A$4:$AO$7,"V4C1*",IncState!AA$4:AA$7)*(1+Assumptions!$C$55))</f>
        <v>546365</v>
      </c>
      <c r="AC56" s="115"/>
      <c r="AD56" s="114">
        <f ca="1">(SUMIF(IncState!$A$4:$AO$7,"V1C1*",IncState!AC$4:AC$7)*(1+Assumptions!$C$52))+(SUMIF(IncState!$A$4:$AO$7,"V2C1*",IncState!AC$4:AC$7)*(1+Assumptions!$C$53))+(SUMIF(IncState!$A$4:$AO$7,"V3C1*",IncState!AC$4:AC$7)*(1+Assumptions!$C$54))+(SUMIF(IncState!$A$4:$AO$7,"V4C1*",IncState!AC$4:AC$7)*(1+Assumptions!$C$55))</f>
        <v>555220</v>
      </c>
      <c r="AE56" s="114">
        <f ca="1">(SUMIF(IncState!$A$4:$AO$7,"V1C1*",IncState!AD$4:AD$7)*(1+Assumptions!$C$52))+(SUMIF(IncState!$A$4:$AO$7,"V2C1*",IncState!AD$4:AD$7)*(1+Assumptions!$C$53))+(SUMIF(IncState!$A$4:$AO$7,"V3C1*",IncState!AD$4:AD$7)*(1+Assumptions!$C$54))+(SUMIF(IncState!$A$4:$AO$7,"V4C1*",IncState!AD$4:AD$7)*(1+Assumptions!$C$55))</f>
        <v>581325</v>
      </c>
      <c r="AF56" s="114">
        <f ca="1">(SUMIF(IncState!$A$4:$AO$7,"V1C1*",IncState!AE$4:AE$7)*(1+Assumptions!$C$52))+(SUMIF(IncState!$A$4:$AO$7,"V2C1*",IncState!AE$4:AE$7)*(1+Assumptions!$C$53))+(SUMIF(IncState!$A$4:$AO$7,"V3C1*",IncState!AE$4:AE$7)*(1+Assumptions!$C$54))+(SUMIF(IncState!$A$4:$AO$7,"V4C1*",IncState!AE$4:AE$7)*(1+Assumptions!$C$55))</f>
        <v>579600</v>
      </c>
      <c r="AG56" s="114">
        <f ca="1">(SUMIF(IncState!$A$4:$AO$7,"V1C1*",IncState!AF$4:AF$7)*(1+Assumptions!$C$52))+(SUMIF(IncState!$A$4:$AO$7,"V2C1*",IncState!AF$4:AF$7)*(1+Assumptions!$C$53))+(SUMIF(IncState!$A$4:$AO$7,"V3C1*",IncState!AF$4:AF$7)*(1+Assumptions!$C$54))+(SUMIF(IncState!$A$4:$AO$7,"V4C1*",IncState!AF$4:AF$7)*(1+Assumptions!$C$55))</f>
        <v>591330</v>
      </c>
      <c r="AH56" s="114">
        <f ca="1">(SUMIF(IncState!$A$4:$AO$7,"V1C1*",IncState!AG$4:AG$7)*(1+Assumptions!$C$52))+(SUMIF(IncState!$A$4:$AO$7,"V2C1*",IncState!AG$4:AG$7)*(1+Assumptions!$C$53))+(SUMIF(IncState!$A$4:$AO$7,"V3C1*",IncState!AG$4:AG$7)*(1+Assumptions!$C$54))+(SUMIF(IncState!$A$4:$AO$7,"V4C1*",IncState!AG$4:AG$7)*(1+Assumptions!$C$55))</f>
        <v>594320</v>
      </c>
      <c r="AI56" s="114">
        <f ca="1">(SUMIF(IncState!$A$4:$AO$7,"V1C1*",IncState!AH$4:AH$7)*(1+Assumptions!$C$52))+(SUMIF(IncState!$A$4:$AO$7,"V2C1*",IncState!AH$4:AH$7)*(1+Assumptions!$C$53))+(SUMIF(IncState!$A$4:$AO$7,"V3C1*",IncState!AH$4:AH$7)*(1+Assumptions!$C$54))+(SUMIF(IncState!$A$4:$AO$7,"V4C1*",IncState!AH$4:AH$7)*(1+Assumptions!$C$55))</f>
        <v>606510</v>
      </c>
      <c r="AJ56" s="114">
        <f ca="1">(SUMIF(IncState!$A$4:$AO$7,"V1C1*",IncState!AI$4:AI$7)*(1+Assumptions!$C$52))+(SUMIF(IncState!$A$4:$AO$7,"V2C1*",IncState!AI$4:AI$7)*(1+Assumptions!$C$53))+(SUMIF(IncState!$A$4:$AO$7,"V3C1*",IncState!AI$4:AI$7)*(1+Assumptions!$C$54))+(SUMIF(IncState!$A$4:$AO$7,"V4C1*",IncState!AI$4:AI$7)*(1+Assumptions!$C$55))</f>
        <v>600760</v>
      </c>
      <c r="AK56" s="114">
        <f ca="1">(SUMIF(IncState!$A$4:$AO$7,"V1C1*",IncState!AJ$4:AJ$7)*(1+Assumptions!$C$52))+(SUMIF(IncState!$A$4:$AO$7,"V2C1*",IncState!AJ$4:AJ$7)*(1+Assumptions!$C$53))+(SUMIF(IncState!$A$4:$AO$7,"V3C1*",IncState!AJ$4:AJ$7)*(1+Assumptions!$C$54))+(SUMIF(IncState!$A$4:$AO$7,"V4C1*",IncState!AJ$4:AJ$7)*(1+Assumptions!$C$55))</f>
        <v>604440</v>
      </c>
      <c r="AL56" s="114">
        <f ca="1">(SUMIF(IncState!$A$4:$AO$7,"V1C1*",IncState!AK$4:AK$7)*(1+Assumptions!$C$52))+(SUMIF(IncState!$A$4:$AO$7,"V2C1*",IncState!AK$4:AK$7)*(1+Assumptions!$C$53))+(SUMIF(IncState!$A$4:$AO$7,"V3C1*",IncState!AK$4:AK$7)*(1+Assumptions!$C$54))+(SUMIF(IncState!$A$4:$AO$7,"V4C1*",IncState!AK$4:AK$7)*(1+Assumptions!$C$55))</f>
        <v>621598</v>
      </c>
      <c r="AM56" s="114">
        <f ca="1">(SUMIF(IncState!$A$4:$AO$7,"V1C1*",IncState!AL$4:AL$7)*(1+Assumptions!$C$52))+(SUMIF(IncState!$A$4:$AO$7,"V2C1*",IncState!AL$4:AL$7)*(1+Assumptions!$C$53))+(SUMIF(IncState!$A$4:$AO$7,"V3C1*",IncState!AL$4:AL$7)*(1+Assumptions!$C$54))+(SUMIF(IncState!$A$4:$AO$7,"V4C1*",IncState!AL$4:AL$7)*(1+Assumptions!$C$55))</f>
        <v>513359.99999999994</v>
      </c>
      <c r="AN56" s="114">
        <f ca="1">(SUMIF(IncState!$A$4:$AO$7,"V1C1*",IncState!AM$4:AM$7)*(1+Assumptions!$C$52))+(SUMIF(IncState!$A$4:$AO$7,"V2C1*",IncState!AM$4:AM$7)*(1+Assumptions!$C$53))+(SUMIF(IncState!$A$4:$AO$7,"V3C1*",IncState!AM$4:AM$7)*(1+Assumptions!$C$54))+(SUMIF(IncState!$A$4:$AO$7,"V4C1*",IncState!AM$4:AM$7)*(1+Assumptions!$C$55))</f>
        <v>619275</v>
      </c>
      <c r="AO56" s="114">
        <f ca="1">(SUMIF(IncState!$A$4:$AO$7,"V1C1*",IncState!AN$4:AN$7)*(1+Assumptions!$C$52))+(SUMIF(IncState!$A$4:$AO$7,"V2C1*",IncState!AN$4:AN$7)*(1+Assumptions!$C$53))+(SUMIF(IncState!$A$4:$AO$7,"V3C1*",IncState!AN$4:AN$7)*(1+Assumptions!$C$54))+(SUMIF(IncState!$A$4:$AO$7,"V4C1*",IncState!AN$4:AN$7)*(1+Assumptions!$C$55))</f>
        <v>597597.5</v>
      </c>
      <c r="AP56" s="115"/>
    </row>
    <row r="57" spans="1:42" s="15" customFormat="1" ht="16.149999999999999" customHeight="1" x14ac:dyDescent="0.25">
      <c r="A57" s="164"/>
      <c r="B57" s="6" t="s">
        <v>30</v>
      </c>
      <c r="C57" s="112">
        <f>Assumptions!$C$44</f>
        <v>20</v>
      </c>
      <c r="D57" s="112">
        <f>Assumptions!$C$44</f>
        <v>20</v>
      </c>
      <c r="E57" s="112">
        <f>Assumptions!$C$44</f>
        <v>20</v>
      </c>
      <c r="F57" s="112">
        <f>Assumptions!$C$44</f>
        <v>20</v>
      </c>
      <c r="G57" s="112">
        <f>Assumptions!$C$44</f>
        <v>20</v>
      </c>
      <c r="H57" s="112">
        <f>Assumptions!$C$44</f>
        <v>20</v>
      </c>
      <c r="I57" s="112">
        <f>Assumptions!$C$44</f>
        <v>20</v>
      </c>
      <c r="J57" s="112">
        <f>Assumptions!$C$44</f>
        <v>20</v>
      </c>
      <c r="K57" s="112">
        <f>Assumptions!$C$44</f>
        <v>20</v>
      </c>
      <c r="L57" s="112">
        <f>Assumptions!$C$44</f>
        <v>20</v>
      </c>
      <c r="M57" s="112">
        <f>Assumptions!$C$44</f>
        <v>20</v>
      </c>
      <c r="N57" s="112">
        <f>Assumptions!$C$44</f>
        <v>20</v>
      </c>
      <c r="O57" s="112">
        <f>Assumptions!$C$44</f>
        <v>20</v>
      </c>
      <c r="P57" s="113"/>
      <c r="Q57" s="112">
        <f>Assumptions!$C$44</f>
        <v>20</v>
      </c>
      <c r="R57" s="112">
        <f>Assumptions!$C$44</f>
        <v>20</v>
      </c>
      <c r="S57" s="112">
        <f>Assumptions!$C$44</f>
        <v>20</v>
      </c>
      <c r="T57" s="112">
        <f>Assumptions!$C$44</f>
        <v>20</v>
      </c>
      <c r="U57" s="112">
        <f>Assumptions!$C$44</f>
        <v>20</v>
      </c>
      <c r="V57" s="112">
        <f>Assumptions!$C$44</f>
        <v>20</v>
      </c>
      <c r="W57" s="112">
        <f>Assumptions!$C$44</f>
        <v>20</v>
      </c>
      <c r="X57" s="112">
        <f>Assumptions!$C$44</f>
        <v>20</v>
      </c>
      <c r="Y57" s="112">
        <f>Assumptions!$C$44</f>
        <v>20</v>
      </c>
      <c r="Z57" s="112">
        <f>Assumptions!$C$44</f>
        <v>20</v>
      </c>
      <c r="AA57" s="112">
        <f>Assumptions!$C$44</f>
        <v>20</v>
      </c>
      <c r="AB57" s="112">
        <f>Assumptions!$C$44</f>
        <v>20</v>
      </c>
      <c r="AC57" s="113"/>
      <c r="AD57" s="112">
        <f>Assumptions!$C$44</f>
        <v>20</v>
      </c>
      <c r="AE57" s="112">
        <f>Assumptions!$C$44</f>
        <v>20</v>
      </c>
      <c r="AF57" s="112">
        <f>Assumptions!$C$44</f>
        <v>20</v>
      </c>
      <c r="AG57" s="112">
        <f>Assumptions!$C$44</f>
        <v>20</v>
      </c>
      <c r="AH57" s="112">
        <f>Assumptions!$C$44</f>
        <v>20</v>
      </c>
      <c r="AI57" s="112">
        <f>Assumptions!$C$44</f>
        <v>20</v>
      </c>
      <c r="AJ57" s="112">
        <f>Assumptions!$C$44</f>
        <v>20</v>
      </c>
      <c r="AK57" s="112">
        <f>Assumptions!$C$44</f>
        <v>20</v>
      </c>
      <c r="AL57" s="112">
        <f>Assumptions!$C$44</f>
        <v>20</v>
      </c>
      <c r="AM57" s="112">
        <f>Assumptions!$C$44</f>
        <v>20</v>
      </c>
      <c r="AN57" s="112">
        <f>Assumptions!$C$44</f>
        <v>20</v>
      </c>
      <c r="AO57" s="112">
        <f>Assumptions!$C$44</f>
        <v>20</v>
      </c>
      <c r="AP57" s="113">
        <f>Assumptions!$C$44</f>
        <v>20</v>
      </c>
    </row>
    <row r="58" spans="1:42" s="15" customFormat="1" ht="16.149999999999999" customHeight="1" x14ac:dyDescent="0.25">
      <c r="A58" s="164"/>
      <c r="B58" s="6" t="s">
        <v>203</v>
      </c>
      <c r="C58" s="112"/>
      <c r="D58" s="114">
        <f ca="1">((SUMIF(IncState!$A$7:$AO$59,"*V1C1*",IncState!C$7:C$59)-SUMIF(CashFlow!$A$27:$AO$31,"*V1C1*",CashFlow!C$27:C$31))*(1+Assumptions!$C$52))+((SUMIF(IncState!$A$7:$AO$59,"*V2C1*",IncState!C$7:C$59)-SUMIF(CashFlow!$A$27:$AO$31,"*V2C1*",CashFlow!C$27:C$31))*(1+Assumptions!$C$53))+((SUMIF(IncState!$A$7:$AO$59,"*V3C1*",IncState!C$7:C$59)-SUMIF(CashFlow!$A$27:$AO$31,"*V3C1*",CashFlow!C$27:C$31))*(1+Assumptions!$C$54))+((SUMIF(IncState!$A$7:$AO$59,"*V4C1*",IncState!C$7:C$59)-SUMIF(CashFlow!$A$27:$AO$31,"*V4C1*",CashFlow!C$27:C$31))*(1+Assumptions!$C$55))</f>
        <v>225141.24999999997</v>
      </c>
      <c r="E58" s="114">
        <f ca="1">((SUMIF(IncState!$A$7:$AO$59,"*V1C1*",IncState!D$7:D$59)-SUMIF(CashFlow!$A$27:$AO$31,"*V1C1*",CashFlow!D$27:D$31))*(1+Assumptions!$C$52))+((SUMIF(IncState!$A$7:$AO$59,"*V2C1*",IncState!D$7:D$59)-SUMIF(CashFlow!$A$27:$AO$31,"*V2C1*",CashFlow!D$27:D$31))*(1+Assumptions!$C$53))+((SUMIF(IncState!$A$7:$AO$59,"*V3C1*",IncState!D$7:D$59)-SUMIF(CashFlow!$A$27:$AO$31,"*V3C1*",CashFlow!D$27:D$31))*(1+Assumptions!$C$54))+((SUMIF(IncState!$A$7:$AO$59,"*V4C1*",IncState!D$7:D$59)-SUMIF(CashFlow!$A$27:$AO$31,"*V4C1*",CashFlow!D$27:D$31))*(1+Assumptions!$C$55))</f>
        <v>239792.24999999997</v>
      </c>
      <c r="F58" s="114">
        <f ca="1">((SUMIF(IncState!$A$7:$AO$59,"*V1C1*",IncState!E$7:E$59)-SUMIF(CashFlow!$A$27:$AO$31,"*V1C1*",CashFlow!E$27:E$31))*(1+Assumptions!$C$52))+((SUMIF(IncState!$A$7:$AO$59,"*V2C1*",IncState!E$7:E$59)-SUMIF(CashFlow!$A$27:$AO$31,"*V2C1*",CashFlow!E$27:E$31))*(1+Assumptions!$C$53))+((SUMIF(IncState!$A$7:$AO$59,"*V3C1*",IncState!E$7:E$59)-SUMIF(CashFlow!$A$27:$AO$31,"*V3C1*",CashFlow!E$27:E$31))*(1+Assumptions!$C$54))+((SUMIF(IncState!$A$7:$AO$59,"*V4C1*",IncState!E$7:E$59)-SUMIF(CashFlow!$A$27:$AO$31,"*V4C1*",CashFlow!E$27:E$31))*(1+Assumptions!$C$55))</f>
        <v>247635.24999999997</v>
      </c>
      <c r="G58" s="114">
        <f ca="1">((SUMIF(IncState!$A$7:$AO$59,"*V1C1*",IncState!F$7:F$59)-SUMIF(CashFlow!$A$27:$AO$31,"*V1C1*",CashFlow!F$27:F$31))*(1+Assumptions!$C$52))+((SUMIF(IncState!$A$7:$AO$59,"*V2C1*",IncState!F$7:F$59)-SUMIF(CashFlow!$A$27:$AO$31,"*V2C1*",CashFlow!F$27:F$31))*(1+Assumptions!$C$53))+((SUMIF(IncState!$A$7:$AO$59,"*V3C1*",IncState!F$7:F$59)-SUMIF(CashFlow!$A$27:$AO$31,"*V3C1*",CashFlow!F$27:F$31))*(1+Assumptions!$C$54))+((SUMIF(IncState!$A$7:$AO$59,"*V4C1*",IncState!F$7:F$59)-SUMIF(CashFlow!$A$27:$AO$31,"*V4C1*",CashFlow!F$27:F$31))*(1+Assumptions!$C$55))</f>
        <v>329377.25</v>
      </c>
      <c r="H58" s="114">
        <f ca="1">((SUMIF(IncState!$A$7:$AO$59,"*V1C1*",IncState!G$7:G$59)-SUMIF(CashFlow!$A$27:$AO$31,"*V1C1*",CashFlow!G$27:G$31))*(1+Assumptions!$C$52))+((SUMIF(IncState!$A$7:$AO$59,"*V2C1*",IncState!G$7:G$59)-SUMIF(CashFlow!$A$27:$AO$31,"*V2C1*",CashFlow!G$27:G$31))*(1+Assumptions!$C$53))+((SUMIF(IncState!$A$7:$AO$59,"*V3C1*",IncState!G$7:G$59)-SUMIF(CashFlow!$A$27:$AO$31,"*V3C1*",CashFlow!G$27:G$31))*(1+Assumptions!$C$54))+((SUMIF(IncState!$A$7:$AO$59,"*V4C1*",IncState!G$7:G$59)-SUMIF(CashFlow!$A$27:$AO$31,"*V4C1*",CashFlow!G$27:G$31))*(1+Assumptions!$C$55))</f>
        <v>268415.75</v>
      </c>
      <c r="I58" s="114">
        <f ca="1">((SUMIF(IncState!$A$7:$AO$59,"*V1C1*",IncState!H$7:H$59)-SUMIF(CashFlow!$A$27:$AO$31,"*V1C1*",CashFlow!H$27:H$31))*(1+Assumptions!$C$52))+((SUMIF(IncState!$A$7:$AO$59,"*V2C1*",IncState!H$7:H$59)-SUMIF(CashFlow!$A$27:$AO$31,"*V2C1*",CashFlow!H$27:H$31))*(1+Assumptions!$C$53))+((SUMIF(IncState!$A$7:$AO$59,"*V3C1*",IncState!H$7:H$59)-SUMIF(CashFlow!$A$27:$AO$31,"*V3C1*",CashFlow!H$27:H$31))*(1+Assumptions!$C$54))+((SUMIF(IncState!$A$7:$AO$59,"*V4C1*",IncState!H$7:H$59)-SUMIF(CashFlow!$A$27:$AO$31,"*V4C1*",CashFlow!H$27:H$31))*(1+Assumptions!$C$55))</f>
        <v>266380.25</v>
      </c>
      <c r="J58" s="114">
        <f ca="1">((SUMIF(IncState!$A$7:$AO$59,"*V1C1*",IncState!I$7:I$59)-SUMIF(CashFlow!$A$27:$AO$31,"*V1C1*",CashFlow!I$27:I$31))*(1+Assumptions!$C$52))+((SUMIF(IncState!$A$7:$AO$59,"*V2C1*",IncState!I$7:I$59)-SUMIF(CashFlow!$A$27:$AO$31,"*V2C1*",CashFlow!I$27:I$31))*(1+Assumptions!$C$53))+((SUMIF(IncState!$A$7:$AO$59,"*V3C1*",IncState!I$7:I$59)-SUMIF(CashFlow!$A$27:$AO$31,"*V3C1*",CashFlow!I$27:I$31))*(1+Assumptions!$C$54))+((SUMIF(IncState!$A$7:$AO$59,"*V4C1*",IncState!I$7:I$59)-SUMIF(CashFlow!$A$27:$AO$31,"*V4C1*",CashFlow!I$27:I$31))*(1+Assumptions!$C$55))</f>
        <v>236836.74999999997</v>
      </c>
      <c r="K58" s="114">
        <f ca="1">((SUMIF(IncState!$A$7:$AO$59,"*V1C1*",IncState!J$7:J$59)-SUMIF(CashFlow!$A$27:$AO$31,"*V1C1*",CashFlow!J$27:J$31))*(1+Assumptions!$C$52))+((SUMIF(IncState!$A$7:$AO$59,"*V2C1*",IncState!J$7:J$59)-SUMIF(CashFlow!$A$27:$AO$31,"*V2C1*",CashFlow!J$27:J$31))*(1+Assumptions!$C$53))+((SUMIF(IncState!$A$7:$AO$59,"*V3C1*",IncState!J$7:J$59)-SUMIF(CashFlow!$A$27:$AO$31,"*V3C1*",CashFlow!J$27:J$31))*(1+Assumptions!$C$54))+((SUMIF(IncState!$A$7:$AO$59,"*V4C1*",IncState!J$7:J$59)-SUMIF(CashFlow!$A$27:$AO$31,"*V4C1*",CashFlow!J$27:J$31))*(1+Assumptions!$C$55))</f>
        <v>293359.25</v>
      </c>
      <c r="L58" s="114">
        <f ca="1">((SUMIF(IncState!$A$7:$AO$59,"*V1C1*",IncState!K$7:K$59)-SUMIF(CashFlow!$A$27:$AO$31,"*V1C1*",CashFlow!K$27:K$31))*(1+Assumptions!$C$52))+((SUMIF(IncState!$A$7:$AO$59,"*V2C1*",IncState!K$7:K$59)-SUMIF(CashFlow!$A$27:$AO$31,"*V2C1*",CashFlow!K$27:K$31))*(1+Assumptions!$C$53))+((SUMIF(IncState!$A$7:$AO$59,"*V3C1*",IncState!K$7:K$59)-SUMIF(CashFlow!$A$27:$AO$31,"*V3C1*",CashFlow!K$27:K$31))*(1+Assumptions!$C$54))+((SUMIF(IncState!$A$7:$AO$59,"*V4C1*",IncState!K$7:K$59)-SUMIF(CashFlow!$A$27:$AO$31,"*V4C1*",CashFlow!K$27:K$31))*(1+Assumptions!$C$55))</f>
        <v>289550.44999999995</v>
      </c>
      <c r="M58" s="114">
        <f ca="1">((SUMIF(IncState!$A$7:$AO$59,"*V1C1*",IncState!L$7:L$59)-SUMIF(CashFlow!$A$27:$AO$31,"*V1C1*",CashFlow!L$27:L$31))*(1+Assumptions!$C$52))+((SUMIF(IncState!$A$7:$AO$59,"*V2C1*",IncState!L$7:L$59)-SUMIF(CashFlow!$A$27:$AO$31,"*V2C1*",CashFlow!L$27:L$31))*(1+Assumptions!$C$53))+((SUMIF(IncState!$A$7:$AO$59,"*V3C1*",IncState!L$7:L$59)-SUMIF(CashFlow!$A$27:$AO$31,"*V3C1*",CashFlow!L$27:L$31))*(1+Assumptions!$C$54))+((SUMIF(IncState!$A$7:$AO$59,"*V4C1*",IncState!L$7:L$59)-SUMIF(CashFlow!$A$27:$AO$31,"*V4C1*",CashFlow!L$27:L$31))*(1+Assumptions!$C$55))</f>
        <v>209639.24999999997</v>
      </c>
      <c r="N58" s="114">
        <f ca="1">((SUMIF(IncState!$A$7:$AO$59,"*V1C1*",IncState!M$7:M$59)-SUMIF(CashFlow!$A$27:$AO$31,"*V1C1*",CashFlow!M$27:M$31))*(1+Assumptions!$C$52))+((SUMIF(IncState!$A$7:$AO$59,"*V2C1*",IncState!M$7:M$59)-SUMIF(CashFlow!$A$27:$AO$31,"*V2C1*",CashFlow!M$27:M$31))*(1+Assumptions!$C$53))+((SUMIF(IncState!$A$7:$AO$59,"*V3C1*",IncState!M$7:M$59)-SUMIF(CashFlow!$A$27:$AO$31,"*V3C1*",CashFlow!M$27:M$31))*(1+Assumptions!$C$54))+((SUMIF(IncState!$A$7:$AO$59,"*V4C1*",IncState!M$7:M$59)-SUMIF(CashFlow!$A$27:$AO$31,"*V4C1*",CashFlow!M$27:M$31))*(1+Assumptions!$C$55))</f>
        <v>254976.84999999998</v>
      </c>
      <c r="O58" s="114">
        <f ca="1">((SUMIF(IncState!$A$7:$AO$59,"*V1C1*",IncState!N$7:N$59)-SUMIF(CashFlow!$A$27:$AO$31,"*V1C1*",CashFlow!N$27:N$31))*(1+Assumptions!$C$52))+((SUMIF(IncState!$A$7:$AO$59,"*V2C1*",IncState!N$7:N$59)-SUMIF(CashFlow!$A$27:$AO$31,"*V2C1*",CashFlow!N$27:N$31))*(1+Assumptions!$C$53))+((SUMIF(IncState!$A$7:$AO$59,"*V3C1*",IncState!N$7:N$59)-SUMIF(CashFlow!$A$27:$AO$31,"*V3C1*",CashFlow!N$27:N$31))*(1+Assumptions!$C$54))+((SUMIF(IncState!$A$7:$AO$59,"*V4C1*",IncState!N$7:N$59)-SUMIF(CashFlow!$A$27:$AO$31,"*V4C1*",CashFlow!N$27:N$31))*(1+Assumptions!$C$55))</f>
        <v>236282.44999999998</v>
      </c>
      <c r="P58" s="113"/>
      <c r="Q58" s="114">
        <f ca="1">((SUMIF(IncState!$A$7:$AO$59,"*V1C1*",IncState!P$7:P$59)-SUMIF(CashFlow!$A$27:$AO$31,"*V1C1*",CashFlow!P$27:P$31))*(1+Assumptions!$C$52))+((SUMIF(IncState!$A$7:$AO$59,"*V2C1*",IncState!P$7:P$59)-SUMIF(CashFlow!$A$27:$AO$31,"*V2C1*",CashFlow!P$27:P$31))*(1+Assumptions!$C$53))+((SUMIF(IncState!$A$7:$AO$59,"*V3C1*",IncState!P$7:P$59)-SUMIF(CashFlow!$A$27:$AO$31,"*V3C1*",CashFlow!P$27:P$31))*(1+Assumptions!$C$54))+((SUMIF(IncState!$A$7:$AO$59,"*V4C1*",IncState!P$7:P$59)-SUMIF(CashFlow!$A$27:$AO$31,"*V4C1*",CashFlow!P$27:P$31))*(1+Assumptions!$C$55))</f>
        <v>252247.9</v>
      </c>
      <c r="R58" s="114">
        <f ca="1">((SUMIF(IncState!$A$7:$AO$59,"*V1C1*",IncState!Q$7:Q$59)-SUMIF(CashFlow!$A$27:$AO$31,"*V1C1*",CashFlow!Q$27:Q$31))*(1+Assumptions!$C$52))+((SUMIF(IncState!$A$7:$AO$59,"*V2C1*",IncState!Q$7:Q$59)-SUMIF(CashFlow!$A$27:$AO$31,"*V2C1*",CashFlow!Q$27:Q$31))*(1+Assumptions!$C$53))+((SUMIF(IncState!$A$7:$AO$59,"*V3C1*",IncState!Q$7:Q$59)-SUMIF(CashFlow!$A$27:$AO$31,"*V3C1*",CashFlow!Q$27:Q$31))*(1+Assumptions!$C$54))+((SUMIF(IncState!$A$7:$AO$59,"*V4C1*",IncState!Q$7:Q$59)-SUMIF(CashFlow!$A$27:$AO$31,"*V4C1*",CashFlow!Q$27:Q$31))*(1+Assumptions!$C$55))</f>
        <v>275135.19999999995</v>
      </c>
      <c r="S58" s="114">
        <f ca="1">((SUMIF(IncState!$A$7:$AO$59,"*V1C1*",IncState!R$7:R$59)-SUMIF(CashFlow!$A$27:$AO$31,"*V1C1*",CashFlow!R$27:R$31))*(1+Assumptions!$C$52))+((SUMIF(IncState!$A$7:$AO$59,"*V2C1*",IncState!R$7:R$59)-SUMIF(CashFlow!$A$27:$AO$31,"*V2C1*",CashFlow!R$27:R$31))*(1+Assumptions!$C$53))+((SUMIF(IncState!$A$7:$AO$59,"*V3C1*",IncState!R$7:R$59)-SUMIF(CashFlow!$A$27:$AO$31,"*V3C1*",CashFlow!R$27:R$31))*(1+Assumptions!$C$54))+((SUMIF(IncState!$A$7:$AO$59,"*V4C1*",IncState!R$7:R$59)-SUMIF(CashFlow!$A$27:$AO$31,"*V4C1*",CashFlow!R$27:R$31))*(1+Assumptions!$C$55))</f>
        <v>241207.9</v>
      </c>
      <c r="T58" s="114">
        <f ca="1">((SUMIF(IncState!$A$7:$AO$59,"*V1C1*",IncState!S$7:S$59)-SUMIF(CashFlow!$A$27:$AO$31,"*V1C1*",CashFlow!S$27:S$31))*(1+Assumptions!$C$52))+((SUMIF(IncState!$A$7:$AO$59,"*V2C1*",IncState!S$7:S$59)-SUMIF(CashFlow!$A$27:$AO$31,"*V2C1*",CashFlow!S$27:S$31))*(1+Assumptions!$C$53))+((SUMIF(IncState!$A$7:$AO$59,"*V3C1*",IncState!S$7:S$59)-SUMIF(CashFlow!$A$27:$AO$31,"*V3C1*",CashFlow!S$27:S$31))*(1+Assumptions!$C$54))+((SUMIF(IncState!$A$7:$AO$59,"*V4C1*",IncState!S$7:S$59)-SUMIF(CashFlow!$A$27:$AO$31,"*V4C1*",CashFlow!S$27:S$31))*(1+Assumptions!$C$55))</f>
        <v>256222.3</v>
      </c>
      <c r="U58" s="114">
        <f ca="1">((SUMIF(IncState!$A$7:$AO$59,"*V1C1*",IncState!T$7:T$59)-SUMIF(CashFlow!$A$27:$AO$31,"*V1C1*",CashFlow!T$27:T$31))*(1+Assumptions!$C$52))+((SUMIF(IncState!$A$7:$AO$59,"*V2C1*",IncState!T$7:T$59)-SUMIF(CashFlow!$A$27:$AO$31,"*V2C1*",CashFlow!T$27:T$31))*(1+Assumptions!$C$53))+((SUMIF(IncState!$A$7:$AO$59,"*V3C1*",IncState!T$7:T$59)-SUMIF(CashFlow!$A$27:$AO$31,"*V3C1*",CashFlow!T$27:T$31))*(1+Assumptions!$C$54))+((SUMIF(IncState!$A$7:$AO$59,"*V4C1*",IncState!T$7:T$59)-SUMIF(CashFlow!$A$27:$AO$31,"*V4C1*",CashFlow!T$27:T$31))*(1+Assumptions!$C$55))</f>
        <v>268002.89999999997</v>
      </c>
      <c r="V58" s="114">
        <f ca="1">((SUMIF(IncState!$A$7:$AO$59,"*V1C1*",IncState!U$7:U$59)-SUMIF(CashFlow!$A$27:$AO$31,"*V1C1*",CashFlow!U$27:U$31))*(1+Assumptions!$C$52))+((SUMIF(IncState!$A$7:$AO$59,"*V2C1*",IncState!U$7:U$59)-SUMIF(CashFlow!$A$27:$AO$31,"*V2C1*",CashFlow!U$27:U$31))*(1+Assumptions!$C$53))+((SUMIF(IncState!$A$7:$AO$59,"*V3C1*",IncState!U$7:U$59)-SUMIF(CashFlow!$A$27:$AO$31,"*V3C1*",CashFlow!U$27:U$31))*(1+Assumptions!$C$54))+((SUMIF(IncState!$A$7:$AO$59,"*V4C1*",IncState!U$7:U$59)-SUMIF(CashFlow!$A$27:$AO$31,"*V4C1*",CashFlow!U$27:U$31))*(1+Assumptions!$C$55))</f>
        <v>291274.3</v>
      </c>
      <c r="W58" s="114">
        <f ca="1">((SUMIF(IncState!$A$7:$AO$59,"*V1C1*",IncState!V$7:V$59)-SUMIF(CashFlow!$A$27:$AO$31,"*V1C1*",CashFlow!V$27:V$31))*(1+Assumptions!$C$52))+((SUMIF(IncState!$A$7:$AO$59,"*V2C1*",IncState!V$7:V$59)-SUMIF(CashFlow!$A$27:$AO$31,"*V2C1*",CashFlow!V$27:V$31))*(1+Assumptions!$C$53))+((SUMIF(IncState!$A$7:$AO$59,"*V3C1*",IncState!V$7:V$59)-SUMIF(CashFlow!$A$27:$AO$31,"*V3C1*",CashFlow!V$27:V$31))*(1+Assumptions!$C$54))+((SUMIF(IncState!$A$7:$AO$59,"*V4C1*",IncState!V$7:V$59)-SUMIF(CashFlow!$A$27:$AO$31,"*V4C1*",CashFlow!V$27:V$31))*(1+Assumptions!$C$55))</f>
        <v>230508.3</v>
      </c>
      <c r="X58" s="114">
        <f ca="1">((SUMIF(IncState!$A$7:$AO$59,"*V1C1*",IncState!W$7:W$59)-SUMIF(CashFlow!$A$27:$AO$31,"*V1C1*",CashFlow!W$27:W$31))*(1+Assumptions!$C$52))+((SUMIF(IncState!$A$7:$AO$59,"*V2C1*",IncState!W$7:W$59)-SUMIF(CashFlow!$A$27:$AO$31,"*V2C1*",CashFlow!W$27:W$31))*(1+Assumptions!$C$53))+((SUMIF(IncState!$A$7:$AO$59,"*V3C1*",IncState!W$7:W$59)-SUMIF(CashFlow!$A$27:$AO$31,"*V3C1*",CashFlow!W$27:W$31))*(1+Assumptions!$C$54))+((SUMIF(IncState!$A$7:$AO$59,"*V4C1*",IncState!W$7:W$59)-SUMIF(CashFlow!$A$27:$AO$31,"*V4C1*",CashFlow!W$27:W$31))*(1+Assumptions!$C$55))</f>
        <v>243983.99999999997</v>
      </c>
      <c r="Y58" s="114">
        <f ca="1">((SUMIF(IncState!$A$7:$AO$59,"*V1C1*",IncState!X$7:X$59)-SUMIF(CashFlow!$A$27:$AO$31,"*V1C1*",CashFlow!X$27:X$31))*(1+Assumptions!$C$52))+((SUMIF(IncState!$A$7:$AO$59,"*V2C1*",IncState!X$7:X$59)-SUMIF(CashFlow!$A$27:$AO$31,"*V2C1*",CashFlow!X$27:X$31))*(1+Assumptions!$C$53))+((SUMIF(IncState!$A$7:$AO$59,"*V3C1*",IncState!X$7:X$59)-SUMIF(CashFlow!$A$27:$AO$31,"*V3C1*",CashFlow!X$27:X$31))*(1+Assumptions!$C$54))+((SUMIF(IncState!$A$7:$AO$59,"*V4C1*",IncState!X$7:X$59)-SUMIF(CashFlow!$A$27:$AO$31,"*V4C1*",CashFlow!X$27:X$31))*(1+Assumptions!$C$55))</f>
        <v>269111.5</v>
      </c>
      <c r="Z58" s="114">
        <f ca="1">((SUMIF(IncState!$A$7:$AO$59,"*V1C1*",IncState!Y$7:Y$59)-SUMIF(CashFlow!$A$27:$AO$31,"*V1C1*",CashFlow!Y$27:Y$31))*(1+Assumptions!$C$52))+((SUMIF(IncState!$A$7:$AO$59,"*V2C1*",IncState!Y$7:Y$59)-SUMIF(CashFlow!$A$27:$AO$31,"*V2C1*",CashFlow!Y$27:Y$31))*(1+Assumptions!$C$53))+((SUMIF(IncState!$A$7:$AO$59,"*V3C1*",IncState!Y$7:Y$59)-SUMIF(CashFlow!$A$27:$AO$31,"*V3C1*",CashFlow!Y$27:Y$31))*(1+Assumptions!$C$54))+((SUMIF(IncState!$A$7:$AO$59,"*V4C1*",IncState!Y$7:Y$59)-SUMIF(CashFlow!$A$27:$AO$31,"*V4C1*",CashFlow!Y$27:Y$31))*(1+Assumptions!$C$55))</f>
        <v>261199.49999999997</v>
      </c>
      <c r="AA58" s="114">
        <f ca="1">((SUMIF(IncState!$A$7:$AO$59,"*V1C1*",IncState!Z$7:Z$59)-SUMIF(CashFlow!$A$27:$AO$31,"*V1C1*",CashFlow!Z$27:Z$31))*(1+Assumptions!$C$52))+((SUMIF(IncState!$A$7:$AO$59,"*V2C1*",IncState!Z$7:Z$59)-SUMIF(CashFlow!$A$27:$AO$31,"*V2C1*",CashFlow!Z$27:Z$31))*(1+Assumptions!$C$53))+((SUMIF(IncState!$A$7:$AO$59,"*V3C1*",IncState!Z$7:Z$59)-SUMIF(CashFlow!$A$27:$AO$31,"*V3C1*",CashFlow!Z$27:Z$31))*(1+Assumptions!$C$54))+((SUMIF(IncState!$A$7:$AO$59,"*V4C1*",IncState!Z$7:Z$59)-SUMIF(CashFlow!$A$27:$AO$31,"*V4C1*",CashFlow!Z$27:Z$31))*(1+Assumptions!$C$55))</f>
        <v>300685.89999999997</v>
      </c>
      <c r="AB58" s="114">
        <f ca="1">((SUMIF(IncState!$A$7:$AO$59,"*V1C1*",IncState!AA$7:AA$59)-SUMIF(CashFlow!$A$27:$AO$31,"*V1C1*",CashFlow!AA$27:AA$31))*(1+Assumptions!$C$52))+((SUMIF(IncState!$A$7:$AO$59,"*V2C1*",IncState!AA$7:AA$59)-SUMIF(CashFlow!$A$27:$AO$31,"*V2C1*",CashFlow!AA$27:AA$31))*(1+Assumptions!$C$53))+((SUMIF(IncState!$A$7:$AO$59,"*V3C1*",IncState!AA$7:AA$59)-SUMIF(CashFlow!$A$27:$AO$31,"*V3C1*",CashFlow!AA$27:AA$31))*(1+Assumptions!$C$54))+((SUMIF(IncState!$A$7:$AO$59,"*V4C1*",IncState!AA$7:AA$59)-SUMIF(CashFlow!$A$27:$AO$31,"*V4C1*",CashFlow!AA$27:AA$31))*(1+Assumptions!$C$55))</f>
        <v>252468.69999999998</v>
      </c>
      <c r="AC58" s="113"/>
      <c r="AD58" s="114">
        <f ca="1">((SUMIF(IncState!$A$7:$AO$59,"*V1C1*",IncState!AC$7:AC$59)-SUMIF(CashFlow!$A$27:$AO$31,"*V1C1*",CashFlow!AC$27:AC$31))*(1+Assumptions!$C$52))+((SUMIF(IncState!$A$7:$AO$59,"*V2C1*",IncState!AC$7:AC$59)-SUMIF(CashFlow!$A$27:$AO$31,"*V2C1*",CashFlow!AC$27:AC$31))*(1+Assumptions!$C$53))+((SUMIF(IncState!$A$7:$AO$59,"*V3C1*",IncState!AC$7:AC$59)-SUMIF(CashFlow!$A$27:$AO$31,"*V3C1*",CashFlow!AC$27:AC$31))*(1+Assumptions!$C$54))+((SUMIF(IncState!$A$7:$AO$59,"*V4C1*",IncState!AC$7:AC$59)-SUMIF(CashFlow!$A$27:$AO$31,"*V4C1*",CashFlow!AC$27:AC$31))*(1+Assumptions!$C$55))</f>
        <v>250103.15</v>
      </c>
      <c r="AE58" s="114">
        <f ca="1">((SUMIF(IncState!$A$7:$AO$59,"*V1C1*",IncState!AD$7:AD$59)-SUMIF(CashFlow!$A$27:$AO$31,"*V1C1*",CashFlow!AD$27:AD$31))*(1+Assumptions!$C$52))+((SUMIF(IncState!$A$7:$AO$59,"*V2C1*",IncState!AD$7:AD$59)-SUMIF(CashFlow!$A$27:$AO$31,"*V2C1*",CashFlow!AD$27:AD$31))*(1+Assumptions!$C$53))+((SUMIF(IncState!$A$7:$AO$59,"*V3C1*",IncState!AD$7:AD$59)-SUMIF(CashFlow!$A$27:$AO$31,"*V3C1*",CashFlow!AD$27:AD$31))*(1+Assumptions!$C$54))+((SUMIF(IncState!$A$7:$AO$59,"*V4C1*",IncState!AD$7:AD$59)-SUMIF(CashFlow!$A$27:$AO$31,"*V4C1*",CashFlow!AD$27:AD$31))*(1+Assumptions!$C$55))</f>
        <v>321449.14999999997</v>
      </c>
      <c r="AF58" s="114">
        <f ca="1">((SUMIF(IncState!$A$7:$AO$59,"*V1C1*",IncState!AE$7:AE$59)-SUMIF(CashFlow!$A$27:$AO$31,"*V1C1*",CashFlow!AE$27:AE$31))*(1+Assumptions!$C$52))+((SUMIF(IncState!$A$7:$AO$59,"*V2C1*",IncState!AE$7:AE$59)-SUMIF(CashFlow!$A$27:$AO$31,"*V2C1*",CashFlow!AE$27:AE$31))*(1+Assumptions!$C$53))+((SUMIF(IncState!$A$7:$AO$59,"*V3C1*",IncState!AE$7:AE$59)-SUMIF(CashFlow!$A$27:$AO$31,"*V3C1*",CashFlow!AE$27:AE$31))*(1+Assumptions!$C$54))+((SUMIF(IncState!$A$7:$AO$59,"*V4C1*",IncState!AE$7:AE$59)-SUMIF(CashFlow!$A$27:$AO$31,"*V4C1*",CashFlow!AE$27:AE$31))*(1+Assumptions!$C$55))</f>
        <v>268135.14999999997</v>
      </c>
      <c r="AG58" s="114">
        <f ca="1">((SUMIF(IncState!$A$7:$AO$59,"*V1C1*",IncState!AF$7:AF$59)-SUMIF(CashFlow!$A$27:$AO$31,"*V1C1*",CashFlow!AF$27:AF$31))*(1+Assumptions!$C$52))+((SUMIF(IncState!$A$7:$AO$59,"*V2C1*",IncState!AF$7:AF$59)-SUMIF(CashFlow!$A$27:$AO$31,"*V2C1*",CashFlow!AF$27:AF$31))*(1+Assumptions!$C$53))+((SUMIF(IncState!$A$7:$AO$59,"*V3C1*",IncState!AF$7:AF$59)-SUMIF(CashFlow!$A$27:$AO$31,"*V3C1*",CashFlow!AF$27:AF$31))*(1+Assumptions!$C$54))+((SUMIF(IncState!$A$7:$AO$59,"*V4C1*",IncState!AF$7:AF$59)-SUMIF(CashFlow!$A$27:$AO$31,"*V4C1*",CashFlow!AF$27:AF$31))*(1+Assumptions!$C$55))</f>
        <v>296390.64999999997</v>
      </c>
      <c r="AH58" s="114">
        <f ca="1">((SUMIF(IncState!$A$7:$AO$59,"*V1C1*",IncState!AG$7:AG$59)-SUMIF(CashFlow!$A$27:$AO$31,"*V1C1*",CashFlow!AG$27:AG$31))*(1+Assumptions!$C$52))+((SUMIF(IncState!$A$7:$AO$59,"*V2C1*",IncState!AG$7:AG$59)-SUMIF(CashFlow!$A$27:$AO$31,"*V2C1*",CashFlow!AG$27:AG$31))*(1+Assumptions!$C$53))+((SUMIF(IncState!$A$7:$AO$59,"*V3C1*",IncState!AG$7:AG$59)-SUMIF(CashFlow!$A$27:$AO$31,"*V3C1*",CashFlow!AG$27:AG$31))*(1+Assumptions!$C$54))+((SUMIF(IncState!$A$7:$AO$59,"*V4C1*",IncState!AG$7:AG$59)-SUMIF(CashFlow!$A$27:$AO$31,"*V4C1*",CashFlow!AG$27:AG$31))*(1+Assumptions!$C$55))</f>
        <v>369220.14999999997</v>
      </c>
      <c r="AI58" s="114">
        <f ca="1">((SUMIF(IncState!$A$7:$AO$59,"*V1C1*",IncState!AH$7:AH$59)-SUMIF(CashFlow!$A$27:$AO$31,"*V1C1*",CashFlow!AH$27:AH$31))*(1+Assumptions!$C$52))+((SUMIF(IncState!$A$7:$AO$59,"*V2C1*",IncState!AH$7:AH$59)-SUMIF(CashFlow!$A$27:$AO$31,"*V2C1*",CashFlow!AH$27:AH$31))*(1+Assumptions!$C$53))+((SUMIF(IncState!$A$7:$AO$59,"*V3C1*",IncState!AH$7:AH$59)-SUMIF(CashFlow!$A$27:$AO$31,"*V3C1*",CashFlow!AH$27:AH$31))*(1+Assumptions!$C$54))+((SUMIF(IncState!$A$7:$AO$59,"*V4C1*",IncState!AH$7:AH$59)-SUMIF(CashFlow!$A$27:$AO$31,"*V4C1*",CashFlow!AH$27:AH$31))*(1+Assumptions!$C$55))</f>
        <v>280808.14999999997</v>
      </c>
      <c r="AJ58" s="114">
        <f ca="1">((SUMIF(IncState!$A$7:$AO$59,"*V1C1*",IncState!AI$7:AI$59)-SUMIF(CashFlow!$A$27:$AO$31,"*V1C1*",CashFlow!AI$27:AI$31))*(1+Assumptions!$C$52))+((SUMIF(IncState!$A$7:$AO$59,"*V2C1*",IncState!AI$7:AI$59)-SUMIF(CashFlow!$A$27:$AO$31,"*V2C1*",CashFlow!AI$27:AI$31))*(1+Assumptions!$C$53))+((SUMIF(IncState!$A$7:$AO$59,"*V3C1*",IncState!AI$7:AI$59)-SUMIF(CashFlow!$A$27:$AO$31,"*V3C1*",CashFlow!AI$27:AI$31))*(1+Assumptions!$C$54))+((SUMIF(IncState!$A$7:$AO$59,"*V4C1*",IncState!AI$7:AI$59)-SUMIF(CashFlow!$A$27:$AO$31,"*V4C1*",CashFlow!AI$27:AI$31))*(1+Assumptions!$C$55))</f>
        <v>279980.14999999997</v>
      </c>
      <c r="AK58" s="114">
        <f ca="1">((SUMIF(IncState!$A$7:$AO$59,"*V1C1*",IncState!AJ$7:AJ$59)-SUMIF(CashFlow!$A$27:$AO$31,"*V1C1*",CashFlow!AJ$27:AJ$31))*(1+Assumptions!$C$52))+((SUMIF(IncState!$A$7:$AO$59,"*V2C1*",IncState!AJ$7:AJ$59)-SUMIF(CashFlow!$A$27:$AO$31,"*V2C1*",CashFlow!AJ$27:AJ$31))*(1+Assumptions!$C$53))+((SUMIF(IncState!$A$7:$AO$59,"*V3C1*",IncState!AJ$7:AJ$59)-SUMIF(CashFlow!$A$27:$AO$31,"*V3C1*",CashFlow!AJ$27:AJ$31))*(1+Assumptions!$C$54))+((SUMIF(IncState!$A$7:$AO$59,"*V4C1*",IncState!AJ$7:AJ$59)-SUMIF(CashFlow!$A$27:$AO$31,"*V4C1*",CashFlow!AJ$27:AJ$31))*(1+Assumptions!$C$55))</f>
        <v>276461.14999999997</v>
      </c>
      <c r="AL58" s="114">
        <f ca="1">((SUMIF(IncState!$A$7:$AO$59,"*V1C1*",IncState!AK$7:AK$59)-SUMIF(CashFlow!$A$27:$AO$31,"*V1C1*",CashFlow!AK$27:AK$31))*(1+Assumptions!$C$52))+((SUMIF(IncState!$A$7:$AO$59,"*V2C1*",IncState!AK$7:AK$59)-SUMIF(CashFlow!$A$27:$AO$31,"*V2C1*",CashFlow!AK$27:AK$31))*(1+Assumptions!$C$53))+((SUMIF(IncState!$A$7:$AO$59,"*V3C1*",IncState!AK$7:AK$59)-SUMIF(CashFlow!$A$27:$AO$31,"*V3C1*",CashFlow!AK$27:AK$31))*(1+Assumptions!$C$54))+((SUMIF(IncState!$A$7:$AO$59,"*V4C1*",IncState!AK$7:AK$59)-SUMIF(CashFlow!$A$27:$AO$31,"*V4C1*",CashFlow!AK$27:AK$31))*(1+Assumptions!$C$55))</f>
        <v>317999.14999999997</v>
      </c>
      <c r="AM58" s="114">
        <f ca="1">((SUMIF(IncState!$A$7:$AO$59,"*V1C1*",IncState!AL$7:AL$59)-SUMIF(CashFlow!$A$27:$AO$31,"*V1C1*",CashFlow!AL$27:AL$31))*(1+Assumptions!$C$52))+((SUMIF(IncState!$A$7:$AO$59,"*V2C1*",IncState!AL$7:AL$59)-SUMIF(CashFlow!$A$27:$AO$31,"*V2C1*",CashFlow!AL$27:AL$31))*(1+Assumptions!$C$53))+((SUMIF(IncState!$A$7:$AO$59,"*V3C1*",IncState!AL$7:AL$59)-SUMIF(CashFlow!$A$27:$AO$31,"*V3C1*",CashFlow!AL$27:AL$31))*(1+Assumptions!$C$54))+((SUMIF(IncState!$A$7:$AO$59,"*V4C1*",IncState!AL$7:AL$59)-SUMIF(CashFlow!$A$27:$AO$31,"*V4C1*",CashFlow!AL$27:AL$31))*(1+Assumptions!$C$55))</f>
        <v>242559.15</v>
      </c>
      <c r="AN58" s="114">
        <f ca="1">((SUMIF(IncState!$A$7:$AO$59,"*V1C1*",IncState!AM$7:AM$59)-SUMIF(CashFlow!$A$27:$AO$31,"*V1C1*",CashFlow!AM$27:AM$31))*(1+Assumptions!$C$52))+((SUMIF(IncState!$A$7:$AO$59,"*V2C1*",IncState!AM$7:AM$59)-SUMIF(CashFlow!$A$27:$AO$31,"*V2C1*",CashFlow!AM$27:AM$31))*(1+Assumptions!$C$53))+((SUMIF(IncState!$A$7:$AO$59,"*V3C1*",IncState!AM$7:AM$59)-SUMIF(CashFlow!$A$27:$AO$31,"*V3C1*",CashFlow!AM$27:AM$31))*(1+Assumptions!$C$54))+((SUMIF(IncState!$A$7:$AO$59,"*V4C1*",IncState!AM$7:AM$59)-SUMIF(CashFlow!$A$27:$AO$31,"*V4C1*",CashFlow!AM$27:AM$31))*(1+Assumptions!$C$55))</f>
        <v>297828.14999999997</v>
      </c>
      <c r="AO58" s="114">
        <f ca="1">((SUMIF(IncState!$A$7:$AO$59,"*V1C1*",IncState!AN$7:AN$59)-SUMIF(CashFlow!$A$27:$AO$31,"*V1C1*",CashFlow!AN$27:AN$31))*(1+Assumptions!$C$52))+((SUMIF(IncState!$A$7:$AO$59,"*V2C1*",IncState!AN$7:AN$59)-SUMIF(CashFlow!$A$27:$AO$31,"*V2C1*",CashFlow!AN$27:AN$31))*(1+Assumptions!$C$53))+((SUMIF(IncState!$A$7:$AO$59,"*V3C1*",IncState!AN$7:AN$59)-SUMIF(CashFlow!$A$27:$AO$31,"*V3C1*",CashFlow!AN$27:AN$31))*(1+Assumptions!$C$54))+((SUMIF(IncState!$A$7:$AO$59,"*V4C1*",IncState!AN$7:AN$59)-SUMIF(CashFlow!$A$27:$AO$31,"*V4C1*",CashFlow!AN$27:AN$31))*(1+Assumptions!$C$55))</f>
        <v>287685.14999999997</v>
      </c>
      <c r="AP58" s="113"/>
    </row>
    <row r="59" spans="1:42" s="15" customFormat="1" ht="16.149999999999999" customHeight="1" x14ac:dyDescent="0.25">
      <c r="A59" s="164"/>
      <c r="B59" s="6" t="s">
        <v>194</v>
      </c>
      <c r="C59" s="112"/>
      <c r="D59" s="112"/>
      <c r="E59" s="112"/>
      <c r="F59" s="112"/>
      <c r="G59" s="112"/>
      <c r="H59" s="112"/>
      <c r="I59" s="112"/>
      <c r="J59" s="112"/>
      <c r="K59" s="112"/>
      <c r="L59" s="112"/>
      <c r="M59" s="112"/>
      <c r="N59" s="112"/>
      <c r="O59" s="112"/>
      <c r="P59" s="113"/>
      <c r="Q59" s="112"/>
      <c r="R59" s="112"/>
      <c r="S59" s="112"/>
      <c r="T59" s="112"/>
      <c r="U59" s="112"/>
      <c r="V59" s="112"/>
      <c r="W59" s="112"/>
      <c r="X59" s="112"/>
      <c r="Y59" s="112"/>
      <c r="Z59" s="112"/>
      <c r="AA59" s="112"/>
      <c r="AB59" s="112"/>
      <c r="AC59" s="113"/>
      <c r="AD59" s="112"/>
      <c r="AE59" s="112"/>
      <c r="AF59" s="112"/>
      <c r="AG59" s="112"/>
      <c r="AH59" s="112"/>
      <c r="AI59" s="112"/>
      <c r="AJ59" s="112"/>
      <c r="AK59" s="112"/>
      <c r="AL59" s="112"/>
      <c r="AM59" s="112"/>
      <c r="AN59" s="112"/>
      <c r="AO59" s="112"/>
      <c r="AP59" s="113"/>
    </row>
    <row r="60" spans="1:42" s="15" customFormat="1" ht="16.149999999999999" customHeight="1" x14ac:dyDescent="0.25">
      <c r="A60" s="164"/>
      <c r="B60" s="6" t="s">
        <v>195</v>
      </c>
      <c r="C60" s="116" t="str">
        <f ca="1">IF(OR(MONTH(C$4)=Assumptions!$C$57,((MONTH(C$4)-Assumptions!$C$57)/MAX(Assumptions!$C$56,1))-ROUND((MONTH(C$4)-Assumptions!$C$57)/MAX(Assumptions!$C$56,1),0)=0),"Yes","No")</f>
        <v>No</v>
      </c>
      <c r="D60" s="116" t="str">
        <f ca="1">IF(OR(MONTH(D$4)=Assumptions!$C$57,((MONTH(D$4)-Assumptions!$C$57)/MAX(Assumptions!$C$56,1))-ROUND((MONTH(D$4)-Assumptions!$C$57)/MAX(Assumptions!$C$56,1),0)=0),"Yes","No")</f>
        <v>Yes</v>
      </c>
      <c r="E60" s="116" t="str">
        <f ca="1">IF(OR(MONTH(E$4)=Assumptions!$C$57,((MONTH(E$4)-Assumptions!$C$57)/MAX(Assumptions!$C$56,1))-ROUND((MONTH(E$4)-Assumptions!$C$57)/MAX(Assumptions!$C$56,1),0)=0),"Yes","No")</f>
        <v>No</v>
      </c>
      <c r="F60" s="116" t="str">
        <f ca="1">IF(OR(MONTH(F$4)=Assumptions!$C$57,((MONTH(F$4)-Assumptions!$C$57)/MAX(Assumptions!$C$56,1))-ROUND((MONTH(F$4)-Assumptions!$C$57)/MAX(Assumptions!$C$56,1),0)=0),"Yes","No")</f>
        <v>Yes</v>
      </c>
      <c r="G60" s="116" t="str">
        <f ca="1">IF(OR(MONTH(G$4)=Assumptions!$C$57,((MONTH(G$4)-Assumptions!$C$57)/MAX(Assumptions!$C$56,1))-ROUND((MONTH(G$4)-Assumptions!$C$57)/MAX(Assumptions!$C$56,1),0)=0),"Yes","No")</f>
        <v>No</v>
      </c>
      <c r="H60" s="116" t="str">
        <f ca="1">IF(OR(MONTH(H$4)=Assumptions!$C$57,((MONTH(H$4)-Assumptions!$C$57)/MAX(Assumptions!$C$56,1))-ROUND((MONTH(H$4)-Assumptions!$C$57)/MAX(Assumptions!$C$56,1),0)=0),"Yes","No")</f>
        <v>Yes</v>
      </c>
      <c r="I60" s="116" t="str">
        <f ca="1">IF(OR(MONTH(I$4)=Assumptions!$C$57,((MONTH(I$4)-Assumptions!$C$57)/MAX(Assumptions!$C$56,1))-ROUND((MONTH(I$4)-Assumptions!$C$57)/MAX(Assumptions!$C$56,1),0)=0),"Yes","No")</f>
        <v>No</v>
      </c>
      <c r="J60" s="116" t="str">
        <f ca="1">IF(OR(MONTH(J$4)=Assumptions!$C$57,((MONTH(J$4)-Assumptions!$C$57)/MAX(Assumptions!$C$56,1))-ROUND((MONTH(J$4)-Assumptions!$C$57)/MAX(Assumptions!$C$56,1),0)=0),"Yes","No")</f>
        <v>Yes</v>
      </c>
      <c r="K60" s="116" t="str">
        <f ca="1">IF(OR(MONTH(K$4)=Assumptions!$C$57,((MONTH(K$4)-Assumptions!$C$57)/MAX(Assumptions!$C$56,1))-ROUND((MONTH(K$4)-Assumptions!$C$57)/MAX(Assumptions!$C$56,1),0)=0),"Yes","No")</f>
        <v>No</v>
      </c>
      <c r="L60" s="116" t="str">
        <f ca="1">IF(OR(MONTH(L$4)=Assumptions!$C$57,((MONTH(L$4)-Assumptions!$C$57)/MAX(Assumptions!$C$56,1))-ROUND((MONTH(L$4)-Assumptions!$C$57)/MAX(Assumptions!$C$56,1),0)=0),"Yes","No")</f>
        <v>Yes</v>
      </c>
      <c r="M60" s="116" t="str">
        <f ca="1">IF(OR(MONTH(M$4)=Assumptions!$C$57,((MONTH(M$4)-Assumptions!$C$57)/MAX(Assumptions!$C$56,1))-ROUND((MONTH(M$4)-Assumptions!$C$57)/MAX(Assumptions!$C$56,1),0)=0),"Yes","No")</f>
        <v>No</v>
      </c>
      <c r="N60" s="116" t="str">
        <f ca="1">IF(OR(MONTH(N$4)=Assumptions!$C$57,((MONTH(N$4)-Assumptions!$C$57)/MAX(Assumptions!$C$56,1))-ROUND((MONTH(N$4)-Assumptions!$C$57)/MAX(Assumptions!$C$56,1),0)=0),"Yes","No")</f>
        <v>Yes</v>
      </c>
      <c r="O60" s="116" t="str">
        <f ca="1">IF(OR(MONTH(O$4)=Assumptions!$C$57,((MONTH(O$4)-Assumptions!$C$57)/MAX(Assumptions!$C$56,1))-ROUND((MONTH(O$4)-Assumptions!$C$57)/MAX(Assumptions!$C$56,1),0)=0),"Yes","No")</f>
        <v>No</v>
      </c>
      <c r="P60" s="117"/>
      <c r="Q60" s="116" t="str">
        <f ca="1">IF(OR(MONTH(Q$4)=Assumptions!$C$57,((MONTH(Q$4)-Assumptions!$C$57)/MAX(Assumptions!$C$56,1))-ROUND((MONTH(Q$4)-Assumptions!$C$57)/MAX(Assumptions!$C$56,1),0)=0),"Yes","No")</f>
        <v>Yes</v>
      </c>
      <c r="R60" s="116" t="str">
        <f ca="1">IF(OR(MONTH(R$4)=Assumptions!$C$57,((MONTH(R$4)-Assumptions!$C$57)/MAX(Assumptions!$C$56,1))-ROUND((MONTH(R$4)-Assumptions!$C$57)/MAX(Assumptions!$C$56,1),0)=0),"Yes","No")</f>
        <v>No</v>
      </c>
      <c r="S60" s="116" t="str">
        <f ca="1">IF(OR(MONTH(S$4)=Assumptions!$C$57,((MONTH(S$4)-Assumptions!$C$57)/MAX(Assumptions!$C$56,1))-ROUND((MONTH(S$4)-Assumptions!$C$57)/MAX(Assumptions!$C$56,1),0)=0),"Yes","No")</f>
        <v>Yes</v>
      </c>
      <c r="T60" s="116" t="str">
        <f ca="1">IF(OR(MONTH(T$4)=Assumptions!$C$57,((MONTH(T$4)-Assumptions!$C$57)/MAX(Assumptions!$C$56,1))-ROUND((MONTH(T$4)-Assumptions!$C$57)/MAX(Assumptions!$C$56,1),0)=0),"Yes","No")</f>
        <v>No</v>
      </c>
      <c r="U60" s="116" t="str">
        <f ca="1">IF(OR(MONTH(U$4)=Assumptions!$C$57,((MONTH(U$4)-Assumptions!$C$57)/MAX(Assumptions!$C$56,1))-ROUND((MONTH(U$4)-Assumptions!$C$57)/MAX(Assumptions!$C$56,1),0)=0),"Yes","No")</f>
        <v>Yes</v>
      </c>
      <c r="V60" s="116" t="str">
        <f ca="1">IF(OR(MONTH(V$4)=Assumptions!$C$57,((MONTH(V$4)-Assumptions!$C$57)/MAX(Assumptions!$C$56,1))-ROUND((MONTH(V$4)-Assumptions!$C$57)/MAX(Assumptions!$C$56,1),0)=0),"Yes","No")</f>
        <v>No</v>
      </c>
      <c r="W60" s="116" t="str">
        <f ca="1">IF(OR(MONTH(W$4)=Assumptions!$C$57,((MONTH(W$4)-Assumptions!$C$57)/MAX(Assumptions!$C$56,1))-ROUND((MONTH(W$4)-Assumptions!$C$57)/MAX(Assumptions!$C$56,1),0)=0),"Yes","No")</f>
        <v>Yes</v>
      </c>
      <c r="X60" s="116" t="str">
        <f ca="1">IF(OR(MONTH(X$4)=Assumptions!$C$57,((MONTH(X$4)-Assumptions!$C$57)/MAX(Assumptions!$C$56,1))-ROUND((MONTH(X$4)-Assumptions!$C$57)/MAX(Assumptions!$C$56,1),0)=0),"Yes","No")</f>
        <v>No</v>
      </c>
      <c r="Y60" s="116" t="str">
        <f ca="1">IF(OR(MONTH(Y$4)=Assumptions!$C$57,((MONTH(Y$4)-Assumptions!$C$57)/MAX(Assumptions!$C$56,1))-ROUND((MONTH(Y$4)-Assumptions!$C$57)/MAX(Assumptions!$C$56,1),0)=0),"Yes","No")</f>
        <v>Yes</v>
      </c>
      <c r="Z60" s="116" t="str">
        <f ca="1">IF(OR(MONTH(Z$4)=Assumptions!$C$57,((MONTH(Z$4)-Assumptions!$C$57)/MAX(Assumptions!$C$56,1))-ROUND((MONTH(Z$4)-Assumptions!$C$57)/MAX(Assumptions!$C$56,1),0)=0),"Yes","No")</f>
        <v>No</v>
      </c>
      <c r="AA60" s="116" t="str">
        <f ca="1">IF(OR(MONTH(AA$4)=Assumptions!$C$57,((MONTH(AA$4)-Assumptions!$C$57)/MAX(Assumptions!$C$56,1))-ROUND((MONTH(AA$4)-Assumptions!$C$57)/MAX(Assumptions!$C$56,1),0)=0),"Yes","No")</f>
        <v>Yes</v>
      </c>
      <c r="AB60" s="116" t="str">
        <f ca="1">IF(OR(MONTH(AB$4)=Assumptions!$C$57,((MONTH(AB$4)-Assumptions!$C$57)/MAX(Assumptions!$C$56,1))-ROUND((MONTH(AB$4)-Assumptions!$C$57)/MAX(Assumptions!$C$56,1),0)=0),"Yes","No")</f>
        <v>No</v>
      </c>
      <c r="AC60" s="117"/>
      <c r="AD60" s="116" t="str">
        <f ca="1">IF(OR(MONTH(AD$4)=Assumptions!$C$57,((MONTH(AD$4)-Assumptions!$C$57)/MAX(Assumptions!$C$56,1))-ROUND((MONTH(AD$4)-Assumptions!$C$57)/MAX(Assumptions!$C$56,1),0)=0),"Yes","No")</f>
        <v>Yes</v>
      </c>
      <c r="AE60" s="116" t="str">
        <f ca="1">IF(OR(MONTH(AE$4)=Assumptions!$C$57,((MONTH(AE$4)-Assumptions!$C$57)/MAX(Assumptions!$C$56,1))-ROUND((MONTH(AE$4)-Assumptions!$C$57)/MAX(Assumptions!$C$56,1),0)=0),"Yes","No")</f>
        <v>No</v>
      </c>
      <c r="AF60" s="116" t="str">
        <f ca="1">IF(OR(MONTH(AF$4)=Assumptions!$C$57,((MONTH(AF$4)-Assumptions!$C$57)/MAX(Assumptions!$C$56,1))-ROUND((MONTH(AF$4)-Assumptions!$C$57)/MAX(Assumptions!$C$56,1),0)=0),"Yes","No")</f>
        <v>Yes</v>
      </c>
      <c r="AG60" s="116" t="str">
        <f ca="1">IF(OR(MONTH(AG$4)=Assumptions!$C$57,((MONTH(AG$4)-Assumptions!$C$57)/MAX(Assumptions!$C$56,1))-ROUND((MONTH(AG$4)-Assumptions!$C$57)/MAX(Assumptions!$C$56,1),0)=0),"Yes","No")</f>
        <v>No</v>
      </c>
      <c r="AH60" s="116" t="str">
        <f ca="1">IF(OR(MONTH(AH$4)=Assumptions!$C$57,((MONTH(AH$4)-Assumptions!$C$57)/MAX(Assumptions!$C$56,1))-ROUND((MONTH(AH$4)-Assumptions!$C$57)/MAX(Assumptions!$C$56,1),0)=0),"Yes","No")</f>
        <v>Yes</v>
      </c>
      <c r="AI60" s="116" t="str">
        <f ca="1">IF(OR(MONTH(AI$4)=Assumptions!$C$57,((MONTH(AI$4)-Assumptions!$C$57)/MAX(Assumptions!$C$56,1))-ROUND((MONTH(AI$4)-Assumptions!$C$57)/MAX(Assumptions!$C$56,1),0)=0),"Yes","No")</f>
        <v>No</v>
      </c>
      <c r="AJ60" s="116" t="str">
        <f ca="1">IF(OR(MONTH(AJ$4)=Assumptions!$C$57,((MONTH(AJ$4)-Assumptions!$C$57)/MAX(Assumptions!$C$56,1))-ROUND((MONTH(AJ$4)-Assumptions!$C$57)/MAX(Assumptions!$C$56,1),0)=0),"Yes","No")</f>
        <v>Yes</v>
      </c>
      <c r="AK60" s="116" t="str">
        <f ca="1">IF(OR(MONTH(AK$4)=Assumptions!$C$57,((MONTH(AK$4)-Assumptions!$C$57)/MAX(Assumptions!$C$56,1))-ROUND((MONTH(AK$4)-Assumptions!$C$57)/MAX(Assumptions!$C$56,1),0)=0),"Yes","No")</f>
        <v>No</v>
      </c>
      <c r="AL60" s="116" t="str">
        <f ca="1">IF(OR(MONTH(AL$4)=Assumptions!$C$57,((MONTH(AL$4)-Assumptions!$C$57)/MAX(Assumptions!$C$56,1))-ROUND((MONTH(AL$4)-Assumptions!$C$57)/MAX(Assumptions!$C$56,1),0)=0),"Yes","No")</f>
        <v>Yes</v>
      </c>
      <c r="AM60" s="116" t="str">
        <f ca="1">IF(OR(MONTH(AM$4)=Assumptions!$C$57,((MONTH(AM$4)-Assumptions!$C$57)/MAX(Assumptions!$C$56,1))-ROUND((MONTH(AM$4)-Assumptions!$C$57)/MAX(Assumptions!$C$56,1),0)=0),"Yes","No")</f>
        <v>No</v>
      </c>
      <c r="AN60" s="116" t="str">
        <f ca="1">IF(OR(MONTH(AN$4)=Assumptions!$C$57,((MONTH(AN$4)-Assumptions!$C$57)/MAX(Assumptions!$C$56,1))-ROUND((MONTH(AN$4)-Assumptions!$C$57)/MAX(Assumptions!$C$56,1),0)=0),"Yes","No")</f>
        <v>Yes</v>
      </c>
      <c r="AO60" s="116" t="str">
        <f ca="1">IF(OR(MONTH(AO$4)=Assumptions!$C$57,((MONTH(AO$4)-Assumptions!$C$57)/MAX(Assumptions!$C$56,1))-ROUND((MONTH(AO$4)-Assumptions!$C$57)/MAX(Assumptions!$C$56,1),0)=0),"Yes","No")</f>
        <v>No</v>
      </c>
      <c r="AP60" s="117"/>
    </row>
    <row r="61" spans="1:42" s="15" customFormat="1" ht="16.149999999999999" customHeight="1" x14ac:dyDescent="0.25">
      <c r="A61" s="164"/>
      <c r="B61" s="6" t="s">
        <v>196</v>
      </c>
      <c r="C61" s="118">
        <f ca="1">IF(C60="Yes",1-Assumptions!$D$58,IF(ISTEXT(B61),Assumptions!$C$56-MATCH("Yes",$C$60:$AO$60,0)+COLUMN($B$4),IF(ISBLANK(B61),A61+2,B61+1)))</f>
        <v>2</v>
      </c>
      <c r="D61" s="118">
        <f ca="1">IF(D60="Yes",1-Assumptions!$D$58,IF(ISTEXT(C61),Assumptions!$C$56-MATCH("Yes",$C$60:$AO$60,0)+COLUMN($B$4),IF(ISBLANK(C61),B61+2,C61+1)))</f>
        <v>1</v>
      </c>
      <c r="E61" s="118">
        <f ca="1">IF(E60="Yes",1-Assumptions!$D$58,IF(ISTEXT(D61),Assumptions!$C$56-MATCH("Yes",$C$60:$AO$60,0)+COLUMN($B$4),IF(ISBLANK(D61),C61+2,D61+1)))</f>
        <v>2</v>
      </c>
      <c r="F61" s="118">
        <f ca="1">IF(F60="Yes",1-Assumptions!$D$58,IF(ISTEXT(E61),Assumptions!$C$56-MATCH("Yes",$C$60:$AO$60,0)+COLUMN($B$4),IF(ISBLANK(E61),D61+2,E61+1)))</f>
        <v>1</v>
      </c>
      <c r="G61" s="118">
        <f ca="1">IF(G60="Yes",1-Assumptions!$D$58,IF(ISTEXT(F61),Assumptions!$C$56-MATCH("Yes",$C$60:$AO$60,0)+COLUMN($B$4),IF(ISBLANK(F61),E61+2,F61+1)))</f>
        <v>2</v>
      </c>
      <c r="H61" s="118">
        <f ca="1">IF(H60="Yes",1-Assumptions!$D$58,IF(ISTEXT(G61),Assumptions!$C$56-MATCH("Yes",$C$60:$AO$60,0)+COLUMN($B$4),IF(ISBLANK(G61),F61+2,G61+1)))</f>
        <v>1</v>
      </c>
      <c r="I61" s="118">
        <f ca="1">IF(I60="Yes",1-Assumptions!$D$58,IF(ISTEXT(H61),Assumptions!$C$56-MATCH("Yes",$C$60:$AO$60,0)+COLUMN($B$4),IF(ISBLANK(H61),G61+2,H61+1)))</f>
        <v>2</v>
      </c>
      <c r="J61" s="118">
        <f ca="1">IF(J60="Yes",1-Assumptions!$D$58,IF(ISTEXT(I61),Assumptions!$C$56-MATCH("Yes",$C$60:$AO$60,0)+COLUMN($B$4),IF(ISBLANK(I61),H61+2,I61+1)))</f>
        <v>1</v>
      </c>
      <c r="K61" s="118">
        <f ca="1">IF(K60="Yes",1-Assumptions!$D$58,IF(ISTEXT(J61),Assumptions!$C$56-MATCH("Yes",$C$60:$AO$60,0)+COLUMN($B$4),IF(ISBLANK(J61),I61+2,J61+1)))</f>
        <v>2</v>
      </c>
      <c r="L61" s="118">
        <f ca="1">IF(L60="Yes",1-Assumptions!$D$58,IF(ISTEXT(K61),Assumptions!$C$56-MATCH("Yes",$C$60:$AO$60,0)+COLUMN($B$4),IF(ISBLANK(K61),J61+2,K61+1)))</f>
        <v>1</v>
      </c>
      <c r="M61" s="118">
        <f ca="1">IF(M60="Yes",1-Assumptions!$D$58,IF(ISTEXT(L61),Assumptions!$C$56-MATCH("Yes",$C$60:$AO$60,0)+COLUMN($B$4),IF(ISBLANK(L61),K61+2,L61+1)))</f>
        <v>2</v>
      </c>
      <c r="N61" s="118">
        <f ca="1">IF(N60="Yes",1-Assumptions!$D$58,IF(ISTEXT(M61),Assumptions!$C$56-MATCH("Yes",$C$60:$AO$60,0)+COLUMN($B$4),IF(ISBLANK(M61),L61+2,M61+1)))</f>
        <v>1</v>
      </c>
      <c r="O61" s="118">
        <f ca="1">IF(O60="Yes",1-Assumptions!$D$58,IF(ISTEXT(N61),Assumptions!$C$56-MATCH("Yes",$C$60:$AO$60,0)+COLUMN($B$4),IF(ISBLANK(N61),M61+2,N61+1)))</f>
        <v>2</v>
      </c>
      <c r="P61" s="119"/>
      <c r="Q61" s="118">
        <f ca="1">IF(Q60="Yes",1-Assumptions!$D$58,IF(ISTEXT(P61),Assumptions!$C$56-MATCH("Yes",$C$60:$AO$60,0)+COLUMN($B$4),IF(ISBLANK(P61),O61+2,P61+1)))</f>
        <v>1</v>
      </c>
      <c r="R61" s="118">
        <f ca="1">IF(R60="Yes",1-Assumptions!$D$58,IF(ISTEXT(Q61),Assumptions!$C$56-MATCH("Yes",$C$60:$AO$60,0)+COLUMN($B$4),IF(ISBLANK(Q61),P61+2,Q61+1)))</f>
        <v>2</v>
      </c>
      <c r="S61" s="118">
        <f ca="1">IF(S60="Yes",1-Assumptions!$D$58,IF(ISTEXT(R61),Assumptions!$C$56-MATCH("Yes",$C$60:$AO$60,0)+COLUMN($B$4),IF(ISBLANK(R61),Q61+2,R61+1)))</f>
        <v>1</v>
      </c>
      <c r="T61" s="118">
        <f ca="1">IF(T60="Yes",1-Assumptions!$D$58,IF(ISTEXT(S61),Assumptions!$C$56-MATCH("Yes",$C$60:$AO$60,0)+COLUMN($B$4),IF(ISBLANK(S61),R61+2,S61+1)))</f>
        <v>2</v>
      </c>
      <c r="U61" s="118">
        <f ca="1">IF(U60="Yes",1-Assumptions!$D$58,IF(ISTEXT(T61),Assumptions!$C$56-MATCH("Yes",$C$60:$AO$60,0)+COLUMN($B$4),IF(ISBLANK(T61),S61+2,T61+1)))</f>
        <v>1</v>
      </c>
      <c r="V61" s="118">
        <f ca="1">IF(V60="Yes",1-Assumptions!$D$58,IF(ISTEXT(U61),Assumptions!$C$56-MATCH("Yes",$C$60:$AO$60,0)+COLUMN($B$4),IF(ISBLANK(U61),T61+2,U61+1)))</f>
        <v>2</v>
      </c>
      <c r="W61" s="118">
        <f ca="1">IF(W60="Yes",1-Assumptions!$D$58,IF(ISTEXT(V61),Assumptions!$C$56-MATCH("Yes",$C$60:$AO$60,0)+COLUMN($B$4),IF(ISBLANK(V61),U61+2,V61+1)))</f>
        <v>1</v>
      </c>
      <c r="X61" s="118">
        <f ca="1">IF(X60="Yes",1-Assumptions!$D$58,IF(ISTEXT(W61),Assumptions!$C$56-MATCH("Yes",$C$60:$AO$60,0)+COLUMN($B$4),IF(ISBLANK(W61),V61+2,W61+1)))</f>
        <v>2</v>
      </c>
      <c r="Y61" s="118">
        <f ca="1">IF(Y60="Yes",1-Assumptions!$D$58,IF(ISTEXT(X61),Assumptions!$C$56-MATCH("Yes",$C$60:$AO$60,0)+COLUMN($B$4),IF(ISBLANK(X61),W61+2,X61+1)))</f>
        <v>1</v>
      </c>
      <c r="Z61" s="118">
        <f ca="1">IF(Z60="Yes",1-Assumptions!$D$58,IF(ISTEXT(Y61),Assumptions!$C$56-MATCH("Yes",$C$60:$AO$60,0)+COLUMN($B$4),IF(ISBLANK(Y61),X61+2,Y61+1)))</f>
        <v>2</v>
      </c>
      <c r="AA61" s="118">
        <f ca="1">IF(AA60="Yes",1-Assumptions!$D$58,IF(ISTEXT(Z61),Assumptions!$C$56-MATCH("Yes",$C$60:$AO$60,0)+COLUMN($B$4),IF(ISBLANK(Z61),Y61+2,Z61+1)))</f>
        <v>1</v>
      </c>
      <c r="AB61" s="118">
        <f ca="1">IF(AB60="Yes",1-Assumptions!$D$58,IF(ISTEXT(AA61),Assumptions!$C$56-MATCH("Yes",$C$60:$AO$60,0)+COLUMN($B$4),IF(ISBLANK(AA61),Z61+2,AA61+1)))</f>
        <v>2</v>
      </c>
      <c r="AC61" s="119"/>
      <c r="AD61" s="118">
        <f ca="1">IF(AD60="Yes",1-Assumptions!$D$58,IF(ISTEXT(AC61),Assumptions!$C$56-MATCH("Yes",$C$60:$AO$60,0)+COLUMN($B$4),IF(ISBLANK(AC61),AB61+2,AC61+1)))</f>
        <v>1</v>
      </c>
      <c r="AE61" s="118">
        <f ca="1">IF(AE60="Yes",1-Assumptions!$D$58,IF(ISTEXT(AD61),Assumptions!$C$56-MATCH("Yes",$C$60:$AO$60,0)+COLUMN($B$4),IF(ISBLANK(AD61),AC61+2,AD61+1)))</f>
        <v>2</v>
      </c>
      <c r="AF61" s="118">
        <f ca="1">IF(AF60="Yes",1-Assumptions!$D$58,IF(ISTEXT(AE61),Assumptions!$C$56-MATCH("Yes",$C$60:$AO$60,0)+COLUMN($B$4),IF(ISBLANK(AE61),AD61+2,AE61+1)))</f>
        <v>1</v>
      </c>
      <c r="AG61" s="118">
        <f ca="1">IF(AG60="Yes",1-Assumptions!$D$58,IF(ISTEXT(AF61),Assumptions!$C$56-MATCH("Yes",$C$60:$AO$60,0)+COLUMN($B$4),IF(ISBLANK(AF61),AE61+2,AF61+1)))</f>
        <v>2</v>
      </c>
      <c r="AH61" s="118">
        <f ca="1">IF(AH60="Yes",1-Assumptions!$D$58,IF(ISTEXT(AG61),Assumptions!$C$56-MATCH("Yes",$C$60:$AO$60,0)+COLUMN($B$4),IF(ISBLANK(AG61),AF61+2,AG61+1)))</f>
        <v>1</v>
      </c>
      <c r="AI61" s="118">
        <f ca="1">IF(AI60="Yes",1-Assumptions!$D$58,IF(ISTEXT(AH61),Assumptions!$C$56-MATCH("Yes",$C$60:$AO$60,0)+COLUMN($B$4),IF(ISBLANK(AH61),AG61+2,AH61+1)))</f>
        <v>2</v>
      </c>
      <c r="AJ61" s="118">
        <f ca="1">IF(AJ60="Yes",1-Assumptions!$D$58,IF(ISTEXT(AI61),Assumptions!$C$56-MATCH("Yes",$C$60:$AO$60,0)+COLUMN($B$4),IF(ISBLANK(AI61),AH61+2,AI61+1)))</f>
        <v>1</v>
      </c>
      <c r="AK61" s="118">
        <f ca="1">IF(AK60="Yes",1-Assumptions!$D$58,IF(ISTEXT(AJ61),Assumptions!$C$56-MATCH("Yes",$C$60:$AO$60,0)+COLUMN($B$4),IF(ISBLANK(AJ61),AI61+2,AJ61+1)))</f>
        <v>2</v>
      </c>
      <c r="AL61" s="118">
        <f ca="1">IF(AL60="Yes",1-Assumptions!$D$58,IF(ISTEXT(AK61),Assumptions!$C$56-MATCH("Yes",$C$60:$AO$60,0)+COLUMN($B$4),IF(ISBLANK(AK61),AJ61+2,AK61+1)))</f>
        <v>1</v>
      </c>
      <c r="AM61" s="118">
        <f ca="1">IF(AM60="Yes",1-Assumptions!$D$58,IF(ISTEXT(AL61),Assumptions!$C$56-MATCH("Yes",$C$60:$AO$60,0)+COLUMN($B$4),IF(ISBLANK(AL61),AK61+2,AL61+1)))</f>
        <v>2</v>
      </c>
      <c r="AN61" s="118">
        <f ca="1">IF(AN60="Yes",1-Assumptions!$D$58,IF(ISTEXT(AM61),Assumptions!$C$56-MATCH("Yes",$C$60:$AO$60,0)+COLUMN($B$4),IF(ISBLANK(AM61),AL61+2,AM61+1)))</f>
        <v>1</v>
      </c>
      <c r="AO61" s="118">
        <f ca="1">IF(AO60="Yes",1-Assumptions!$D$58,IF(ISTEXT(AN61),Assumptions!$C$56-MATCH("Yes",$C$60:$AO$60,0)+COLUMN($B$4),IF(ISBLANK(AN61),AM61+2,AN61+1)))</f>
        <v>2</v>
      </c>
      <c r="AP61" s="119"/>
    </row>
    <row r="62" spans="1:42" s="15" customFormat="1" ht="16.149999999999999" customHeight="1" x14ac:dyDescent="0.25">
      <c r="A62" s="164"/>
      <c r="B62" s="6" t="s">
        <v>204</v>
      </c>
      <c r="C62" s="84">
        <f ca="1">IF(C$34&gt;0,C$34,0)</f>
        <v>16000</v>
      </c>
      <c r="D62" s="114">
        <f ca="1">(SUMIF(IncState!$A$4:$AO$7,"V1*",IncState!C$4:C$7)*Assumptions!$C$52)+(SUMIF(IncState!$A$4:$AO$7,"V2*",IncState!C$4:C$7)*Assumptions!$C$53)+(SUMIF(IncState!$A$4:$AO$7,"V3*",IncState!C$4:C$7)*Assumptions!$C$54)+(SUMIF(IncState!$A$4:$AO$7,"V4*",IncState!C$4:C$7)*Assumptions!$C$55)</f>
        <v>61590</v>
      </c>
      <c r="E62" s="114">
        <f ca="1">(SUMIF(IncState!$A$4:$AO$7,"V1*",IncState!D$4:D$7)*Assumptions!$C$52)+(SUMIF(IncState!$A$4:$AO$7,"V2*",IncState!D$4:D$7)*Assumptions!$C$53)+(SUMIF(IncState!$A$4:$AO$7,"V3*",IncState!D$4:D$7)*Assumptions!$C$54)+(SUMIF(IncState!$A$4:$AO$7,"V4*",IncState!D$4:D$7)*Assumptions!$C$55)</f>
        <v>63030</v>
      </c>
      <c r="F62" s="114">
        <f ca="1">(SUMIF(IncState!$A$4:$AO$7,"V1*",IncState!E$4:E$7)*Assumptions!$C$52)+(SUMIF(IncState!$A$4:$AO$7,"V2*",IncState!E$4:E$7)*Assumptions!$C$53)+(SUMIF(IncState!$A$4:$AO$7,"V3*",IncState!E$4:E$7)*Assumptions!$C$54)+(SUMIF(IncState!$A$4:$AO$7,"V4*",IncState!E$4:E$7)*Assumptions!$C$55)</f>
        <v>65400</v>
      </c>
      <c r="G62" s="114">
        <f ca="1">(SUMIF(IncState!$A$4:$AO$7,"V1*",IncState!F$4:F$7)*Assumptions!$C$52)+(SUMIF(IncState!$A$4:$AO$7,"V2*",IncState!F$4:F$7)*Assumptions!$C$53)+(SUMIF(IncState!$A$4:$AO$7,"V3*",IncState!F$4:F$7)*Assumptions!$C$54)+(SUMIF(IncState!$A$4:$AO$7,"V4*",IncState!F$4:F$7)*Assumptions!$C$55)</f>
        <v>66480</v>
      </c>
      <c r="H62" s="114">
        <f ca="1">(SUMIF(IncState!$A$4:$AO$7,"V1*",IncState!G$4:G$7)*Assumptions!$C$52)+(SUMIF(IncState!$A$4:$AO$7,"V2*",IncState!G$4:G$7)*Assumptions!$C$53)+(SUMIF(IncState!$A$4:$AO$7,"V3*",IncState!G$4:G$7)*Assumptions!$C$54)+(SUMIF(IncState!$A$4:$AO$7,"V4*",IncState!G$4:G$7)*Assumptions!$C$55)</f>
        <v>66420</v>
      </c>
      <c r="I62" s="114">
        <f ca="1">(SUMIF(IncState!$A$4:$AO$7,"V1*",IncState!H$4:H$7)*Assumptions!$C$52)+(SUMIF(IncState!$A$4:$AO$7,"V2*",IncState!H$4:H$7)*Assumptions!$C$53)+(SUMIF(IncState!$A$4:$AO$7,"V3*",IncState!H$4:H$7)*Assumptions!$C$54)+(SUMIF(IncState!$A$4:$AO$7,"V4*",IncState!H$4:H$7)*Assumptions!$C$55)</f>
        <v>66450</v>
      </c>
      <c r="J62" s="114">
        <f ca="1">(SUMIF(IncState!$A$4:$AO$7,"V1*",IncState!I$4:I$7)*Assumptions!$C$52)+(SUMIF(IncState!$A$4:$AO$7,"V2*",IncState!I$4:I$7)*Assumptions!$C$53)+(SUMIF(IncState!$A$4:$AO$7,"V3*",IncState!I$4:I$7)*Assumptions!$C$54)+(SUMIF(IncState!$A$4:$AO$7,"V4*",IncState!I$4:I$7)*Assumptions!$C$55)</f>
        <v>64800</v>
      </c>
      <c r="K62" s="114">
        <f ca="1">(SUMIF(IncState!$A$4:$AO$7,"V1*",IncState!J$4:J$7)*Assumptions!$C$52)+(SUMIF(IncState!$A$4:$AO$7,"V2*",IncState!J$4:J$7)*Assumptions!$C$53)+(SUMIF(IncState!$A$4:$AO$7,"V3*",IncState!J$4:J$7)*Assumptions!$C$54)+(SUMIF(IncState!$A$4:$AO$7,"V4*",IncState!J$4:J$7)*Assumptions!$C$55)</f>
        <v>66435</v>
      </c>
      <c r="L62" s="114">
        <f ca="1">(SUMIF(IncState!$A$4:$AO$7,"V1*",IncState!K$4:K$7)*Assumptions!$C$52)+(SUMIF(IncState!$A$4:$AO$7,"V2*",IncState!K$4:K$7)*Assumptions!$C$53)+(SUMIF(IncState!$A$4:$AO$7,"V3*",IncState!K$4:K$7)*Assumptions!$C$54)+(SUMIF(IncState!$A$4:$AO$7,"V4*",IncState!K$4:K$7)*Assumptions!$C$55)</f>
        <v>67530</v>
      </c>
      <c r="M62" s="114">
        <f ca="1">(SUMIF(IncState!$A$4:$AO$7,"V1*",IncState!L$4:L$7)*Assumptions!$C$52)+(SUMIF(IncState!$A$4:$AO$7,"V2*",IncState!L$4:L$7)*Assumptions!$C$53)+(SUMIF(IncState!$A$4:$AO$7,"V3*",IncState!L$4:L$7)*Assumptions!$C$54)+(SUMIF(IncState!$A$4:$AO$7,"V4*",IncState!L$4:L$7)*Assumptions!$C$55)</f>
        <v>56175</v>
      </c>
      <c r="N62" s="114">
        <f ca="1">(SUMIF(IncState!$A$4:$AO$7,"V1*",IncState!M$4:M$7)*Assumptions!$C$52)+(SUMIF(IncState!$A$4:$AO$7,"V2*",IncState!M$4:M$7)*Assumptions!$C$53)+(SUMIF(IncState!$A$4:$AO$7,"V3*",IncState!M$4:M$7)*Assumptions!$C$54)+(SUMIF(IncState!$A$4:$AO$7,"V4*",IncState!M$4:M$7)*Assumptions!$C$55)</f>
        <v>69840</v>
      </c>
      <c r="O62" s="114">
        <f ca="1">(SUMIF(IncState!$A$4:$AO$7,"V1*",IncState!N$4:N$7)*Assumptions!$C$52)+(SUMIF(IncState!$A$4:$AO$7,"V2*",IncState!N$4:N$7)*Assumptions!$C$53)+(SUMIF(IncState!$A$4:$AO$7,"V3*",IncState!N$4:N$7)*Assumptions!$C$54)+(SUMIF(IncState!$A$4:$AO$7,"V4*",IncState!N$4:N$7)*Assumptions!$C$55)</f>
        <v>65460</v>
      </c>
      <c r="P62" s="109"/>
      <c r="Q62" s="114">
        <f ca="1">(SUMIF(IncState!$A$4:$AO$7,"V1*",IncState!P$4:P$7)*Assumptions!$C$52)+(SUMIF(IncState!$A$4:$AO$7,"V2*",IncState!P$4:P$7)*Assumptions!$C$53)+(SUMIF(IncState!$A$4:$AO$7,"V3*",IncState!P$4:P$7)*Assumptions!$C$54)+(SUMIF(IncState!$A$4:$AO$7,"V4*",IncState!P$4:P$7)*Assumptions!$C$55)</f>
        <v>69180</v>
      </c>
      <c r="R62" s="114">
        <f ca="1">(SUMIF(IncState!$A$4:$AO$7,"V1*",IncState!Q$4:Q$7)*Assumptions!$C$52)+(SUMIF(IncState!$A$4:$AO$7,"V2*",IncState!Q$4:Q$7)*Assumptions!$C$53)+(SUMIF(IncState!$A$4:$AO$7,"V3*",IncState!Q$4:Q$7)*Assumptions!$C$54)+(SUMIF(IncState!$A$4:$AO$7,"V4*",IncState!Q$4:Q$7)*Assumptions!$C$55)</f>
        <v>68475</v>
      </c>
      <c r="S62" s="114">
        <f ca="1">(SUMIF(IncState!$A$4:$AO$7,"V1*",IncState!R$4:R$7)*Assumptions!$C$52)+(SUMIF(IncState!$A$4:$AO$7,"V2*",IncState!R$4:R$7)*Assumptions!$C$53)+(SUMIF(IncState!$A$4:$AO$7,"V3*",IncState!R$4:R$7)*Assumptions!$C$54)+(SUMIF(IncState!$A$4:$AO$7,"V4*",IncState!R$4:R$7)*Assumptions!$C$55)</f>
        <v>67080</v>
      </c>
      <c r="T62" s="114">
        <f ca="1">(SUMIF(IncState!$A$4:$AO$7,"V1*",IncState!S$4:S$7)*Assumptions!$C$52)+(SUMIF(IncState!$A$4:$AO$7,"V2*",IncState!S$4:S$7)*Assumptions!$C$53)+(SUMIF(IncState!$A$4:$AO$7,"V3*",IncState!S$4:S$7)*Assumptions!$C$54)+(SUMIF(IncState!$A$4:$AO$7,"V4*",IncState!S$4:S$7)*Assumptions!$C$55)</f>
        <v>69930</v>
      </c>
      <c r="U62" s="114">
        <f ca="1">(SUMIF(IncState!$A$4:$AO$7,"V1*",IncState!T$4:T$7)*Assumptions!$C$52)+(SUMIF(IncState!$A$4:$AO$7,"V2*",IncState!T$4:T$7)*Assumptions!$C$53)+(SUMIF(IncState!$A$4:$AO$7,"V3*",IncState!T$4:T$7)*Assumptions!$C$54)+(SUMIF(IncState!$A$4:$AO$7,"V4*",IncState!T$4:T$7)*Assumptions!$C$55)</f>
        <v>71805</v>
      </c>
      <c r="V62" s="114">
        <f ca="1">(SUMIF(IncState!$A$4:$AO$7,"V1*",IncState!U$4:U$7)*Assumptions!$C$52)+(SUMIF(IncState!$A$4:$AO$7,"V2*",IncState!U$4:U$7)*Assumptions!$C$53)+(SUMIF(IncState!$A$4:$AO$7,"V3*",IncState!U$4:U$7)*Assumptions!$C$54)+(SUMIF(IncState!$A$4:$AO$7,"V4*",IncState!U$4:U$7)*Assumptions!$C$55)</f>
        <v>69918</v>
      </c>
      <c r="W62" s="114">
        <f ca="1">(SUMIF(IncState!$A$4:$AO$7,"V1*",IncState!V$4:V$7)*Assumptions!$C$52)+(SUMIF(IncState!$A$4:$AO$7,"V2*",IncState!V$4:V$7)*Assumptions!$C$53)+(SUMIF(IncState!$A$4:$AO$7,"V3*",IncState!V$4:V$7)*Assumptions!$C$54)+(SUMIF(IncState!$A$4:$AO$7,"V4*",IncState!V$4:V$7)*Assumptions!$C$55)</f>
        <v>67575</v>
      </c>
      <c r="X62" s="114">
        <f ca="1">(SUMIF(IncState!$A$4:$AO$7,"V1*",IncState!W$4:W$7)*Assumptions!$C$52)+(SUMIF(IncState!$A$4:$AO$7,"V2*",IncState!W$4:W$7)*Assumptions!$C$53)+(SUMIF(IncState!$A$4:$AO$7,"V3*",IncState!W$4:W$7)*Assumptions!$C$54)+(SUMIF(IncState!$A$4:$AO$7,"V4*",IncState!W$4:W$7)*Assumptions!$C$55)</f>
        <v>70335</v>
      </c>
      <c r="Y62" s="114">
        <f ca="1">(SUMIF(IncState!$A$4:$AO$7,"V1*",IncState!X$4:X$7)*Assumptions!$C$52)+(SUMIF(IncState!$A$4:$AO$7,"V2*",IncState!X$4:X$7)*Assumptions!$C$53)+(SUMIF(IncState!$A$4:$AO$7,"V3*",IncState!X$4:X$7)*Assumptions!$C$54)+(SUMIF(IncState!$A$4:$AO$7,"V4*",IncState!X$4:X$7)*Assumptions!$C$55)</f>
        <v>73515</v>
      </c>
      <c r="Z62" s="114">
        <f ca="1">(SUMIF(IncState!$A$4:$AO$7,"V1*",IncState!Y$4:Y$7)*Assumptions!$C$52)+(SUMIF(IncState!$A$4:$AO$7,"V2*",IncState!Y$4:Y$7)*Assumptions!$C$53)+(SUMIF(IncState!$A$4:$AO$7,"V3*",IncState!Y$4:Y$7)*Assumptions!$C$54)+(SUMIF(IncState!$A$4:$AO$7,"V4*",IncState!Y$4:Y$7)*Assumptions!$C$55)</f>
        <v>58425</v>
      </c>
      <c r="AA62" s="114">
        <f ca="1">(SUMIF(IncState!$A$4:$AO$7,"V1*",IncState!Z$4:Z$7)*Assumptions!$C$52)+(SUMIF(IncState!$A$4:$AO$7,"V2*",IncState!Z$4:Z$7)*Assumptions!$C$53)+(SUMIF(IncState!$A$4:$AO$7,"V3*",IncState!Z$4:Z$7)*Assumptions!$C$54)+(SUMIF(IncState!$A$4:$AO$7,"V4*",IncState!Z$4:Z$7)*Assumptions!$C$55)</f>
        <v>74775</v>
      </c>
      <c r="AB62" s="114">
        <f ca="1">(SUMIF(IncState!$A$4:$AO$7,"V1*",IncState!AA$4:AA$7)*Assumptions!$C$52)+(SUMIF(IncState!$A$4:$AO$7,"V2*",IncState!AA$4:AA$7)*Assumptions!$C$53)+(SUMIF(IncState!$A$4:$AO$7,"V3*",IncState!AA$4:AA$7)*Assumptions!$C$54)+(SUMIF(IncState!$A$4:$AO$7,"V4*",IncState!AA$4:AA$7)*Assumptions!$C$55)</f>
        <v>71265</v>
      </c>
      <c r="AC62" s="109"/>
      <c r="AD62" s="114">
        <f ca="1">(SUMIF(IncState!$A$4:$AO$7,"V1*",IncState!AC$4:AC$7)*Assumptions!$C$52)+(SUMIF(IncState!$A$4:$AO$7,"V2*",IncState!AC$4:AC$7)*Assumptions!$C$53)+(SUMIF(IncState!$A$4:$AO$7,"V3*",IncState!AC$4:AC$7)*Assumptions!$C$54)+(SUMIF(IncState!$A$4:$AO$7,"V4*",IncState!AC$4:AC$7)*Assumptions!$C$55)</f>
        <v>72420</v>
      </c>
      <c r="AE62" s="114">
        <f ca="1">(SUMIF(IncState!$A$4:$AO$7,"V1*",IncState!AD$4:AD$7)*Assumptions!$C$52)+(SUMIF(IncState!$A$4:$AO$7,"V2*",IncState!AD$4:AD$7)*Assumptions!$C$53)+(SUMIF(IncState!$A$4:$AO$7,"V3*",IncState!AD$4:AD$7)*Assumptions!$C$54)+(SUMIF(IncState!$A$4:$AO$7,"V4*",IncState!AD$4:AD$7)*Assumptions!$C$55)</f>
        <v>75825</v>
      </c>
      <c r="AF62" s="114">
        <f ca="1">(SUMIF(IncState!$A$4:$AO$7,"V1*",IncState!AE$4:AE$7)*Assumptions!$C$52)+(SUMIF(IncState!$A$4:$AO$7,"V2*",IncState!AE$4:AE$7)*Assumptions!$C$53)+(SUMIF(IncState!$A$4:$AO$7,"V3*",IncState!AE$4:AE$7)*Assumptions!$C$54)+(SUMIF(IncState!$A$4:$AO$7,"V4*",IncState!AE$4:AE$7)*Assumptions!$C$55)</f>
        <v>75600</v>
      </c>
      <c r="AG62" s="114">
        <f ca="1">(SUMIF(IncState!$A$4:$AO$7,"V1*",IncState!AF$4:AF$7)*Assumptions!$C$52)+(SUMIF(IncState!$A$4:$AO$7,"V2*",IncState!AF$4:AF$7)*Assumptions!$C$53)+(SUMIF(IncState!$A$4:$AO$7,"V3*",IncState!AF$4:AF$7)*Assumptions!$C$54)+(SUMIF(IncState!$A$4:$AO$7,"V4*",IncState!AF$4:AF$7)*Assumptions!$C$55)</f>
        <v>77130</v>
      </c>
      <c r="AH62" s="114">
        <f ca="1">(SUMIF(IncState!$A$4:$AO$7,"V1*",IncState!AG$4:AG$7)*Assumptions!$C$52)+(SUMIF(IncState!$A$4:$AO$7,"V2*",IncState!AG$4:AG$7)*Assumptions!$C$53)+(SUMIF(IncState!$A$4:$AO$7,"V3*",IncState!AG$4:AG$7)*Assumptions!$C$54)+(SUMIF(IncState!$A$4:$AO$7,"V4*",IncState!AG$4:AG$7)*Assumptions!$C$55)</f>
        <v>77520</v>
      </c>
      <c r="AI62" s="114">
        <f ca="1">(SUMIF(IncState!$A$4:$AO$7,"V1*",IncState!AH$4:AH$7)*Assumptions!$C$52)+(SUMIF(IncState!$A$4:$AO$7,"V2*",IncState!AH$4:AH$7)*Assumptions!$C$53)+(SUMIF(IncState!$A$4:$AO$7,"V3*",IncState!AH$4:AH$7)*Assumptions!$C$54)+(SUMIF(IncState!$A$4:$AO$7,"V4*",IncState!AH$4:AH$7)*Assumptions!$C$55)</f>
        <v>79110</v>
      </c>
      <c r="AJ62" s="114">
        <f ca="1">(SUMIF(IncState!$A$4:$AO$7,"V1*",IncState!AI$4:AI$7)*Assumptions!$C$52)+(SUMIF(IncState!$A$4:$AO$7,"V2*",IncState!AI$4:AI$7)*Assumptions!$C$53)+(SUMIF(IncState!$A$4:$AO$7,"V3*",IncState!AI$4:AI$7)*Assumptions!$C$54)+(SUMIF(IncState!$A$4:$AO$7,"V4*",IncState!AI$4:AI$7)*Assumptions!$C$55)</f>
        <v>78360</v>
      </c>
      <c r="AK62" s="114">
        <f ca="1">(SUMIF(IncState!$A$4:$AO$7,"V1*",IncState!AJ$4:AJ$7)*Assumptions!$C$52)+(SUMIF(IncState!$A$4:$AO$7,"V2*",IncState!AJ$4:AJ$7)*Assumptions!$C$53)+(SUMIF(IncState!$A$4:$AO$7,"V3*",IncState!AJ$4:AJ$7)*Assumptions!$C$54)+(SUMIF(IncState!$A$4:$AO$7,"V4*",IncState!AJ$4:AJ$7)*Assumptions!$C$55)</f>
        <v>78840</v>
      </c>
      <c r="AL62" s="114">
        <f ca="1">(SUMIF(IncState!$A$4:$AO$7,"V1*",IncState!AK$4:AK$7)*Assumptions!$C$52)+(SUMIF(IncState!$A$4:$AO$7,"V2*",IncState!AK$4:AK$7)*Assumptions!$C$53)+(SUMIF(IncState!$A$4:$AO$7,"V3*",IncState!AK$4:AK$7)*Assumptions!$C$54)+(SUMIF(IncState!$A$4:$AO$7,"V4*",IncState!AK$4:AK$7)*Assumptions!$C$55)</f>
        <v>81078</v>
      </c>
      <c r="AM62" s="114">
        <f ca="1">(SUMIF(IncState!$A$4:$AO$7,"V1*",IncState!AL$4:AL$7)*Assumptions!$C$52)+(SUMIF(IncState!$A$4:$AO$7,"V2*",IncState!AL$4:AL$7)*Assumptions!$C$53)+(SUMIF(IncState!$A$4:$AO$7,"V3*",IncState!AL$4:AL$7)*Assumptions!$C$54)+(SUMIF(IncState!$A$4:$AO$7,"V4*",IncState!AL$4:AL$7)*Assumptions!$C$55)</f>
        <v>66960</v>
      </c>
      <c r="AN62" s="114">
        <f ca="1">(SUMIF(IncState!$A$4:$AO$7,"V1*",IncState!AM$4:AM$7)*Assumptions!$C$52)+(SUMIF(IncState!$A$4:$AO$7,"V2*",IncState!AM$4:AM$7)*Assumptions!$C$53)+(SUMIF(IncState!$A$4:$AO$7,"V3*",IncState!AM$4:AM$7)*Assumptions!$C$54)+(SUMIF(IncState!$A$4:$AO$7,"V4*",IncState!AM$4:AM$7)*Assumptions!$C$55)</f>
        <v>80775</v>
      </c>
      <c r="AO62" s="114">
        <f ca="1">(SUMIF(IncState!$A$4:$AO$7,"V1*",IncState!AN$4:AN$7)*Assumptions!$C$52)+(SUMIF(IncState!$A$4:$AO$7,"V2*",IncState!AN$4:AN$7)*Assumptions!$C$53)+(SUMIF(IncState!$A$4:$AO$7,"V3*",IncState!AN$4:AN$7)*Assumptions!$C$54)+(SUMIF(IncState!$A$4:$AO$7,"V4*",IncState!AN$4:AN$7)*Assumptions!$C$55)</f>
        <v>77947.5</v>
      </c>
      <c r="AP62" s="109"/>
    </row>
    <row r="63" spans="1:42" s="15" customFormat="1" ht="16.149999999999999" customHeight="1" x14ac:dyDescent="0.25">
      <c r="A63" s="164"/>
      <c r="B63" s="6" t="s">
        <v>205</v>
      </c>
      <c r="C63" s="84">
        <f ca="1">IF(C$34&lt;0,-C$34,0)</f>
        <v>0</v>
      </c>
      <c r="D63" s="114">
        <f ca="1">((SUMIF(IncState!$A$7:$AO$59,"*V1*",IncState!C$7:C$59)-SUMIF(CashFlow!$A$27:$AO$31,"*V1*",CashFlow!C$27:C$31))*Assumptions!$C$52)+((SUMIF(IncState!$A$7:$AO$59,"*V2*",IncState!C$7:C$59)-SUMIF(CashFlow!$A$27:$AO$31,"*V2*",CashFlow!C$27:C$31))*Assumptions!$C$53)+((SUMIF(IncState!$A$7:$AO$59,"*V3*",IncState!C$7:C$59)-SUMIF(CashFlow!$A$27:$AO$31,"*V3*",CashFlow!C$27:C$31))*Assumptions!$C$54)+((SUMIF(IncState!$A$7:$AO$59,"*V4*",IncState!C$7:C$59)-SUMIF(CashFlow!$A$27:$AO$31,"*V4*",CashFlow!C$27:C$31))*Assumptions!$C$55)</f>
        <v>33131.25</v>
      </c>
      <c r="E63" s="114">
        <f ca="1">((SUMIF(IncState!$A$7:$AO$59,"*V1*",IncState!D$7:D$59)-SUMIF(CashFlow!$A$27:$AO$31,"*V1*",CashFlow!D$27:D$31))*Assumptions!$C$52)+((SUMIF(IncState!$A$7:$AO$59,"*V2*",IncState!D$7:D$59)-SUMIF(CashFlow!$A$27:$AO$31,"*V2*",CashFlow!D$27:D$31))*Assumptions!$C$53)+((SUMIF(IncState!$A$7:$AO$59,"*V3*",IncState!D$7:D$59)-SUMIF(CashFlow!$A$27:$AO$31,"*V3*",CashFlow!D$27:D$31))*Assumptions!$C$54)+((SUMIF(IncState!$A$7:$AO$59,"*V4*",IncState!D$7:D$59)-SUMIF(CashFlow!$A$27:$AO$31,"*V4*",CashFlow!D$27:D$31))*Assumptions!$C$55)</f>
        <v>34854.75</v>
      </c>
      <c r="F63" s="114">
        <f ca="1">((SUMIF(IncState!$A$7:$AO$59,"*V1*",IncState!E$7:E$59)-SUMIF(CashFlow!$A$27:$AO$31,"*V1*",CashFlow!E$27:E$31))*Assumptions!$C$52)+((SUMIF(IncState!$A$7:$AO$59,"*V2*",IncState!E$7:E$59)-SUMIF(CashFlow!$A$27:$AO$31,"*V2*",CashFlow!E$27:E$31))*Assumptions!$C$53)+((SUMIF(IncState!$A$7:$AO$59,"*V3*",IncState!E$7:E$59)-SUMIF(CashFlow!$A$27:$AO$31,"*V3*",CashFlow!E$27:E$31))*Assumptions!$C$54)+((SUMIF(IncState!$A$7:$AO$59,"*V4*",IncState!E$7:E$59)-SUMIF(CashFlow!$A$27:$AO$31,"*V4*",CashFlow!E$27:E$31))*Assumptions!$C$55)</f>
        <v>36042.75</v>
      </c>
      <c r="G63" s="114">
        <f ca="1">((SUMIF(IncState!$A$7:$AO$59,"*V1*",IncState!F$7:F$59)-SUMIF(CashFlow!$A$27:$AO$31,"*V1*",CashFlow!F$27:F$31))*Assumptions!$C$52)+((SUMIF(IncState!$A$7:$AO$59,"*V2*",IncState!F$7:F$59)-SUMIF(CashFlow!$A$27:$AO$31,"*V2*",CashFlow!F$27:F$31))*Assumptions!$C$53)+((SUMIF(IncState!$A$7:$AO$59,"*V3*",IncState!F$7:F$59)-SUMIF(CashFlow!$A$27:$AO$31,"*V3*",CashFlow!F$27:F$31))*Assumptions!$C$54)+((SUMIF(IncState!$A$7:$AO$59,"*V4*",IncState!F$7:F$59)-SUMIF(CashFlow!$A$27:$AO$31,"*V4*",CashFlow!F$27:F$31))*Assumptions!$C$55)</f>
        <v>47154.75</v>
      </c>
      <c r="H63" s="114">
        <f ca="1">((SUMIF(IncState!$A$7:$AO$59,"*V1*",IncState!G$7:G$59)-SUMIF(CashFlow!$A$27:$AO$31,"*V1*",CashFlow!G$27:G$31))*Assumptions!$C$52)+((SUMIF(IncState!$A$7:$AO$59,"*V2*",IncState!G$7:G$59)-SUMIF(CashFlow!$A$27:$AO$31,"*V2*",CashFlow!G$27:G$31))*Assumptions!$C$53)+((SUMIF(IncState!$A$7:$AO$59,"*V3*",IncState!G$7:G$59)-SUMIF(CashFlow!$A$27:$AO$31,"*V3*",CashFlow!G$27:G$31))*Assumptions!$C$54)+((SUMIF(IncState!$A$7:$AO$59,"*V4*",IncState!G$7:G$59)-SUMIF(CashFlow!$A$27:$AO$31,"*V4*",CashFlow!G$27:G$31))*Assumptions!$C$55)</f>
        <v>38978.25</v>
      </c>
      <c r="I63" s="114">
        <f ca="1">((SUMIF(IncState!$A$7:$AO$59,"*V1*",IncState!H$7:H$59)-SUMIF(CashFlow!$A$27:$AO$31,"*V1*",CashFlow!H$27:H$31))*Assumptions!$C$52)+((SUMIF(IncState!$A$7:$AO$59,"*V2*",IncState!H$7:H$59)-SUMIF(CashFlow!$A$27:$AO$31,"*V2*",CashFlow!H$27:H$31))*Assumptions!$C$53)+((SUMIF(IncState!$A$7:$AO$59,"*V3*",IncState!H$7:H$59)-SUMIF(CashFlow!$A$27:$AO$31,"*V3*",CashFlow!H$27:H$31))*Assumptions!$C$54)+((SUMIF(IncState!$A$7:$AO$59,"*V4*",IncState!H$7:H$59)-SUMIF(CashFlow!$A$27:$AO$31,"*V4*",CashFlow!H$27:H$31))*Assumptions!$C$55)</f>
        <v>39120.75</v>
      </c>
      <c r="J63" s="114">
        <f ca="1">((SUMIF(IncState!$A$7:$AO$59,"*V1*",IncState!I$7:I$59)-SUMIF(CashFlow!$A$27:$AO$31,"*V1*",CashFlow!I$27:I$31))*Assumptions!$C$52)+((SUMIF(IncState!$A$7:$AO$59,"*V2*",IncState!I$7:I$59)-SUMIF(CashFlow!$A$27:$AO$31,"*V2*",CashFlow!I$27:I$31))*Assumptions!$C$53)+((SUMIF(IncState!$A$7:$AO$59,"*V3*",IncState!I$7:I$59)-SUMIF(CashFlow!$A$27:$AO$31,"*V3*",CashFlow!I$27:I$31))*Assumptions!$C$54)+((SUMIF(IncState!$A$7:$AO$59,"*V4*",IncState!I$7:I$59)-SUMIF(CashFlow!$A$27:$AO$31,"*V4*",CashFlow!I$27:I$31))*Assumptions!$C$55)</f>
        <v>34898.25</v>
      </c>
      <c r="K63" s="114">
        <f ca="1">((SUMIF(IncState!$A$7:$AO$59,"*V1*",IncState!J$7:J$59)-SUMIF(CashFlow!$A$27:$AO$31,"*V1*",CashFlow!J$27:J$31))*Assumptions!$C$52)+((SUMIF(IncState!$A$7:$AO$59,"*V2*",IncState!J$7:J$59)-SUMIF(CashFlow!$A$27:$AO$31,"*V2*",CashFlow!J$27:J$31))*Assumptions!$C$53)+((SUMIF(IncState!$A$7:$AO$59,"*V3*",IncState!J$7:J$59)-SUMIF(CashFlow!$A$27:$AO$31,"*V3*",CashFlow!J$27:J$31))*Assumptions!$C$54)+((SUMIF(IncState!$A$7:$AO$59,"*V4*",IncState!J$7:J$59)-SUMIF(CashFlow!$A$27:$AO$31,"*V4*",CashFlow!J$27:J$31))*Assumptions!$C$55)</f>
        <v>41970.75</v>
      </c>
      <c r="L63" s="114">
        <f ca="1">((SUMIF(IncState!$A$7:$AO$59,"*V1*",IncState!K$7:K$59)-SUMIF(CashFlow!$A$27:$AO$31,"*V1*",CashFlow!K$27:K$31))*Assumptions!$C$52)+((SUMIF(IncState!$A$7:$AO$59,"*V2*",IncState!K$7:K$59)-SUMIF(CashFlow!$A$27:$AO$31,"*V2*",CashFlow!K$27:K$31))*Assumptions!$C$53)+((SUMIF(IncState!$A$7:$AO$59,"*V3*",IncState!K$7:K$59)-SUMIF(CashFlow!$A$27:$AO$31,"*V3*",CashFlow!K$27:K$31))*Assumptions!$C$54)+((SUMIF(IncState!$A$7:$AO$59,"*V4*",IncState!K$7:K$59)-SUMIF(CashFlow!$A$27:$AO$31,"*V4*",CashFlow!K$27:K$31))*Assumptions!$C$55)</f>
        <v>42118.95</v>
      </c>
      <c r="M63" s="114">
        <f ca="1">((SUMIF(IncState!$A$7:$AO$59,"*V1*",IncState!L$7:L$59)-SUMIF(CashFlow!$A$27:$AO$31,"*V1*",CashFlow!L$27:L$31))*Assumptions!$C$52)+((SUMIF(IncState!$A$7:$AO$59,"*V2*",IncState!L$7:L$59)-SUMIF(CashFlow!$A$27:$AO$31,"*V2*",CashFlow!L$27:L$31))*Assumptions!$C$53)+((SUMIF(IncState!$A$7:$AO$59,"*V3*",IncState!L$7:L$59)-SUMIF(CashFlow!$A$27:$AO$31,"*V3*",CashFlow!L$27:L$31))*Assumptions!$C$54)+((SUMIF(IncState!$A$7:$AO$59,"*V4*",IncState!L$7:L$59)-SUMIF(CashFlow!$A$27:$AO$31,"*V4*",CashFlow!L$27:L$31))*Assumptions!$C$55)</f>
        <v>31164.6</v>
      </c>
      <c r="N63" s="114">
        <f ca="1">((SUMIF(IncState!$A$7:$AO$59,"*V1*",IncState!M$7:M$59)-SUMIF(CashFlow!$A$27:$AO$31,"*V1*",CashFlow!M$27:M$31))*Assumptions!$C$52)+((SUMIF(IncState!$A$7:$AO$59,"*V2*",IncState!M$7:M$59)-SUMIF(CashFlow!$A$27:$AO$31,"*V2*",CashFlow!M$27:M$31))*Assumptions!$C$53)+((SUMIF(IncState!$A$7:$AO$59,"*V3*",IncState!M$7:M$59)-SUMIF(CashFlow!$A$27:$AO$31,"*V3*",CashFlow!M$27:M$31))*Assumptions!$C$54)+((SUMIF(IncState!$A$7:$AO$59,"*V4*",IncState!M$7:M$59)-SUMIF(CashFlow!$A$27:$AO$31,"*V4*",CashFlow!M$27:M$31))*Assumptions!$C$55)</f>
        <v>37264.35</v>
      </c>
      <c r="O63" s="114">
        <f ca="1">((SUMIF(IncState!$A$7:$AO$59,"*V1*",IncState!N$7:N$59)-SUMIF(CashFlow!$A$27:$AO$31,"*V1*",CashFlow!N$27:N$31))*Assumptions!$C$52)+((SUMIF(IncState!$A$7:$AO$59,"*V2*",IncState!N$7:N$59)-SUMIF(CashFlow!$A$27:$AO$31,"*V2*",CashFlow!N$27:N$31))*Assumptions!$C$53)+((SUMIF(IncState!$A$7:$AO$59,"*V3*",IncState!N$7:N$59)-SUMIF(CashFlow!$A$27:$AO$31,"*V3*",CashFlow!N$27:N$31))*Assumptions!$C$54)+((SUMIF(IncState!$A$7:$AO$59,"*V4*",IncState!N$7:N$59)-SUMIF(CashFlow!$A$27:$AO$31,"*V4*",CashFlow!N$27:N$31))*Assumptions!$C$55)</f>
        <v>35455.949999999997</v>
      </c>
      <c r="P63" s="109"/>
      <c r="Q63" s="114">
        <f ca="1">((SUMIF(IncState!$A$7:$AO$59,"*V1*",IncState!P$7:P$59)-SUMIF(CashFlow!$A$27:$AO$31,"*V1*",CashFlow!P$27:P$31))*Assumptions!$C$52)+((SUMIF(IncState!$A$7:$AO$59,"*V2*",IncState!P$7:P$59)-SUMIF(CashFlow!$A$27:$AO$31,"*V2*",CashFlow!P$27:P$31))*Assumptions!$C$53)+((SUMIF(IncState!$A$7:$AO$59,"*V3*",IncState!P$7:P$59)-SUMIF(CashFlow!$A$27:$AO$31,"*V3*",CashFlow!P$27:P$31))*Assumptions!$C$54)+((SUMIF(IncState!$A$7:$AO$59,"*V4*",IncState!P$7:P$59)-SUMIF(CashFlow!$A$27:$AO$31,"*V4*",CashFlow!P$27:P$31))*Assumptions!$C$55)</f>
        <v>37267.35</v>
      </c>
      <c r="R63" s="114">
        <f ca="1">((SUMIF(IncState!$A$7:$AO$59,"*V1*",IncState!Q$7:Q$59)-SUMIF(CashFlow!$A$27:$AO$31,"*V1*",CashFlow!Q$27:Q$31))*Assumptions!$C$52)+((SUMIF(IncState!$A$7:$AO$59,"*V2*",IncState!Q$7:Q$59)-SUMIF(CashFlow!$A$27:$AO$31,"*V2*",CashFlow!Q$27:Q$31))*Assumptions!$C$53)+((SUMIF(IncState!$A$7:$AO$59,"*V3*",IncState!Q$7:Q$59)-SUMIF(CashFlow!$A$27:$AO$31,"*V3*",CashFlow!Q$27:Q$31))*Assumptions!$C$54)+((SUMIF(IncState!$A$7:$AO$59,"*V4*",IncState!Q$7:Q$59)-SUMIF(CashFlow!$A$27:$AO$31,"*V4*",CashFlow!Q$27:Q$31))*Assumptions!$C$55)</f>
        <v>40171.199999999997</v>
      </c>
      <c r="S63" s="114">
        <f ca="1">((SUMIF(IncState!$A$7:$AO$59,"*V1*",IncState!R$7:R$59)-SUMIF(CashFlow!$A$27:$AO$31,"*V1*",CashFlow!R$27:R$31))*Assumptions!$C$52)+((SUMIF(IncState!$A$7:$AO$59,"*V2*",IncState!R$7:R$59)-SUMIF(CashFlow!$A$27:$AO$31,"*V2*",CashFlow!R$27:R$31))*Assumptions!$C$53)+((SUMIF(IncState!$A$7:$AO$59,"*V3*",IncState!R$7:R$59)-SUMIF(CashFlow!$A$27:$AO$31,"*V3*",CashFlow!R$27:R$31))*Assumptions!$C$54)+((SUMIF(IncState!$A$7:$AO$59,"*V4*",IncState!R$7:R$59)-SUMIF(CashFlow!$A$27:$AO$31,"*V4*",CashFlow!R$27:R$31))*Assumptions!$C$55)</f>
        <v>35745.9</v>
      </c>
      <c r="T63" s="114">
        <f ca="1">((SUMIF(IncState!$A$7:$AO$59,"*V1*",IncState!S$7:S$59)-SUMIF(CashFlow!$A$27:$AO$31,"*V1*",CashFlow!S$27:S$31))*Assumptions!$C$52)+((SUMIF(IncState!$A$7:$AO$59,"*V2*",IncState!S$7:S$59)-SUMIF(CashFlow!$A$27:$AO$31,"*V2*",CashFlow!S$27:S$31))*Assumptions!$C$53)+((SUMIF(IncState!$A$7:$AO$59,"*V3*",IncState!S$7:S$59)-SUMIF(CashFlow!$A$27:$AO$31,"*V3*",CashFlow!S$27:S$31))*Assumptions!$C$54)+((SUMIF(IncState!$A$7:$AO$59,"*V4*",IncState!S$7:S$59)-SUMIF(CashFlow!$A$27:$AO$31,"*V4*",CashFlow!S$27:S$31))*Assumptions!$C$55)</f>
        <v>39995.549999999996</v>
      </c>
      <c r="U63" s="114">
        <f ca="1">((SUMIF(IncState!$A$7:$AO$59,"*V1*",IncState!T$7:T$59)-SUMIF(CashFlow!$A$27:$AO$31,"*V1*",CashFlow!T$27:T$31))*Assumptions!$C$52)+((SUMIF(IncState!$A$7:$AO$59,"*V2*",IncState!T$7:T$59)-SUMIF(CashFlow!$A$27:$AO$31,"*V2*",CashFlow!T$27:T$31))*Assumptions!$C$53)+((SUMIF(IncState!$A$7:$AO$59,"*V3*",IncState!T$7:T$59)-SUMIF(CashFlow!$A$27:$AO$31,"*V3*",CashFlow!T$27:T$31))*Assumptions!$C$54)+((SUMIF(IncState!$A$7:$AO$59,"*V4*",IncState!T$7:T$59)-SUMIF(CashFlow!$A$27:$AO$31,"*V4*",CashFlow!T$27:T$31))*Assumptions!$C$55)</f>
        <v>39325.949999999997</v>
      </c>
      <c r="V63" s="114">
        <f ca="1">((SUMIF(IncState!$A$7:$AO$59,"*V1*",IncState!U$7:U$59)-SUMIF(CashFlow!$A$27:$AO$31,"*V1*",CashFlow!U$27:U$31))*Assumptions!$C$52)+((SUMIF(IncState!$A$7:$AO$59,"*V2*",IncState!U$7:U$59)-SUMIF(CashFlow!$A$27:$AO$31,"*V2*",CashFlow!U$27:U$31))*Assumptions!$C$53)+((SUMIF(IncState!$A$7:$AO$59,"*V3*",IncState!U$7:U$59)-SUMIF(CashFlow!$A$27:$AO$31,"*V3*",CashFlow!U$27:U$31))*Assumptions!$C$54)+((SUMIF(IncState!$A$7:$AO$59,"*V4*",IncState!U$7:U$59)-SUMIF(CashFlow!$A$27:$AO$31,"*V4*",CashFlow!U$27:U$31))*Assumptions!$C$55)</f>
        <v>43073.1</v>
      </c>
      <c r="W63" s="114">
        <f ca="1">((SUMIF(IncState!$A$7:$AO$59,"*V1*",IncState!V$7:V$59)-SUMIF(CashFlow!$A$27:$AO$31,"*V1*",CashFlow!V$27:V$31))*Assumptions!$C$52)+((SUMIF(IncState!$A$7:$AO$59,"*V2*",IncState!V$7:V$59)-SUMIF(CashFlow!$A$27:$AO$31,"*V2*",CashFlow!V$27:V$31))*Assumptions!$C$53)+((SUMIF(IncState!$A$7:$AO$59,"*V3*",IncState!V$7:V$59)-SUMIF(CashFlow!$A$27:$AO$31,"*V3*",CashFlow!V$27:V$31))*Assumptions!$C$54)+((SUMIF(IncState!$A$7:$AO$59,"*V4*",IncState!V$7:V$59)-SUMIF(CashFlow!$A$27:$AO$31,"*V4*",CashFlow!V$27:V$31))*Assumptions!$C$55)</f>
        <v>34485.299999999996</v>
      </c>
      <c r="X63" s="114">
        <f ca="1">((SUMIF(IncState!$A$7:$AO$59,"*V1*",IncState!W$7:W$59)-SUMIF(CashFlow!$A$27:$AO$31,"*V1*",CashFlow!W$27:W$31))*Assumptions!$C$52)+((SUMIF(IncState!$A$7:$AO$59,"*V2*",IncState!W$7:W$59)-SUMIF(CashFlow!$A$27:$AO$31,"*V2*",CashFlow!W$27:W$31))*Assumptions!$C$53)+((SUMIF(IncState!$A$7:$AO$59,"*V3*",IncState!W$7:W$59)-SUMIF(CashFlow!$A$27:$AO$31,"*V3*",CashFlow!W$27:W$31))*Assumptions!$C$54)+((SUMIF(IncState!$A$7:$AO$59,"*V4*",IncState!W$7:W$59)-SUMIF(CashFlow!$A$27:$AO$31,"*V4*",CashFlow!W$27:W$31))*Assumptions!$C$55)</f>
        <v>37109.699999999997</v>
      </c>
      <c r="Y63" s="114">
        <f ca="1">((SUMIF(IncState!$A$7:$AO$59,"*V1*",IncState!X$7:X$59)-SUMIF(CashFlow!$A$27:$AO$31,"*V1*",CashFlow!X$27:X$31))*Assumptions!$C$52)+((SUMIF(IncState!$A$7:$AO$59,"*V2*",IncState!X$7:X$59)-SUMIF(CashFlow!$A$27:$AO$31,"*V2*",CashFlow!X$27:X$31))*Assumptions!$C$53)+((SUMIF(IncState!$A$7:$AO$59,"*V3*",IncState!X$7:X$59)-SUMIF(CashFlow!$A$27:$AO$31,"*V3*",CashFlow!X$27:X$31))*Assumptions!$C$54)+((SUMIF(IncState!$A$7:$AO$59,"*V4*",IncState!X$7:X$59)-SUMIF(CashFlow!$A$27:$AO$31,"*V4*",CashFlow!X$27:X$31))*Assumptions!$C$55)</f>
        <v>39599.25</v>
      </c>
      <c r="Z63" s="114">
        <f ca="1">((SUMIF(IncState!$A$7:$AO$59,"*V1*",IncState!Y$7:Y$59)-SUMIF(CashFlow!$A$27:$AO$31,"*V1*",CashFlow!Y$27:Y$31))*Assumptions!$C$52)+((SUMIF(IncState!$A$7:$AO$59,"*V2*",IncState!Y$7:Y$59)-SUMIF(CashFlow!$A$27:$AO$31,"*V2*",CashFlow!Y$27:Y$31))*Assumptions!$C$53)+((SUMIF(IncState!$A$7:$AO$59,"*V3*",IncState!Y$7:Y$59)-SUMIF(CashFlow!$A$27:$AO$31,"*V3*",CashFlow!Y$27:Y$31))*Assumptions!$C$54)+((SUMIF(IncState!$A$7:$AO$59,"*V4*",IncState!Y$7:Y$59)-SUMIF(CashFlow!$A$27:$AO$31,"*V4*",CashFlow!Y$27:Y$31))*Assumptions!$C$55)</f>
        <v>39048.75</v>
      </c>
      <c r="AA63" s="114">
        <f ca="1">((SUMIF(IncState!$A$7:$AO$59,"*V1*",IncState!Z$7:Z$59)-SUMIF(CashFlow!$A$27:$AO$31,"*V1*",CashFlow!Z$27:Z$31))*Assumptions!$C$52)+((SUMIF(IncState!$A$7:$AO$59,"*V2*",IncState!Z$7:Z$59)-SUMIF(CashFlow!$A$27:$AO$31,"*V2*",CashFlow!Z$27:Z$31))*Assumptions!$C$53)+((SUMIF(IncState!$A$7:$AO$59,"*V3*",IncState!Z$7:Z$59)-SUMIF(CashFlow!$A$27:$AO$31,"*V3*",CashFlow!Z$27:Z$31))*Assumptions!$C$54)+((SUMIF(IncState!$A$7:$AO$59,"*V4*",IncState!Z$7:Z$59)-SUMIF(CashFlow!$A$27:$AO$31,"*V4*",CashFlow!Z$27:Z$31))*Assumptions!$C$55)</f>
        <v>44047.65</v>
      </c>
      <c r="AB63" s="114">
        <f ca="1">((SUMIF(IncState!$A$7:$AO$59,"*V1*",IncState!AA$7:AA$59)-SUMIF(CashFlow!$A$27:$AO$31,"*V1*",CashFlow!AA$27:AA$31))*Assumptions!$C$52)+((SUMIF(IncState!$A$7:$AO$59,"*V2*",IncState!AA$7:AA$59)-SUMIF(CashFlow!$A$27:$AO$31,"*V2*",CashFlow!AA$27:AA$31))*Assumptions!$C$53)+((SUMIF(IncState!$A$7:$AO$59,"*V3*",IncState!AA$7:AA$59)-SUMIF(CashFlow!$A$27:$AO$31,"*V3*",CashFlow!AA$27:AA$31))*Assumptions!$C$54)+((SUMIF(IncState!$A$7:$AO$59,"*V4*",IncState!AA$7:AA$59)-SUMIF(CashFlow!$A$27:$AO$31,"*V4*",CashFlow!AA$27:AA$31))*Assumptions!$C$55)</f>
        <v>37855.049999999996</v>
      </c>
      <c r="AC63" s="109"/>
      <c r="AD63" s="114">
        <f ca="1">((SUMIF(IncState!$A$7:$AO$59,"*V1*",IncState!AC$7:AC$59)-SUMIF(CashFlow!$A$27:$AO$31,"*V1*",CashFlow!AC$27:AC$31))*Assumptions!$C$52)+((SUMIF(IncState!$A$7:$AO$59,"*V2*",IncState!AC$7:AC$59)-SUMIF(CashFlow!$A$27:$AO$31,"*V2*",CashFlow!AC$27:AC$31))*Assumptions!$C$53)+((SUMIF(IncState!$A$7:$AO$59,"*V3*",IncState!AC$7:AC$59)-SUMIF(CashFlow!$A$27:$AO$31,"*V3*",CashFlow!AC$27:AC$31))*Assumptions!$C$54)+((SUMIF(IncState!$A$7:$AO$59,"*V4*",IncState!AC$7:AC$59)-SUMIF(CashFlow!$A$27:$AO$31,"*V4*",CashFlow!AC$27:AC$31))*Assumptions!$C$55)</f>
        <v>38063.25</v>
      </c>
      <c r="AE63" s="114">
        <f ca="1">((SUMIF(IncState!$A$7:$AO$59,"*V1*",IncState!AD$7:AD$59)-SUMIF(CashFlow!$A$27:$AO$31,"*V1*",CashFlow!AD$27:AD$31))*Assumptions!$C$52)+((SUMIF(IncState!$A$7:$AO$59,"*V2*",IncState!AD$7:AD$59)-SUMIF(CashFlow!$A$27:$AO$31,"*V2*",CashFlow!AD$27:AD$31))*Assumptions!$C$53)+((SUMIF(IncState!$A$7:$AO$59,"*V3*",IncState!AD$7:AD$59)-SUMIF(CashFlow!$A$27:$AO$31,"*V3*",CashFlow!AD$27:AD$31))*Assumptions!$C$54)+((SUMIF(IncState!$A$7:$AO$59,"*V4*",IncState!AD$7:AD$59)-SUMIF(CashFlow!$A$27:$AO$31,"*V4*",CashFlow!AD$27:AD$31))*Assumptions!$C$55)</f>
        <v>47565</v>
      </c>
      <c r="AF63" s="114">
        <f ca="1">((SUMIF(IncState!$A$7:$AO$59,"*V1*",IncState!AE$7:AE$59)-SUMIF(CashFlow!$A$27:$AO$31,"*V1*",CashFlow!AE$27:AE$31))*Assumptions!$C$52)+((SUMIF(IncState!$A$7:$AO$59,"*V2*",IncState!AE$7:AE$59)-SUMIF(CashFlow!$A$27:$AO$31,"*V2*",CashFlow!AE$27:AE$31))*Assumptions!$C$53)+((SUMIF(IncState!$A$7:$AO$59,"*V3*",IncState!AE$7:AE$59)-SUMIF(CashFlow!$A$27:$AO$31,"*V3*",CashFlow!AE$27:AE$31))*Assumptions!$C$54)+((SUMIF(IncState!$A$7:$AO$59,"*V4*",IncState!AE$7:AE$59)-SUMIF(CashFlow!$A$27:$AO$31,"*V4*",CashFlow!AE$27:AE$31))*Assumptions!$C$55)</f>
        <v>40889.25</v>
      </c>
      <c r="AG63" s="114">
        <f ca="1">((SUMIF(IncState!$A$7:$AO$59,"*V1*",IncState!AF$7:AF$59)-SUMIF(CashFlow!$A$27:$AO$31,"*V1*",CashFlow!AF$27:AF$31))*Assumptions!$C$52)+((SUMIF(IncState!$A$7:$AO$59,"*V2*",IncState!AF$7:AF$59)-SUMIF(CashFlow!$A$27:$AO$31,"*V2*",CashFlow!AF$27:AF$31))*Assumptions!$C$53)+((SUMIF(IncState!$A$7:$AO$59,"*V3*",IncState!AF$7:AF$59)-SUMIF(CashFlow!$A$27:$AO$31,"*V3*",CashFlow!AF$27:AF$31))*Assumptions!$C$54)+((SUMIF(IncState!$A$7:$AO$59,"*V4*",IncState!AF$7:AF$59)-SUMIF(CashFlow!$A$27:$AO$31,"*V4*",CashFlow!AF$27:AF$31))*Assumptions!$C$55)</f>
        <v>43913.25</v>
      </c>
      <c r="AH63" s="114">
        <f ca="1">((SUMIF(IncState!$A$7:$AO$59,"*V1*",IncState!AG$7:AG$59)-SUMIF(CashFlow!$A$27:$AO$31,"*V1*",CashFlow!AG$27:AG$31))*Assumptions!$C$52)+((SUMIF(IncState!$A$7:$AO$59,"*V2*",IncState!AG$7:AG$59)-SUMIF(CashFlow!$A$27:$AO$31,"*V2*",CashFlow!AG$27:AG$31))*Assumptions!$C$53)+((SUMIF(IncState!$A$7:$AO$59,"*V3*",IncState!AG$7:AG$59)-SUMIF(CashFlow!$A$27:$AO$31,"*V3*",CashFlow!AG$27:AG$31))*Assumptions!$C$54)+((SUMIF(IncState!$A$7:$AO$59,"*V4*",IncState!AG$7:AG$59)-SUMIF(CashFlow!$A$27:$AO$31,"*V4*",CashFlow!AG$27:AG$31))*Assumptions!$C$55)</f>
        <v>54630.75</v>
      </c>
      <c r="AI63" s="114">
        <f ca="1">((SUMIF(IncState!$A$7:$AO$59,"*V1*",IncState!AH$7:AH$59)-SUMIF(CashFlow!$A$27:$AO$31,"*V1*",CashFlow!AH$27:AH$31))*Assumptions!$C$52)+((SUMIF(IncState!$A$7:$AO$59,"*V2*",IncState!AH$7:AH$59)-SUMIF(CashFlow!$A$27:$AO$31,"*V2*",CashFlow!AH$27:AH$31))*Assumptions!$C$53)+((SUMIF(IncState!$A$7:$AO$59,"*V3*",IncState!AH$7:AH$59)-SUMIF(CashFlow!$A$27:$AO$31,"*V3*",CashFlow!AH$27:AH$31))*Assumptions!$C$54)+((SUMIF(IncState!$A$7:$AO$59,"*V4*",IncState!AH$7:AH$59)-SUMIF(CashFlow!$A$27:$AO$31,"*V4*",CashFlow!AH$27:AH$31))*Assumptions!$C$55)</f>
        <v>43678.35</v>
      </c>
      <c r="AJ63" s="114">
        <f ca="1">((SUMIF(IncState!$A$7:$AO$59,"*V1*",IncState!AI$7:AI$59)-SUMIF(CashFlow!$A$27:$AO$31,"*V1*",CashFlow!AI$27:AI$31))*Assumptions!$C$52)+((SUMIF(IncState!$A$7:$AO$59,"*V2*",IncState!AI$7:AI$59)-SUMIF(CashFlow!$A$27:$AO$31,"*V2*",CashFlow!AI$27:AI$31))*Assumptions!$C$53)+((SUMIF(IncState!$A$7:$AO$59,"*V3*",IncState!AI$7:AI$59)-SUMIF(CashFlow!$A$27:$AO$31,"*V3*",CashFlow!AI$27:AI$31))*Assumptions!$C$54)+((SUMIF(IncState!$A$7:$AO$59,"*V4*",IncState!AI$7:AI$59)-SUMIF(CashFlow!$A$27:$AO$31,"*V4*",CashFlow!AI$27:AI$31))*Assumptions!$C$55)</f>
        <v>42042.9</v>
      </c>
      <c r="AK63" s="114">
        <f ca="1">((SUMIF(IncState!$A$7:$AO$59,"*V1*",IncState!AJ$7:AJ$59)-SUMIF(CashFlow!$A$27:$AO$31,"*V1*",CashFlow!AJ$27:AJ$31))*Assumptions!$C$52)+((SUMIF(IncState!$A$7:$AO$59,"*V2*",IncState!AJ$7:AJ$59)-SUMIF(CashFlow!$A$27:$AO$31,"*V2*",CashFlow!AJ$27:AJ$31))*Assumptions!$C$53)+((SUMIF(IncState!$A$7:$AO$59,"*V3*",IncState!AJ$7:AJ$59)-SUMIF(CashFlow!$A$27:$AO$31,"*V3*",CashFlow!AJ$27:AJ$31))*Assumptions!$C$54)+((SUMIF(IncState!$A$7:$AO$59,"*V4*",IncState!AJ$7:AJ$59)-SUMIF(CashFlow!$A$27:$AO$31,"*V4*",CashFlow!AJ$27:AJ$31))*Assumptions!$C$55)</f>
        <v>41987.549999999996</v>
      </c>
      <c r="AL63" s="114">
        <f ca="1">((SUMIF(IncState!$A$7:$AO$59,"*V1*",IncState!AK$7:AK$59)-SUMIF(CashFlow!$A$27:$AO$31,"*V1*",CashFlow!AK$27:AK$31))*Assumptions!$C$52)+((SUMIF(IncState!$A$7:$AO$59,"*V2*",IncState!AK$7:AK$59)-SUMIF(CashFlow!$A$27:$AO$31,"*V2*",CashFlow!AK$27:AK$31))*Assumptions!$C$53)+((SUMIF(IncState!$A$7:$AO$59,"*V3*",IncState!AK$7:AK$59)-SUMIF(CashFlow!$A$27:$AO$31,"*V3*",CashFlow!AK$27:AK$31))*Assumptions!$C$54)+((SUMIF(IncState!$A$7:$AO$59,"*V4*",IncState!AK$7:AK$59)-SUMIF(CashFlow!$A$27:$AO$31,"*V4*",CashFlow!AK$27:AK$31))*Assumptions!$C$55)</f>
        <v>47098.65</v>
      </c>
      <c r="AM63" s="114">
        <f ca="1">((SUMIF(IncState!$A$7:$AO$59,"*V1*",IncState!AL$7:AL$59)-SUMIF(CashFlow!$A$27:$AO$31,"*V1*",CashFlow!AL$27:AL$31))*Assumptions!$C$52)+((SUMIF(IncState!$A$7:$AO$59,"*V2*",IncState!AL$7:AL$59)-SUMIF(CashFlow!$A$27:$AO$31,"*V2*",CashFlow!AL$27:AL$31))*Assumptions!$C$53)+((SUMIF(IncState!$A$7:$AO$59,"*V3*",IncState!AL$7:AL$59)-SUMIF(CashFlow!$A$27:$AO$31,"*V3*",CashFlow!AL$27:AL$31))*Assumptions!$C$54)+((SUMIF(IncState!$A$7:$AO$59,"*V4*",IncState!AL$7:AL$59)-SUMIF(CashFlow!$A$27:$AO$31,"*V4*",CashFlow!AL$27:AL$31))*Assumptions!$C$55)</f>
        <v>37258.65</v>
      </c>
      <c r="AN63" s="114">
        <f ca="1">((SUMIF(IncState!$A$7:$AO$59,"*V1*",IncState!AM$7:AM$59)-SUMIF(CashFlow!$A$27:$AO$31,"*V1*",CashFlow!AM$27:AM$31))*Assumptions!$C$52)+((SUMIF(IncState!$A$7:$AO$59,"*V2*",IncState!AM$7:AM$59)-SUMIF(CashFlow!$A$27:$AO$31,"*V2*",CashFlow!AM$27:AM$31))*Assumptions!$C$53)+((SUMIF(IncState!$A$7:$AO$59,"*V3*",IncState!AM$7:AM$59)-SUMIF(CashFlow!$A$27:$AO$31,"*V3*",CashFlow!AM$27:AM$31))*Assumptions!$C$54)+((SUMIF(IncState!$A$7:$AO$59,"*V4*",IncState!AM$7:AM$59)-SUMIF(CashFlow!$A$27:$AO$31,"*V4*",CashFlow!AM$27:AM$31))*Assumptions!$C$55)</f>
        <v>44880.9</v>
      </c>
      <c r="AO63" s="114">
        <f ca="1">((SUMIF(IncState!$A$7:$AO$59,"*V1*",IncState!AN$7:AN$59)-SUMIF(CashFlow!$A$27:$AO$31,"*V1*",CashFlow!AN$27:AN$31))*Assumptions!$C$52)+((SUMIF(IncState!$A$7:$AO$59,"*V2*",IncState!AN$7:AN$59)-SUMIF(CashFlow!$A$27:$AO$31,"*V2*",CashFlow!AN$27:AN$31))*Assumptions!$C$53)+((SUMIF(IncState!$A$7:$AO$59,"*V3*",IncState!AN$7:AN$59)-SUMIF(CashFlow!$A$27:$AO$31,"*V3*",CashFlow!AN$27:AN$31))*Assumptions!$C$54)+((SUMIF(IncState!$A$7:$AO$59,"*V4*",IncState!AN$7:AN$59)-SUMIF(CashFlow!$A$27:$AO$31,"*V4*",CashFlow!AN$27:AN$31))*Assumptions!$C$55)</f>
        <v>43637.7</v>
      </c>
      <c r="AP63" s="109"/>
    </row>
    <row r="64" spans="1:42" s="15" customFormat="1" ht="16.149999999999999" customHeight="1" x14ac:dyDescent="0.25">
      <c r="A64" s="164"/>
      <c r="B64" s="6" t="s">
        <v>207</v>
      </c>
      <c r="C64" s="84"/>
      <c r="D64" s="84"/>
      <c r="E64" s="84"/>
      <c r="F64" s="84"/>
      <c r="G64" s="84"/>
      <c r="P64" s="109"/>
      <c r="AC64" s="109"/>
      <c r="AP64" s="109"/>
    </row>
    <row r="65" spans="1:42" s="15" customFormat="1" ht="16.149999999999999" customHeight="1" x14ac:dyDescent="0.25">
      <c r="A65" s="164"/>
      <c r="B65" s="6" t="s">
        <v>195</v>
      </c>
      <c r="C65" s="116" t="str">
        <f ca="1">IF(OR(MONTH(C$4)=Assumptions!$C$63,((MONTH(C$4)-Assumptions!$C$63)/MAX(Assumptions!$C$62,1))-ROUND((MONTH(C$4)-Assumptions!$C$63)/MAX(Assumptions!$C$62,1),0)=0),"Yes","No")</f>
        <v>Yes</v>
      </c>
      <c r="D65" s="116" t="str">
        <f ca="1">IF(OR(MONTH(D$4)=Assumptions!$C$63,((MONTH(D$4)-Assumptions!$C$63)/MAX(Assumptions!$C$62,1))-ROUND((MONTH(D$4)-Assumptions!$C$63)/MAX(Assumptions!$C$62,1),0)=0),"Yes","No")</f>
        <v>No</v>
      </c>
      <c r="E65" s="116" t="str">
        <f ca="1">IF(OR(MONTH(E$4)=Assumptions!$C$63,((MONTH(E$4)-Assumptions!$C$63)/MAX(Assumptions!$C$62,1))-ROUND((MONTH(E$4)-Assumptions!$C$63)/MAX(Assumptions!$C$62,1),0)=0),"Yes","No")</f>
        <v>No</v>
      </c>
      <c r="F65" s="116" t="str">
        <f ca="1">IF(OR(MONTH(F$4)=Assumptions!$C$63,((MONTH(F$4)-Assumptions!$C$63)/MAX(Assumptions!$C$62,1))-ROUND((MONTH(F$4)-Assumptions!$C$63)/MAX(Assumptions!$C$62,1),0)=0),"Yes","No")</f>
        <v>No</v>
      </c>
      <c r="G65" s="116" t="str">
        <f ca="1">IF(OR(MONTH(G$4)=Assumptions!$C$63,((MONTH(G$4)-Assumptions!$C$63)/MAX(Assumptions!$C$62,1))-ROUND((MONTH(G$4)-Assumptions!$C$63)/MAX(Assumptions!$C$62,1),0)=0),"Yes","No")</f>
        <v>No</v>
      </c>
      <c r="H65" s="116" t="str">
        <f ca="1">IF(OR(MONTH(H$4)=Assumptions!$C$63,((MONTH(H$4)-Assumptions!$C$63)/MAX(Assumptions!$C$62,1))-ROUND((MONTH(H$4)-Assumptions!$C$63)/MAX(Assumptions!$C$62,1),0)=0),"Yes","No")</f>
        <v>No</v>
      </c>
      <c r="I65" s="116" t="str">
        <f ca="1">IF(OR(MONTH(I$4)=Assumptions!$C$63,((MONTH(I$4)-Assumptions!$C$63)/MAX(Assumptions!$C$62,1))-ROUND((MONTH(I$4)-Assumptions!$C$63)/MAX(Assumptions!$C$62,1),0)=0),"Yes","No")</f>
        <v>Yes</v>
      </c>
      <c r="J65" s="116" t="str">
        <f ca="1">IF(OR(MONTH(J$4)=Assumptions!$C$63,((MONTH(J$4)-Assumptions!$C$63)/MAX(Assumptions!$C$62,1))-ROUND((MONTH(J$4)-Assumptions!$C$63)/MAX(Assumptions!$C$62,1),0)=0),"Yes","No")</f>
        <v>No</v>
      </c>
      <c r="K65" s="116" t="str">
        <f ca="1">IF(OR(MONTH(K$4)=Assumptions!$C$63,((MONTH(K$4)-Assumptions!$C$63)/MAX(Assumptions!$C$62,1))-ROUND((MONTH(K$4)-Assumptions!$C$63)/MAX(Assumptions!$C$62,1),0)=0),"Yes","No")</f>
        <v>No</v>
      </c>
      <c r="L65" s="116" t="str">
        <f ca="1">IF(OR(MONTH(L$4)=Assumptions!$C$63,((MONTH(L$4)-Assumptions!$C$63)/MAX(Assumptions!$C$62,1))-ROUND((MONTH(L$4)-Assumptions!$C$63)/MAX(Assumptions!$C$62,1),0)=0),"Yes","No")</f>
        <v>No</v>
      </c>
      <c r="M65" s="116" t="str">
        <f ca="1">IF(OR(MONTH(M$4)=Assumptions!$C$63,((MONTH(M$4)-Assumptions!$C$63)/MAX(Assumptions!$C$62,1))-ROUND((MONTH(M$4)-Assumptions!$C$63)/MAX(Assumptions!$C$62,1),0)=0),"Yes","No")</f>
        <v>No</v>
      </c>
      <c r="N65" s="116" t="str">
        <f ca="1">IF(OR(MONTH(N$4)=Assumptions!$C$63,((MONTH(N$4)-Assumptions!$C$63)/MAX(Assumptions!$C$62,1))-ROUND((MONTH(N$4)-Assumptions!$C$63)/MAX(Assumptions!$C$62,1),0)=0),"Yes","No")</f>
        <v>No</v>
      </c>
      <c r="O65" s="116" t="str">
        <f ca="1">IF(OR(MONTH(O$4)=Assumptions!$C$63,((MONTH(O$4)-Assumptions!$C$63)/MAX(Assumptions!$C$62,1))-ROUND((MONTH(O$4)-Assumptions!$C$63)/MAX(Assumptions!$C$62,1),0)=0),"Yes","No")</f>
        <v>Yes</v>
      </c>
      <c r="P65" s="109"/>
      <c r="Q65" s="116" t="str">
        <f ca="1">IF(OR(MONTH(Q$4)=Assumptions!$C$63,((MONTH(Q$4)-Assumptions!$C$63)/MAX(Assumptions!$C$62,1))-ROUND((MONTH(Q$4)-Assumptions!$C$63)/MAX(Assumptions!$C$62,1),0)=0),"Yes","No")</f>
        <v>No</v>
      </c>
      <c r="R65" s="116" t="str">
        <f ca="1">IF(OR(MONTH(R$4)=Assumptions!$C$63,((MONTH(R$4)-Assumptions!$C$63)/MAX(Assumptions!$C$62,1))-ROUND((MONTH(R$4)-Assumptions!$C$63)/MAX(Assumptions!$C$62,1),0)=0),"Yes","No")</f>
        <v>No</v>
      </c>
      <c r="S65" s="116" t="str">
        <f ca="1">IF(OR(MONTH(S$4)=Assumptions!$C$63,((MONTH(S$4)-Assumptions!$C$63)/MAX(Assumptions!$C$62,1))-ROUND((MONTH(S$4)-Assumptions!$C$63)/MAX(Assumptions!$C$62,1),0)=0),"Yes","No")</f>
        <v>No</v>
      </c>
      <c r="T65" s="116" t="str">
        <f ca="1">IF(OR(MONTH(T$4)=Assumptions!$C$63,((MONTH(T$4)-Assumptions!$C$63)/MAX(Assumptions!$C$62,1))-ROUND((MONTH(T$4)-Assumptions!$C$63)/MAX(Assumptions!$C$62,1),0)=0),"Yes","No")</f>
        <v>No</v>
      </c>
      <c r="U65" s="116" t="str">
        <f ca="1">IF(OR(MONTH(U$4)=Assumptions!$C$63,((MONTH(U$4)-Assumptions!$C$63)/MAX(Assumptions!$C$62,1))-ROUND((MONTH(U$4)-Assumptions!$C$63)/MAX(Assumptions!$C$62,1),0)=0),"Yes","No")</f>
        <v>No</v>
      </c>
      <c r="V65" s="116" t="str">
        <f ca="1">IF(OR(MONTH(V$4)=Assumptions!$C$63,((MONTH(V$4)-Assumptions!$C$63)/MAX(Assumptions!$C$62,1))-ROUND((MONTH(V$4)-Assumptions!$C$63)/MAX(Assumptions!$C$62,1),0)=0),"Yes","No")</f>
        <v>Yes</v>
      </c>
      <c r="W65" s="116" t="str">
        <f ca="1">IF(OR(MONTH(W$4)=Assumptions!$C$63,((MONTH(W$4)-Assumptions!$C$63)/MAX(Assumptions!$C$62,1))-ROUND((MONTH(W$4)-Assumptions!$C$63)/MAX(Assumptions!$C$62,1),0)=0),"Yes","No")</f>
        <v>No</v>
      </c>
      <c r="X65" s="116" t="str">
        <f ca="1">IF(OR(MONTH(X$4)=Assumptions!$C$63,((MONTH(X$4)-Assumptions!$C$63)/MAX(Assumptions!$C$62,1))-ROUND((MONTH(X$4)-Assumptions!$C$63)/MAX(Assumptions!$C$62,1),0)=0),"Yes","No")</f>
        <v>No</v>
      </c>
      <c r="Y65" s="116" t="str">
        <f ca="1">IF(OR(MONTH(Y$4)=Assumptions!$C$63,((MONTH(Y$4)-Assumptions!$C$63)/MAX(Assumptions!$C$62,1))-ROUND((MONTH(Y$4)-Assumptions!$C$63)/MAX(Assumptions!$C$62,1),0)=0),"Yes","No")</f>
        <v>No</v>
      </c>
      <c r="Z65" s="116" t="str">
        <f ca="1">IF(OR(MONTH(Z$4)=Assumptions!$C$63,((MONTH(Z$4)-Assumptions!$C$63)/MAX(Assumptions!$C$62,1))-ROUND((MONTH(Z$4)-Assumptions!$C$63)/MAX(Assumptions!$C$62,1),0)=0),"Yes","No")</f>
        <v>No</v>
      </c>
      <c r="AA65" s="116" t="str">
        <f ca="1">IF(OR(MONTH(AA$4)=Assumptions!$C$63,((MONTH(AA$4)-Assumptions!$C$63)/MAX(Assumptions!$C$62,1))-ROUND((MONTH(AA$4)-Assumptions!$C$63)/MAX(Assumptions!$C$62,1),0)=0),"Yes","No")</f>
        <v>No</v>
      </c>
      <c r="AB65" s="116" t="str">
        <f ca="1">IF(OR(MONTH(AB$4)=Assumptions!$C$63,((MONTH(AB$4)-Assumptions!$C$63)/MAX(Assumptions!$C$62,1))-ROUND((MONTH(AB$4)-Assumptions!$C$63)/MAX(Assumptions!$C$62,1),0)=0),"Yes","No")</f>
        <v>Yes</v>
      </c>
      <c r="AC65" s="109"/>
      <c r="AD65" s="116" t="str">
        <f ca="1">IF(OR(MONTH(AD$4)=Assumptions!$C$63,((MONTH(AD$4)-Assumptions!$C$63)/MAX(Assumptions!$C$62,1))-ROUND((MONTH(AD$4)-Assumptions!$C$63)/MAX(Assumptions!$C$62,1),0)=0),"Yes","No")</f>
        <v>No</v>
      </c>
      <c r="AE65" s="116" t="str">
        <f ca="1">IF(OR(MONTH(AE$4)=Assumptions!$C$63,((MONTH(AE$4)-Assumptions!$C$63)/MAX(Assumptions!$C$62,1))-ROUND((MONTH(AE$4)-Assumptions!$C$63)/MAX(Assumptions!$C$62,1),0)=0),"Yes","No")</f>
        <v>No</v>
      </c>
      <c r="AF65" s="116" t="str">
        <f ca="1">IF(OR(MONTH(AF$4)=Assumptions!$C$63,((MONTH(AF$4)-Assumptions!$C$63)/MAX(Assumptions!$C$62,1))-ROUND((MONTH(AF$4)-Assumptions!$C$63)/MAX(Assumptions!$C$62,1),0)=0),"Yes","No")</f>
        <v>No</v>
      </c>
      <c r="AG65" s="116" t="str">
        <f ca="1">IF(OR(MONTH(AG$4)=Assumptions!$C$63,((MONTH(AG$4)-Assumptions!$C$63)/MAX(Assumptions!$C$62,1))-ROUND((MONTH(AG$4)-Assumptions!$C$63)/MAX(Assumptions!$C$62,1),0)=0),"Yes","No")</f>
        <v>No</v>
      </c>
      <c r="AH65" s="116" t="str">
        <f ca="1">IF(OR(MONTH(AH$4)=Assumptions!$C$63,((MONTH(AH$4)-Assumptions!$C$63)/MAX(Assumptions!$C$62,1))-ROUND((MONTH(AH$4)-Assumptions!$C$63)/MAX(Assumptions!$C$62,1),0)=0),"Yes","No")</f>
        <v>No</v>
      </c>
      <c r="AI65" s="116" t="str">
        <f ca="1">IF(OR(MONTH(AI$4)=Assumptions!$C$63,((MONTH(AI$4)-Assumptions!$C$63)/MAX(Assumptions!$C$62,1))-ROUND((MONTH(AI$4)-Assumptions!$C$63)/MAX(Assumptions!$C$62,1),0)=0),"Yes","No")</f>
        <v>Yes</v>
      </c>
      <c r="AJ65" s="116" t="str">
        <f ca="1">IF(OR(MONTH(AJ$4)=Assumptions!$C$63,((MONTH(AJ$4)-Assumptions!$C$63)/MAX(Assumptions!$C$62,1))-ROUND((MONTH(AJ$4)-Assumptions!$C$63)/MAX(Assumptions!$C$62,1),0)=0),"Yes","No")</f>
        <v>No</v>
      </c>
      <c r="AK65" s="116" t="str">
        <f ca="1">IF(OR(MONTH(AK$4)=Assumptions!$C$63,((MONTH(AK$4)-Assumptions!$C$63)/MAX(Assumptions!$C$62,1))-ROUND((MONTH(AK$4)-Assumptions!$C$63)/MAX(Assumptions!$C$62,1),0)=0),"Yes","No")</f>
        <v>No</v>
      </c>
      <c r="AL65" s="116" t="str">
        <f ca="1">IF(OR(MONTH(AL$4)=Assumptions!$C$63,((MONTH(AL$4)-Assumptions!$C$63)/MAX(Assumptions!$C$62,1))-ROUND((MONTH(AL$4)-Assumptions!$C$63)/MAX(Assumptions!$C$62,1),0)=0),"Yes","No")</f>
        <v>No</v>
      </c>
      <c r="AM65" s="116" t="str">
        <f ca="1">IF(OR(MONTH(AM$4)=Assumptions!$C$63,((MONTH(AM$4)-Assumptions!$C$63)/MAX(Assumptions!$C$62,1))-ROUND((MONTH(AM$4)-Assumptions!$C$63)/MAX(Assumptions!$C$62,1),0)=0),"Yes","No")</f>
        <v>No</v>
      </c>
      <c r="AN65" s="116" t="str">
        <f ca="1">IF(OR(MONTH(AN$4)=Assumptions!$C$63,((MONTH(AN$4)-Assumptions!$C$63)/MAX(Assumptions!$C$62,1))-ROUND((MONTH(AN$4)-Assumptions!$C$63)/MAX(Assumptions!$C$62,1),0)=0),"Yes","No")</f>
        <v>No</v>
      </c>
      <c r="AO65" s="116" t="str">
        <f ca="1">IF(OR(MONTH(AO$4)=Assumptions!$C$63,((MONTH(AO$4)-Assumptions!$C$63)/MAX(Assumptions!$C$62,1))-ROUND((MONTH(AO$4)-Assumptions!$C$63)/MAX(Assumptions!$C$62,1),0)=0),"Yes","No")</f>
        <v>Yes</v>
      </c>
      <c r="AP65" s="109"/>
    </row>
    <row r="66" spans="1:42" s="15" customFormat="1" ht="16.149999999999999" customHeight="1" x14ac:dyDescent="0.25">
      <c r="A66" s="164"/>
      <c r="B66" s="6" t="s">
        <v>196</v>
      </c>
      <c r="C66" s="118">
        <f ca="1">IF(C65="Yes",1-Assumptions!$D$64,IF(ISTEXT(B66),Assumptions!$C$62-MATCH("Yes",$C$65:$AO$65,0)+COLUMN($B$4),IF(ISBLANK(B66),A66+2,B66+1)))</f>
        <v>0</v>
      </c>
      <c r="D66" s="118">
        <f ca="1">IF(D65="Yes",1-Assumptions!$D$64,IF(ISTEXT(C66),Assumptions!$C$62-MATCH("Yes",$C$65:$AO$65,0)+COLUMN($B$4),IF(ISBLANK(C66),B66+2,C66+1)))</f>
        <v>1</v>
      </c>
      <c r="E66" s="118">
        <f ca="1">IF(E65="Yes",1-Assumptions!$D$64,IF(ISTEXT(D66),Assumptions!$C$62-MATCH("Yes",$C$65:$AO$65,0)+COLUMN($B$4),IF(ISBLANK(D66),C66+2,D66+1)))</f>
        <v>2</v>
      </c>
      <c r="F66" s="118">
        <f ca="1">IF(F65="Yes",1-Assumptions!$D$64,IF(ISTEXT(E66),Assumptions!$C$62-MATCH("Yes",$C$65:$AO$65,0)+COLUMN($B$4),IF(ISBLANK(E66),D66+2,E66+1)))</f>
        <v>3</v>
      </c>
      <c r="G66" s="118">
        <f ca="1">IF(G65="Yes",1-Assumptions!$D$64,IF(ISTEXT(F66),Assumptions!$C$62-MATCH("Yes",$C$65:$AO$65,0)+COLUMN($B$4),IF(ISBLANK(F66),E66+2,F66+1)))</f>
        <v>4</v>
      </c>
      <c r="H66" s="118">
        <f ca="1">IF(H65="Yes",1-Assumptions!$D$64,IF(ISTEXT(G66),Assumptions!$C$62-MATCH("Yes",$C$65:$AO$65,0)+COLUMN($B$4),IF(ISBLANK(G66),F66+2,G66+1)))</f>
        <v>5</v>
      </c>
      <c r="I66" s="118">
        <f ca="1">IF(I65="Yes",1-Assumptions!$D$64,IF(ISTEXT(H66),Assumptions!$C$62-MATCH("Yes",$C$65:$AO$65,0)+COLUMN($B$4),IF(ISBLANK(H66),G66+2,H66+1)))</f>
        <v>0</v>
      </c>
      <c r="J66" s="118">
        <f ca="1">IF(J65="Yes",1-Assumptions!$D$64,IF(ISTEXT(I66),Assumptions!$C$62-MATCH("Yes",$C$65:$AO$65,0)+COLUMN($B$4),IF(ISBLANK(I66),H66+2,I66+1)))</f>
        <v>1</v>
      </c>
      <c r="K66" s="118">
        <f ca="1">IF(K65="Yes",1-Assumptions!$D$64,IF(ISTEXT(J66),Assumptions!$C$62-MATCH("Yes",$C$65:$AO$65,0)+COLUMN($B$4),IF(ISBLANK(J66),I66+2,J66+1)))</f>
        <v>2</v>
      </c>
      <c r="L66" s="118">
        <f ca="1">IF(L65="Yes",1-Assumptions!$D$64,IF(ISTEXT(K66),Assumptions!$C$62-MATCH("Yes",$C$65:$AO$65,0)+COLUMN($B$4),IF(ISBLANK(K66),J66+2,K66+1)))</f>
        <v>3</v>
      </c>
      <c r="M66" s="118">
        <f ca="1">IF(M65="Yes",1-Assumptions!$D$64,IF(ISTEXT(L66),Assumptions!$C$62-MATCH("Yes",$C$65:$AO$65,0)+COLUMN($B$4),IF(ISBLANK(L66),K66+2,L66+1)))</f>
        <v>4</v>
      </c>
      <c r="N66" s="118">
        <f ca="1">IF(N65="Yes",1-Assumptions!$D$64,IF(ISTEXT(M66),Assumptions!$C$62-MATCH("Yes",$C$65:$AO$65,0)+COLUMN($B$4),IF(ISBLANK(M66),L66+2,M66+1)))</f>
        <v>5</v>
      </c>
      <c r="O66" s="118">
        <f ca="1">IF(O65="Yes",1-Assumptions!$D$64,IF(ISTEXT(N66),Assumptions!$C$62-MATCH("Yes",$C$65:$AO$65,0)+COLUMN($B$4),IF(ISBLANK(N66),M66+2,N66+1)))</f>
        <v>0</v>
      </c>
      <c r="P66" s="109"/>
      <c r="Q66" s="118">
        <f ca="1">IF(Q65="Yes",1-Assumptions!$D$64,IF(ISTEXT(P66),Assumptions!$C$62-MATCH("Yes",$C$65:$AO$65,0)+COLUMN($B$4),IF(ISBLANK(P66),O66+2,P66+1)))</f>
        <v>2</v>
      </c>
      <c r="R66" s="118">
        <f ca="1">IF(R65="Yes",1-Assumptions!$D$64,IF(ISTEXT(Q66),Assumptions!$C$62-MATCH("Yes",$C$65:$AO$65,0)+COLUMN($B$4),IF(ISBLANK(Q66),P66+2,Q66+1)))</f>
        <v>3</v>
      </c>
      <c r="S66" s="118">
        <f ca="1">IF(S65="Yes",1-Assumptions!$D$64,IF(ISTEXT(R66),Assumptions!$C$62-MATCH("Yes",$C$65:$AO$65,0)+COLUMN($B$4),IF(ISBLANK(R66),Q66+2,R66+1)))</f>
        <v>4</v>
      </c>
      <c r="T66" s="118">
        <f ca="1">IF(T65="Yes",1-Assumptions!$D$64,IF(ISTEXT(S66),Assumptions!$C$62-MATCH("Yes",$C$65:$AO$65,0)+COLUMN($B$4),IF(ISBLANK(S66),R66+2,S66+1)))</f>
        <v>5</v>
      </c>
      <c r="U66" s="118">
        <f ca="1">IF(U65="Yes",1-Assumptions!$D$64,IF(ISTEXT(T66),Assumptions!$C$62-MATCH("Yes",$C$65:$AO$65,0)+COLUMN($B$4),IF(ISBLANK(T66),S66+2,T66+1)))</f>
        <v>6</v>
      </c>
      <c r="V66" s="118">
        <f ca="1">IF(V65="Yes",1-Assumptions!$D$64,IF(ISTEXT(U66),Assumptions!$C$62-MATCH("Yes",$C$65:$AO$65,0)+COLUMN($B$4),IF(ISBLANK(U66),T66+2,U66+1)))</f>
        <v>0</v>
      </c>
      <c r="W66" s="118">
        <f ca="1">IF(W65="Yes",1-Assumptions!$D$64,IF(ISTEXT(V66),Assumptions!$C$62-MATCH("Yes",$C$65:$AO$65,0)+COLUMN($B$4),IF(ISBLANK(V66),U66+2,V66+1)))</f>
        <v>1</v>
      </c>
      <c r="X66" s="118">
        <f ca="1">IF(X65="Yes",1-Assumptions!$D$64,IF(ISTEXT(W66),Assumptions!$C$62-MATCH("Yes",$C$65:$AO$65,0)+COLUMN($B$4),IF(ISBLANK(W66),V66+2,W66+1)))</f>
        <v>2</v>
      </c>
      <c r="Y66" s="118">
        <f ca="1">IF(Y65="Yes",1-Assumptions!$D$64,IF(ISTEXT(X66),Assumptions!$C$62-MATCH("Yes",$C$65:$AO$65,0)+COLUMN($B$4),IF(ISBLANK(X66),W66+2,X66+1)))</f>
        <v>3</v>
      </c>
      <c r="Z66" s="118">
        <f ca="1">IF(Z65="Yes",1-Assumptions!$D$64,IF(ISTEXT(Y66),Assumptions!$C$62-MATCH("Yes",$C$65:$AO$65,0)+COLUMN($B$4),IF(ISBLANK(Y66),X66+2,Y66+1)))</f>
        <v>4</v>
      </c>
      <c r="AA66" s="118">
        <f ca="1">IF(AA65="Yes",1-Assumptions!$D$64,IF(ISTEXT(Z66),Assumptions!$C$62-MATCH("Yes",$C$65:$AO$65,0)+COLUMN($B$4),IF(ISBLANK(Z66),Y66+2,Z66+1)))</f>
        <v>5</v>
      </c>
      <c r="AB66" s="118">
        <f ca="1">IF(AB65="Yes",1-Assumptions!$D$64,IF(ISTEXT(AA66),Assumptions!$C$62-MATCH("Yes",$C$65:$AO$65,0)+COLUMN($B$4),IF(ISBLANK(AA66),Z66+2,AA66+1)))</f>
        <v>0</v>
      </c>
      <c r="AC66" s="109"/>
      <c r="AD66" s="118">
        <f ca="1">IF(AD65="Yes",1-Assumptions!$D$64,IF(ISTEXT(AC66),Assumptions!$C$62-MATCH("Yes",$C$65:$AO$65,0)+COLUMN($B$4),IF(ISBLANK(AC66),AB66+2,AC66+1)))</f>
        <v>2</v>
      </c>
      <c r="AE66" s="118">
        <f ca="1">IF(AE65="Yes",1-Assumptions!$D$64,IF(ISTEXT(AD66),Assumptions!$C$62-MATCH("Yes",$C$65:$AO$65,0)+COLUMN($B$4),IF(ISBLANK(AD66),AC66+2,AD66+1)))</f>
        <v>3</v>
      </c>
      <c r="AF66" s="118">
        <f ca="1">IF(AF65="Yes",1-Assumptions!$D$64,IF(ISTEXT(AE66),Assumptions!$C$62-MATCH("Yes",$C$65:$AO$65,0)+COLUMN($B$4),IF(ISBLANK(AE66),AD66+2,AE66+1)))</f>
        <v>4</v>
      </c>
      <c r="AG66" s="118">
        <f ca="1">IF(AG65="Yes",1-Assumptions!$D$64,IF(ISTEXT(AF66),Assumptions!$C$62-MATCH("Yes",$C$65:$AO$65,0)+COLUMN($B$4),IF(ISBLANK(AF66),AE66+2,AF66+1)))</f>
        <v>5</v>
      </c>
      <c r="AH66" s="118">
        <f ca="1">IF(AH65="Yes",1-Assumptions!$D$64,IF(ISTEXT(AG66),Assumptions!$C$62-MATCH("Yes",$C$65:$AO$65,0)+COLUMN($B$4),IF(ISBLANK(AG66),AF66+2,AG66+1)))</f>
        <v>6</v>
      </c>
      <c r="AI66" s="118">
        <f ca="1">IF(AI65="Yes",1-Assumptions!$D$64,IF(ISTEXT(AH66),Assumptions!$C$62-MATCH("Yes",$C$65:$AO$65,0)+COLUMN($B$4),IF(ISBLANK(AH66),AG66+2,AH66+1)))</f>
        <v>0</v>
      </c>
      <c r="AJ66" s="118">
        <f ca="1">IF(AJ65="Yes",1-Assumptions!$D$64,IF(ISTEXT(AI66),Assumptions!$C$62-MATCH("Yes",$C$65:$AO$65,0)+COLUMN($B$4),IF(ISBLANK(AI66),AH66+2,AI66+1)))</f>
        <v>1</v>
      </c>
      <c r="AK66" s="118">
        <f ca="1">IF(AK65="Yes",1-Assumptions!$D$64,IF(ISTEXT(AJ66),Assumptions!$C$62-MATCH("Yes",$C$65:$AO$65,0)+COLUMN($B$4),IF(ISBLANK(AJ66),AI66+2,AJ66+1)))</f>
        <v>2</v>
      </c>
      <c r="AL66" s="118">
        <f ca="1">IF(AL65="Yes",1-Assumptions!$D$64,IF(ISTEXT(AK66),Assumptions!$C$62-MATCH("Yes",$C$65:$AO$65,0)+COLUMN($B$4),IF(ISBLANK(AK66),AJ66+2,AK66+1)))</f>
        <v>3</v>
      </c>
      <c r="AM66" s="118">
        <f ca="1">IF(AM65="Yes",1-Assumptions!$D$64,IF(ISTEXT(AL66),Assumptions!$C$62-MATCH("Yes",$C$65:$AO$65,0)+COLUMN($B$4),IF(ISBLANK(AL66),AK66+2,AL66+1)))</f>
        <v>4</v>
      </c>
      <c r="AN66" s="118">
        <f ca="1">IF(AN65="Yes",1-Assumptions!$D$64,IF(ISTEXT(AM66),Assumptions!$C$62-MATCH("Yes",$C$65:$AO$65,0)+COLUMN($B$4),IF(ISBLANK(AM66),AL66+2,AM66+1)))</f>
        <v>5</v>
      </c>
      <c r="AO66" s="118">
        <f ca="1">IF(AO65="Yes",1-Assumptions!$D$64,IF(ISTEXT(AN66),Assumptions!$C$62-MATCH("Yes",$C$65:$AO$65,0)+COLUMN($B$4),IF(ISBLANK(AN66),AM66+2,AN66+1)))</f>
        <v>0</v>
      </c>
      <c r="AP66" s="109"/>
    </row>
    <row r="67" spans="1:42" s="15" customFormat="1" ht="16.149999999999999" customHeight="1" x14ac:dyDescent="0.25">
      <c r="A67" s="164"/>
      <c r="B67" s="6" t="s">
        <v>211</v>
      </c>
      <c r="C67" s="84">
        <f ca="1">C37</f>
        <v>0</v>
      </c>
      <c r="D67" s="84">
        <f ca="1">IncState!C58</f>
        <v>15693.41666666667</v>
      </c>
      <c r="E67" s="84">
        <f ca="1">IncState!D58</f>
        <v>15204.482868923706</v>
      </c>
      <c r="F67" s="84">
        <f ca="1">IncState!E58</f>
        <v>17451.506259524918</v>
      </c>
      <c r="G67" s="84">
        <f ca="1">IncState!F58</f>
        <v>-1233.9099716626224</v>
      </c>
      <c r="H67" s="84">
        <f ca="1">IncState!G58</f>
        <v>13958.237393897856</v>
      </c>
      <c r="I67" s="84">
        <f ca="1">IncState!H58</f>
        <v>13574.118270338688</v>
      </c>
      <c r="J67" s="84">
        <f ca="1">IncState!I58</f>
        <v>18419.728949889512</v>
      </c>
      <c r="K67" s="84">
        <f ca="1">IncState!J58</f>
        <v>4953.7248220269103</v>
      </c>
      <c r="L67" s="84">
        <f ca="1">IncState!K58</f>
        <v>10125.469313275506</v>
      </c>
      <c r="M67" s="84">
        <f ca="1">IncState!L58</f>
        <v>9422.3658808486216</v>
      </c>
      <c r="N67" s="84">
        <f ca="1">IncState!M58</f>
        <v>21769.338012924956</v>
      </c>
      <c r="O67" s="84">
        <f ca="1">IncState!N58</f>
        <v>17023.046119018691</v>
      </c>
      <c r="P67" s="109"/>
      <c r="Q67" s="84">
        <f ca="1">IncState!P58</f>
        <v>17868.284952593094</v>
      </c>
      <c r="R67" s="84">
        <f ca="1">IncState!Q58</f>
        <v>11186.779014039086</v>
      </c>
      <c r="S67" s="84">
        <f ca="1">IncState!R58</f>
        <v>16898.852845403278</v>
      </c>
      <c r="T67" s="84">
        <f ca="1">IncState!S58</f>
        <v>14342.191030777089</v>
      </c>
      <c r="U67" s="84">
        <f ca="1">IncState!T58</f>
        <v>19148.638196689455</v>
      </c>
      <c r="V67" s="84">
        <f ca="1">IncState!U58</f>
        <v>6413.5990125028766</v>
      </c>
      <c r="W67" s="84">
        <f ca="1">IncState!V58</f>
        <v>18138.689303427498</v>
      </c>
      <c r="X67" s="84">
        <f ca="1">IncState!W58</f>
        <v>12300.572828839824</v>
      </c>
      <c r="Y67" s="84">
        <f ca="1">IncState!X58</f>
        <v>19818.815536058042</v>
      </c>
      <c r="Z67" s="84">
        <f ca="1">IncState!Y58</f>
        <v>-7251.5365711945342</v>
      </c>
      <c r="AA67" s="84">
        <f ca="1">IncState!Z58</f>
        <v>14007.882567750174</v>
      </c>
      <c r="AB67" s="84">
        <f ca="1">IncState!AA58</f>
        <v>19086.759071050154</v>
      </c>
      <c r="AC67" s="109"/>
      <c r="AD67" s="84">
        <f ca="1">IncState!AC58</f>
        <v>18140.139114903344</v>
      </c>
      <c r="AE67" s="84">
        <f ca="1">IncState!AD58</f>
        <v>5467.2289341034484</v>
      </c>
      <c r="AF67" s="84">
        <f ca="1">IncState!AE58</f>
        <v>17588.337490169273</v>
      </c>
      <c r="AG67" s="84">
        <f ca="1">IncState!AF58</f>
        <v>14879.994538659637</v>
      </c>
      <c r="AH67" s="84">
        <f ca="1">IncState!AG58</f>
        <v>-4316.7928182338364</v>
      </c>
      <c r="AI67" s="84">
        <f ca="1">IncState!AH58</f>
        <v>19737.66258972144</v>
      </c>
      <c r="AJ67" s="84">
        <f ca="1">IncState!AI58</f>
        <v>13353.248001457425</v>
      </c>
      <c r="AK67" s="84">
        <f ca="1">IncState!AJ58</f>
        <v>22556.090725268121</v>
      </c>
      <c r="AL67" s="84">
        <f ca="1">IncState!AK58</f>
        <v>17277.278139481321</v>
      </c>
      <c r="AM67" s="84">
        <f ca="1">IncState!AL58</f>
        <v>9376.7776931347325</v>
      </c>
      <c r="AN67" s="84">
        <f ca="1">IncState!AM58</f>
        <v>21022.476906659955</v>
      </c>
      <c r="AO67" s="84">
        <f ca="1">IncState!AN58</f>
        <v>18151.823372572835</v>
      </c>
      <c r="AP67" s="109"/>
    </row>
    <row r="68" spans="1:42" s="15" customFormat="1" ht="16.149999999999999" customHeight="1" x14ac:dyDescent="0.25">
      <c r="A68" s="164"/>
      <c r="B68" s="6" t="s">
        <v>212</v>
      </c>
      <c r="C68" s="84"/>
      <c r="D68" s="84"/>
      <c r="E68" s="84"/>
      <c r="F68" s="84"/>
      <c r="G68" s="84"/>
      <c r="P68" s="109"/>
      <c r="AC68" s="109"/>
      <c r="AP68" s="109"/>
    </row>
    <row r="69" spans="1:42" s="59" customFormat="1" ht="16.149999999999999" customHeight="1" x14ac:dyDescent="0.25">
      <c r="A69" s="165"/>
      <c r="B69" s="120" t="s">
        <v>213</v>
      </c>
      <c r="D69" s="59">
        <f>Assumptions!$C$46</f>
        <v>0.2</v>
      </c>
      <c r="E69" s="59">
        <f>Assumptions!$C$46</f>
        <v>0.2</v>
      </c>
      <c r="F69" s="59">
        <f>Assumptions!$C$46</f>
        <v>0.2</v>
      </c>
      <c r="G69" s="59">
        <f>Assumptions!$C$46</f>
        <v>0.2</v>
      </c>
      <c r="H69" s="59">
        <f>Assumptions!$C$46</f>
        <v>0.2</v>
      </c>
      <c r="I69" s="59">
        <f>Assumptions!$C$46</f>
        <v>0.2</v>
      </c>
      <c r="J69" s="59">
        <f>Assumptions!$C$46</f>
        <v>0.2</v>
      </c>
      <c r="K69" s="59">
        <f>Assumptions!$C$46</f>
        <v>0.2</v>
      </c>
      <c r="L69" s="59">
        <f>Assumptions!$C$46</f>
        <v>0.2</v>
      </c>
      <c r="M69" s="59">
        <f>Assumptions!$C$46</f>
        <v>0.2</v>
      </c>
      <c r="N69" s="59">
        <f>Assumptions!$C$46</f>
        <v>0.2</v>
      </c>
      <c r="O69" s="59">
        <f>Assumptions!$C$46</f>
        <v>0.2</v>
      </c>
      <c r="P69" s="121"/>
      <c r="Q69" s="59">
        <f>Assumptions!$C$46</f>
        <v>0.2</v>
      </c>
      <c r="R69" s="59">
        <f>Assumptions!$C$46</f>
        <v>0.2</v>
      </c>
      <c r="S69" s="59">
        <f>Assumptions!$C$46</f>
        <v>0.2</v>
      </c>
      <c r="T69" s="59">
        <f>Assumptions!$C$46</f>
        <v>0.2</v>
      </c>
      <c r="U69" s="59">
        <f>Assumptions!$C$46</f>
        <v>0.2</v>
      </c>
      <c r="V69" s="59">
        <f>Assumptions!$C$46</f>
        <v>0.2</v>
      </c>
      <c r="W69" s="59">
        <f>Assumptions!$C$46</f>
        <v>0.2</v>
      </c>
      <c r="X69" s="59">
        <f>Assumptions!$C$46</f>
        <v>0.2</v>
      </c>
      <c r="Y69" s="59">
        <f>Assumptions!$C$46</f>
        <v>0.2</v>
      </c>
      <c r="Z69" s="59">
        <f>Assumptions!$C$46</f>
        <v>0.2</v>
      </c>
      <c r="AA69" s="59">
        <f>Assumptions!$C$46</f>
        <v>0.2</v>
      </c>
      <c r="AB69" s="59">
        <f>Assumptions!$C$46</f>
        <v>0.2</v>
      </c>
      <c r="AC69" s="121"/>
      <c r="AD69" s="59">
        <f>Assumptions!$C$46</f>
        <v>0.2</v>
      </c>
      <c r="AE69" s="59">
        <f>Assumptions!$C$46</f>
        <v>0.2</v>
      </c>
      <c r="AF69" s="59">
        <f>Assumptions!$C$46</f>
        <v>0.2</v>
      </c>
      <c r="AG69" s="59">
        <f>Assumptions!$C$46</f>
        <v>0.2</v>
      </c>
      <c r="AH69" s="59">
        <f>Assumptions!$C$46</f>
        <v>0.2</v>
      </c>
      <c r="AI69" s="59">
        <f>Assumptions!$C$46</f>
        <v>0.2</v>
      </c>
      <c r="AJ69" s="59">
        <f>Assumptions!$C$46</f>
        <v>0.2</v>
      </c>
      <c r="AK69" s="59">
        <f>Assumptions!$C$46</f>
        <v>0.2</v>
      </c>
      <c r="AL69" s="59">
        <f>Assumptions!$C$46</f>
        <v>0.2</v>
      </c>
      <c r="AM69" s="59">
        <f>Assumptions!$C$46</f>
        <v>0.2</v>
      </c>
      <c r="AN69" s="59">
        <f>Assumptions!$C$46</f>
        <v>0.2</v>
      </c>
      <c r="AO69" s="59">
        <f>Assumptions!$C$46</f>
        <v>0.2</v>
      </c>
      <c r="AP69" s="121"/>
    </row>
    <row r="70" spans="1:42" s="15" customFormat="1" ht="16.149999999999999" customHeight="1" x14ac:dyDescent="0.25">
      <c r="A70" s="164"/>
      <c r="B70" s="6" t="s">
        <v>195</v>
      </c>
      <c r="C70" s="116" t="str">
        <f ca="1">IF(OR(MONTH(C$4)=Assumptions!$C$48,((MONTH(C$4)-Assumptions!$C$48)/MAX(Assumptions!$C$47,1))-ROUND((MONTH(C$4)-Assumptions!$C$48)/MAX(Assumptions!$C$47,1),0)=0),"Yes","No")</f>
        <v>Yes</v>
      </c>
      <c r="D70" s="116" t="str">
        <f ca="1">IF(OR(MONTH(D$4)=Assumptions!$C$48,((MONTH(D$4)-Assumptions!$C$48)/MAX(Assumptions!$C$47,1))-ROUND((MONTH(D$4)-Assumptions!$C$48)/MAX(Assumptions!$C$47,1),0)=0),"Yes","No")</f>
        <v>Yes</v>
      </c>
      <c r="E70" s="116" t="str">
        <f ca="1">IF(OR(MONTH(E$4)=Assumptions!$C$48,((MONTH(E$4)-Assumptions!$C$48)/MAX(Assumptions!$C$47,1))-ROUND((MONTH(E$4)-Assumptions!$C$48)/MAX(Assumptions!$C$47,1),0)=0),"Yes","No")</f>
        <v>Yes</v>
      </c>
      <c r="F70" s="116" t="str">
        <f ca="1">IF(OR(MONTH(F$4)=Assumptions!$C$48,((MONTH(F$4)-Assumptions!$C$48)/MAX(Assumptions!$C$47,1))-ROUND((MONTH(F$4)-Assumptions!$C$48)/MAX(Assumptions!$C$47,1),0)=0),"Yes","No")</f>
        <v>Yes</v>
      </c>
      <c r="G70" s="116" t="str">
        <f ca="1">IF(OR(MONTH(G$4)=Assumptions!$C$48,((MONTH(G$4)-Assumptions!$C$48)/MAX(Assumptions!$C$47,1))-ROUND((MONTH(G$4)-Assumptions!$C$48)/MAX(Assumptions!$C$47,1),0)=0),"Yes","No")</f>
        <v>Yes</v>
      </c>
      <c r="H70" s="116" t="str">
        <f ca="1">IF(OR(MONTH(H$4)=Assumptions!$C$48,((MONTH(H$4)-Assumptions!$C$48)/MAX(Assumptions!$C$47,1))-ROUND((MONTH(H$4)-Assumptions!$C$48)/MAX(Assumptions!$C$47,1),0)=0),"Yes","No")</f>
        <v>Yes</v>
      </c>
      <c r="I70" s="116" t="str">
        <f ca="1">IF(OR(MONTH(I$4)=Assumptions!$C$48,((MONTH(I$4)-Assumptions!$C$48)/MAX(Assumptions!$C$47,1))-ROUND((MONTH(I$4)-Assumptions!$C$48)/MAX(Assumptions!$C$47,1),0)=0),"Yes","No")</f>
        <v>Yes</v>
      </c>
      <c r="J70" s="116" t="str">
        <f ca="1">IF(OR(MONTH(J$4)=Assumptions!$C$48,((MONTH(J$4)-Assumptions!$C$48)/MAX(Assumptions!$C$47,1))-ROUND((MONTH(J$4)-Assumptions!$C$48)/MAX(Assumptions!$C$47,1),0)=0),"Yes","No")</f>
        <v>Yes</v>
      </c>
      <c r="K70" s="116" t="str">
        <f ca="1">IF(OR(MONTH(K$4)=Assumptions!$C$48,((MONTH(K$4)-Assumptions!$C$48)/MAX(Assumptions!$C$47,1))-ROUND((MONTH(K$4)-Assumptions!$C$48)/MAX(Assumptions!$C$47,1),0)=0),"Yes","No")</f>
        <v>Yes</v>
      </c>
      <c r="L70" s="116" t="str">
        <f ca="1">IF(OR(MONTH(L$4)=Assumptions!$C$48,((MONTH(L$4)-Assumptions!$C$48)/MAX(Assumptions!$C$47,1))-ROUND((MONTH(L$4)-Assumptions!$C$48)/MAX(Assumptions!$C$47,1),0)=0),"Yes","No")</f>
        <v>Yes</v>
      </c>
      <c r="M70" s="116" t="str">
        <f ca="1">IF(OR(MONTH(M$4)=Assumptions!$C$48,((MONTH(M$4)-Assumptions!$C$48)/MAX(Assumptions!$C$47,1))-ROUND((MONTH(M$4)-Assumptions!$C$48)/MAX(Assumptions!$C$47,1),0)=0),"Yes","No")</f>
        <v>Yes</v>
      </c>
      <c r="N70" s="116" t="str">
        <f ca="1">IF(OR(MONTH(N$4)=Assumptions!$C$48,((MONTH(N$4)-Assumptions!$C$48)/MAX(Assumptions!$C$47,1))-ROUND((MONTH(N$4)-Assumptions!$C$48)/MAX(Assumptions!$C$47,1),0)=0),"Yes","No")</f>
        <v>Yes</v>
      </c>
      <c r="O70" s="116" t="str">
        <f ca="1">IF(OR(MONTH(O$4)=Assumptions!$C$48,((MONTH(O$4)-Assumptions!$C$48)/MAX(Assumptions!$C$47,1))-ROUND((MONTH(O$4)-Assumptions!$C$48)/MAX(Assumptions!$C$47,1),0)=0),"Yes","No")</f>
        <v>Yes</v>
      </c>
      <c r="P70" s="109"/>
      <c r="Q70" s="116" t="str">
        <f ca="1">IF(OR(MONTH(Q$4)=Assumptions!$C$48,((MONTH(Q$4)-Assumptions!$C$48)/MAX(Assumptions!$C$47,1))-ROUND((MONTH(Q$4)-Assumptions!$C$48)/MAX(Assumptions!$C$47,1),0)=0),"Yes","No")</f>
        <v>Yes</v>
      </c>
      <c r="R70" s="116" t="str">
        <f ca="1">IF(OR(MONTH(R$4)=Assumptions!$C$48,((MONTH(R$4)-Assumptions!$C$48)/MAX(Assumptions!$C$47,1))-ROUND((MONTH(R$4)-Assumptions!$C$48)/MAX(Assumptions!$C$47,1),0)=0),"Yes","No")</f>
        <v>Yes</v>
      </c>
      <c r="S70" s="116" t="str">
        <f ca="1">IF(OR(MONTH(S$4)=Assumptions!$C$48,((MONTH(S$4)-Assumptions!$C$48)/MAX(Assumptions!$C$47,1))-ROUND((MONTH(S$4)-Assumptions!$C$48)/MAX(Assumptions!$C$47,1),0)=0),"Yes","No")</f>
        <v>Yes</v>
      </c>
      <c r="T70" s="116" t="str">
        <f ca="1">IF(OR(MONTH(T$4)=Assumptions!$C$48,((MONTH(T$4)-Assumptions!$C$48)/MAX(Assumptions!$C$47,1))-ROUND((MONTH(T$4)-Assumptions!$C$48)/MAX(Assumptions!$C$47,1),0)=0),"Yes","No")</f>
        <v>Yes</v>
      </c>
      <c r="U70" s="116" t="str">
        <f ca="1">IF(OR(MONTH(U$4)=Assumptions!$C$48,((MONTH(U$4)-Assumptions!$C$48)/MAX(Assumptions!$C$47,1))-ROUND((MONTH(U$4)-Assumptions!$C$48)/MAX(Assumptions!$C$47,1),0)=0),"Yes","No")</f>
        <v>Yes</v>
      </c>
      <c r="V70" s="116" t="str">
        <f ca="1">IF(OR(MONTH(V$4)=Assumptions!$C$48,((MONTH(V$4)-Assumptions!$C$48)/MAX(Assumptions!$C$47,1))-ROUND((MONTH(V$4)-Assumptions!$C$48)/MAX(Assumptions!$C$47,1),0)=0),"Yes","No")</f>
        <v>Yes</v>
      </c>
      <c r="W70" s="116" t="str">
        <f ca="1">IF(OR(MONTH(W$4)=Assumptions!$C$48,((MONTH(W$4)-Assumptions!$C$48)/MAX(Assumptions!$C$47,1))-ROUND((MONTH(W$4)-Assumptions!$C$48)/MAX(Assumptions!$C$47,1),0)=0),"Yes","No")</f>
        <v>Yes</v>
      </c>
      <c r="X70" s="116" t="str">
        <f ca="1">IF(OR(MONTH(X$4)=Assumptions!$C$48,((MONTH(X$4)-Assumptions!$C$48)/MAX(Assumptions!$C$47,1))-ROUND((MONTH(X$4)-Assumptions!$C$48)/MAX(Assumptions!$C$47,1),0)=0),"Yes","No")</f>
        <v>Yes</v>
      </c>
      <c r="Y70" s="116" t="str">
        <f ca="1">IF(OR(MONTH(Y$4)=Assumptions!$C$48,((MONTH(Y$4)-Assumptions!$C$48)/MAX(Assumptions!$C$47,1))-ROUND((MONTH(Y$4)-Assumptions!$C$48)/MAX(Assumptions!$C$47,1),0)=0),"Yes","No")</f>
        <v>Yes</v>
      </c>
      <c r="Z70" s="116" t="str">
        <f ca="1">IF(OR(MONTH(Z$4)=Assumptions!$C$48,((MONTH(Z$4)-Assumptions!$C$48)/MAX(Assumptions!$C$47,1))-ROUND((MONTH(Z$4)-Assumptions!$C$48)/MAX(Assumptions!$C$47,1),0)=0),"Yes","No")</f>
        <v>Yes</v>
      </c>
      <c r="AA70" s="116" t="str">
        <f ca="1">IF(OR(MONTH(AA$4)=Assumptions!$C$48,((MONTH(AA$4)-Assumptions!$C$48)/MAX(Assumptions!$C$47,1))-ROUND((MONTH(AA$4)-Assumptions!$C$48)/MAX(Assumptions!$C$47,1),0)=0),"Yes","No")</f>
        <v>Yes</v>
      </c>
      <c r="AB70" s="116" t="str">
        <f ca="1">IF(OR(MONTH(AB$4)=Assumptions!$C$48,((MONTH(AB$4)-Assumptions!$C$48)/MAX(Assumptions!$C$47,1))-ROUND((MONTH(AB$4)-Assumptions!$C$48)/MAX(Assumptions!$C$47,1),0)=0),"Yes","No")</f>
        <v>Yes</v>
      </c>
      <c r="AC70" s="109"/>
      <c r="AD70" s="116" t="str">
        <f ca="1">IF(OR(MONTH(AD$4)=Assumptions!$C$48,((MONTH(AD$4)-Assumptions!$C$48)/MAX(Assumptions!$C$47,1))-ROUND((MONTH(AD$4)-Assumptions!$C$48)/MAX(Assumptions!$C$47,1),0)=0),"Yes","No")</f>
        <v>Yes</v>
      </c>
      <c r="AE70" s="116" t="str">
        <f ca="1">IF(OR(MONTH(AE$4)=Assumptions!$C$48,((MONTH(AE$4)-Assumptions!$C$48)/MAX(Assumptions!$C$47,1))-ROUND((MONTH(AE$4)-Assumptions!$C$48)/MAX(Assumptions!$C$47,1),0)=0),"Yes","No")</f>
        <v>Yes</v>
      </c>
      <c r="AF70" s="116" t="str">
        <f ca="1">IF(OR(MONTH(AF$4)=Assumptions!$C$48,((MONTH(AF$4)-Assumptions!$C$48)/MAX(Assumptions!$C$47,1))-ROUND((MONTH(AF$4)-Assumptions!$C$48)/MAX(Assumptions!$C$47,1),0)=0),"Yes","No")</f>
        <v>Yes</v>
      </c>
      <c r="AG70" s="116" t="str">
        <f ca="1">IF(OR(MONTH(AG$4)=Assumptions!$C$48,((MONTH(AG$4)-Assumptions!$C$48)/MAX(Assumptions!$C$47,1))-ROUND((MONTH(AG$4)-Assumptions!$C$48)/MAX(Assumptions!$C$47,1),0)=0),"Yes","No")</f>
        <v>Yes</v>
      </c>
      <c r="AH70" s="116" t="str">
        <f ca="1">IF(OR(MONTH(AH$4)=Assumptions!$C$48,((MONTH(AH$4)-Assumptions!$C$48)/MAX(Assumptions!$C$47,1))-ROUND((MONTH(AH$4)-Assumptions!$C$48)/MAX(Assumptions!$C$47,1),0)=0),"Yes","No")</f>
        <v>Yes</v>
      </c>
      <c r="AI70" s="116" t="str">
        <f ca="1">IF(OR(MONTH(AI$4)=Assumptions!$C$48,((MONTH(AI$4)-Assumptions!$C$48)/MAX(Assumptions!$C$47,1))-ROUND((MONTH(AI$4)-Assumptions!$C$48)/MAX(Assumptions!$C$47,1),0)=0),"Yes","No")</f>
        <v>Yes</v>
      </c>
      <c r="AJ70" s="116" t="str">
        <f ca="1">IF(OR(MONTH(AJ$4)=Assumptions!$C$48,((MONTH(AJ$4)-Assumptions!$C$48)/MAX(Assumptions!$C$47,1))-ROUND((MONTH(AJ$4)-Assumptions!$C$48)/MAX(Assumptions!$C$47,1),0)=0),"Yes","No")</f>
        <v>Yes</v>
      </c>
      <c r="AK70" s="116" t="str">
        <f ca="1">IF(OR(MONTH(AK$4)=Assumptions!$C$48,((MONTH(AK$4)-Assumptions!$C$48)/MAX(Assumptions!$C$47,1))-ROUND((MONTH(AK$4)-Assumptions!$C$48)/MAX(Assumptions!$C$47,1),0)=0),"Yes","No")</f>
        <v>Yes</v>
      </c>
      <c r="AL70" s="116" t="str">
        <f ca="1">IF(OR(MONTH(AL$4)=Assumptions!$C$48,((MONTH(AL$4)-Assumptions!$C$48)/MAX(Assumptions!$C$47,1))-ROUND((MONTH(AL$4)-Assumptions!$C$48)/MAX(Assumptions!$C$47,1),0)=0),"Yes","No")</f>
        <v>Yes</v>
      </c>
      <c r="AM70" s="116" t="str">
        <f ca="1">IF(OR(MONTH(AM$4)=Assumptions!$C$48,((MONTH(AM$4)-Assumptions!$C$48)/MAX(Assumptions!$C$47,1))-ROUND((MONTH(AM$4)-Assumptions!$C$48)/MAX(Assumptions!$C$47,1),0)=0),"Yes","No")</f>
        <v>Yes</v>
      </c>
      <c r="AN70" s="116" t="str">
        <f ca="1">IF(OR(MONTH(AN$4)=Assumptions!$C$48,((MONTH(AN$4)-Assumptions!$C$48)/MAX(Assumptions!$C$47,1))-ROUND((MONTH(AN$4)-Assumptions!$C$48)/MAX(Assumptions!$C$47,1),0)=0),"Yes","No")</f>
        <v>Yes</v>
      </c>
      <c r="AO70" s="116" t="str">
        <f ca="1">IF(OR(MONTH(AO$4)=Assumptions!$C$48,((MONTH(AO$4)-Assumptions!$C$48)/MAX(Assumptions!$C$47,1))-ROUND((MONTH(AO$4)-Assumptions!$C$48)/MAX(Assumptions!$C$47,1),0)=0),"Yes","No")</f>
        <v>Yes</v>
      </c>
      <c r="AP70" s="109"/>
    </row>
    <row r="71" spans="1:42" s="15" customFormat="1" ht="16.149999999999999" customHeight="1" x14ac:dyDescent="0.25">
      <c r="A71" s="164"/>
      <c r="B71" s="6" t="s">
        <v>196</v>
      </c>
      <c r="C71" s="118">
        <f ca="1">IF(C70="Yes",1-Assumptions!$D$49,IF(ISTEXT(B71),Assumptions!$C$47-MATCH("Yes",$C$70:$AO$70,0)+COLUMN($B$4),IF(ISBLANK(B71),A71+2,B71+1)))</f>
        <v>1</v>
      </c>
      <c r="D71" s="118">
        <f ca="1">IF(D70="Yes",1-Assumptions!$D$49,IF(ISTEXT(C71),Assumptions!$C$47-MATCH("Yes",$C$70:$AO$70,0)+COLUMN($B$4),IF(ISBLANK(C71),B71+2,C71+1)))</f>
        <v>1</v>
      </c>
      <c r="E71" s="118">
        <f ca="1">IF(E70="Yes",1-Assumptions!$D$49,IF(ISTEXT(D71),Assumptions!$C$47-MATCH("Yes",$C$70:$AO$70,0)+COLUMN($B$4),IF(ISBLANK(D71),C71+2,D71+1)))</f>
        <v>1</v>
      </c>
      <c r="F71" s="118">
        <f ca="1">IF(F70="Yes",1-Assumptions!$D$49,IF(ISTEXT(E71),Assumptions!$C$47-MATCH("Yes",$C$70:$AO$70,0)+COLUMN($B$4),IF(ISBLANK(E71),D71+2,E71+1)))</f>
        <v>1</v>
      </c>
      <c r="G71" s="118">
        <f ca="1">IF(G70="Yes",1-Assumptions!$D$49,IF(ISTEXT(F71),Assumptions!$C$47-MATCH("Yes",$C$70:$AO$70,0)+COLUMN($B$4),IF(ISBLANK(F71),E71+2,F71+1)))</f>
        <v>1</v>
      </c>
      <c r="H71" s="118">
        <f ca="1">IF(H70="Yes",1-Assumptions!$D$49,IF(ISTEXT(G71),Assumptions!$C$47-MATCH("Yes",$C$70:$AO$70,0)+COLUMN($B$4),IF(ISBLANK(G71),F71+2,G71+1)))</f>
        <v>1</v>
      </c>
      <c r="I71" s="118">
        <f ca="1">IF(I70="Yes",1-Assumptions!$D$49,IF(ISTEXT(H71),Assumptions!$C$47-MATCH("Yes",$C$70:$AO$70,0)+COLUMN($B$4),IF(ISBLANK(H71),G71+2,H71+1)))</f>
        <v>1</v>
      </c>
      <c r="J71" s="118">
        <f ca="1">IF(J70="Yes",1-Assumptions!$D$49,IF(ISTEXT(I71),Assumptions!$C$47-MATCH("Yes",$C$70:$AO$70,0)+COLUMN($B$4),IF(ISBLANK(I71),H71+2,I71+1)))</f>
        <v>1</v>
      </c>
      <c r="K71" s="118">
        <f ca="1">IF(K70="Yes",1-Assumptions!$D$49,IF(ISTEXT(J71),Assumptions!$C$47-MATCH("Yes",$C$70:$AO$70,0)+COLUMN($B$4),IF(ISBLANK(J71),I71+2,J71+1)))</f>
        <v>1</v>
      </c>
      <c r="L71" s="118">
        <f ca="1">IF(L70="Yes",1-Assumptions!$D$49,IF(ISTEXT(K71),Assumptions!$C$47-MATCH("Yes",$C$70:$AO$70,0)+COLUMN($B$4),IF(ISBLANK(K71),J71+2,K71+1)))</f>
        <v>1</v>
      </c>
      <c r="M71" s="118">
        <f ca="1">IF(M70="Yes",1-Assumptions!$D$49,IF(ISTEXT(L71),Assumptions!$C$47-MATCH("Yes",$C$70:$AO$70,0)+COLUMN($B$4),IF(ISBLANK(L71),K71+2,L71+1)))</f>
        <v>1</v>
      </c>
      <c r="N71" s="118">
        <f ca="1">IF(N70="Yes",1-Assumptions!$D$49,IF(ISTEXT(M71),Assumptions!$C$47-MATCH("Yes",$C$70:$AO$70,0)+COLUMN($B$4),IF(ISBLANK(M71),L71+2,M71+1)))</f>
        <v>1</v>
      </c>
      <c r="O71" s="118">
        <f ca="1">IF(O70="Yes",1-Assumptions!$D$49,IF(ISTEXT(N71),Assumptions!$C$47-MATCH("Yes",$C$70:$AO$70,0)+COLUMN($B$4),IF(ISBLANK(N71),M71+2,N71+1)))</f>
        <v>1</v>
      </c>
      <c r="P71" s="109"/>
      <c r="Q71" s="118">
        <f ca="1">IF(Q70="Yes",1-Assumptions!$D$49,IF(ISTEXT(P71),Assumptions!$C$47-MATCH("Yes",$C$70:$AO$70,0)+COLUMN($B$4),IF(ISBLANK(P71),O71+2,P71+1)))</f>
        <v>1</v>
      </c>
      <c r="R71" s="118">
        <f ca="1">IF(R70="Yes",1-Assumptions!$D$49,IF(ISTEXT(Q71),Assumptions!$C$47-MATCH("Yes",$C$70:$AO$70,0)+COLUMN($B$4),IF(ISBLANK(Q71),P71+2,Q71+1)))</f>
        <v>1</v>
      </c>
      <c r="S71" s="118">
        <f ca="1">IF(S70="Yes",1-Assumptions!$D$49,IF(ISTEXT(R71),Assumptions!$C$47-MATCH("Yes",$C$70:$AO$70,0)+COLUMN($B$4),IF(ISBLANK(R71),Q71+2,R71+1)))</f>
        <v>1</v>
      </c>
      <c r="T71" s="118">
        <f ca="1">IF(T70="Yes",1-Assumptions!$D$49,IF(ISTEXT(S71),Assumptions!$C$47-MATCH("Yes",$C$70:$AO$70,0)+COLUMN($B$4),IF(ISBLANK(S71),R71+2,S71+1)))</f>
        <v>1</v>
      </c>
      <c r="U71" s="118">
        <f ca="1">IF(U70="Yes",1-Assumptions!$D$49,IF(ISTEXT(T71),Assumptions!$C$47-MATCH("Yes",$C$70:$AO$70,0)+COLUMN($B$4),IF(ISBLANK(T71),S71+2,T71+1)))</f>
        <v>1</v>
      </c>
      <c r="V71" s="118">
        <f ca="1">IF(V70="Yes",1-Assumptions!$D$49,IF(ISTEXT(U71),Assumptions!$C$47-MATCH("Yes",$C$70:$AO$70,0)+COLUMN($B$4),IF(ISBLANK(U71),T71+2,U71+1)))</f>
        <v>1</v>
      </c>
      <c r="W71" s="118">
        <f ca="1">IF(W70="Yes",1-Assumptions!$D$49,IF(ISTEXT(V71),Assumptions!$C$47-MATCH("Yes",$C$70:$AO$70,0)+COLUMN($B$4),IF(ISBLANK(V71),U71+2,V71+1)))</f>
        <v>1</v>
      </c>
      <c r="X71" s="118">
        <f ca="1">IF(X70="Yes",1-Assumptions!$D$49,IF(ISTEXT(W71),Assumptions!$C$47-MATCH("Yes",$C$70:$AO$70,0)+COLUMN($B$4),IF(ISBLANK(W71),V71+2,W71+1)))</f>
        <v>1</v>
      </c>
      <c r="Y71" s="118">
        <f ca="1">IF(Y70="Yes",1-Assumptions!$D$49,IF(ISTEXT(X71),Assumptions!$C$47-MATCH("Yes",$C$70:$AO$70,0)+COLUMN($B$4),IF(ISBLANK(X71),W71+2,X71+1)))</f>
        <v>1</v>
      </c>
      <c r="Z71" s="118">
        <f ca="1">IF(Z70="Yes",1-Assumptions!$D$49,IF(ISTEXT(Y71),Assumptions!$C$47-MATCH("Yes",$C$70:$AO$70,0)+COLUMN($B$4),IF(ISBLANK(Y71),X71+2,Y71+1)))</f>
        <v>1</v>
      </c>
      <c r="AA71" s="118">
        <f ca="1">IF(AA70="Yes",1-Assumptions!$D$49,IF(ISTEXT(Z71),Assumptions!$C$47-MATCH("Yes",$C$70:$AO$70,0)+COLUMN($B$4),IF(ISBLANK(Z71),Y71+2,Z71+1)))</f>
        <v>1</v>
      </c>
      <c r="AB71" s="118">
        <f ca="1">IF(AB70="Yes",1-Assumptions!$D$49,IF(ISTEXT(AA71),Assumptions!$C$47-MATCH("Yes",$C$70:$AO$70,0)+COLUMN($B$4),IF(ISBLANK(AA71),Z71+2,AA71+1)))</f>
        <v>1</v>
      </c>
      <c r="AC71" s="109"/>
      <c r="AD71" s="118">
        <f ca="1">IF(AD70="Yes",1-Assumptions!$D$49,IF(ISTEXT(AC71),Assumptions!$C$47-MATCH("Yes",$C$70:$AO$70,0)+COLUMN($B$4),IF(ISBLANK(AC71),AB71+2,AC71+1)))</f>
        <v>1</v>
      </c>
      <c r="AE71" s="118">
        <f ca="1">IF(AE70="Yes",1-Assumptions!$D$49,IF(ISTEXT(AD71),Assumptions!$C$47-MATCH("Yes",$C$70:$AO$70,0)+COLUMN($B$4),IF(ISBLANK(AD71),AC71+2,AD71+1)))</f>
        <v>1</v>
      </c>
      <c r="AF71" s="118">
        <f ca="1">IF(AF70="Yes",1-Assumptions!$D$49,IF(ISTEXT(AE71),Assumptions!$C$47-MATCH("Yes",$C$70:$AO$70,0)+COLUMN($B$4),IF(ISBLANK(AE71),AD71+2,AE71+1)))</f>
        <v>1</v>
      </c>
      <c r="AG71" s="118">
        <f ca="1">IF(AG70="Yes",1-Assumptions!$D$49,IF(ISTEXT(AF71),Assumptions!$C$47-MATCH("Yes",$C$70:$AO$70,0)+COLUMN($B$4),IF(ISBLANK(AF71),AE71+2,AF71+1)))</f>
        <v>1</v>
      </c>
      <c r="AH71" s="118">
        <f ca="1">IF(AH70="Yes",1-Assumptions!$D$49,IF(ISTEXT(AG71),Assumptions!$C$47-MATCH("Yes",$C$70:$AO$70,0)+COLUMN($B$4),IF(ISBLANK(AG71),AF71+2,AG71+1)))</f>
        <v>1</v>
      </c>
      <c r="AI71" s="118">
        <f ca="1">IF(AI70="Yes",1-Assumptions!$D$49,IF(ISTEXT(AH71),Assumptions!$C$47-MATCH("Yes",$C$70:$AO$70,0)+COLUMN($B$4),IF(ISBLANK(AH71),AG71+2,AH71+1)))</f>
        <v>1</v>
      </c>
      <c r="AJ71" s="118">
        <f ca="1">IF(AJ70="Yes",1-Assumptions!$D$49,IF(ISTEXT(AI71),Assumptions!$C$47-MATCH("Yes",$C$70:$AO$70,0)+COLUMN($B$4),IF(ISBLANK(AI71),AH71+2,AI71+1)))</f>
        <v>1</v>
      </c>
      <c r="AK71" s="118">
        <f ca="1">IF(AK70="Yes",1-Assumptions!$D$49,IF(ISTEXT(AJ71),Assumptions!$C$47-MATCH("Yes",$C$70:$AO$70,0)+COLUMN($B$4),IF(ISBLANK(AJ71),AI71+2,AJ71+1)))</f>
        <v>1</v>
      </c>
      <c r="AL71" s="118">
        <f ca="1">IF(AL70="Yes",1-Assumptions!$D$49,IF(ISTEXT(AK71),Assumptions!$C$47-MATCH("Yes",$C$70:$AO$70,0)+COLUMN($B$4),IF(ISBLANK(AK71),AJ71+2,AK71+1)))</f>
        <v>1</v>
      </c>
      <c r="AM71" s="118">
        <f ca="1">IF(AM70="Yes",1-Assumptions!$D$49,IF(ISTEXT(AL71),Assumptions!$C$47-MATCH("Yes",$C$70:$AO$70,0)+COLUMN($B$4),IF(ISBLANK(AL71),AK71+2,AL71+1)))</f>
        <v>1</v>
      </c>
      <c r="AN71" s="118">
        <f ca="1">IF(AN70="Yes",1-Assumptions!$D$49,IF(ISTEXT(AM71),Assumptions!$C$47-MATCH("Yes",$C$70:$AO$70,0)+COLUMN($B$4),IF(ISBLANK(AM71),AL71+2,AM71+1)))</f>
        <v>1</v>
      </c>
      <c r="AO71" s="118">
        <f ca="1">IF(AO70="Yes",1-Assumptions!$D$49,IF(ISTEXT(AN71),Assumptions!$C$47-MATCH("Yes",$C$70:$AO$70,0)+COLUMN($B$4),IF(ISBLANK(AN71),AM71+2,AN71+1)))</f>
        <v>1</v>
      </c>
      <c r="AP71" s="109"/>
    </row>
    <row r="72" spans="1:42" s="15" customFormat="1" ht="16.149999999999999" customHeight="1" x14ac:dyDescent="0.25">
      <c r="A72" s="164"/>
      <c r="B72" s="6" t="s">
        <v>211</v>
      </c>
      <c r="C72" s="84">
        <f ca="1">C35</f>
        <v>20000</v>
      </c>
      <c r="D72" s="84">
        <f ca="1">SUMIF(IncState!$A$4:$AO$59,"PAY",IncState!C$4:C$59)*D69</f>
        <v>20000</v>
      </c>
      <c r="E72" s="84">
        <f ca="1">SUMIF(IncState!$A$4:$AO$59,"PAY",IncState!D$4:D$59)*E69</f>
        <v>20000</v>
      </c>
      <c r="F72" s="84">
        <f ca="1">SUMIF(IncState!$A$4:$AO$59,"PAY",IncState!E$4:E$59)*F69</f>
        <v>20000</v>
      </c>
      <c r="G72" s="84">
        <f ca="1">SUMIF(IncState!$A$4:$AO$59,"PAY",IncState!F$4:F$59)*G69</f>
        <v>20000</v>
      </c>
      <c r="H72" s="84">
        <f ca="1">SUMIF(IncState!$A$4:$AO$59,"PAY",IncState!G$4:G$59)*H69</f>
        <v>20000</v>
      </c>
      <c r="I72" s="84">
        <f ca="1">SUMIF(IncState!$A$4:$AO$59,"PAY",IncState!H$4:H$59)*I69</f>
        <v>20000</v>
      </c>
      <c r="J72" s="84">
        <f ca="1">SUMIF(IncState!$A$4:$AO$59,"PAY",IncState!I$4:I$59)*J69</f>
        <v>20000</v>
      </c>
      <c r="K72" s="84">
        <f ca="1">SUMIF(IncState!$A$4:$AO$59,"PAY",IncState!J$4:J$59)*K69</f>
        <v>20000</v>
      </c>
      <c r="L72" s="84">
        <f ca="1">SUMIF(IncState!$A$4:$AO$59,"PAY",IncState!K$4:K$59)*L69</f>
        <v>20000</v>
      </c>
      <c r="M72" s="84">
        <f ca="1">SUMIF(IncState!$A$4:$AO$59,"PAY",IncState!L$4:L$59)*M69</f>
        <v>20000</v>
      </c>
      <c r="N72" s="84">
        <f ca="1">SUMIF(IncState!$A$4:$AO$59,"PAY",IncState!M$4:M$59)*N69</f>
        <v>20000</v>
      </c>
      <c r="O72" s="84">
        <f ca="1">SUMIF(IncState!$A$4:$AO$59,"PAY",IncState!N$4:N$59)*O69</f>
        <v>20000</v>
      </c>
      <c r="P72" s="109"/>
      <c r="Q72" s="84">
        <f ca="1">SUMIF(IncState!$A$4:$AO$59,"PAY",IncState!P$4:P$59)*Q69</f>
        <v>22000</v>
      </c>
      <c r="R72" s="84">
        <f ca="1">SUMIF(IncState!$A$4:$AO$59,"PAY",IncState!Q$4:Q$59)*R69</f>
        <v>22000</v>
      </c>
      <c r="S72" s="84">
        <f ca="1">SUMIF(IncState!$A$4:$AO$59,"PAY",IncState!R$4:R$59)*S69</f>
        <v>22000</v>
      </c>
      <c r="T72" s="84">
        <f ca="1">SUMIF(IncState!$A$4:$AO$59,"PAY",IncState!S$4:S$59)*T69</f>
        <v>22000</v>
      </c>
      <c r="U72" s="84">
        <f ca="1">SUMIF(IncState!$A$4:$AO$59,"PAY",IncState!T$4:T$59)*U69</f>
        <v>22000</v>
      </c>
      <c r="V72" s="84">
        <f ca="1">SUMIF(IncState!$A$4:$AO$59,"PAY",IncState!U$4:U$59)*V69</f>
        <v>22000</v>
      </c>
      <c r="W72" s="84">
        <f ca="1">SUMIF(IncState!$A$4:$AO$59,"PAY",IncState!V$4:V$59)*W69</f>
        <v>22000</v>
      </c>
      <c r="X72" s="84">
        <f ca="1">SUMIF(IncState!$A$4:$AO$59,"PAY",IncState!W$4:W$59)*X69</f>
        <v>22000</v>
      </c>
      <c r="Y72" s="84">
        <f ca="1">SUMIF(IncState!$A$4:$AO$59,"PAY",IncState!X$4:X$59)*Y69</f>
        <v>22000</v>
      </c>
      <c r="Z72" s="84">
        <f ca="1">SUMIF(IncState!$A$4:$AO$59,"PAY",IncState!Y$4:Y$59)*Z69</f>
        <v>22000</v>
      </c>
      <c r="AA72" s="84">
        <f ca="1">SUMIF(IncState!$A$4:$AO$59,"PAY",IncState!Z$4:Z$59)*AA69</f>
        <v>22000</v>
      </c>
      <c r="AB72" s="84">
        <f ca="1">SUMIF(IncState!$A$4:$AO$59,"PAY",IncState!AA$4:AA$59)*AB69</f>
        <v>22000</v>
      </c>
      <c r="AC72" s="109"/>
      <c r="AD72" s="84">
        <f ca="1">SUMIF(IncState!$A$4:$AO$59,"PAY",IncState!AC$4:AC$59)*AD69</f>
        <v>24000</v>
      </c>
      <c r="AE72" s="84">
        <f ca="1">SUMIF(IncState!$A$4:$AO$59,"PAY",IncState!AD$4:AD$59)*AE69</f>
        <v>24000</v>
      </c>
      <c r="AF72" s="84">
        <f ca="1">SUMIF(IncState!$A$4:$AO$59,"PAY",IncState!AE$4:AE$59)*AF69</f>
        <v>24000</v>
      </c>
      <c r="AG72" s="84">
        <f ca="1">SUMIF(IncState!$A$4:$AO$59,"PAY",IncState!AF$4:AF$59)*AG69</f>
        <v>24000</v>
      </c>
      <c r="AH72" s="84">
        <f ca="1">SUMIF(IncState!$A$4:$AO$59,"PAY",IncState!AG$4:AG$59)*AH69</f>
        <v>24000</v>
      </c>
      <c r="AI72" s="84">
        <f ca="1">SUMIF(IncState!$A$4:$AO$59,"PAY",IncState!AH$4:AH$59)*AI69</f>
        <v>24000</v>
      </c>
      <c r="AJ72" s="84">
        <f ca="1">SUMIF(IncState!$A$4:$AO$59,"PAY",IncState!AI$4:AI$59)*AJ69</f>
        <v>24000</v>
      </c>
      <c r="AK72" s="84">
        <f ca="1">SUMIF(IncState!$A$4:$AO$59,"PAY",IncState!AJ$4:AJ$59)*AK69</f>
        <v>24000</v>
      </c>
      <c r="AL72" s="84">
        <f ca="1">SUMIF(IncState!$A$4:$AO$59,"PAY",IncState!AK$4:AK$59)*AL69</f>
        <v>24000</v>
      </c>
      <c r="AM72" s="84">
        <f ca="1">SUMIF(IncState!$A$4:$AO$59,"PAY",IncState!AL$4:AL$59)*AM69</f>
        <v>24000</v>
      </c>
      <c r="AN72" s="84">
        <f ca="1">SUMIF(IncState!$A$4:$AO$59,"PAY",IncState!AM$4:AM$59)*AN69</f>
        <v>24000</v>
      </c>
      <c r="AO72" s="84">
        <f ca="1">SUMIF(IncState!$A$4:$AO$59,"PAY",IncState!AN$4:AN$59)*AO69</f>
        <v>24000</v>
      </c>
      <c r="AP72" s="109"/>
    </row>
    <row r="73" spans="1:42" s="15" customFormat="1" ht="16.149999999999999" customHeight="1" x14ac:dyDescent="0.25">
      <c r="A73" s="164"/>
      <c r="B73" s="6" t="s">
        <v>255</v>
      </c>
      <c r="C73" s="84"/>
      <c r="D73" s="84"/>
      <c r="E73" s="84"/>
      <c r="F73" s="84"/>
      <c r="G73" s="84"/>
      <c r="P73" s="109"/>
      <c r="AC73" s="109"/>
      <c r="AP73" s="109"/>
    </row>
    <row r="74" spans="1:42" s="15" customFormat="1" ht="16.149999999999999" customHeight="1" x14ac:dyDescent="0.25">
      <c r="A74" s="164"/>
      <c r="B74" s="6" t="s">
        <v>254</v>
      </c>
      <c r="C74" s="122"/>
      <c r="D74" s="122">
        <f>Assumptions!$C$96</f>
        <v>0</v>
      </c>
      <c r="E74" s="122">
        <f>Assumptions!$C$96</f>
        <v>0</v>
      </c>
      <c r="F74" s="122">
        <f>Assumptions!$C$96</f>
        <v>0</v>
      </c>
      <c r="G74" s="122">
        <f>Assumptions!$C$96</f>
        <v>0</v>
      </c>
      <c r="H74" s="122">
        <f>Assumptions!$C$96</f>
        <v>0</v>
      </c>
      <c r="I74" s="122">
        <f>Assumptions!$C$96</f>
        <v>0</v>
      </c>
      <c r="J74" s="122">
        <f>Assumptions!$C$96</f>
        <v>0</v>
      </c>
      <c r="K74" s="122">
        <f>Assumptions!$C$96</f>
        <v>0</v>
      </c>
      <c r="L74" s="122">
        <f>Assumptions!$C$96</f>
        <v>0</v>
      </c>
      <c r="M74" s="122">
        <f>Assumptions!$C$96</f>
        <v>0</v>
      </c>
      <c r="N74" s="122">
        <f>Assumptions!$C$96</f>
        <v>0</v>
      </c>
      <c r="O74" s="122">
        <f>Assumptions!$C$96</f>
        <v>0</v>
      </c>
      <c r="P74" s="109"/>
      <c r="Q74" s="122">
        <f>Assumptions!$C$96</f>
        <v>0</v>
      </c>
      <c r="R74" s="122">
        <f>Assumptions!$C$96</f>
        <v>0</v>
      </c>
      <c r="S74" s="122">
        <f>Assumptions!$C$96</f>
        <v>0</v>
      </c>
      <c r="T74" s="122">
        <f>Assumptions!$C$96</f>
        <v>0</v>
      </c>
      <c r="U74" s="122">
        <f>Assumptions!$C$96</f>
        <v>0</v>
      </c>
      <c r="V74" s="122">
        <f>Assumptions!$C$96</f>
        <v>0</v>
      </c>
      <c r="W74" s="122">
        <f>Assumptions!$C$96</f>
        <v>0</v>
      </c>
      <c r="X74" s="122">
        <f>Assumptions!$C$96</f>
        <v>0</v>
      </c>
      <c r="Y74" s="122">
        <f>Assumptions!$C$96</f>
        <v>0</v>
      </c>
      <c r="Z74" s="122">
        <f>Assumptions!$C$96</f>
        <v>0</v>
      </c>
      <c r="AA74" s="122">
        <f>Assumptions!$C$96</f>
        <v>0</v>
      </c>
      <c r="AB74" s="122">
        <f>Assumptions!$C$96</f>
        <v>0</v>
      </c>
      <c r="AC74" s="109"/>
      <c r="AD74" s="122">
        <f>Assumptions!$C$96</f>
        <v>0</v>
      </c>
      <c r="AE74" s="122">
        <f>Assumptions!$C$96</f>
        <v>0</v>
      </c>
      <c r="AF74" s="122">
        <f>Assumptions!$C$96</f>
        <v>0</v>
      </c>
      <c r="AG74" s="122">
        <f>Assumptions!$C$96</f>
        <v>0</v>
      </c>
      <c r="AH74" s="122">
        <f>Assumptions!$C$96</f>
        <v>0</v>
      </c>
      <c r="AI74" s="122">
        <f>Assumptions!$C$96</f>
        <v>0</v>
      </c>
      <c r="AJ74" s="122">
        <f>Assumptions!$C$96</f>
        <v>0</v>
      </c>
      <c r="AK74" s="122">
        <f>Assumptions!$C$96</f>
        <v>0</v>
      </c>
      <c r="AL74" s="122">
        <f>Assumptions!$C$96</f>
        <v>0</v>
      </c>
      <c r="AM74" s="122">
        <f>Assumptions!$C$96</f>
        <v>0</v>
      </c>
      <c r="AN74" s="122">
        <f>Assumptions!$C$96</f>
        <v>0</v>
      </c>
      <c r="AO74" s="122">
        <f>Assumptions!$C$96</f>
        <v>0</v>
      </c>
      <c r="AP74" s="109"/>
    </row>
    <row r="75" spans="1:42" s="15" customFormat="1" ht="16.149999999999999" customHeight="1" x14ac:dyDescent="0.25">
      <c r="A75" s="164"/>
      <c r="B75" s="6" t="s">
        <v>261</v>
      </c>
      <c r="C75" s="116" t="str">
        <f ca="1">IF(OR(MONTH(C$4)=Assumptions!$D$98-Assumptions!$D$99,((MONTH(C$4)-Assumptions!$D$98+Assumptions!$D$99)/MAX(Assumptions!$C$97,1))-ROUND((MONTH(C$4)-Assumptions!$D$98+Assumptions!$D$99)/MAX(Assumptions!$C$97,1),0)=0),"Yes","No")</f>
        <v>Yes</v>
      </c>
      <c r="D75" s="116" t="str">
        <f ca="1">IF(OR(MONTH(D$4)=Assumptions!$D$98-Assumptions!$D$99,((MONTH(D$4)-Assumptions!$D$98+Assumptions!$D$99)/MAX(Assumptions!$C$97,1))-ROUND((MONTH(D$4)-Assumptions!$D$98+Assumptions!$D$99)/MAX(Assumptions!$C$97,1),0)=0),"Yes","No")</f>
        <v>No</v>
      </c>
      <c r="E75" s="116" t="str">
        <f ca="1">IF(OR(MONTH(E$4)=Assumptions!$D$98-Assumptions!$D$99,((MONTH(E$4)-Assumptions!$D$98+Assumptions!$D$99)/MAX(Assumptions!$C$97,1))-ROUND((MONTH(E$4)-Assumptions!$D$98+Assumptions!$D$99)/MAX(Assumptions!$C$97,1),0)=0),"Yes","No")</f>
        <v>No</v>
      </c>
      <c r="F75" s="116" t="str">
        <f ca="1">IF(OR(MONTH(F$4)=Assumptions!$D$98-Assumptions!$D$99,((MONTH(F$4)-Assumptions!$D$98+Assumptions!$D$99)/MAX(Assumptions!$C$97,1))-ROUND((MONTH(F$4)-Assumptions!$D$98+Assumptions!$D$99)/MAX(Assumptions!$C$97,1),0)=0),"Yes","No")</f>
        <v>No</v>
      </c>
      <c r="G75" s="116" t="str">
        <f ca="1">IF(OR(MONTH(G$4)=Assumptions!$D$98-Assumptions!$D$99,((MONTH(G$4)-Assumptions!$D$98+Assumptions!$D$99)/MAX(Assumptions!$C$97,1))-ROUND((MONTH(G$4)-Assumptions!$D$98+Assumptions!$D$99)/MAX(Assumptions!$C$97,1),0)=0),"Yes","No")</f>
        <v>No</v>
      </c>
      <c r="H75" s="116" t="str">
        <f ca="1">IF(OR(MONTH(H$4)=Assumptions!$D$98-Assumptions!$D$99,((MONTH(H$4)-Assumptions!$D$98+Assumptions!$D$99)/MAX(Assumptions!$C$97,1))-ROUND((MONTH(H$4)-Assumptions!$D$98+Assumptions!$D$99)/MAX(Assumptions!$C$97,1),0)=0),"Yes","No")</f>
        <v>No</v>
      </c>
      <c r="I75" s="116" t="str">
        <f ca="1">IF(OR(MONTH(I$4)=Assumptions!$D$98-Assumptions!$D$99,((MONTH(I$4)-Assumptions!$D$98+Assumptions!$D$99)/MAX(Assumptions!$C$97,1))-ROUND((MONTH(I$4)-Assumptions!$D$98+Assumptions!$D$99)/MAX(Assumptions!$C$97,1),0)=0),"Yes","No")</f>
        <v>No</v>
      </c>
      <c r="J75" s="116" t="str">
        <f ca="1">IF(OR(MONTH(J$4)=Assumptions!$D$98-Assumptions!$D$99,((MONTH(J$4)-Assumptions!$D$98+Assumptions!$D$99)/MAX(Assumptions!$C$97,1))-ROUND((MONTH(J$4)-Assumptions!$D$98+Assumptions!$D$99)/MAX(Assumptions!$C$97,1),0)=0),"Yes","No")</f>
        <v>No</v>
      </c>
      <c r="K75" s="116" t="str">
        <f ca="1">IF(OR(MONTH(K$4)=Assumptions!$D$98-Assumptions!$D$99,((MONTH(K$4)-Assumptions!$D$98+Assumptions!$D$99)/MAX(Assumptions!$C$97,1))-ROUND((MONTH(K$4)-Assumptions!$D$98+Assumptions!$D$99)/MAX(Assumptions!$C$97,1),0)=0),"Yes","No")</f>
        <v>No</v>
      </c>
      <c r="L75" s="116" t="str">
        <f ca="1">IF(OR(MONTH(L$4)=Assumptions!$D$98-Assumptions!$D$99,((MONTH(L$4)-Assumptions!$D$98+Assumptions!$D$99)/MAX(Assumptions!$C$97,1))-ROUND((MONTH(L$4)-Assumptions!$D$98+Assumptions!$D$99)/MAX(Assumptions!$C$97,1),0)=0),"Yes","No")</f>
        <v>No</v>
      </c>
      <c r="M75" s="116" t="str">
        <f ca="1">IF(OR(MONTH(M$4)=Assumptions!$D$98-Assumptions!$D$99,((MONTH(M$4)-Assumptions!$D$98+Assumptions!$D$99)/MAX(Assumptions!$C$97,1))-ROUND((MONTH(M$4)-Assumptions!$D$98+Assumptions!$D$99)/MAX(Assumptions!$C$97,1),0)=0),"Yes","No")</f>
        <v>No</v>
      </c>
      <c r="N75" s="116" t="str">
        <f ca="1">IF(OR(MONTH(N$4)=Assumptions!$D$98-Assumptions!$D$99,((MONTH(N$4)-Assumptions!$D$98+Assumptions!$D$99)/MAX(Assumptions!$C$97,1))-ROUND((MONTH(N$4)-Assumptions!$D$98+Assumptions!$D$99)/MAX(Assumptions!$C$97,1),0)=0),"Yes","No")</f>
        <v>No</v>
      </c>
      <c r="O75" s="116" t="str">
        <f ca="1">IF(OR(MONTH(O$4)=Assumptions!$D$98-Assumptions!$D$99,((MONTH(O$4)-Assumptions!$D$98+Assumptions!$D$99)/MAX(Assumptions!$C$97,1))-ROUND((MONTH(O$4)-Assumptions!$D$98+Assumptions!$D$99)/MAX(Assumptions!$C$97,1),0)=0),"Yes","No")</f>
        <v>Yes</v>
      </c>
      <c r="P75" s="109"/>
      <c r="Q75" s="116" t="str">
        <f ca="1">IF(OR(MONTH(Q$4)=Assumptions!$D$98-Assumptions!$D$99,((MONTH(Q$4)-Assumptions!$D$98+Assumptions!$D$99)/MAX(Assumptions!$C$97,1))-ROUND((MONTH(Q$4)-Assumptions!$D$98+Assumptions!$D$99)/MAX(Assumptions!$C$97,1),0)=0),"Yes","No")</f>
        <v>No</v>
      </c>
      <c r="R75" s="116" t="str">
        <f ca="1">IF(OR(MONTH(R$4)=Assumptions!$D$98-Assumptions!$D$99,((MONTH(R$4)-Assumptions!$D$98+Assumptions!$D$99)/MAX(Assumptions!$C$97,1))-ROUND((MONTH(R$4)-Assumptions!$D$98+Assumptions!$D$99)/MAX(Assumptions!$C$97,1),0)=0),"Yes","No")</f>
        <v>No</v>
      </c>
      <c r="S75" s="116" t="str">
        <f ca="1">IF(OR(MONTH(S$4)=Assumptions!$D$98-Assumptions!$D$99,((MONTH(S$4)-Assumptions!$D$98+Assumptions!$D$99)/MAX(Assumptions!$C$97,1))-ROUND((MONTH(S$4)-Assumptions!$D$98+Assumptions!$D$99)/MAX(Assumptions!$C$97,1),0)=0),"Yes","No")</f>
        <v>No</v>
      </c>
      <c r="T75" s="116" t="str">
        <f ca="1">IF(OR(MONTH(T$4)=Assumptions!$D$98-Assumptions!$D$99,((MONTH(T$4)-Assumptions!$D$98+Assumptions!$D$99)/MAX(Assumptions!$C$97,1))-ROUND((MONTH(T$4)-Assumptions!$D$98+Assumptions!$D$99)/MAX(Assumptions!$C$97,1),0)=0),"Yes","No")</f>
        <v>No</v>
      </c>
      <c r="U75" s="116" t="str">
        <f ca="1">IF(OR(MONTH(U$4)=Assumptions!$D$98-Assumptions!$D$99,((MONTH(U$4)-Assumptions!$D$98+Assumptions!$D$99)/MAX(Assumptions!$C$97,1))-ROUND((MONTH(U$4)-Assumptions!$D$98+Assumptions!$D$99)/MAX(Assumptions!$C$97,1),0)=0),"Yes","No")</f>
        <v>No</v>
      </c>
      <c r="V75" s="116" t="str">
        <f ca="1">IF(OR(MONTH(V$4)=Assumptions!$D$98-Assumptions!$D$99,((MONTH(V$4)-Assumptions!$D$98+Assumptions!$D$99)/MAX(Assumptions!$C$97,1))-ROUND((MONTH(V$4)-Assumptions!$D$98+Assumptions!$D$99)/MAX(Assumptions!$C$97,1),0)=0),"Yes","No")</f>
        <v>No</v>
      </c>
      <c r="W75" s="116" t="str">
        <f ca="1">IF(OR(MONTH(W$4)=Assumptions!$D$98-Assumptions!$D$99,((MONTH(W$4)-Assumptions!$D$98+Assumptions!$D$99)/MAX(Assumptions!$C$97,1))-ROUND((MONTH(W$4)-Assumptions!$D$98+Assumptions!$D$99)/MAX(Assumptions!$C$97,1),0)=0),"Yes","No")</f>
        <v>No</v>
      </c>
      <c r="X75" s="116" t="str">
        <f ca="1">IF(OR(MONTH(X$4)=Assumptions!$D$98-Assumptions!$D$99,((MONTH(X$4)-Assumptions!$D$98+Assumptions!$D$99)/MAX(Assumptions!$C$97,1))-ROUND((MONTH(X$4)-Assumptions!$D$98+Assumptions!$D$99)/MAX(Assumptions!$C$97,1),0)=0),"Yes","No")</f>
        <v>No</v>
      </c>
      <c r="Y75" s="116" t="str">
        <f ca="1">IF(OR(MONTH(Y$4)=Assumptions!$D$98-Assumptions!$D$99,((MONTH(Y$4)-Assumptions!$D$98+Assumptions!$D$99)/MAX(Assumptions!$C$97,1))-ROUND((MONTH(Y$4)-Assumptions!$D$98+Assumptions!$D$99)/MAX(Assumptions!$C$97,1),0)=0),"Yes","No")</f>
        <v>No</v>
      </c>
      <c r="Z75" s="116" t="str">
        <f ca="1">IF(OR(MONTH(Z$4)=Assumptions!$D$98-Assumptions!$D$99,((MONTH(Z$4)-Assumptions!$D$98+Assumptions!$D$99)/MAX(Assumptions!$C$97,1))-ROUND((MONTH(Z$4)-Assumptions!$D$98+Assumptions!$D$99)/MAX(Assumptions!$C$97,1),0)=0),"Yes","No")</f>
        <v>No</v>
      </c>
      <c r="AA75" s="116" t="str">
        <f ca="1">IF(OR(MONTH(AA$4)=Assumptions!$D$98-Assumptions!$D$99,((MONTH(AA$4)-Assumptions!$D$98+Assumptions!$D$99)/MAX(Assumptions!$C$97,1))-ROUND((MONTH(AA$4)-Assumptions!$D$98+Assumptions!$D$99)/MAX(Assumptions!$C$97,1),0)=0),"Yes","No")</f>
        <v>No</v>
      </c>
      <c r="AB75" s="116" t="str">
        <f ca="1">IF(OR(MONTH(AB$4)=Assumptions!$D$98-Assumptions!$D$99,((MONTH(AB$4)-Assumptions!$D$98+Assumptions!$D$99)/MAX(Assumptions!$C$97,1))-ROUND((MONTH(AB$4)-Assumptions!$D$98+Assumptions!$D$99)/MAX(Assumptions!$C$97,1),0)=0),"Yes","No")</f>
        <v>Yes</v>
      </c>
      <c r="AC75" s="109"/>
      <c r="AD75" s="116" t="str">
        <f ca="1">IF(OR(MONTH(AD$4)=Assumptions!$D$98-Assumptions!$D$99,((MONTH(AD$4)-Assumptions!$D$98+Assumptions!$D$99)/MAX(Assumptions!$C$97,1))-ROUND((MONTH(AD$4)-Assumptions!$D$98+Assumptions!$D$99)/MAX(Assumptions!$C$97,1),0)=0),"Yes","No")</f>
        <v>No</v>
      </c>
      <c r="AE75" s="116" t="str">
        <f ca="1">IF(OR(MONTH(AE$4)=Assumptions!$D$98-Assumptions!$D$99,((MONTH(AE$4)-Assumptions!$D$98+Assumptions!$D$99)/MAX(Assumptions!$C$97,1))-ROUND((MONTH(AE$4)-Assumptions!$D$98+Assumptions!$D$99)/MAX(Assumptions!$C$97,1),0)=0),"Yes","No")</f>
        <v>No</v>
      </c>
      <c r="AF75" s="116" t="str">
        <f ca="1">IF(OR(MONTH(AF$4)=Assumptions!$D$98-Assumptions!$D$99,((MONTH(AF$4)-Assumptions!$D$98+Assumptions!$D$99)/MAX(Assumptions!$C$97,1))-ROUND((MONTH(AF$4)-Assumptions!$D$98+Assumptions!$D$99)/MAX(Assumptions!$C$97,1),0)=0),"Yes","No")</f>
        <v>No</v>
      </c>
      <c r="AG75" s="116" t="str">
        <f ca="1">IF(OR(MONTH(AG$4)=Assumptions!$D$98-Assumptions!$D$99,((MONTH(AG$4)-Assumptions!$D$98+Assumptions!$D$99)/MAX(Assumptions!$C$97,1))-ROUND((MONTH(AG$4)-Assumptions!$D$98+Assumptions!$D$99)/MAX(Assumptions!$C$97,1),0)=0),"Yes","No")</f>
        <v>No</v>
      </c>
      <c r="AH75" s="116" t="str">
        <f ca="1">IF(OR(MONTH(AH$4)=Assumptions!$D$98-Assumptions!$D$99,((MONTH(AH$4)-Assumptions!$D$98+Assumptions!$D$99)/MAX(Assumptions!$C$97,1))-ROUND((MONTH(AH$4)-Assumptions!$D$98+Assumptions!$D$99)/MAX(Assumptions!$C$97,1),0)=0),"Yes","No")</f>
        <v>No</v>
      </c>
      <c r="AI75" s="116" t="str">
        <f ca="1">IF(OR(MONTH(AI$4)=Assumptions!$D$98-Assumptions!$D$99,((MONTH(AI$4)-Assumptions!$D$98+Assumptions!$D$99)/MAX(Assumptions!$C$97,1))-ROUND((MONTH(AI$4)-Assumptions!$D$98+Assumptions!$D$99)/MAX(Assumptions!$C$97,1),0)=0),"Yes","No")</f>
        <v>No</v>
      </c>
      <c r="AJ75" s="116" t="str">
        <f ca="1">IF(OR(MONTH(AJ$4)=Assumptions!$D$98-Assumptions!$D$99,((MONTH(AJ$4)-Assumptions!$D$98+Assumptions!$D$99)/MAX(Assumptions!$C$97,1))-ROUND((MONTH(AJ$4)-Assumptions!$D$98+Assumptions!$D$99)/MAX(Assumptions!$C$97,1),0)=0),"Yes","No")</f>
        <v>No</v>
      </c>
      <c r="AK75" s="116" t="str">
        <f ca="1">IF(OR(MONTH(AK$4)=Assumptions!$D$98-Assumptions!$D$99,((MONTH(AK$4)-Assumptions!$D$98+Assumptions!$D$99)/MAX(Assumptions!$C$97,1))-ROUND((MONTH(AK$4)-Assumptions!$D$98+Assumptions!$D$99)/MAX(Assumptions!$C$97,1),0)=0),"Yes","No")</f>
        <v>No</v>
      </c>
      <c r="AL75" s="116" t="str">
        <f ca="1">IF(OR(MONTH(AL$4)=Assumptions!$D$98-Assumptions!$D$99,((MONTH(AL$4)-Assumptions!$D$98+Assumptions!$D$99)/MAX(Assumptions!$C$97,1))-ROUND((MONTH(AL$4)-Assumptions!$D$98+Assumptions!$D$99)/MAX(Assumptions!$C$97,1),0)=0),"Yes","No")</f>
        <v>No</v>
      </c>
      <c r="AM75" s="116" t="str">
        <f ca="1">IF(OR(MONTH(AM$4)=Assumptions!$D$98-Assumptions!$D$99,((MONTH(AM$4)-Assumptions!$D$98+Assumptions!$D$99)/MAX(Assumptions!$C$97,1))-ROUND((MONTH(AM$4)-Assumptions!$D$98+Assumptions!$D$99)/MAX(Assumptions!$C$97,1),0)=0),"Yes","No")</f>
        <v>No</v>
      </c>
      <c r="AN75" s="116" t="str">
        <f ca="1">IF(OR(MONTH(AN$4)=Assumptions!$D$98-Assumptions!$D$99,((MONTH(AN$4)-Assumptions!$D$98+Assumptions!$D$99)/MAX(Assumptions!$C$97,1))-ROUND((MONTH(AN$4)-Assumptions!$D$98+Assumptions!$D$99)/MAX(Assumptions!$C$97,1),0)=0),"Yes","No")</f>
        <v>No</v>
      </c>
      <c r="AO75" s="116" t="str">
        <f ca="1">IF(OR(MONTH(AO$4)=Assumptions!$D$98-Assumptions!$D$99,((MONTH(AO$4)-Assumptions!$D$98+Assumptions!$D$99)/MAX(Assumptions!$C$97,1))-ROUND((MONTH(AO$4)-Assumptions!$D$98+Assumptions!$D$99)/MAX(Assumptions!$C$97,1),0)=0),"Yes","No")</f>
        <v>Yes</v>
      </c>
      <c r="AP75" s="109"/>
    </row>
    <row r="76" spans="1:42" s="15" customFormat="1" ht="16.149999999999999" customHeight="1" x14ac:dyDescent="0.25">
      <c r="A76" s="164"/>
      <c r="B76" s="6" t="s">
        <v>195</v>
      </c>
      <c r="C76" s="116" t="str">
        <f ca="1">IF(OR(MONTH(C$4)=Assumptions!$D$98,((MONTH(C$4)-Assumptions!$D$98)/MAX(Assumptions!$C$97,1))-ROUND((MONTH(C$4)-Assumptions!$D$98)/MAX(Assumptions!$C$97,1),0)=0),"Yes","No")</f>
        <v>No</v>
      </c>
      <c r="D76" s="116" t="str">
        <f ca="1">IF(OR(MONTH(D$4)=Assumptions!$D$98,((MONTH(D$4)-Assumptions!$D$98)/MAX(Assumptions!$C$97,1))-ROUND((MONTH(D$4)-Assumptions!$D$98)/MAX(Assumptions!$C$97,1),0)=0),"Yes","No")</f>
        <v>Yes</v>
      </c>
      <c r="E76" s="116" t="str">
        <f ca="1">IF(OR(MONTH(E$4)=Assumptions!$D$98,((MONTH(E$4)-Assumptions!$D$98)/MAX(Assumptions!$C$97,1))-ROUND((MONTH(E$4)-Assumptions!$D$98)/MAX(Assumptions!$C$97,1),0)=0),"Yes","No")</f>
        <v>No</v>
      </c>
      <c r="F76" s="116" t="str">
        <f ca="1">IF(OR(MONTH(F$4)=Assumptions!$D$98,((MONTH(F$4)-Assumptions!$D$98)/MAX(Assumptions!$C$97,1))-ROUND((MONTH(F$4)-Assumptions!$D$98)/MAX(Assumptions!$C$97,1),0)=0),"Yes","No")</f>
        <v>No</v>
      </c>
      <c r="G76" s="116" t="str">
        <f ca="1">IF(OR(MONTH(G$4)=Assumptions!$D$98,((MONTH(G$4)-Assumptions!$D$98)/MAX(Assumptions!$C$97,1))-ROUND((MONTH(G$4)-Assumptions!$D$98)/MAX(Assumptions!$C$97,1),0)=0),"Yes","No")</f>
        <v>No</v>
      </c>
      <c r="H76" s="116" t="str">
        <f ca="1">IF(OR(MONTH(H$4)=Assumptions!$D$98,((MONTH(H$4)-Assumptions!$D$98)/MAX(Assumptions!$C$97,1))-ROUND((MONTH(H$4)-Assumptions!$D$98)/MAX(Assumptions!$C$97,1),0)=0),"Yes","No")</f>
        <v>No</v>
      </c>
      <c r="I76" s="116" t="str">
        <f ca="1">IF(OR(MONTH(I$4)=Assumptions!$D$98,((MONTH(I$4)-Assumptions!$D$98)/MAX(Assumptions!$C$97,1))-ROUND((MONTH(I$4)-Assumptions!$D$98)/MAX(Assumptions!$C$97,1),0)=0),"Yes","No")</f>
        <v>No</v>
      </c>
      <c r="J76" s="116" t="str">
        <f ca="1">IF(OR(MONTH(J$4)=Assumptions!$D$98,((MONTH(J$4)-Assumptions!$D$98)/MAX(Assumptions!$C$97,1))-ROUND((MONTH(J$4)-Assumptions!$D$98)/MAX(Assumptions!$C$97,1),0)=0),"Yes","No")</f>
        <v>No</v>
      </c>
      <c r="K76" s="116" t="str">
        <f ca="1">IF(OR(MONTH(K$4)=Assumptions!$D$98,((MONTH(K$4)-Assumptions!$D$98)/MAX(Assumptions!$C$97,1))-ROUND((MONTH(K$4)-Assumptions!$D$98)/MAX(Assumptions!$C$97,1),0)=0),"Yes","No")</f>
        <v>No</v>
      </c>
      <c r="L76" s="116" t="str">
        <f ca="1">IF(OR(MONTH(L$4)=Assumptions!$D$98,((MONTH(L$4)-Assumptions!$D$98)/MAX(Assumptions!$C$97,1))-ROUND((MONTH(L$4)-Assumptions!$D$98)/MAX(Assumptions!$C$97,1),0)=0),"Yes","No")</f>
        <v>No</v>
      </c>
      <c r="M76" s="116" t="str">
        <f ca="1">IF(OR(MONTH(M$4)=Assumptions!$D$98,((MONTH(M$4)-Assumptions!$D$98)/MAX(Assumptions!$C$97,1))-ROUND((MONTH(M$4)-Assumptions!$D$98)/MAX(Assumptions!$C$97,1),0)=0),"Yes","No")</f>
        <v>No</v>
      </c>
      <c r="N76" s="116" t="str">
        <f ca="1">IF(OR(MONTH(N$4)=Assumptions!$D$98,((MONTH(N$4)-Assumptions!$D$98)/MAX(Assumptions!$C$97,1))-ROUND((MONTH(N$4)-Assumptions!$D$98)/MAX(Assumptions!$C$97,1),0)=0),"Yes","No")</f>
        <v>No</v>
      </c>
      <c r="O76" s="116" t="str">
        <f ca="1">IF(OR(MONTH(O$4)=Assumptions!$D$98,((MONTH(O$4)-Assumptions!$D$98)/MAX(Assumptions!$C$97,1))-ROUND((MONTH(O$4)-Assumptions!$D$98)/MAX(Assumptions!$C$97,1),0)=0),"Yes","No")</f>
        <v>No</v>
      </c>
      <c r="P76" s="109"/>
      <c r="Q76" s="116" t="str">
        <f ca="1">IF(OR(MONTH(Q$4)=Assumptions!$D$98,((MONTH(Q$4)-Assumptions!$D$98)/MAX(Assumptions!$C$97,1))-ROUND((MONTH(Q$4)-Assumptions!$D$98)/MAX(Assumptions!$C$97,1),0)=0),"Yes","No")</f>
        <v>Yes</v>
      </c>
      <c r="R76" s="116" t="str">
        <f ca="1">IF(OR(MONTH(R$4)=Assumptions!$D$98,((MONTH(R$4)-Assumptions!$D$98)/MAX(Assumptions!$C$97,1))-ROUND((MONTH(R$4)-Assumptions!$D$98)/MAX(Assumptions!$C$97,1),0)=0),"Yes","No")</f>
        <v>No</v>
      </c>
      <c r="S76" s="116" t="str">
        <f ca="1">IF(OR(MONTH(S$4)=Assumptions!$D$98,((MONTH(S$4)-Assumptions!$D$98)/MAX(Assumptions!$C$97,1))-ROUND((MONTH(S$4)-Assumptions!$D$98)/MAX(Assumptions!$C$97,1),0)=0),"Yes","No")</f>
        <v>No</v>
      </c>
      <c r="T76" s="116" t="str">
        <f ca="1">IF(OR(MONTH(T$4)=Assumptions!$D$98,((MONTH(T$4)-Assumptions!$D$98)/MAX(Assumptions!$C$97,1))-ROUND((MONTH(T$4)-Assumptions!$D$98)/MAX(Assumptions!$C$97,1),0)=0),"Yes","No")</f>
        <v>No</v>
      </c>
      <c r="U76" s="116" t="str">
        <f ca="1">IF(OR(MONTH(U$4)=Assumptions!$D$98,((MONTH(U$4)-Assumptions!$D$98)/MAX(Assumptions!$C$97,1))-ROUND((MONTH(U$4)-Assumptions!$D$98)/MAX(Assumptions!$C$97,1),0)=0),"Yes","No")</f>
        <v>No</v>
      </c>
      <c r="V76" s="116" t="str">
        <f ca="1">IF(OR(MONTH(V$4)=Assumptions!$D$98,((MONTH(V$4)-Assumptions!$D$98)/MAX(Assumptions!$C$97,1))-ROUND((MONTH(V$4)-Assumptions!$D$98)/MAX(Assumptions!$C$97,1),0)=0),"Yes","No")</f>
        <v>No</v>
      </c>
      <c r="W76" s="116" t="str">
        <f ca="1">IF(OR(MONTH(W$4)=Assumptions!$D$98,((MONTH(W$4)-Assumptions!$D$98)/MAX(Assumptions!$C$97,1))-ROUND((MONTH(W$4)-Assumptions!$D$98)/MAX(Assumptions!$C$97,1),0)=0),"Yes","No")</f>
        <v>No</v>
      </c>
      <c r="X76" s="116" t="str">
        <f ca="1">IF(OR(MONTH(X$4)=Assumptions!$D$98,((MONTH(X$4)-Assumptions!$D$98)/MAX(Assumptions!$C$97,1))-ROUND((MONTH(X$4)-Assumptions!$D$98)/MAX(Assumptions!$C$97,1),0)=0),"Yes","No")</f>
        <v>No</v>
      </c>
      <c r="Y76" s="116" t="str">
        <f ca="1">IF(OR(MONTH(Y$4)=Assumptions!$D$98,((MONTH(Y$4)-Assumptions!$D$98)/MAX(Assumptions!$C$97,1))-ROUND((MONTH(Y$4)-Assumptions!$D$98)/MAX(Assumptions!$C$97,1),0)=0),"Yes","No")</f>
        <v>No</v>
      </c>
      <c r="Z76" s="116" t="str">
        <f ca="1">IF(OR(MONTH(Z$4)=Assumptions!$D$98,((MONTH(Z$4)-Assumptions!$D$98)/MAX(Assumptions!$C$97,1))-ROUND((MONTH(Z$4)-Assumptions!$D$98)/MAX(Assumptions!$C$97,1),0)=0),"Yes","No")</f>
        <v>No</v>
      </c>
      <c r="AA76" s="116" t="str">
        <f ca="1">IF(OR(MONTH(AA$4)=Assumptions!$D$98,((MONTH(AA$4)-Assumptions!$D$98)/MAX(Assumptions!$C$97,1))-ROUND((MONTH(AA$4)-Assumptions!$D$98)/MAX(Assumptions!$C$97,1),0)=0),"Yes","No")</f>
        <v>No</v>
      </c>
      <c r="AB76" s="116" t="str">
        <f ca="1">IF(OR(MONTH(AB$4)=Assumptions!$D$98,((MONTH(AB$4)-Assumptions!$D$98)/MAX(Assumptions!$C$97,1))-ROUND((MONTH(AB$4)-Assumptions!$D$98)/MAX(Assumptions!$C$97,1),0)=0),"Yes","No")</f>
        <v>No</v>
      </c>
      <c r="AC76" s="109"/>
      <c r="AD76" s="116" t="str">
        <f ca="1">IF(OR(MONTH(AD$4)=Assumptions!$D$98,((MONTH(AD$4)-Assumptions!$D$98)/MAX(Assumptions!$C$97,1))-ROUND((MONTH(AD$4)-Assumptions!$D$98)/MAX(Assumptions!$C$97,1),0)=0),"Yes","No")</f>
        <v>Yes</v>
      </c>
      <c r="AE76" s="116" t="str">
        <f ca="1">IF(OR(MONTH(AE$4)=Assumptions!$D$98,((MONTH(AE$4)-Assumptions!$D$98)/MAX(Assumptions!$C$97,1))-ROUND((MONTH(AE$4)-Assumptions!$D$98)/MAX(Assumptions!$C$97,1),0)=0),"Yes","No")</f>
        <v>No</v>
      </c>
      <c r="AF76" s="116" t="str">
        <f ca="1">IF(OR(MONTH(AF$4)=Assumptions!$D$98,((MONTH(AF$4)-Assumptions!$D$98)/MAX(Assumptions!$C$97,1))-ROUND((MONTH(AF$4)-Assumptions!$D$98)/MAX(Assumptions!$C$97,1),0)=0),"Yes","No")</f>
        <v>No</v>
      </c>
      <c r="AG76" s="116" t="str">
        <f ca="1">IF(OR(MONTH(AG$4)=Assumptions!$D$98,((MONTH(AG$4)-Assumptions!$D$98)/MAX(Assumptions!$C$97,1))-ROUND((MONTH(AG$4)-Assumptions!$D$98)/MAX(Assumptions!$C$97,1),0)=0),"Yes","No")</f>
        <v>No</v>
      </c>
      <c r="AH76" s="116" t="str">
        <f ca="1">IF(OR(MONTH(AH$4)=Assumptions!$D$98,((MONTH(AH$4)-Assumptions!$D$98)/MAX(Assumptions!$C$97,1))-ROUND((MONTH(AH$4)-Assumptions!$D$98)/MAX(Assumptions!$C$97,1),0)=0),"Yes","No")</f>
        <v>No</v>
      </c>
      <c r="AI76" s="116" t="str">
        <f ca="1">IF(OR(MONTH(AI$4)=Assumptions!$D$98,((MONTH(AI$4)-Assumptions!$D$98)/MAX(Assumptions!$C$97,1))-ROUND((MONTH(AI$4)-Assumptions!$D$98)/MAX(Assumptions!$C$97,1),0)=0),"Yes","No")</f>
        <v>No</v>
      </c>
      <c r="AJ76" s="116" t="str">
        <f ca="1">IF(OR(MONTH(AJ$4)=Assumptions!$D$98,((MONTH(AJ$4)-Assumptions!$D$98)/MAX(Assumptions!$C$97,1))-ROUND((MONTH(AJ$4)-Assumptions!$D$98)/MAX(Assumptions!$C$97,1),0)=0),"Yes","No")</f>
        <v>No</v>
      </c>
      <c r="AK76" s="116" t="str">
        <f ca="1">IF(OR(MONTH(AK$4)=Assumptions!$D$98,((MONTH(AK$4)-Assumptions!$D$98)/MAX(Assumptions!$C$97,1))-ROUND((MONTH(AK$4)-Assumptions!$D$98)/MAX(Assumptions!$C$97,1),0)=0),"Yes","No")</f>
        <v>No</v>
      </c>
      <c r="AL76" s="116" t="str">
        <f ca="1">IF(OR(MONTH(AL$4)=Assumptions!$D$98,((MONTH(AL$4)-Assumptions!$D$98)/MAX(Assumptions!$C$97,1))-ROUND((MONTH(AL$4)-Assumptions!$D$98)/MAX(Assumptions!$C$97,1),0)=0),"Yes","No")</f>
        <v>No</v>
      </c>
      <c r="AM76" s="116" t="str">
        <f ca="1">IF(OR(MONTH(AM$4)=Assumptions!$D$98,((MONTH(AM$4)-Assumptions!$D$98)/MAX(Assumptions!$C$97,1))-ROUND((MONTH(AM$4)-Assumptions!$D$98)/MAX(Assumptions!$C$97,1),0)=0),"Yes","No")</f>
        <v>No</v>
      </c>
      <c r="AN76" s="116" t="str">
        <f ca="1">IF(OR(MONTH(AN$4)=Assumptions!$D$98,((MONTH(AN$4)-Assumptions!$D$98)/MAX(Assumptions!$C$97,1))-ROUND((MONTH(AN$4)-Assumptions!$D$98)/MAX(Assumptions!$C$97,1),0)=0),"Yes","No")</f>
        <v>No</v>
      </c>
      <c r="AO76" s="116" t="str">
        <f ca="1">IF(OR(MONTH(AO$4)=Assumptions!$D$98,((MONTH(AO$4)-Assumptions!$D$98)/MAX(Assumptions!$C$97,1))-ROUND((MONTH(AO$4)-Assumptions!$D$98)/MAX(Assumptions!$C$97,1),0)=0),"Yes","No")</f>
        <v>No</v>
      </c>
      <c r="AP76" s="109"/>
    </row>
    <row r="77" spans="1:42" s="15" customFormat="1" ht="16.149999999999999" customHeight="1" x14ac:dyDescent="0.25">
      <c r="A77" s="164"/>
      <c r="B77" s="6" t="s">
        <v>65</v>
      </c>
      <c r="C77" s="84"/>
      <c r="D77" s="84">
        <f ca="1">IncState!C59</f>
        <v>40354.5</v>
      </c>
      <c r="E77" s="84">
        <f ca="1">IncState!D59</f>
        <v>39097.241662946675</v>
      </c>
      <c r="F77" s="84">
        <f ca="1">IncState!E59</f>
        <v>44875.301810206904</v>
      </c>
      <c r="G77" s="84">
        <f ca="1">IncState!F59</f>
        <v>-3172.9113557039018</v>
      </c>
      <c r="H77" s="84">
        <f ca="1">IncState!G59</f>
        <v>35892.61044145163</v>
      </c>
      <c r="I77" s="84">
        <f ca="1">IncState!H59</f>
        <v>34904.875552299462</v>
      </c>
      <c r="J77" s="84">
        <f ca="1">IncState!I59</f>
        <v>47365.017299715881</v>
      </c>
      <c r="K77" s="84">
        <f ca="1">IncState!J59</f>
        <v>12738.149542354895</v>
      </c>
      <c r="L77" s="84">
        <f ca="1">IncState!K59</f>
        <v>26036.921091279859</v>
      </c>
      <c r="M77" s="84">
        <f ca="1">IncState!L59</f>
        <v>24228.940836467911</v>
      </c>
      <c r="N77" s="84">
        <f ca="1">IncState!M59</f>
        <v>55978.297747521283</v>
      </c>
      <c r="O77" s="84">
        <f ca="1">IncState!N59</f>
        <v>43773.547163190931</v>
      </c>
      <c r="P77" s="109"/>
      <c r="Q77" s="84">
        <f ca="1">IncState!P59</f>
        <v>45947.018449525145</v>
      </c>
      <c r="R77" s="84">
        <f ca="1">IncState!Q59</f>
        <v>28766.003178957588</v>
      </c>
      <c r="S77" s="84">
        <f ca="1">IncState!R59</f>
        <v>43454.193031036928</v>
      </c>
      <c r="T77" s="84">
        <f ca="1">IncState!S59</f>
        <v>36879.919793426889</v>
      </c>
      <c r="U77" s="84">
        <f ca="1">IncState!T59</f>
        <v>49239.355362915769</v>
      </c>
      <c r="V77" s="84">
        <f ca="1">IncState!U59</f>
        <v>16492.111746435887</v>
      </c>
      <c r="W77" s="84">
        <f ca="1">IncState!V59</f>
        <v>46642.343923099295</v>
      </c>
      <c r="X77" s="84">
        <f ca="1">IncState!W59</f>
        <v>31630.044417016645</v>
      </c>
      <c r="Y77" s="84">
        <f ca="1">IncState!X59</f>
        <v>50962.6685212921</v>
      </c>
      <c r="Z77" s="84">
        <f ca="1">IncState!Y59</f>
        <v>-18646.808325928792</v>
      </c>
      <c r="AA77" s="84">
        <f ca="1">IncState!Z59</f>
        <v>36020.269459929077</v>
      </c>
      <c r="AB77" s="84">
        <f ca="1">IncState!AA59</f>
        <v>49080.237611271747</v>
      </c>
      <c r="AC77" s="109"/>
      <c r="AD77" s="84">
        <f ca="1">IncState!AC59</f>
        <v>46646.072009751384</v>
      </c>
      <c r="AE77" s="84">
        <f ca="1">IncState!AD59</f>
        <v>14058.588687694719</v>
      </c>
      <c r="AF77" s="84">
        <f ca="1">IncState!AE59</f>
        <v>45227.15354614969</v>
      </c>
      <c r="AG77" s="84">
        <f ca="1">IncState!AF59</f>
        <v>38262.843099410471</v>
      </c>
      <c r="AH77" s="84">
        <f ca="1">IncState!AG59</f>
        <v>-11100.324389744401</v>
      </c>
      <c r="AI77" s="84">
        <f ca="1">IncState!AH59</f>
        <v>50753.98951642678</v>
      </c>
      <c r="AJ77" s="84">
        <f ca="1">IncState!AI59</f>
        <v>34336.923432319047</v>
      </c>
      <c r="AK77" s="84">
        <f ca="1">IncState!AJ59</f>
        <v>58001.376150689612</v>
      </c>
      <c r="AL77" s="84">
        <f ca="1">IncState!AK59</f>
        <v>44427.28664438054</v>
      </c>
      <c r="AM77" s="84">
        <f ca="1">IncState!AL59</f>
        <v>24111.714068060617</v>
      </c>
      <c r="AN77" s="84">
        <f ca="1">IncState!AM59</f>
        <v>54057.797759982757</v>
      </c>
      <c r="AO77" s="84">
        <f ca="1">IncState!AN59</f>
        <v>46676.117243758854</v>
      </c>
      <c r="AP77" s="109"/>
    </row>
    <row r="78" spans="1:42" s="15" customFormat="1" ht="16.149999999999999" customHeight="1" x14ac:dyDescent="0.25">
      <c r="A78" s="164"/>
      <c r="B78" s="6" t="s">
        <v>260</v>
      </c>
      <c r="C78" s="84"/>
      <c r="D78" s="84">
        <f ca="1">IF(SUM($D77:D77)&lt;=0,0,(SUM($D77:D77)*D74))-SUM($C78:C78)</f>
        <v>0</v>
      </c>
      <c r="E78" s="84">
        <f ca="1">IF(SUM($D77:E77)&lt;=0,0,(SUM($D77:E77)*E74))-SUM($C78:D78)</f>
        <v>0</v>
      </c>
      <c r="F78" s="84">
        <f ca="1">IF(SUM($D77:F77)&lt;=0,0,(SUM($D77:F77)*F74))-SUM($C78:E78)</f>
        <v>0</v>
      </c>
      <c r="G78" s="84">
        <f ca="1">IF(SUM($D77:G77)&lt;=0,0,(SUM($D77:G77)*G74))-SUM($C78:F78)</f>
        <v>0</v>
      </c>
      <c r="H78" s="84">
        <f ca="1">IF(SUM($D77:H77)&lt;=0,0,(SUM($D77:H77)*H74))-SUM($C78:G78)</f>
        <v>0</v>
      </c>
      <c r="I78" s="84">
        <f ca="1">IF(SUM($D77:I77)&lt;=0,0,(SUM($D77:I77)*I74))-SUM($C78:H78)</f>
        <v>0</v>
      </c>
      <c r="J78" s="84">
        <f ca="1">IF(SUM($D77:J77)&lt;=0,0,(SUM($D77:J77)*J74))-SUM($C78:I78)</f>
        <v>0</v>
      </c>
      <c r="K78" s="84">
        <f ca="1">IF(SUM($D77:K77)&lt;=0,0,(SUM($D77:K77)*K74))-SUM($C78:J78)</f>
        <v>0</v>
      </c>
      <c r="L78" s="84">
        <f ca="1">IF(SUM($D77:L77)&lt;=0,0,(SUM($D77:L77)*L74))-SUM($C78:K78)</f>
        <v>0</v>
      </c>
      <c r="M78" s="84">
        <f ca="1">IF(SUM($D77:M77)&lt;=0,0,(SUM($D77:M77)*M74))-SUM($C78:L78)</f>
        <v>0</v>
      </c>
      <c r="N78" s="84">
        <f ca="1">IF(SUM($D77:N77)&lt;=0,0,(SUM($D77:N77)*N74))-SUM($C78:M78)</f>
        <v>0</v>
      </c>
      <c r="O78" s="84">
        <f ca="1">IF(SUM($D77:O77)&lt;=0,0,(SUM($D77:O77)*O74))-SUM($C78:N78)</f>
        <v>0</v>
      </c>
      <c r="P78" s="109"/>
      <c r="Q78" s="84">
        <f ca="1">IF(SUM($Q77:Q77)&lt;=0,0,(SUM($Q77:Q77)*Q74))-SUM($P78:P78)</f>
        <v>0</v>
      </c>
      <c r="R78" s="84">
        <f ca="1">IF(SUM($Q77:R77)&lt;=0,0,(SUM($Q77:R77)*R74))-SUM($P78:Q78)</f>
        <v>0</v>
      </c>
      <c r="S78" s="84">
        <f ca="1">IF(SUM($Q77:S77)&lt;=0,0,(SUM($Q77:S77)*S74))-SUM($P78:R78)</f>
        <v>0</v>
      </c>
      <c r="T78" s="84">
        <f ca="1">IF(SUM($Q77:T77)&lt;=0,0,(SUM($Q77:T77)*T74))-SUM($P78:S78)</f>
        <v>0</v>
      </c>
      <c r="U78" s="84">
        <f ca="1">IF(SUM($Q77:U77)&lt;=0,0,(SUM($Q77:U77)*U74))-SUM($P78:T78)</f>
        <v>0</v>
      </c>
      <c r="V78" s="84">
        <f ca="1">IF(SUM($Q77:V77)&lt;=0,0,(SUM($Q77:V77)*V74))-SUM($P78:U78)</f>
        <v>0</v>
      </c>
      <c r="W78" s="84">
        <f ca="1">IF(SUM($Q77:W77)&lt;=0,0,(SUM($Q77:W77)*W74))-SUM($P78:V78)</f>
        <v>0</v>
      </c>
      <c r="X78" s="84">
        <f ca="1">IF(SUM($Q77:X77)&lt;=0,0,(SUM($Q77:X77)*X74))-SUM($P78:W78)</f>
        <v>0</v>
      </c>
      <c r="Y78" s="84">
        <f ca="1">IF(SUM($Q77:Y77)&lt;=0,0,(SUM($Q77:Y77)*Y74))-SUM($P78:X78)</f>
        <v>0</v>
      </c>
      <c r="Z78" s="84">
        <f ca="1">IF(SUM($Q77:Z77)&lt;=0,0,(SUM($Q77:Z77)*Z74))-SUM($P78:Y78)</f>
        <v>0</v>
      </c>
      <c r="AA78" s="84">
        <f ca="1">IF(SUM($Q77:AA77)&lt;=0,0,(SUM($Q77:AA77)*AA74))-SUM($P78:Z78)</f>
        <v>0</v>
      </c>
      <c r="AB78" s="84">
        <f ca="1">IF(SUM($Q77:AB77)&lt;=0,0,(SUM($Q77:AB77)*AB74))-SUM($P78:AA78)</f>
        <v>0</v>
      </c>
      <c r="AC78" s="109"/>
      <c r="AD78" s="84">
        <f ca="1">IF(SUM($AD77:AD77)&lt;=0,0,(SUM($AD77:AD77)*AD74))-SUM($AC78:AC78)</f>
        <v>0</v>
      </c>
      <c r="AE78" s="84">
        <f ca="1">IF(SUM($AD77:AE77)&lt;=0,0,(SUM($AD77:AE77)*AE74))-SUM($AC78:AD78)</f>
        <v>0</v>
      </c>
      <c r="AF78" s="84">
        <f ca="1">IF(SUM($AD77:AF77)&lt;=0,0,(SUM($AD77:AF77)*AF74))-SUM($AC78:AE78)</f>
        <v>0</v>
      </c>
      <c r="AG78" s="84">
        <f ca="1">IF(SUM($AD77:AG77)&lt;=0,0,(SUM($AD77:AG77)*AG74))-SUM($AC78:AF78)</f>
        <v>0</v>
      </c>
      <c r="AH78" s="84">
        <f ca="1">IF(SUM($AD77:AH77)&lt;=0,0,(SUM($AD77:AH77)*AH74))-SUM($AC78:AG78)</f>
        <v>0</v>
      </c>
      <c r="AI78" s="84">
        <f ca="1">IF(SUM($AD77:AI77)&lt;=0,0,(SUM($AD77:AI77)*AI74))-SUM($AC78:AH78)</f>
        <v>0</v>
      </c>
      <c r="AJ78" s="84">
        <f ca="1">IF(SUM($AD77:AJ77)&lt;=0,0,(SUM($AD77:AJ77)*AJ74))-SUM($AC78:AI78)</f>
        <v>0</v>
      </c>
      <c r="AK78" s="84">
        <f ca="1">IF(SUM($AD77:AK77)&lt;=0,0,(SUM($AD77:AK77)*AK74))-SUM($AC78:AJ78)</f>
        <v>0</v>
      </c>
      <c r="AL78" s="84">
        <f ca="1">IF(SUM($AD77:AL77)&lt;=0,0,(SUM($AD77:AL77)*AL74))-SUM($AC78:AK78)</f>
        <v>0</v>
      </c>
      <c r="AM78" s="84">
        <f ca="1">IF(SUM($AD77:AM77)&lt;=0,0,(SUM($AD77:AM77)*AM74))-SUM($AC78:AL78)</f>
        <v>0</v>
      </c>
      <c r="AN78" s="84">
        <f ca="1">IF(SUM($AD77:AN77)&lt;=0,0,(SUM($AD77:AN77)*AN74))-SUM($AC78:AM78)</f>
        <v>0</v>
      </c>
      <c r="AO78" s="84">
        <f ca="1">IF(SUM($AD77:AO77)&lt;=0,0,(SUM($AD77:AO77)*AO74))-SUM($AC78:AN78)</f>
        <v>0</v>
      </c>
      <c r="AP78" s="109"/>
    </row>
    <row r="79" spans="1:42" s="19" customFormat="1" ht="16.149999999999999" customHeight="1" x14ac:dyDescent="0.25">
      <c r="A79" s="166"/>
      <c r="B79" s="123" t="s">
        <v>259</v>
      </c>
      <c r="C79" s="19">
        <f ca="1">C38</f>
        <v>0</v>
      </c>
      <c r="D79" s="19">
        <f ca="1">IF(D75="Yes",SUM(OFFSET(D78,0,1-MIN(COLUMN(D$4)-1,Assumptions!$C$97),1,MIN(COLUMN(D$4)-1,Assumptions!$C$97))),0)</f>
        <v>0</v>
      </c>
      <c r="E79" s="19">
        <f ca="1">IF(E75="Yes",SUM(OFFSET(E78,0,1-MIN(COLUMN(E$4)-1,Assumptions!$C$97),1,MIN(COLUMN(E$4)-1,Assumptions!$C$97))),0)</f>
        <v>0</v>
      </c>
      <c r="F79" s="19">
        <f ca="1">IF(F75="Yes",SUM(OFFSET(F78,0,1-MIN(COLUMN(F$4)-1,Assumptions!$C$97),1,MIN(COLUMN(F$4)-1,Assumptions!$C$97))),0)</f>
        <v>0</v>
      </c>
      <c r="G79" s="19">
        <f ca="1">IF(G75="Yes",SUM(OFFSET(G78,0,1-MIN(COLUMN(G$4)-1,Assumptions!$C$97),1,MIN(COLUMN(G$4)-1,Assumptions!$C$97))),0)</f>
        <v>0</v>
      </c>
      <c r="H79" s="19">
        <f ca="1">IF(H75="Yes",SUM(OFFSET(H78,0,1-MIN(COLUMN(H$4)-1,Assumptions!$C$97),1,MIN(COLUMN(H$4)-1,Assumptions!$C$97))),0)</f>
        <v>0</v>
      </c>
      <c r="I79" s="19">
        <f ca="1">IF(I75="Yes",SUM(OFFSET(I78,0,1-MIN(COLUMN(I$4)-1,Assumptions!$C$97),1,MIN(COLUMN(I$4)-1,Assumptions!$C$97))),0)</f>
        <v>0</v>
      </c>
      <c r="J79" s="19">
        <f ca="1">IF(J75="Yes",SUM(OFFSET(J78,0,1-MIN(COLUMN(J$4)-1,Assumptions!$C$97),1,MIN(COLUMN(J$4)-1,Assumptions!$C$97))),0)</f>
        <v>0</v>
      </c>
      <c r="K79" s="19">
        <f ca="1">IF(K75="Yes",SUM(OFFSET(K78,0,1-MIN(COLUMN(K$4)-1,Assumptions!$C$97),1,MIN(COLUMN(K$4)-1,Assumptions!$C$97))),0)</f>
        <v>0</v>
      </c>
      <c r="L79" s="19">
        <f ca="1">IF(L75="Yes",SUM(OFFSET(L78,0,1-MIN(COLUMN(L$4)-1,Assumptions!$C$97),1,MIN(COLUMN(L$4)-1,Assumptions!$C$97))),0)</f>
        <v>0</v>
      </c>
      <c r="M79" s="19">
        <f ca="1">IF(M75="Yes",SUM(OFFSET(M78,0,1-MIN(COLUMN(M$4)-1,Assumptions!$C$97),1,MIN(COLUMN(M$4)-1,Assumptions!$C$97))),0)</f>
        <v>0</v>
      </c>
      <c r="N79" s="19">
        <f ca="1">IF(N75="Yes",SUM(OFFSET(N78,0,1-MIN(COLUMN(N$4)-1,Assumptions!$C$97),1,MIN(COLUMN(N$4)-1,Assumptions!$C$97))),0)</f>
        <v>0</v>
      </c>
      <c r="O79" s="19">
        <f ca="1">IF(O75="Yes",SUM(OFFSET(O78,0,1-MIN(COLUMN(O$4)-1,Assumptions!$C$97),1,MIN(COLUMN(O$4)-1,Assumptions!$C$97))),0)</f>
        <v>0</v>
      </c>
      <c r="P79" s="124"/>
      <c r="Q79" s="19">
        <f ca="1">IF(Q75="Yes",SUM(OFFSET(Q78,0,1-MIN(COLUMN(Q$4)-1,Assumptions!$C$97),1,MIN(COLUMN(Q$4)-1,Assumptions!$C$97))),0)</f>
        <v>0</v>
      </c>
      <c r="R79" s="19">
        <f ca="1">IF(R75="Yes",SUM(OFFSET(R78,0,1-MIN(COLUMN(R$4)-1,Assumptions!$C$97),1,MIN(COLUMN(R$4)-1,Assumptions!$C$97))),0)</f>
        <v>0</v>
      </c>
      <c r="S79" s="19">
        <f ca="1">IF(S75="Yes",SUM(OFFSET(S78,0,1-MIN(COLUMN(S$4)-1,Assumptions!$C$97),1,MIN(COLUMN(S$4)-1,Assumptions!$C$97))),0)</f>
        <v>0</v>
      </c>
      <c r="T79" s="19">
        <f ca="1">IF(T75="Yes",SUM(OFFSET(T78,0,1-MIN(COLUMN(T$4)-1,Assumptions!$C$97),1,MIN(COLUMN(T$4)-1,Assumptions!$C$97))),0)</f>
        <v>0</v>
      </c>
      <c r="U79" s="19">
        <f ca="1">IF(U75="Yes",SUM(OFFSET(U78,0,1-MIN(COLUMN(U$4)-1,Assumptions!$C$97),1,MIN(COLUMN(U$4)-1,Assumptions!$C$97))),0)</f>
        <v>0</v>
      </c>
      <c r="V79" s="19">
        <f ca="1">IF(V75="Yes",SUM(OFFSET(V78,0,1-MIN(COLUMN(V$4)-1,Assumptions!$C$97),1,MIN(COLUMN(V$4)-1,Assumptions!$C$97))),0)</f>
        <v>0</v>
      </c>
      <c r="W79" s="19">
        <f ca="1">IF(W75="Yes",SUM(OFFSET(W78,0,1-MIN(COLUMN(W$4)-1,Assumptions!$C$97),1,MIN(COLUMN(W$4)-1,Assumptions!$C$97))),0)</f>
        <v>0</v>
      </c>
      <c r="X79" s="19">
        <f ca="1">IF(X75="Yes",SUM(OFFSET(X78,0,1-MIN(COLUMN(X$4)-1,Assumptions!$C$97),1,MIN(COLUMN(X$4)-1,Assumptions!$C$97))),0)</f>
        <v>0</v>
      </c>
      <c r="Y79" s="19">
        <f ca="1">IF(Y75="Yes",SUM(OFFSET(Y78,0,1-MIN(COLUMN(Y$4)-1,Assumptions!$C$97),1,MIN(COLUMN(Y$4)-1,Assumptions!$C$97))),0)</f>
        <v>0</v>
      </c>
      <c r="Z79" s="19">
        <f ca="1">IF(Z75="Yes",SUM(OFFSET(Z78,0,1-MIN(COLUMN(Z$4)-1,Assumptions!$C$97),1,MIN(COLUMN(Z$4)-1,Assumptions!$C$97))),0)</f>
        <v>0</v>
      </c>
      <c r="AA79" s="19">
        <f ca="1">IF(AA75="Yes",SUM(OFFSET(AA78,0,1-MIN(COLUMN(AA$4)-1,Assumptions!$C$97),1,MIN(COLUMN(AA$4)-1,Assumptions!$C$97))),0)</f>
        <v>0</v>
      </c>
      <c r="AB79" s="19">
        <f ca="1">IF(AB75="Yes",SUM(OFFSET(AB78,0,1-MIN(COLUMN(AB$4)-1,Assumptions!$C$97),1,MIN(COLUMN(AB$4)-1,Assumptions!$C$97))),0)</f>
        <v>0</v>
      </c>
      <c r="AC79" s="124"/>
      <c r="AD79" s="19">
        <f ca="1">IF(AD75="Yes",SUM(OFFSET(AD78,0,1-MIN(COLUMN(AD$4)-1,Assumptions!$C$97),1,MIN(COLUMN(AD$4)-1,Assumptions!$C$97))),0)</f>
        <v>0</v>
      </c>
      <c r="AE79" s="19">
        <f ca="1">IF(AE75="Yes",SUM(OFFSET(AE78,0,1-MIN(COLUMN(AE$4)-1,Assumptions!$C$97),1,MIN(COLUMN(AE$4)-1,Assumptions!$C$97))),0)</f>
        <v>0</v>
      </c>
      <c r="AF79" s="19">
        <f ca="1">IF(AF75="Yes",SUM(OFFSET(AF78,0,1-MIN(COLUMN(AF$4)-1,Assumptions!$C$97),1,MIN(COLUMN(AF$4)-1,Assumptions!$C$97))),0)</f>
        <v>0</v>
      </c>
      <c r="AG79" s="19">
        <f ca="1">IF(AG75="Yes",SUM(OFFSET(AG78,0,1-MIN(COLUMN(AG$4)-1,Assumptions!$C$97),1,MIN(COLUMN(AG$4)-1,Assumptions!$C$97))),0)</f>
        <v>0</v>
      </c>
      <c r="AH79" s="19">
        <f ca="1">IF(AH75="Yes",SUM(OFFSET(AH78,0,1-MIN(COLUMN(AH$4)-1,Assumptions!$C$97),1,MIN(COLUMN(AH$4)-1,Assumptions!$C$97))),0)</f>
        <v>0</v>
      </c>
      <c r="AI79" s="19">
        <f ca="1">IF(AI75="Yes",SUM(OFFSET(AI78,0,1-MIN(COLUMN(AI$4)-1,Assumptions!$C$97),1,MIN(COLUMN(AI$4)-1,Assumptions!$C$97))),0)</f>
        <v>0</v>
      </c>
      <c r="AJ79" s="19">
        <f ca="1">IF(AJ75="Yes",SUM(OFFSET(AJ78,0,1-MIN(COLUMN(AJ$4)-1,Assumptions!$C$97),1,MIN(COLUMN(AJ$4)-1,Assumptions!$C$97))),0)</f>
        <v>0</v>
      </c>
      <c r="AK79" s="19">
        <f ca="1">IF(AK75="Yes",SUM(OFFSET(AK78,0,1-MIN(COLUMN(AK$4)-1,Assumptions!$C$97),1,MIN(COLUMN(AK$4)-1,Assumptions!$C$97))),0)</f>
        <v>0</v>
      </c>
      <c r="AL79" s="19">
        <f ca="1">IF(AL75="Yes",SUM(OFFSET(AL78,0,1-MIN(COLUMN(AL$4)-1,Assumptions!$C$97),1,MIN(COLUMN(AL$4)-1,Assumptions!$C$97))),0)</f>
        <v>0</v>
      </c>
      <c r="AM79" s="19">
        <f ca="1">IF(AM75="Yes",SUM(OFFSET(AM78,0,1-MIN(COLUMN(AM$4)-1,Assumptions!$C$97),1,MIN(COLUMN(AM$4)-1,Assumptions!$C$97))),0)</f>
        <v>0</v>
      </c>
      <c r="AN79" s="19">
        <f ca="1">IF(AN75="Yes",SUM(OFFSET(AN78,0,1-MIN(COLUMN(AN$4)-1,Assumptions!$C$97),1,MIN(COLUMN(AN$4)-1,Assumptions!$C$97))),0)</f>
        <v>0</v>
      </c>
      <c r="AO79" s="19">
        <f ca="1">IF(AO75="Yes",SUM(OFFSET(AO78,0,1-MIN(COLUMN(AO$4)-1,Assumptions!$C$97),1,MIN(COLUMN(AO$4)-1,Assumptions!$C$97))),0)</f>
        <v>0</v>
      </c>
      <c r="AP79" s="124"/>
    </row>
    <row r="80" spans="1:42" s="19" customFormat="1" ht="16.149999999999999" customHeight="1" x14ac:dyDescent="0.25">
      <c r="A80" s="166"/>
      <c r="B80" s="123" t="s">
        <v>258</v>
      </c>
      <c r="C80" s="19">
        <f ca="1">IF(C81="S",MAX(0,SUM(OFFSET(C79,0,1-MIN(COLUMN(C$4)-1,Assumptions!$D$99)-COUNTBLANK(OFFSET(C79,0,1-MIN(COLUMN(C$4)-1,Assumptions!$D$99),1,MIN(COLUMN(C$4)-1,Assumptions!$D$99))),1,MIN(COLUMN(C$4)-1,Assumptions!$D$99)))),C81)</f>
        <v>0</v>
      </c>
      <c r="D80" s="19">
        <f ca="1">IF(D81="S",MAX(0,SUM(OFFSET(D79,0,1-MIN(COLUMN(D$4)-1,Assumptions!$D$99)-COUNTBLANK(OFFSET(D79,0,1-MIN(COLUMN(D$4)-1,Assumptions!$D$99),1,MIN(COLUMN(D$4)-1,Assumptions!$D$99))),1,MIN(COLUMN(D$4)-1,Assumptions!$D$99)))),D81)</f>
        <v>0</v>
      </c>
      <c r="E80" s="19">
        <f ca="1">IF(E81="S",MAX(0,SUM(OFFSET(E79,0,1-MIN(COLUMN(E$4)-1,Assumptions!$D$99)-COUNTBLANK(OFFSET(E79,0,1-MIN(COLUMN(E$4)-1,Assumptions!$D$99),1,MIN(COLUMN(E$4)-1,Assumptions!$D$99))),1,MIN(COLUMN(E$4)-1,Assumptions!$D$99)))),E81)</f>
        <v>0</v>
      </c>
      <c r="F80" s="19">
        <f ca="1">IF(F81="S",MAX(0,SUM(OFFSET(F79,0,1-MIN(COLUMN(F$4)-1,Assumptions!$D$99)-COUNTBLANK(OFFSET(F79,0,1-MIN(COLUMN(F$4)-1,Assumptions!$D$99),1,MIN(COLUMN(F$4)-1,Assumptions!$D$99))),1,MIN(COLUMN(F$4)-1,Assumptions!$D$99)))),F81)</f>
        <v>0</v>
      </c>
      <c r="G80" s="19">
        <f ca="1">IF(G81="S",MAX(0,SUM(OFFSET(G79,0,1-MIN(COLUMN(G$4)-1,Assumptions!$D$99)-COUNTBLANK(OFFSET(G79,0,1-MIN(COLUMN(G$4)-1,Assumptions!$D$99),1,MIN(COLUMN(G$4)-1,Assumptions!$D$99))),1,MIN(COLUMN(G$4)-1,Assumptions!$D$99)))),G81)</f>
        <v>0</v>
      </c>
      <c r="H80" s="19">
        <f ca="1">IF(H81="S",MAX(0,SUM(OFFSET(H79,0,1-MIN(COLUMN(H$4)-1,Assumptions!$D$99)-COUNTBLANK(OFFSET(H79,0,1-MIN(COLUMN(H$4)-1,Assumptions!$D$99),1,MIN(COLUMN(H$4)-1,Assumptions!$D$99))),1,MIN(COLUMN(H$4)-1,Assumptions!$D$99)))),H81)</f>
        <v>0</v>
      </c>
      <c r="I80" s="19">
        <f ca="1">IF(I81="S",MAX(0,SUM(OFFSET(I79,0,1-MIN(COLUMN(I$4)-1,Assumptions!$D$99)-COUNTBLANK(OFFSET(I79,0,1-MIN(COLUMN(I$4)-1,Assumptions!$D$99),1,MIN(COLUMN(I$4)-1,Assumptions!$D$99))),1,MIN(COLUMN(I$4)-1,Assumptions!$D$99)))),I81)</f>
        <v>0</v>
      </c>
      <c r="J80" s="19">
        <f ca="1">IF(J81="S",MAX(0,SUM(OFFSET(J79,0,1-MIN(COLUMN(J$4)-1,Assumptions!$D$99)-COUNTBLANK(OFFSET(J79,0,1-MIN(COLUMN(J$4)-1,Assumptions!$D$99),1,MIN(COLUMN(J$4)-1,Assumptions!$D$99))),1,MIN(COLUMN(J$4)-1,Assumptions!$D$99)))),J81)</f>
        <v>0</v>
      </c>
      <c r="K80" s="19">
        <f ca="1">IF(K81="S",MAX(0,SUM(OFFSET(K79,0,1-MIN(COLUMN(K$4)-1,Assumptions!$D$99)-COUNTBLANK(OFFSET(K79,0,1-MIN(COLUMN(K$4)-1,Assumptions!$D$99),1,MIN(COLUMN(K$4)-1,Assumptions!$D$99))),1,MIN(COLUMN(K$4)-1,Assumptions!$D$99)))),K81)</f>
        <v>0</v>
      </c>
      <c r="L80" s="19">
        <f ca="1">IF(L81="S",MAX(0,SUM(OFFSET(L79,0,1-MIN(COLUMN(L$4)-1,Assumptions!$D$99)-COUNTBLANK(OFFSET(L79,0,1-MIN(COLUMN(L$4)-1,Assumptions!$D$99),1,MIN(COLUMN(L$4)-1,Assumptions!$D$99))),1,MIN(COLUMN(L$4)-1,Assumptions!$D$99)))),L81)</f>
        <v>0</v>
      </c>
      <c r="M80" s="19">
        <f ca="1">IF(M81="S",MAX(0,SUM(OFFSET(M79,0,1-MIN(COLUMN(M$4)-1,Assumptions!$D$99)-COUNTBLANK(OFFSET(M79,0,1-MIN(COLUMN(M$4)-1,Assumptions!$D$99),1,MIN(COLUMN(M$4)-1,Assumptions!$D$99))),1,MIN(COLUMN(M$4)-1,Assumptions!$D$99)))),M81)</f>
        <v>0</v>
      </c>
      <c r="N80" s="19">
        <f ca="1">IF(N81="S",MAX(0,SUM(OFFSET(N79,0,1-MIN(COLUMN(N$4)-1,Assumptions!$D$99)-COUNTBLANK(OFFSET(N79,0,1-MIN(COLUMN(N$4)-1,Assumptions!$D$99),1,MIN(COLUMN(N$4)-1,Assumptions!$D$99))),1,MIN(COLUMN(N$4)-1,Assumptions!$D$99)))),N81)</f>
        <v>0</v>
      </c>
      <c r="O80" s="19">
        <f ca="1">IF(O81="S",MAX(0,SUM(OFFSET(O79,0,1-MIN(COLUMN(O$4)-1,Assumptions!$D$99)-COUNTBLANK(OFFSET(O79,0,1-MIN(COLUMN(O$4)-1,Assumptions!$D$99),1,MIN(COLUMN(O$4)-1,Assumptions!$D$99))),1,MIN(COLUMN(O$4)-1,Assumptions!$D$99)))),O81)</f>
        <v>0</v>
      </c>
      <c r="P80" s="124"/>
      <c r="Q80" s="19">
        <f ca="1">IF(Q81="S",MAX(0,SUM(OFFSET(Q79,0,1-MIN(COLUMN(Q$4)-1,Assumptions!$D$99)-COUNTBLANK(OFFSET(Q79,0,1-MIN(COLUMN(Q$4)-1,Assumptions!$D$99),1,MIN(COLUMN(Q$4)-1,Assumptions!$D$99))),1,MIN(COLUMN(Q$4)-1,Assumptions!$D$99)))),Q81)</f>
        <v>0</v>
      </c>
      <c r="R80" s="19">
        <f ca="1">IF(R81="S",MAX(0,SUM(OFFSET(R79,0,1-MIN(COLUMN(R$4)-1,Assumptions!$D$99)-COUNTBLANK(OFFSET(R79,0,1-MIN(COLUMN(R$4)-1,Assumptions!$D$99),1,MIN(COLUMN(R$4)-1,Assumptions!$D$99))),1,MIN(COLUMN(R$4)-1,Assumptions!$D$99)))),R81)</f>
        <v>0</v>
      </c>
      <c r="S80" s="19">
        <f ca="1">IF(S81="S",MAX(0,SUM(OFFSET(S79,0,1-MIN(COLUMN(S$4)-1,Assumptions!$D$99)-COUNTBLANK(OFFSET(S79,0,1-MIN(COLUMN(S$4)-1,Assumptions!$D$99),1,MIN(COLUMN(S$4)-1,Assumptions!$D$99))),1,MIN(COLUMN(S$4)-1,Assumptions!$D$99)))),S81)</f>
        <v>0</v>
      </c>
      <c r="T80" s="19">
        <f ca="1">IF(T81="S",MAX(0,SUM(OFFSET(T79,0,1-MIN(COLUMN(T$4)-1,Assumptions!$D$99)-COUNTBLANK(OFFSET(T79,0,1-MIN(COLUMN(T$4)-1,Assumptions!$D$99),1,MIN(COLUMN(T$4)-1,Assumptions!$D$99))),1,MIN(COLUMN(T$4)-1,Assumptions!$D$99)))),T81)</f>
        <v>0</v>
      </c>
      <c r="U80" s="19">
        <f ca="1">IF(U81="S",MAX(0,SUM(OFFSET(U79,0,1-MIN(COLUMN(U$4)-1,Assumptions!$D$99)-COUNTBLANK(OFFSET(U79,0,1-MIN(COLUMN(U$4)-1,Assumptions!$D$99),1,MIN(COLUMN(U$4)-1,Assumptions!$D$99))),1,MIN(COLUMN(U$4)-1,Assumptions!$D$99)))),U81)</f>
        <v>0</v>
      </c>
      <c r="V80" s="19">
        <f ca="1">IF(V81="S",MAX(0,SUM(OFFSET(V79,0,1-MIN(COLUMN(V$4)-1,Assumptions!$D$99)-COUNTBLANK(OFFSET(V79,0,1-MIN(COLUMN(V$4)-1,Assumptions!$D$99),1,MIN(COLUMN(V$4)-1,Assumptions!$D$99))),1,MIN(COLUMN(V$4)-1,Assumptions!$D$99)))),V81)</f>
        <v>0</v>
      </c>
      <c r="W80" s="19">
        <f ca="1">IF(W81="S",MAX(0,SUM(OFFSET(W79,0,1-MIN(COLUMN(W$4)-1,Assumptions!$D$99)-COUNTBLANK(OFFSET(W79,0,1-MIN(COLUMN(W$4)-1,Assumptions!$D$99),1,MIN(COLUMN(W$4)-1,Assumptions!$D$99))),1,MIN(COLUMN(W$4)-1,Assumptions!$D$99)))),W81)</f>
        <v>0</v>
      </c>
      <c r="X80" s="19">
        <f ca="1">IF(X81="S",MAX(0,SUM(OFFSET(X79,0,1-MIN(COLUMN(X$4)-1,Assumptions!$D$99)-COUNTBLANK(OFFSET(X79,0,1-MIN(COLUMN(X$4)-1,Assumptions!$D$99),1,MIN(COLUMN(X$4)-1,Assumptions!$D$99))),1,MIN(COLUMN(X$4)-1,Assumptions!$D$99)))),X81)</f>
        <v>0</v>
      </c>
      <c r="Y80" s="19">
        <f ca="1">IF(Y81="S",MAX(0,SUM(OFFSET(Y79,0,1-MIN(COLUMN(Y$4)-1,Assumptions!$D$99)-COUNTBLANK(OFFSET(Y79,0,1-MIN(COLUMN(Y$4)-1,Assumptions!$D$99),1,MIN(COLUMN(Y$4)-1,Assumptions!$D$99))),1,MIN(COLUMN(Y$4)-1,Assumptions!$D$99)))),Y81)</f>
        <v>0</v>
      </c>
      <c r="Z80" s="19">
        <f ca="1">IF(Z81="S",MAX(0,SUM(OFFSET(Z79,0,1-MIN(COLUMN(Z$4)-1,Assumptions!$D$99)-COUNTBLANK(OFFSET(Z79,0,1-MIN(COLUMN(Z$4)-1,Assumptions!$D$99),1,MIN(COLUMN(Z$4)-1,Assumptions!$D$99))),1,MIN(COLUMN(Z$4)-1,Assumptions!$D$99)))),Z81)</f>
        <v>0</v>
      </c>
      <c r="AA80" s="19">
        <f ca="1">IF(AA81="S",MAX(0,SUM(OFFSET(AA79,0,1-MIN(COLUMN(AA$4)-1,Assumptions!$D$99)-COUNTBLANK(OFFSET(AA79,0,1-MIN(COLUMN(AA$4)-1,Assumptions!$D$99),1,MIN(COLUMN(AA$4)-1,Assumptions!$D$99))),1,MIN(COLUMN(AA$4)-1,Assumptions!$D$99)))),AA81)</f>
        <v>0</v>
      </c>
      <c r="AB80" s="19">
        <f ca="1">IF(AB81="S",MAX(0,SUM(OFFSET(AB79,0,1-MIN(COLUMN(AB$4)-1,Assumptions!$D$99)-COUNTBLANK(OFFSET(AB79,0,1-MIN(COLUMN(AB$4)-1,Assumptions!$D$99),1,MIN(COLUMN(AB$4)-1,Assumptions!$D$99))),1,MIN(COLUMN(AB$4)-1,Assumptions!$D$99)))),AB81)</f>
        <v>0</v>
      </c>
      <c r="AC80" s="124"/>
      <c r="AD80" s="19">
        <f ca="1">IF(AD81="S",MAX(0,SUM(OFFSET(AD79,0,1-MIN(COLUMN(AD$4)-1,Assumptions!$D$99)-COUNTBLANK(OFFSET(AD79,0,1-MIN(COLUMN(AD$4)-1,Assumptions!$D$99),1,MIN(COLUMN(AD$4)-1,Assumptions!$D$99))),1,MIN(COLUMN(AD$4)-1,Assumptions!$D$99)))),AD81)</f>
        <v>0</v>
      </c>
      <c r="AE80" s="19">
        <f ca="1">IF(AE81="S",MAX(0,SUM(OFFSET(AE79,0,1-MIN(COLUMN(AE$4)-1,Assumptions!$D$99)-COUNTBLANK(OFFSET(AE79,0,1-MIN(COLUMN(AE$4)-1,Assumptions!$D$99),1,MIN(COLUMN(AE$4)-1,Assumptions!$D$99))),1,MIN(COLUMN(AE$4)-1,Assumptions!$D$99)))),AE81)</f>
        <v>0</v>
      </c>
      <c r="AF80" s="19">
        <f ca="1">IF(AF81="S",MAX(0,SUM(OFFSET(AF79,0,1-MIN(COLUMN(AF$4)-1,Assumptions!$D$99)-COUNTBLANK(OFFSET(AF79,0,1-MIN(COLUMN(AF$4)-1,Assumptions!$D$99),1,MIN(COLUMN(AF$4)-1,Assumptions!$D$99))),1,MIN(COLUMN(AF$4)-1,Assumptions!$D$99)))),AF81)</f>
        <v>0</v>
      </c>
      <c r="AG80" s="19">
        <f ca="1">IF(AG81="S",MAX(0,SUM(OFFSET(AG79,0,1-MIN(COLUMN(AG$4)-1,Assumptions!$D$99)-COUNTBLANK(OFFSET(AG79,0,1-MIN(COLUMN(AG$4)-1,Assumptions!$D$99),1,MIN(COLUMN(AG$4)-1,Assumptions!$D$99))),1,MIN(COLUMN(AG$4)-1,Assumptions!$D$99)))),AG81)</f>
        <v>0</v>
      </c>
      <c r="AH80" s="19">
        <f ca="1">IF(AH81="S",MAX(0,SUM(OFFSET(AH79,0,1-MIN(COLUMN(AH$4)-1,Assumptions!$D$99)-COUNTBLANK(OFFSET(AH79,0,1-MIN(COLUMN(AH$4)-1,Assumptions!$D$99),1,MIN(COLUMN(AH$4)-1,Assumptions!$D$99))),1,MIN(COLUMN(AH$4)-1,Assumptions!$D$99)))),AH81)</f>
        <v>0</v>
      </c>
      <c r="AI80" s="19">
        <f ca="1">IF(AI81="S",MAX(0,SUM(OFFSET(AI79,0,1-MIN(COLUMN(AI$4)-1,Assumptions!$D$99)-COUNTBLANK(OFFSET(AI79,0,1-MIN(COLUMN(AI$4)-1,Assumptions!$D$99),1,MIN(COLUMN(AI$4)-1,Assumptions!$D$99))),1,MIN(COLUMN(AI$4)-1,Assumptions!$D$99)))),AI81)</f>
        <v>0</v>
      </c>
      <c r="AJ80" s="19">
        <f ca="1">IF(AJ81="S",MAX(0,SUM(OFFSET(AJ79,0,1-MIN(COLUMN(AJ$4)-1,Assumptions!$D$99)-COUNTBLANK(OFFSET(AJ79,0,1-MIN(COLUMN(AJ$4)-1,Assumptions!$D$99),1,MIN(COLUMN(AJ$4)-1,Assumptions!$D$99))),1,MIN(COLUMN(AJ$4)-1,Assumptions!$D$99)))),AJ81)</f>
        <v>0</v>
      </c>
      <c r="AK80" s="19">
        <f ca="1">IF(AK81="S",MAX(0,SUM(OFFSET(AK79,0,1-MIN(COLUMN(AK$4)-1,Assumptions!$D$99)-COUNTBLANK(OFFSET(AK79,0,1-MIN(COLUMN(AK$4)-1,Assumptions!$D$99),1,MIN(COLUMN(AK$4)-1,Assumptions!$D$99))),1,MIN(COLUMN(AK$4)-1,Assumptions!$D$99)))),AK81)</f>
        <v>0</v>
      </c>
      <c r="AL80" s="19">
        <f ca="1">IF(AL81="S",MAX(0,SUM(OFFSET(AL79,0,1-MIN(COLUMN(AL$4)-1,Assumptions!$D$99)-COUNTBLANK(OFFSET(AL79,0,1-MIN(COLUMN(AL$4)-1,Assumptions!$D$99),1,MIN(COLUMN(AL$4)-1,Assumptions!$D$99))),1,MIN(COLUMN(AL$4)-1,Assumptions!$D$99)))),AL81)</f>
        <v>0</v>
      </c>
      <c r="AM80" s="19">
        <f ca="1">IF(AM81="S",MAX(0,SUM(OFFSET(AM79,0,1-MIN(COLUMN(AM$4)-1,Assumptions!$D$99)-COUNTBLANK(OFFSET(AM79,0,1-MIN(COLUMN(AM$4)-1,Assumptions!$D$99),1,MIN(COLUMN(AM$4)-1,Assumptions!$D$99))),1,MIN(COLUMN(AM$4)-1,Assumptions!$D$99)))),AM81)</f>
        <v>0</v>
      </c>
      <c r="AN80" s="19">
        <f ca="1">IF(AN81="S",MAX(0,SUM(OFFSET(AN79,0,1-MIN(COLUMN(AN$4)-1,Assumptions!$D$99)-COUNTBLANK(OFFSET(AN79,0,1-MIN(COLUMN(AN$4)-1,Assumptions!$D$99),1,MIN(COLUMN(AN$4)-1,Assumptions!$D$99))),1,MIN(COLUMN(AN$4)-1,Assumptions!$D$99)))),AN81)</f>
        <v>0</v>
      </c>
      <c r="AO80" s="19">
        <f ca="1">IF(AO81="S",MAX(0,SUM(OFFSET(AO79,0,1-MIN(COLUMN(AO$4)-1,Assumptions!$D$99)-COUNTBLANK(OFFSET(AO79,0,1-MIN(COLUMN(AO$4)-1,Assumptions!$D$99),1,MIN(COLUMN(AO$4)-1,Assumptions!$D$99))),1,MIN(COLUMN(AO$4)-1,Assumptions!$D$99)))),AO81)</f>
        <v>0</v>
      </c>
      <c r="AP80" s="124"/>
    </row>
    <row r="81" spans="1:42" s="19" customFormat="1" ht="16.149999999999999" customHeight="1" x14ac:dyDescent="0.25">
      <c r="A81" s="166"/>
      <c r="B81" s="123" t="s">
        <v>400</v>
      </c>
      <c r="C81" s="125" t="str">
        <f ca="1">IF(C76="Yes",IF(Assumptions!$C$99="Next",C79,0),IF(Assumptions!$D$99=0,0,"S"))</f>
        <v>S</v>
      </c>
      <c r="D81" s="125">
        <f ca="1">IF(D76="Yes",IF(Assumptions!$C$99="Next",D79,0),IF(Assumptions!$D$99=0,0,"S"))</f>
        <v>0</v>
      </c>
      <c r="E81" s="125" t="str">
        <f ca="1">IF(E76="Yes",IF(Assumptions!$C$99="Next",E79,0),IF(Assumptions!$D$99=0,0,"S"))</f>
        <v>S</v>
      </c>
      <c r="F81" s="125" t="str">
        <f ca="1">IF(F76="Yes",IF(Assumptions!$C$99="Next",F79,0),IF(Assumptions!$D$99=0,0,"S"))</f>
        <v>S</v>
      </c>
      <c r="G81" s="125" t="str">
        <f ca="1">IF(G76="Yes",IF(Assumptions!$C$99="Next",G79,0),IF(Assumptions!$D$99=0,0,"S"))</f>
        <v>S</v>
      </c>
      <c r="H81" s="125" t="str">
        <f ca="1">IF(H76="Yes",IF(Assumptions!$C$99="Next",H79,0),IF(Assumptions!$D$99=0,0,"S"))</f>
        <v>S</v>
      </c>
      <c r="I81" s="125" t="str">
        <f ca="1">IF(I76="Yes",IF(Assumptions!$C$99="Next",I79,0),IF(Assumptions!$D$99=0,0,"S"))</f>
        <v>S</v>
      </c>
      <c r="J81" s="125" t="str">
        <f ca="1">IF(J76="Yes",IF(Assumptions!$C$99="Next",J79,0),IF(Assumptions!$D$99=0,0,"S"))</f>
        <v>S</v>
      </c>
      <c r="K81" s="125" t="str">
        <f ca="1">IF(K76="Yes",IF(Assumptions!$C$99="Next",K79,0),IF(Assumptions!$D$99=0,0,"S"))</f>
        <v>S</v>
      </c>
      <c r="L81" s="125" t="str">
        <f ca="1">IF(L76="Yes",IF(Assumptions!$C$99="Next",L79,0),IF(Assumptions!$D$99=0,0,"S"))</f>
        <v>S</v>
      </c>
      <c r="M81" s="125" t="str">
        <f ca="1">IF(M76="Yes",IF(Assumptions!$C$99="Next",M79,0),IF(Assumptions!$D$99=0,0,"S"))</f>
        <v>S</v>
      </c>
      <c r="N81" s="125" t="str">
        <f ca="1">IF(N76="Yes",IF(Assumptions!$C$99="Next",N79,0),IF(Assumptions!$D$99=0,0,"S"))</f>
        <v>S</v>
      </c>
      <c r="O81" s="125" t="str">
        <f ca="1">IF(O76="Yes",IF(Assumptions!$C$99="Next",O79,0),IF(Assumptions!$D$99=0,0,"S"))</f>
        <v>S</v>
      </c>
      <c r="P81" s="124"/>
      <c r="Q81" s="125">
        <f ca="1">IF(Q76="Yes",IF(Assumptions!$C$99="Next",Q79,0),IF(Assumptions!$D$99=0,0,"S"))</f>
        <v>0</v>
      </c>
      <c r="R81" s="125" t="str">
        <f ca="1">IF(R76="Yes",IF(Assumptions!$C$99="Next",R79,0),IF(Assumptions!$D$99=0,0,"S"))</f>
        <v>S</v>
      </c>
      <c r="S81" s="125" t="str">
        <f ca="1">IF(S76="Yes",IF(Assumptions!$C$99="Next",S79,0),IF(Assumptions!$D$99=0,0,"S"))</f>
        <v>S</v>
      </c>
      <c r="T81" s="125" t="str">
        <f ca="1">IF(T76="Yes",IF(Assumptions!$C$99="Next",T79,0),IF(Assumptions!$D$99=0,0,"S"))</f>
        <v>S</v>
      </c>
      <c r="U81" s="125" t="str">
        <f ca="1">IF(U76="Yes",IF(Assumptions!$C$99="Next",U79,0),IF(Assumptions!$D$99=0,0,"S"))</f>
        <v>S</v>
      </c>
      <c r="V81" s="125" t="str">
        <f ca="1">IF(V76="Yes",IF(Assumptions!$C$99="Next",V79,0),IF(Assumptions!$D$99=0,0,"S"))</f>
        <v>S</v>
      </c>
      <c r="W81" s="125" t="str">
        <f ca="1">IF(W76="Yes",IF(Assumptions!$C$99="Next",W79,0),IF(Assumptions!$D$99=0,0,"S"))</f>
        <v>S</v>
      </c>
      <c r="X81" s="125" t="str">
        <f ca="1">IF(X76="Yes",IF(Assumptions!$C$99="Next",X79,0),IF(Assumptions!$D$99=0,0,"S"))</f>
        <v>S</v>
      </c>
      <c r="Y81" s="125" t="str">
        <f ca="1">IF(Y76="Yes",IF(Assumptions!$C$99="Next",Y79,0),IF(Assumptions!$D$99=0,0,"S"))</f>
        <v>S</v>
      </c>
      <c r="Z81" s="125" t="str">
        <f ca="1">IF(Z76="Yes",IF(Assumptions!$C$99="Next",Z79,0),IF(Assumptions!$D$99=0,0,"S"))</f>
        <v>S</v>
      </c>
      <c r="AA81" s="125" t="str">
        <f ca="1">IF(AA76="Yes",IF(Assumptions!$C$99="Next",AA79,0),IF(Assumptions!$D$99=0,0,"S"))</f>
        <v>S</v>
      </c>
      <c r="AB81" s="125" t="str">
        <f ca="1">IF(AB76="Yes",IF(Assumptions!$C$99="Next",AB79,0),IF(Assumptions!$D$99=0,0,"S"))</f>
        <v>S</v>
      </c>
      <c r="AC81" s="124"/>
      <c r="AD81" s="125">
        <f ca="1">IF(AD76="Yes",IF(Assumptions!$C$99="Next",AD79,0),IF(Assumptions!$D$99=0,0,"S"))</f>
        <v>0</v>
      </c>
      <c r="AE81" s="125" t="str">
        <f ca="1">IF(AE76="Yes",IF(Assumptions!$C$99="Next",AE79,0),IF(Assumptions!$D$99=0,0,"S"))</f>
        <v>S</v>
      </c>
      <c r="AF81" s="125" t="str">
        <f ca="1">IF(AF76="Yes",IF(Assumptions!$C$99="Next",AF79,0),IF(Assumptions!$D$99=0,0,"S"))</f>
        <v>S</v>
      </c>
      <c r="AG81" s="125" t="str">
        <f ca="1">IF(AG76="Yes",IF(Assumptions!$C$99="Next",AG79,0),IF(Assumptions!$D$99=0,0,"S"))</f>
        <v>S</v>
      </c>
      <c r="AH81" s="125" t="str">
        <f ca="1">IF(AH76="Yes",IF(Assumptions!$C$99="Next",AH79,0),IF(Assumptions!$D$99=0,0,"S"))</f>
        <v>S</v>
      </c>
      <c r="AI81" s="125" t="str">
        <f ca="1">IF(AI76="Yes",IF(Assumptions!$C$99="Next",AI79,0),IF(Assumptions!$D$99=0,0,"S"))</f>
        <v>S</v>
      </c>
      <c r="AJ81" s="125" t="str">
        <f ca="1">IF(AJ76="Yes",IF(Assumptions!$C$99="Next",AJ79,0),IF(Assumptions!$D$99=0,0,"S"))</f>
        <v>S</v>
      </c>
      <c r="AK81" s="125" t="str">
        <f ca="1">IF(AK76="Yes",IF(Assumptions!$C$99="Next",AK79,0),IF(Assumptions!$D$99=0,0,"S"))</f>
        <v>S</v>
      </c>
      <c r="AL81" s="125" t="str">
        <f ca="1">IF(AL76="Yes",IF(Assumptions!$C$99="Next",AL79,0),IF(Assumptions!$D$99=0,0,"S"))</f>
        <v>S</v>
      </c>
      <c r="AM81" s="125" t="str">
        <f ca="1">IF(AM76="Yes",IF(Assumptions!$C$99="Next",AM79,0),IF(Assumptions!$D$99=0,0,"S"))</f>
        <v>S</v>
      </c>
      <c r="AN81" s="125" t="str">
        <f ca="1">IF(AN76="Yes",IF(Assumptions!$C$99="Next",AN79,0),IF(Assumptions!$D$99=0,0,"S"))</f>
        <v>S</v>
      </c>
      <c r="AO81" s="125" t="str">
        <f ca="1">IF(AO76="Yes",IF(Assumptions!$C$99="Next",AO79,0),IF(Assumptions!$D$99=0,0,"S"))</f>
        <v>S</v>
      </c>
      <c r="AP81" s="124"/>
    </row>
    <row r="82" spans="1:42" s="15" customFormat="1" ht="16.149999999999999" customHeight="1" x14ac:dyDescent="0.25">
      <c r="A82" s="164"/>
      <c r="B82" s="6"/>
      <c r="C82" s="84"/>
      <c r="D82" s="84"/>
      <c r="E82" s="84"/>
      <c r="F82" s="84"/>
      <c r="G82" s="84"/>
      <c r="P82" s="109"/>
      <c r="AC82" s="109"/>
      <c r="AP82" s="109"/>
    </row>
    <row r="83" spans="1:42" s="15" customFormat="1" ht="16.149999999999999" customHeight="1" x14ac:dyDescent="0.25">
      <c r="A83" s="164"/>
      <c r="B83" s="6"/>
      <c r="C83" s="84"/>
      <c r="D83" s="84"/>
      <c r="E83" s="84"/>
      <c r="F83" s="84"/>
      <c r="G83" s="84"/>
      <c r="P83" s="109"/>
      <c r="AC83" s="109"/>
      <c r="AP83" s="109"/>
    </row>
  </sheetData>
  <phoneticPr fontId="3" type="noConversion"/>
  <pageMargins left="0.59055118110236227" right="0.59055118110236227" top="0.59055118110236227" bottom="0.59055118110236227" header="0.39370078740157483" footer="0.39370078740157483"/>
  <pageSetup paperSize="9" scale="64" fitToWidth="0" orientation="landscape"/>
  <headerFooter alignWithMargins="0">
    <oddFooter>&amp;C&amp;9Page &amp;P of &amp;N</oddFooter>
  </headerFooter>
  <colBreaks count="2" manualBreakCount="2">
    <brk id="16" max="1048575" man="1"/>
    <brk id="29" max="1048575" man="1"/>
  </colBreaks>
  <ignoredErrors>
    <ignoredError sqref="P33:P38 AC33:AC38 P47:P49 P43 P12:P13 AC12:AC13"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26" customWidth="1"/>
    <col min="2" max="7" width="13.7109375" style="11" customWidth="1"/>
    <col min="8" max="20" width="15.7109375" style="5" customWidth="1"/>
    <col min="21" max="16384" width="9.140625" style="5"/>
  </cols>
  <sheetData>
    <row r="1" spans="1:9" ht="16.149999999999999" customHeight="1" x14ac:dyDescent="0.25">
      <c r="A1" s="142" t="str">
        <f>IF(ISBLANK(Assumptions!$C$4),"Example Limited",Assumptions!$C$4)</f>
        <v>Example (Pty) Limited</v>
      </c>
      <c r="B1" s="3"/>
      <c r="C1" s="3"/>
      <c r="G1" s="89"/>
    </row>
    <row r="2" spans="1:9" ht="16.149999999999999" customHeight="1" x14ac:dyDescent="0.25">
      <c r="A2" s="6" t="s">
        <v>151</v>
      </c>
    </row>
    <row r="3" spans="1:9" ht="16.149999999999999" customHeight="1" x14ac:dyDescent="0.25">
      <c r="A3" s="6"/>
    </row>
    <row r="4" spans="1:9" ht="16.149999999999999" customHeight="1" x14ac:dyDescent="0.25">
      <c r="A4" s="126" t="s">
        <v>33</v>
      </c>
      <c r="B4" s="127">
        <f>Assumptions!$C$67</f>
        <v>0.10249999999999999</v>
      </c>
      <c r="C4" s="128"/>
    </row>
    <row r="5" spans="1:9" ht="16.149999999999999" customHeight="1" x14ac:dyDescent="0.25">
      <c r="A5" s="129" t="s">
        <v>38</v>
      </c>
      <c r="B5" s="130">
        <f>Assumptions!$C$68</f>
        <v>10</v>
      </c>
      <c r="C5" s="131"/>
    </row>
    <row r="6" spans="1:9" ht="16.149999999999999" customHeight="1" x14ac:dyDescent="0.25">
      <c r="A6" s="129" t="s">
        <v>39</v>
      </c>
      <c r="B6" s="132" t="str">
        <f>Assumptions!$C$69</f>
        <v>No</v>
      </c>
      <c r="C6" s="133"/>
    </row>
    <row r="7" spans="1:9" ht="16.149999999999999" customHeight="1" x14ac:dyDescent="0.25">
      <c r="A7" s="73" t="s">
        <v>59</v>
      </c>
    </row>
    <row r="8" spans="1:9" s="92" customFormat="1" ht="25.5" x14ac:dyDescent="0.25">
      <c r="A8" s="134" t="s">
        <v>47</v>
      </c>
      <c r="B8" s="135" t="s">
        <v>43</v>
      </c>
      <c r="C8" s="135" t="s">
        <v>290</v>
      </c>
      <c r="D8" s="135" t="s">
        <v>42</v>
      </c>
      <c r="E8" s="135" t="s">
        <v>397</v>
      </c>
      <c r="F8" s="135" t="s">
        <v>58</v>
      </c>
      <c r="G8" s="135" t="s">
        <v>44</v>
      </c>
    </row>
    <row r="9" spans="1:9" s="102" customFormat="1" ht="16.149999999999999" customHeight="1" x14ac:dyDescent="0.25">
      <c r="A9" s="136">
        <f ca="1">IF(ISBLANK(Assumptions!$C$5)=TRUE,DATE(YEAR(TODAY()),MONTH(TODAY()),0),DATE(YEAR(Assumptions!$C$5),MONTH(Assumptions!$C$5),0))</f>
        <v>44255</v>
      </c>
      <c r="B9" s="137">
        <v>0</v>
      </c>
      <c r="C9" s="137">
        <f ca="1">-SUMIF(Assumptions!$A$71:$C$95,"LT1",Assumptions!$C$71:$C$95)</f>
        <v>1200000</v>
      </c>
      <c r="D9" s="137">
        <v>0</v>
      </c>
      <c r="E9" s="137">
        <v>0</v>
      </c>
      <c r="F9" s="138">
        <f>IF($B$6="Yes",0,D9-E9)</f>
        <v>0</v>
      </c>
      <c r="G9" s="139">
        <f ca="1">IF(ROUND(SUM(B9:C9,-F9),0)=0,0,IF($B$6="Yes",SUM($C$9:C9),SUM(B9:C9,-F9)))</f>
        <v>1200000</v>
      </c>
      <c r="I9" s="140"/>
    </row>
    <row r="10" spans="1:9" s="102" customFormat="1" ht="16.149999999999999" customHeight="1" x14ac:dyDescent="0.25">
      <c r="A10" s="136">
        <f ca="1">DATE(YEAR(A9),MONTH(A9)+2,0)</f>
        <v>44286</v>
      </c>
      <c r="B10" s="137">
        <f ca="1">G9</f>
        <v>1200000</v>
      </c>
      <c r="C10" s="137">
        <f ca="1">IF(ISNA(MATCH($A10,CashFlow!$C$4:$AO$4,0))=TRUE,0,OFFSET(CashFlow!$B$35,0,MATCH($A10,CashFlow!$C$4:$AO$4,0),1,1))</f>
        <v>0</v>
      </c>
      <c r="D10" s="138">
        <f ca="1">IF($B$6="Yes",0,IF(ROW(C10)-ROW($C$9)&gt;$B$5*12,-PMT($B$4/12,$B$5*12,SUM(OFFSET(C10,0,0,-$B$5*12,1)),0,0),-PMT($B$4/12,$B$5*12,SUM(OFFSET(C10,0,0,ROW($C$8)-ROW(C10),1)),0,0)))</f>
        <v>16024.680225213191</v>
      </c>
      <c r="E10" s="138">
        <f ca="1">(G9+C10)*$B$4/12</f>
        <v>10249.999999999998</v>
      </c>
      <c r="F10" s="138">
        <f t="shared" ref="F10:F73" ca="1" si="0">IF($B$6="Yes",0,D10-E10)</f>
        <v>5774.6802252131929</v>
      </c>
      <c r="G10" s="139">
        <f ca="1">IF(ROUND(SUM(B10:C10,-F10),0)=0,0,IF($B$6="Yes",SUM($C$9:C10),SUM(B10:C10,-F10)))</f>
        <v>1194225.3197747867</v>
      </c>
      <c r="I10" s="140"/>
    </row>
    <row r="11" spans="1:9" s="102" customFormat="1" ht="16.149999999999999" customHeight="1" x14ac:dyDescent="0.25">
      <c r="A11" s="136">
        <f t="shared" ref="A11:A74" ca="1" si="1">DATE(YEAR(A10),MONTH(A10)+2,0)</f>
        <v>44316</v>
      </c>
      <c r="B11" s="137">
        <f t="shared" ref="B11:B74" ca="1" si="2">G10</f>
        <v>1194225.3197747867</v>
      </c>
      <c r="C11" s="137">
        <f ca="1">IF(ISNA(MATCH($A11,CashFlow!$C$4:$AO$4,0))=TRUE,0,OFFSET(CashFlow!$B$35,0,MATCH($A11,CashFlow!$C$4:$AO$4,0),1,1))</f>
        <v>0</v>
      </c>
      <c r="D11" s="138">
        <f t="shared" ref="D11:D74" ca="1" si="3">IF($B$6="Yes",0,IF(ROW(C11)-ROW($C$9)&gt;$B$5*12,-PMT($B$4/12,$B$5*12,SUM(OFFSET(C11,0,0,-$B$5*12,1)),0,0),-PMT($B$4/12,$B$5*12,SUM(OFFSET(C11,0,0,ROW($C$8)-ROW(C11),1)),0,0)))</f>
        <v>16024.680225213191</v>
      </c>
      <c r="E11" s="138">
        <f t="shared" ref="E11:E74" ca="1" si="4">(G10+C11)*$B$4/12</f>
        <v>10200.674606409635</v>
      </c>
      <c r="F11" s="138">
        <f t="shared" ca="1" si="0"/>
        <v>5824.005618803556</v>
      </c>
      <c r="G11" s="139">
        <f ca="1">IF(ROUND(SUM(B11:C11,-F11),0)=0,0,IF($B$6="Yes",SUM($C$9:C11),SUM(B11:C11,-F11)))</f>
        <v>1188401.314155983</v>
      </c>
    </row>
    <row r="12" spans="1:9" s="102" customFormat="1" ht="16.149999999999999" customHeight="1" x14ac:dyDescent="0.25">
      <c r="A12" s="136">
        <f t="shared" ca="1" si="1"/>
        <v>44347</v>
      </c>
      <c r="B12" s="137">
        <f t="shared" ca="1" si="2"/>
        <v>1188401.314155983</v>
      </c>
      <c r="C12" s="137">
        <f ca="1">IF(ISNA(MATCH($A12,CashFlow!$C$4:$AO$4,0))=TRUE,0,OFFSET(CashFlow!$B$35,0,MATCH($A12,CashFlow!$C$4:$AO$4,0),1,1))</f>
        <v>0</v>
      </c>
      <c r="D12" s="138">
        <f t="shared" ca="1" si="3"/>
        <v>16024.680225213191</v>
      </c>
      <c r="E12" s="138">
        <f t="shared" ca="1" si="4"/>
        <v>10150.927891749021</v>
      </c>
      <c r="F12" s="138">
        <f t="shared" ca="1" si="0"/>
        <v>5873.7523334641701</v>
      </c>
      <c r="G12" s="139">
        <f ca="1">IF(ROUND(SUM(B12:C12,-F12),0)=0,0,IF($B$6="Yes",SUM($C$9:C12),SUM(B12:C12,-F12)))</f>
        <v>1182527.5618225189</v>
      </c>
    </row>
    <row r="13" spans="1:9" s="102" customFormat="1" ht="16.149999999999999" customHeight="1" x14ac:dyDescent="0.25">
      <c r="A13" s="136">
        <f t="shared" ca="1" si="1"/>
        <v>44377</v>
      </c>
      <c r="B13" s="137">
        <f t="shared" ca="1" si="2"/>
        <v>1182527.5618225189</v>
      </c>
      <c r="C13" s="137">
        <f ca="1">IF(ISNA(MATCH($A13,CashFlow!$C$4:$AO$4,0))=TRUE,0,OFFSET(CashFlow!$B$35,0,MATCH($A13,CashFlow!$C$4:$AO$4,0),1,1))</f>
        <v>0</v>
      </c>
      <c r="D13" s="138">
        <f t="shared" ca="1" si="3"/>
        <v>16024.680225213191</v>
      </c>
      <c r="E13" s="138">
        <f t="shared" ca="1" si="4"/>
        <v>10100.756257234016</v>
      </c>
      <c r="F13" s="138">
        <f t="shared" ca="1" si="0"/>
        <v>5923.9239679791754</v>
      </c>
      <c r="G13" s="139">
        <f ca="1">IF(ROUND(SUM(B13:C13,-F13),0)=0,0,IF($B$6="Yes",SUM($C$9:C13),SUM(B13:C13,-F13)))</f>
        <v>1176603.6378545398</v>
      </c>
    </row>
    <row r="14" spans="1:9" s="102" customFormat="1" ht="16.149999999999999" customHeight="1" x14ac:dyDescent="0.25">
      <c r="A14" s="136">
        <f t="shared" ca="1" si="1"/>
        <v>44408</v>
      </c>
      <c r="B14" s="137">
        <f t="shared" ca="1" si="2"/>
        <v>1176603.6378545398</v>
      </c>
      <c r="C14" s="137">
        <f ca="1">IF(ISNA(MATCH($A14,CashFlow!$C$4:$AO$4,0))=TRUE,0,OFFSET(CashFlow!$B$35,0,MATCH($A14,CashFlow!$C$4:$AO$4,0),1,1))</f>
        <v>0</v>
      </c>
      <c r="D14" s="138">
        <f t="shared" ca="1" si="3"/>
        <v>16024.680225213191</v>
      </c>
      <c r="E14" s="138">
        <f t="shared" ca="1" si="4"/>
        <v>10050.156073340861</v>
      </c>
      <c r="F14" s="138">
        <f t="shared" ca="1" si="0"/>
        <v>5974.5241518723305</v>
      </c>
      <c r="G14" s="139">
        <f ca="1">IF(ROUND(SUM(B14:C14,-F14),0)=0,0,IF($B$6="Yes",SUM($C$9:C14),SUM(B14:C14,-F14)))</f>
        <v>1170629.1137026674</v>
      </c>
    </row>
    <row r="15" spans="1:9" s="102" customFormat="1" ht="16.149999999999999" customHeight="1" x14ac:dyDescent="0.25">
      <c r="A15" s="136">
        <f t="shared" ca="1" si="1"/>
        <v>44439</v>
      </c>
      <c r="B15" s="137">
        <f t="shared" ca="1" si="2"/>
        <v>1170629.1137026674</v>
      </c>
      <c r="C15" s="137">
        <f ca="1">IF(ISNA(MATCH($A15,CashFlow!$C$4:$AO$4,0))=TRUE,0,OFFSET(CashFlow!$B$35,0,MATCH($A15,CashFlow!$C$4:$AO$4,0),1,1))</f>
        <v>0</v>
      </c>
      <c r="D15" s="138">
        <f t="shared" ca="1" si="3"/>
        <v>16024.680225213191</v>
      </c>
      <c r="E15" s="138">
        <f t="shared" ca="1" si="4"/>
        <v>9999.123679543618</v>
      </c>
      <c r="F15" s="138">
        <f t="shared" ca="1" si="0"/>
        <v>6025.5565456695731</v>
      </c>
      <c r="G15" s="139">
        <f ca="1">IF(ROUND(SUM(B15:C15,-F15),0)=0,0,IF($B$6="Yes",SUM($C$9:C15),SUM(B15:C15,-F15)))</f>
        <v>1164603.5571569977</v>
      </c>
    </row>
    <row r="16" spans="1:9" s="102" customFormat="1" ht="16.149999999999999" customHeight="1" x14ac:dyDescent="0.25">
      <c r="A16" s="136">
        <f t="shared" ca="1" si="1"/>
        <v>44469</v>
      </c>
      <c r="B16" s="137">
        <f t="shared" ca="1" si="2"/>
        <v>1164603.5571569977</v>
      </c>
      <c r="C16" s="137">
        <f ca="1">IF(ISNA(MATCH($A16,CashFlow!$C$4:$AO$4,0))=TRUE,0,OFFSET(CashFlow!$B$35,0,MATCH($A16,CashFlow!$C$4:$AO$4,0),1,1))</f>
        <v>0</v>
      </c>
      <c r="D16" s="138">
        <f t="shared" ca="1" si="3"/>
        <v>16024.680225213191</v>
      </c>
      <c r="E16" s="138">
        <f t="shared" ca="1" si="4"/>
        <v>9947.6553840493561</v>
      </c>
      <c r="F16" s="138">
        <f t="shared" ca="1" si="0"/>
        <v>6077.0248411638349</v>
      </c>
      <c r="G16" s="139">
        <f ca="1">IF(ROUND(SUM(B16:C16,-F16),0)=0,0,IF($B$6="Yes",SUM($C$9:C16),SUM(B16:C16,-F16)))</f>
        <v>1158526.532315834</v>
      </c>
    </row>
    <row r="17" spans="1:7" s="102" customFormat="1" ht="16.149999999999999" customHeight="1" x14ac:dyDescent="0.25">
      <c r="A17" s="136">
        <f t="shared" ca="1" si="1"/>
        <v>44500</v>
      </c>
      <c r="B17" s="137">
        <f t="shared" ca="1" si="2"/>
        <v>1158526.532315834</v>
      </c>
      <c r="C17" s="137">
        <f ca="1">IF(ISNA(MATCH($A17,CashFlow!$C$4:$AO$4,0))=TRUE,0,OFFSET(CashFlow!$B$35,0,MATCH($A17,CashFlow!$C$4:$AO$4,0),1,1))</f>
        <v>0</v>
      </c>
      <c r="D17" s="138">
        <f t="shared" ca="1" si="3"/>
        <v>16024.680225213191</v>
      </c>
      <c r="E17" s="138">
        <f t="shared" ca="1" si="4"/>
        <v>9895.7474635310809</v>
      </c>
      <c r="F17" s="138">
        <f t="shared" ca="1" si="0"/>
        <v>6128.9327616821101</v>
      </c>
      <c r="G17" s="139">
        <f ca="1">IF(ROUND(SUM(B17:C17,-F17),0)=0,0,IF($B$6="Yes",SUM($C$9:C17),SUM(B17:C17,-F17)))</f>
        <v>1152397.5995541518</v>
      </c>
    </row>
    <row r="18" spans="1:7" s="102" customFormat="1" ht="16.149999999999999" customHeight="1" x14ac:dyDescent="0.25">
      <c r="A18" s="136">
        <f t="shared" ca="1" si="1"/>
        <v>44530</v>
      </c>
      <c r="B18" s="137">
        <f t="shared" ca="1" si="2"/>
        <v>1152397.5995541518</v>
      </c>
      <c r="C18" s="137">
        <f ca="1">IF(ISNA(MATCH($A18,CashFlow!$C$4:$AO$4,0))=TRUE,0,OFFSET(CashFlow!$B$35,0,MATCH($A18,CashFlow!$C$4:$AO$4,0),1,1))</f>
        <v>0</v>
      </c>
      <c r="D18" s="138">
        <f t="shared" ca="1" si="3"/>
        <v>16024.680225213191</v>
      </c>
      <c r="E18" s="138">
        <f t="shared" ca="1" si="4"/>
        <v>9843.3961628583802</v>
      </c>
      <c r="F18" s="138">
        <f t="shared" ca="1" si="0"/>
        <v>6181.2840623548109</v>
      </c>
      <c r="G18" s="139">
        <f ca="1">IF(ROUND(SUM(B18:C18,-F18),0)=0,0,IF($B$6="Yes",SUM($C$9:C18),SUM(B18:C18,-F18)))</f>
        <v>1146216.3154917969</v>
      </c>
    </row>
    <row r="19" spans="1:7" s="102" customFormat="1" ht="16.149999999999999" customHeight="1" x14ac:dyDescent="0.25">
      <c r="A19" s="136">
        <f t="shared" ca="1" si="1"/>
        <v>44561</v>
      </c>
      <c r="B19" s="137">
        <f t="shared" ca="1" si="2"/>
        <v>1146216.3154917969</v>
      </c>
      <c r="C19" s="137">
        <f ca="1">IF(ISNA(MATCH($A19,CashFlow!$C$4:$AO$4,0))=TRUE,0,OFFSET(CashFlow!$B$35,0,MATCH($A19,CashFlow!$C$4:$AO$4,0),1,1))</f>
        <v>0</v>
      </c>
      <c r="D19" s="138">
        <f t="shared" ca="1" si="3"/>
        <v>16024.680225213191</v>
      </c>
      <c r="E19" s="138">
        <f t="shared" ca="1" si="4"/>
        <v>9790.5976948257648</v>
      </c>
      <c r="F19" s="138">
        <f t="shared" ca="1" si="0"/>
        <v>6234.0825303874262</v>
      </c>
      <c r="G19" s="139">
        <f ca="1">IF(ROUND(SUM(B19:C19,-F19),0)=0,0,IF($B$6="Yes",SUM($C$9:C19),SUM(B19:C19,-F19)))</f>
        <v>1139982.2329614095</v>
      </c>
    </row>
    <row r="20" spans="1:7" ht="16.149999999999999" customHeight="1" x14ac:dyDescent="0.25">
      <c r="A20" s="136">
        <f t="shared" ca="1" si="1"/>
        <v>44592</v>
      </c>
      <c r="B20" s="137">
        <f t="shared" ca="1" si="2"/>
        <v>1139982.2329614095</v>
      </c>
      <c r="C20" s="137">
        <f ca="1">IF(ISNA(MATCH($A20,CashFlow!$C$4:$AO$4,0))=TRUE,0,OFFSET(CashFlow!$B$35,0,MATCH($A20,CashFlow!$C$4:$AO$4,0),1,1))</f>
        <v>0</v>
      </c>
      <c r="D20" s="138">
        <f t="shared" ca="1" si="3"/>
        <v>16024.680225213191</v>
      </c>
      <c r="E20" s="138">
        <f t="shared" ca="1" si="4"/>
        <v>9737.3482398787055</v>
      </c>
      <c r="F20" s="138">
        <f t="shared" ca="1" si="0"/>
        <v>6287.3319853344856</v>
      </c>
      <c r="G20" s="139">
        <f ca="1">IF(ROUND(SUM(B20:C20,-F20),0)=0,0,IF($B$6="Yes",SUM($C$9:C20),SUM(B20:C20,-F20)))</f>
        <v>1133694.9009760751</v>
      </c>
    </row>
    <row r="21" spans="1:7" ht="16.149999999999999" customHeight="1" x14ac:dyDescent="0.25">
      <c r="A21" s="136">
        <f t="shared" ca="1" si="1"/>
        <v>44620</v>
      </c>
      <c r="B21" s="137">
        <f t="shared" ca="1" si="2"/>
        <v>1133694.9009760751</v>
      </c>
      <c r="C21" s="137">
        <f ca="1">IF(ISNA(MATCH($A21,CashFlow!$C$4:$AO$4,0))=TRUE,0,OFFSET(CashFlow!$B$35,0,MATCH($A21,CashFlow!$C$4:$AO$4,0),1,1))</f>
        <v>0</v>
      </c>
      <c r="D21" s="138">
        <f t="shared" ca="1" si="3"/>
        <v>16024.680225213191</v>
      </c>
      <c r="E21" s="138">
        <f t="shared" ca="1" si="4"/>
        <v>9683.6439458373079</v>
      </c>
      <c r="F21" s="138">
        <f t="shared" ca="1" si="0"/>
        <v>6341.0362793758832</v>
      </c>
      <c r="G21" s="139">
        <f ca="1">IF(ROUND(SUM(B21:C21,-F21),0)=0,0,IF($B$6="Yes",SUM($C$9:C21),SUM(B21:C21,-F21)))</f>
        <v>1127353.8646966992</v>
      </c>
    </row>
    <row r="22" spans="1:7" ht="16.149999999999999" customHeight="1" x14ac:dyDescent="0.25">
      <c r="A22" s="136">
        <f t="shared" ca="1" si="1"/>
        <v>44651</v>
      </c>
      <c r="B22" s="137">
        <f t="shared" ca="1" si="2"/>
        <v>1127353.8646966992</v>
      </c>
      <c r="C22" s="137">
        <f ca="1">IF(ISNA(MATCH($A22,CashFlow!$C$4:$AO$4,0))=TRUE,0,OFFSET(CashFlow!$B$35,0,MATCH($A22,CashFlow!$C$4:$AO$4,0),1,1))</f>
        <v>0</v>
      </c>
      <c r="D22" s="138">
        <f t="shared" ca="1" si="3"/>
        <v>16024.680225213191</v>
      </c>
      <c r="E22" s="138">
        <f t="shared" ca="1" si="4"/>
        <v>9629.4809276176384</v>
      </c>
      <c r="F22" s="138">
        <f t="shared" ca="1" si="0"/>
        <v>6395.1992975955527</v>
      </c>
      <c r="G22" s="139">
        <f ca="1">IF(ROUND(SUM(B22:C22,-F22),0)=0,0,IF($B$6="Yes",SUM($C$9:C22),SUM(B22:C22,-F22)))</f>
        <v>1120958.6653991037</v>
      </c>
    </row>
    <row r="23" spans="1:7" s="141" customFormat="1" ht="16.149999999999999" customHeight="1" x14ac:dyDescent="0.25">
      <c r="A23" s="136">
        <f t="shared" ca="1" si="1"/>
        <v>44681</v>
      </c>
      <c r="B23" s="137">
        <f t="shared" ca="1" si="2"/>
        <v>1120958.6653991037</v>
      </c>
      <c r="C23" s="137">
        <f ca="1">IF(ISNA(MATCH($A23,CashFlow!$C$4:$AO$4,0))=TRUE,0,OFFSET(CashFlow!$B$35,0,MATCH($A23,CashFlow!$C$4:$AO$4,0),1,1))</f>
        <v>0</v>
      </c>
      <c r="D23" s="138">
        <f t="shared" ca="1" si="3"/>
        <v>16024.680225213191</v>
      </c>
      <c r="E23" s="138">
        <f t="shared" ca="1" si="4"/>
        <v>9574.8552669506771</v>
      </c>
      <c r="F23" s="138">
        <f t="shared" ca="1" si="0"/>
        <v>6449.824958262514</v>
      </c>
      <c r="G23" s="139">
        <f ca="1">IF(ROUND(SUM(B23:C23,-F23),0)=0,0,IF($B$6="Yes",SUM($C$9:C23),SUM(B23:C23,-F23)))</f>
        <v>1114508.8404408412</v>
      </c>
    </row>
    <row r="24" spans="1:7" ht="16.149999999999999" customHeight="1" x14ac:dyDescent="0.25">
      <c r="A24" s="136">
        <f t="shared" ca="1" si="1"/>
        <v>44712</v>
      </c>
      <c r="B24" s="137">
        <f t="shared" ca="1" si="2"/>
        <v>1114508.8404408412</v>
      </c>
      <c r="C24" s="137">
        <f ca="1">IF(ISNA(MATCH($A24,CashFlow!$C$4:$AO$4,0))=TRUE,0,OFFSET(CashFlow!$B$35,0,MATCH($A24,CashFlow!$C$4:$AO$4,0),1,1))</f>
        <v>0</v>
      </c>
      <c r="D24" s="138">
        <f t="shared" ca="1" si="3"/>
        <v>16024.680225213191</v>
      </c>
      <c r="E24" s="138">
        <f t="shared" ca="1" si="4"/>
        <v>9519.7630120988506</v>
      </c>
      <c r="F24" s="138">
        <f t="shared" ca="1" si="0"/>
        <v>6504.9172131143405</v>
      </c>
      <c r="G24" s="139">
        <f ca="1">IF(ROUND(SUM(B24:C24,-F24),0)=0,0,IF($B$6="Yes",SUM($C$9:C24),SUM(B24:C24,-F24)))</f>
        <v>1108003.9232277267</v>
      </c>
    </row>
    <row r="25" spans="1:7" ht="16.149999999999999" customHeight="1" x14ac:dyDescent="0.25">
      <c r="A25" s="136">
        <f t="shared" ca="1" si="1"/>
        <v>44742</v>
      </c>
      <c r="B25" s="137">
        <f t="shared" ca="1" si="2"/>
        <v>1108003.9232277267</v>
      </c>
      <c r="C25" s="137">
        <f ca="1">IF(ISNA(MATCH($A25,CashFlow!$C$4:$AO$4,0))=TRUE,0,OFFSET(CashFlow!$B$35,0,MATCH($A25,CashFlow!$C$4:$AO$4,0),1,1))</f>
        <v>0</v>
      </c>
      <c r="D25" s="138">
        <f t="shared" ca="1" si="3"/>
        <v>16024.680225213191</v>
      </c>
      <c r="E25" s="138">
        <f t="shared" ca="1" si="4"/>
        <v>9464.2001775701647</v>
      </c>
      <c r="F25" s="138">
        <f t="shared" ca="1" si="0"/>
        <v>6560.4800476430264</v>
      </c>
      <c r="G25" s="139">
        <f ca="1">IF(ROUND(SUM(B25:C25,-F25),0)=0,0,IF($B$6="Yes",SUM($C$9:C25),SUM(B25:C25,-F25)))</f>
        <v>1101443.4431800838</v>
      </c>
    </row>
    <row r="26" spans="1:7" ht="16.149999999999999" customHeight="1" x14ac:dyDescent="0.25">
      <c r="A26" s="136">
        <f t="shared" ca="1" si="1"/>
        <v>44773</v>
      </c>
      <c r="B26" s="137">
        <f t="shared" ca="1" si="2"/>
        <v>1101443.4431800838</v>
      </c>
      <c r="C26" s="137">
        <f ca="1">IF(ISNA(MATCH($A26,CashFlow!$C$4:$AO$4,0))=TRUE,0,OFFSET(CashFlow!$B$35,0,MATCH($A26,CashFlow!$C$4:$AO$4,0),1,1))</f>
        <v>0</v>
      </c>
      <c r="D26" s="138">
        <f t="shared" ca="1" si="3"/>
        <v>16024.680225213191</v>
      </c>
      <c r="E26" s="138">
        <f t="shared" ca="1" si="4"/>
        <v>9408.1627438298819</v>
      </c>
      <c r="F26" s="138">
        <f t="shared" ca="1" si="0"/>
        <v>6616.5174813833091</v>
      </c>
      <c r="G26" s="139">
        <f ca="1">IF(ROUND(SUM(B26:C26,-F26),0)=0,0,IF($B$6="Yes",SUM($C$9:C26),SUM(B26:C26,-F26)))</f>
        <v>1094826.9256987004</v>
      </c>
    </row>
    <row r="27" spans="1:7" ht="16.149999999999999" customHeight="1" x14ac:dyDescent="0.25">
      <c r="A27" s="136">
        <f t="shared" ca="1" si="1"/>
        <v>44804</v>
      </c>
      <c r="B27" s="137">
        <f t="shared" ca="1" si="2"/>
        <v>1094826.9256987004</v>
      </c>
      <c r="C27" s="137">
        <f ca="1">IF(ISNA(MATCH($A27,CashFlow!$C$4:$AO$4,0))=TRUE,0,OFFSET(CashFlow!$B$35,0,MATCH($A27,CashFlow!$C$4:$AO$4,0),1,1))</f>
        <v>0</v>
      </c>
      <c r="D27" s="138">
        <f t="shared" ca="1" si="3"/>
        <v>16024.680225213191</v>
      </c>
      <c r="E27" s="138">
        <f t="shared" ca="1" si="4"/>
        <v>9351.6466570097309</v>
      </c>
      <c r="F27" s="138">
        <f t="shared" ca="1" si="0"/>
        <v>6673.0335682034602</v>
      </c>
      <c r="G27" s="139">
        <f ca="1">IF(ROUND(SUM(B27:C27,-F27),0)=0,0,IF($B$6="Yes",SUM($C$9:C27),SUM(B27:C27,-F27)))</f>
        <v>1088153.8921304969</v>
      </c>
    </row>
    <row r="28" spans="1:7" ht="16.149999999999999" customHeight="1" x14ac:dyDescent="0.25">
      <c r="A28" s="136">
        <f t="shared" ca="1" si="1"/>
        <v>44834</v>
      </c>
      <c r="B28" s="137">
        <f t="shared" ca="1" si="2"/>
        <v>1088153.8921304969</v>
      </c>
      <c r="C28" s="137">
        <f ca="1">IF(ISNA(MATCH($A28,CashFlow!$C$4:$AO$4,0))=TRUE,0,OFFSET(CashFlow!$B$35,0,MATCH($A28,CashFlow!$C$4:$AO$4,0),1,1))</f>
        <v>0</v>
      </c>
      <c r="D28" s="138">
        <f t="shared" ca="1" si="3"/>
        <v>16024.680225213191</v>
      </c>
      <c r="E28" s="138">
        <f t="shared" ca="1" si="4"/>
        <v>9294.6478286146612</v>
      </c>
      <c r="F28" s="138">
        <f t="shared" ca="1" si="0"/>
        <v>6730.0323965985299</v>
      </c>
      <c r="G28" s="139">
        <f ca="1">IF(ROUND(SUM(B28:C28,-F28),0)=0,0,IF($B$6="Yes",SUM($C$9:C28),SUM(B28:C28,-F28)))</f>
        <v>1081423.8597338984</v>
      </c>
    </row>
    <row r="29" spans="1:7" ht="16.149999999999999" customHeight="1" x14ac:dyDescent="0.25">
      <c r="A29" s="136">
        <f t="shared" ca="1" si="1"/>
        <v>44865</v>
      </c>
      <c r="B29" s="137">
        <f t="shared" ca="1" si="2"/>
        <v>1081423.8597338984</v>
      </c>
      <c r="C29" s="137">
        <f ca="1">IF(ISNA(MATCH($A29,CashFlow!$C$4:$AO$4,0))=TRUE,0,OFFSET(CashFlow!$B$35,0,MATCH($A29,CashFlow!$C$4:$AO$4,0),1,1))</f>
        <v>0</v>
      </c>
      <c r="D29" s="138">
        <f t="shared" ca="1" si="3"/>
        <v>16024.680225213191</v>
      </c>
      <c r="E29" s="138">
        <f t="shared" ca="1" si="4"/>
        <v>9237.1621352270486</v>
      </c>
      <c r="F29" s="138">
        <f t="shared" ca="1" si="0"/>
        <v>6787.5180899861425</v>
      </c>
      <c r="G29" s="139">
        <f ca="1">IF(ROUND(SUM(B29:C29,-F29),0)=0,0,IF($B$6="Yes",SUM($C$9:C29),SUM(B29:C29,-F29)))</f>
        <v>1074636.3416439123</v>
      </c>
    </row>
    <row r="30" spans="1:7" ht="16.149999999999999" customHeight="1" x14ac:dyDescent="0.25">
      <c r="A30" s="136">
        <f t="shared" ca="1" si="1"/>
        <v>44895</v>
      </c>
      <c r="B30" s="137">
        <f t="shared" ca="1" si="2"/>
        <v>1074636.3416439123</v>
      </c>
      <c r="C30" s="137">
        <f ca="1">IF(ISNA(MATCH($A30,CashFlow!$C$4:$AO$4,0))=TRUE,0,OFFSET(CashFlow!$B$35,0,MATCH($A30,CashFlow!$C$4:$AO$4,0),1,1))</f>
        <v>0</v>
      </c>
      <c r="D30" s="138">
        <f t="shared" ca="1" si="3"/>
        <v>16024.680225213191</v>
      </c>
      <c r="E30" s="138">
        <f t="shared" ca="1" si="4"/>
        <v>9179.1854182084171</v>
      </c>
      <c r="F30" s="138">
        <f t="shared" ca="1" si="0"/>
        <v>6845.494807004774</v>
      </c>
      <c r="G30" s="139">
        <f ca="1">IF(ROUND(SUM(B30:C30,-F30),0)=0,0,IF($B$6="Yes",SUM($C$9:C30),SUM(B30:C30,-F30)))</f>
        <v>1067790.8468369076</v>
      </c>
    </row>
    <row r="31" spans="1:7" ht="16.149999999999999" customHeight="1" x14ac:dyDescent="0.25">
      <c r="A31" s="136">
        <f t="shared" ca="1" si="1"/>
        <v>44926</v>
      </c>
      <c r="B31" s="137">
        <f t="shared" ca="1" si="2"/>
        <v>1067790.8468369076</v>
      </c>
      <c r="C31" s="137">
        <f ca="1">IF(ISNA(MATCH($A31,CashFlow!$C$4:$AO$4,0))=TRUE,0,OFFSET(CashFlow!$B$35,0,MATCH($A31,CashFlow!$C$4:$AO$4,0),1,1))</f>
        <v>0</v>
      </c>
      <c r="D31" s="138">
        <f t="shared" ca="1" si="3"/>
        <v>16024.680225213191</v>
      </c>
      <c r="E31" s="138">
        <f t="shared" ca="1" si="4"/>
        <v>9120.7134833985856</v>
      </c>
      <c r="F31" s="138">
        <f t="shared" ca="1" si="0"/>
        <v>6903.9667418146055</v>
      </c>
      <c r="G31" s="139">
        <f ca="1">IF(ROUND(SUM(B31:C31,-F31),0)=0,0,IF($B$6="Yes",SUM($C$9:C31),SUM(B31:C31,-F31)))</f>
        <v>1060886.880095093</v>
      </c>
    </row>
    <row r="32" spans="1:7" ht="16.149999999999999" customHeight="1" x14ac:dyDescent="0.25">
      <c r="A32" s="136">
        <f t="shared" ca="1" si="1"/>
        <v>44957</v>
      </c>
      <c r="B32" s="137">
        <f t="shared" ca="1" si="2"/>
        <v>1060886.880095093</v>
      </c>
      <c r="C32" s="137">
        <f ca="1">IF(ISNA(MATCH($A32,CashFlow!$C$4:$AO$4,0))=TRUE,0,OFFSET(CashFlow!$B$35,0,MATCH($A32,CashFlow!$C$4:$AO$4,0),1,1))</f>
        <v>0</v>
      </c>
      <c r="D32" s="138">
        <f t="shared" ca="1" si="3"/>
        <v>16024.680225213191</v>
      </c>
      <c r="E32" s="138">
        <f t="shared" ca="1" si="4"/>
        <v>9061.7421008122528</v>
      </c>
      <c r="F32" s="138">
        <f t="shared" ca="1" si="0"/>
        <v>6962.9381244009382</v>
      </c>
      <c r="G32" s="139">
        <f ca="1">IF(ROUND(SUM(B32:C32,-F32),0)=0,0,IF($B$6="Yes",SUM($C$9:C32),SUM(B32:C32,-F32)))</f>
        <v>1053923.941970692</v>
      </c>
    </row>
    <row r="33" spans="1:7" ht="16.149999999999999" customHeight="1" x14ac:dyDescent="0.25">
      <c r="A33" s="136">
        <f t="shared" ca="1" si="1"/>
        <v>44985</v>
      </c>
      <c r="B33" s="137">
        <f t="shared" ca="1" si="2"/>
        <v>1053923.941970692</v>
      </c>
      <c r="C33" s="137">
        <f ca="1">IF(ISNA(MATCH($A33,CashFlow!$C$4:$AO$4,0))=TRUE,0,OFFSET(CashFlow!$B$35,0,MATCH($A33,CashFlow!$C$4:$AO$4,0),1,1))</f>
        <v>0</v>
      </c>
      <c r="D33" s="138">
        <f t="shared" ca="1" si="3"/>
        <v>16024.680225213191</v>
      </c>
      <c r="E33" s="138">
        <f t="shared" ca="1" si="4"/>
        <v>9002.2670043329945</v>
      </c>
      <c r="F33" s="138">
        <f t="shared" ca="1" si="0"/>
        <v>7022.4132208801966</v>
      </c>
      <c r="G33" s="139">
        <f ca="1">IF(ROUND(SUM(B33:C33,-F33),0)=0,0,IF($B$6="Yes",SUM($C$9:C33),SUM(B33:C33,-F33)))</f>
        <v>1046901.5287498118</v>
      </c>
    </row>
    <row r="34" spans="1:7" ht="16.149999999999999" customHeight="1" x14ac:dyDescent="0.25">
      <c r="A34" s="136">
        <f t="shared" ca="1" si="1"/>
        <v>45016</v>
      </c>
      <c r="B34" s="137">
        <f t="shared" ca="1" si="2"/>
        <v>1046901.5287498118</v>
      </c>
      <c r="C34" s="137">
        <f ca="1">IF(ISNA(MATCH($A34,CashFlow!$C$4:$AO$4,0))=TRUE,0,OFFSET(CashFlow!$B$35,0,MATCH($A34,CashFlow!$C$4:$AO$4,0),1,1))</f>
        <v>0</v>
      </c>
      <c r="D34" s="138">
        <f t="shared" ca="1" si="3"/>
        <v>16024.680225213191</v>
      </c>
      <c r="E34" s="138">
        <f t="shared" ca="1" si="4"/>
        <v>8942.2838914046424</v>
      </c>
      <c r="F34" s="138">
        <f t="shared" ca="1" si="0"/>
        <v>7082.3963338085487</v>
      </c>
      <c r="G34" s="139">
        <f ca="1">IF(ROUND(SUM(B34:C34,-F34),0)=0,0,IF($B$6="Yes",SUM($C$9:C34),SUM(B34:C34,-F34)))</f>
        <v>1039819.1324160033</v>
      </c>
    </row>
    <row r="35" spans="1:7" ht="16.149999999999999" customHeight="1" x14ac:dyDescent="0.25">
      <c r="A35" s="136">
        <f t="shared" ca="1" si="1"/>
        <v>45046</v>
      </c>
      <c r="B35" s="137">
        <f t="shared" ca="1" si="2"/>
        <v>1039819.1324160033</v>
      </c>
      <c r="C35" s="137">
        <f ca="1">IF(ISNA(MATCH($A35,CashFlow!$C$4:$AO$4,0))=TRUE,0,OFFSET(CashFlow!$B$35,0,MATCH($A35,CashFlow!$C$4:$AO$4,0),1,1))</f>
        <v>0</v>
      </c>
      <c r="D35" s="138">
        <f t="shared" ca="1" si="3"/>
        <v>16024.680225213191</v>
      </c>
      <c r="E35" s="138">
        <f t="shared" ca="1" si="4"/>
        <v>8881.7884227200284</v>
      </c>
      <c r="F35" s="138">
        <f t="shared" ca="1" si="0"/>
        <v>7142.8918024931627</v>
      </c>
      <c r="G35" s="139">
        <f ca="1">IF(ROUND(SUM(B35:C35,-F35),0)=0,0,IF($B$6="Yes",SUM($C$9:C35),SUM(B35:C35,-F35)))</f>
        <v>1032676.2406135101</v>
      </c>
    </row>
    <row r="36" spans="1:7" ht="16.149999999999999" customHeight="1" x14ac:dyDescent="0.25">
      <c r="A36" s="136">
        <f t="shared" ca="1" si="1"/>
        <v>45077</v>
      </c>
      <c r="B36" s="137">
        <f t="shared" ca="1" si="2"/>
        <v>1032676.2406135101</v>
      </c>
      <c r="C36" s="137">
        <f ca="1">IF(ISNA(MATCH($A36,CashFlow!$C$4:$AO$4,0))=TRUE,0,OFFSET(CashFlow!$B$35,0,MATCH($A36,CashFlow!$C$4:$AO$4,0),1,1))</f>
        <v>0</v>
      </c>
      <c r="D36" s="138">
        <f t="shared" ca="1" si="3"/>
        <v>16024.680225213191</v>
      </c>
      <c r="E36" s="138">
        <f t="shared" ca="1" si="4"/>
        <v>8820.7762219070646</v>
      </c>
      <c r="F36" s="138">
        <f t="shared" ca="1" si="0"/>
        <v>7203.9040033061265</v>
      </c>
      <c r="G36" s="139">
        <f ca="1">IF(ROUND(SUM(B36:C36,-F36),0)=0,0,IF($B$6="Yes",SUM($C$9:C36),SUM(B36:C36,-F36)))</f>
        <v>1025472.336610204</v>
      </c>
    </row>
    <row r="37" spans="1:7" ht="16.149999999999999" customHeight="1" x14ac:dyDescent="0.25">
      <c r="A37" s="136">
        <f t="shared" ca="1" si="1"/>
        <v>45107</v>
      </c>
      <c r="B37" s="137">
        <f t="shared" ca="1" si="2"/>
        <v>1025472.336610204</v>
      </c>
      <c r="C37" s="137">
        <f ca="1">IF(ISNA(MATCH($A37,CashFlow!$C$4:$AO$4,0))=TRUE,0,OFFSET(CashFlow!$B$35,0,MATCH($A37,CashFlow!$C$4:$AO$4,0),1,1))</f>
        <v>0</v>
      </c>
      <c r="D37" s="138">
        <f t="shared" ca="1" si="3"/>
        <v>16024.680225213191</v>
      </c>
      <c r="E37" s="138">
        <f t="shared" ca="1" si="4"/>
        <v>8759.2428752121577</v>
      </c>
      <c r="F37" s="138">
        <f t="shared" ca="1" si="0"/>
        <v>7265.4373500010333</v>
      </c>
      <c r="G37" s="139">
        <f ca="1">IF(ROUND(SUM(B37:C37,-F37),0)=0,0,IF($B$6="Yes",SUM($C$9:C37),SUM(B37:C37,-F37)))</f>
        <v>1018206.8992602029</v>
      </c>
    </row>
    <row r="38" spans="1:7" ht="16.149999999999999" customHeight="1" x14ac:dyDescent="0.25">
      <c r="A38" s="136">
        <f t="shared" ca="1" si="1"/>
        <v>45138</v>
      </c>
      <c r="B38" s="137">
        <f t="shared" ca="1" si="2"/>
        <v>1018206.8992602029</v>
      </c>
      <c r="C38" s="137">
        <f ca="1">IF(ISNA(MATCH($A38,CashFlow!$C$4:$AO$4,0))=TRUE,0,OFFSET(CashFlow!$B$35,0,MATCH($A38,CashFlow!$C$4:$AO$4,0),1,1))</f>
        <v>0</v>
      </c>
      <c r="D38" s="138">
        <f t="shared" ca="1" si="3"/>
        <v>16024.680225213191</v>
      </c>
      <c r="E38" s="138">
        <f t="shared" ca="1" si="4"/>
        <v>8697.1839311808999</v>
      </c>
      <c r="F38" s="138">
        <f t="shared" ca="1" si="0"/>
        <v>7327.4962940322912</v>
      </c>
      <c r="G38" s="139">
        <f ca="1">IF(ROUND(SUM(B38:C38,-F38),0)=0,0,IF($B$6="Yes",SUM($C$9:C38),SUM(B38:C38,-F38)))</f>
        <v>1010879.4029661706</v>
      </c>
    </row>
    <row r="39" spans="1:7" ht="16.149999999999999" customHeight="1" x14ac:dyDescent="0.25">
      <c r="A39" s="136">
        <f t="shared" ca="1" si="1"/>
        <v>45169</v>
      </c>
      <c r="B39" s="137">
        <f t="shared" ca="1" si="2"/>
        <v>1010879.4029661706</v>
      </c>
      <c r="C39" s="137">
        <f ca="1">IF(ISNA(MATCH($A39,CashFlow!$C$4:$AO$4,0))=TRUE,0,OFFSET(CashFlow!$B$35,0,MATCH($A39,CashFlow!$C$4:$AO$4,0),1,1))</f>
        <v>0</v>
      </c>
      <c r="D39" s="138">
        <f t="shared" ca="1" si="3"/>
        <v>16024.680225213191</v>
      </c>
      <c r="E39" s="138">
        <f t="shared" ca="1" si="4"/>
        <v>8634.5949003360402</v>
      </c>
      <c r="F39" s="138">
        <f t="shared" ca="1" si="0"/>
        <v>7390.0853248771509</v>
      </c>
      <c r="G39" s="139">
        <f ca="1">IF(ROUND(SUM(B39:C39,-F39),0)=0,0,IF($B$6="Yes",SUM($C$9:C39),SUM(B39:C39,-F39)))</f>
        <v>1003489.3176412934</v>
      </c>
    </row>
    <row r="40" spans="1:7" ht="16.149999999999999" customHeight="1" x14ac:dyDescent="0.25">
      <c r="A40" s="136">
        <f t="shared" ca="1" si="1"/>
        <v>45199</v>
      </c>
      <c r="B40" s="137">
        <f t="shared" ca="1" si="2"/>
        <v>1003489.3176412934</v>
      </c>
      <c r="C40" s="137">
        <f ca="1">IF(ISNA(MATCH($A40,CashFlow!$C$4:$AO$4,0))=TRUE,0,OFFSET(CashFlow!$B$35,0,MATCH($A40,CashFlow!$C$4:$AO$4,0),1,1))</f>
        <v>0</v>
      </c>
      <c r="D40" s="138">
        <f t="shared" ca="1" si="3"/>
        <v>16024.680225213191</v>
      </c>
      <c r="E40" s="138">
        <f t="shared" ca="1" si="4"/>
        <v>8571.471254852715</v>
      </c>
      <c r="F40" s="138">
        <f t="shared" ca="1" si="0"/>
        <v>7453.2089703604761</v>
      </c>
      <c r="G40" s="139">
        <f ca="1">IF(ROUND(SUM(B40:C40,-F40),0)=0,0,IF($B$6="Yes",SUM($C$9:C40),SUM(B40:C40,-F40)))</f>
        <v>996036.10867093294</v>
      </c>
    </row>
    <row r="41" spans="1:7" ht="16.149999999999999" customHeight="1" x14ac:dyDescent="0.25">
      <c r="A41" s="136">
        <f t="shared" ca="1" si="1"/>
        <v>45230</v>
      </c>
      <c r="B41" s="137">
        <f t="shared" ca="1" si="2"/>
        <v>996036.10867093294</v>
      </c>
      <c r="C41" s="137">
        <f ca="1">IF(ISNA(MATCH($A41,CashFlow!$C$4:$AO$4,0))=TRUE,0,OFFSET(CashFlow!$B$35,0,MATCH($A41,CashFlow!$C$4:$AO$4,0),1,1))</f>
        <v>0</v>
      </c>
      <c r="D41" s="138">
        <f t="shared" ca="1" si="3"/>
        <v>16024.680225213191</v>
      </c>
      <c r="E41" s="138">
        <f t="shared" ca="1" si="4"/>
        <v>8507.8084282308846</v>
      </c>
      <c r="F41" s="138">
        <f t="shared" ca="1" si="0"/>
        <v>7516.8717969823065</v>
      </c>
      <c r="G41" s="139">
        <f ca="1">IF(ROUND(SUM(B41:C41,-F41),0)=0,0,IF($B$6="Yes",SUM($C$9:C41),SUM(B41:C41,-F41)))</f>
        <v>988519.23687395058</v>
      </c>
    </row>
    <row r="42" spans="1:7" ht="16.149999999999999" customHeight="1" x14ac:dyDescent="0.25">
      <c r="A42" s="136">
        <f t="shared" ca="1" si="1"/>
        <v>45260</v>
      </c>
      <c r="B42" s="137">
        <f t="shared" ca="1" si="2"/>
        <v>988519.23687395058</v>
      </c>
      <c r="C42" s="137">
        <f ca="1">IF(ISNA(MATCH($A42,CashFlow!$C$4:$AO$4,0))=TRUE,0,OFFSET(CashFlow!$B$35,0,MATCH($A42,CashFlow!$C$4:$AO$4,0),1,1))</f>
        <v>0</v>
      </c>
      <c r="D42" s="138">
        <f t="shared" ca="1" si="3"/>
        <v>16024.680225213191</v>
      </c>
      <c r="E42" s="138">
        <f t="shared" ca="1" si="4"/>
        <v>8443.6018149649935</v>
      </c>
      <c r="F42" s="138">
        <f t="shared" ca="1" si="0"/>
        <v>7581.0784102481975</v>
      </c>
      <c r="G42" s="139">
        <f ca="1">IF(ROUND(SUM(B42:C42,-F42),0)=0,0,IF($B$6="Yes",SUM($C$9:C42),SUM(B42:C42,-F42)))</f>
        <v>980938.15846370242</v>
      </c>
    </row>
    <row r="43" spans="1:7" ht="16.149999999999999" customHeight="1" x14ac:dyDescent="0.25">
      <c r="A43" s="136">
        <f t="shared" ca="1" si="1"/>
        <v>45291</v>
      </c>
      <c r="B43" s="137">
        <f t="shared" ca="1" si="2"/>
        <v>980938.15846370242</v>
      </c>
      <c r="C43" s="137">
        <f ca="1">IF(ISNA(MATCH($A43,CashFlow!$C$4:$AO$4,0))=TRUE,0,OFFSET(CashFlow!$B$35,0,MATCH($A43,CashFlow!$C$4:$AO$4,0),1,1))</f>
        <v>0</v>
      </c>
      <c r="D43" s="138">
        <f t="shared" ca="1" si="3"/>
        <v>16024.680225213191</v>
      </c>
      <c r="E43" s="138">
        <f t="shared" ca="1" si="4"/>
        <v>8378.8467702107901</v>
      </c>
      <c r="F43" s="138">
        <f t="shared" ca="1" si="0"/>
        <v>7645.833455002401</v>
      </c>
      <c r="G43" s="139">
        <f ca="1">IF(ROUND(SUM(B43:C43,-F43),0)=0,0,IF($B$6="Yes",SUM($C$9:C43),SUM(B43:C43,-F43)))</f>
        <v>973292.32500870002</v>
      </c>
    </row>
    <row r="44" spans="1:7" ht="16.149999999999999" customHeight="1" x14ac:dyDescent="0.25">
      <c r="A44" s="136">
        <f t="shared" ca="1" si="1"/>
        <v>45322</v>
      </c>
      <c r="B44" s="137">
        <f t="shared" ca="1" si="2"/>
        <v>973292.32500870002</v>
      </c>
      <c r="C44" s="137">
        <f ca="1">IF(ISNA(MATCH($A44,CashFlow!$C$4:$AO$4,0))=TRUE,0,OFFSET(CashFlow!$B$35,0,MATCH($A44,CashFlow!$C$4:$AO$4,0),1,1))</f>
        <v>0</v>
      </c>
      <c r="D44" s="138">
        <f t="shared" ca="1" si="3"/>
        <v>16024.680225213191</v>
      </c>
      <c r="E44" s="138">
        <f t="shared" ca="1" si="4"/>
        <v>8313.5386094493133</v>
      </c>
      <c r="F44" s="138">
        <f t="shared" ca="1" si="0"/>
        <v>7711.1416157638778</v>
      </c>
      <c r="G44" s="139">
        <f ca="1">IF(ROUND(SUM(B44:C44,-F44),0)=0,0,IF($B$6="Yes",SUM($C$9:C44),SUM(B44:C44,-F44)))</f>
        <v>965581.18339293613</v>
      </c>
    </row>
    <row r="45" spans="1:7" ht="16.149999999999999" customHeight="1" x14ac:dyDescent="0.25">
      <c r="A45" s="136">
        <f t="shared" ca="1" si="1"/>
        <v>45351</v>
      </c>
      <c r="B45" s="137">
        <f t="shared" ca="1" si="2"/>
        <v>965581.18339293613</v>
      </c>
      <c r="C45" s="137">
        <f ca="1">IF(ISNA(MATCH($A45,CashFlow!$C$4:$AO$4,0))=TRUE,0,OFFSET(CashFlow!$B$35,0,MATCH($A45,CashFlow!$C$4:$AO$4,0),1,1))</f>
        <v>0</v>
      </c>
      <c r="D45" s="138">
        <f t="shared" ca="1" si="3"/>
        <v>16024.680225213191</v>
      </c>
      <c r="E45" s="138">
        <f t="shared" ca="1" si="4"/>
        <v>8247.6726081479956</v>
      </c>
      <c r="F45" s="138">
        <f t="shared" ca="1" si="0"/>
        <v>7777.0076170651955</v>
      </c>
      <c r="G45" s="139">
        <f ca="1">IF(ROUND(SUM(B45:C45,-F45),0)=0,0,IF($B$6="Yes",SUM($C$9:C45),SUM(B45:C45,-F45)))</f>
        <v>957804.17577587091</v>
      </c>
    </row>
    <row r="46" spans="1:7" ht="16.149999999999999" customHeight="1" x14ac:dyDescent="0.25">
      <c r="A46" s="136">
        <f t="shared" ca="1" si="1"/>
        <v>45382</v>
      </c>
      <c r="B46" s="137">
        <f t="shared" ca="1" si="2"/>
        <v>957804.17577587091</v>
      </c>
      <c r="C46" s="137">
        <f ca="1">IF(ISNA(MATCH($A46,CashFlow!$C$4:$AO$4,0))=TRUE,0,OFFSET(CashFlow!$B$35,0,MATCH($A46,CashFlow!$C$4:$AO$4,0),1,1))</f>
        <v>0</v>
      </c>
      <c r="D46" s="138">
        <f t="shared" ca="1" si="3"/>
        <v>16024.680225213191</v>
      </c>
      <c r="E46" s="138">
        <f t="shared" ca="1" si="4"/>
        <v>8181.2440014188969</v>
      </c>
      <c r="F46" s="138">
        <f t="shared" ca="1" si="0"/>
        <v>7843.4362237942942</v>
      </c>
      <c r="G46" s="139">
        <f ca="1">IF(ROUND(SUM(B46:C46,-F46),0)=0,0,IF($B$6="Yes",SUM($C$9:C46),SUM(B46:C46,-F46)))</f>
        <v>949960.73955207667</v>
      </c>
    </row>
    <row r="47" spans="1:7" ht="16.149999999999999" customHeight="1" x14ac:dyDescent="0.25">
      <c r="A47" s="136">
        <f t="shared" ca="1" si="1"/>
        <v>45412</v>
      </c>
      <c r="B47" s="137">
        <f t="shared" ca="1" si="2"/>
        <v>949960.73955207667</v>
      </c>
      <c r="C47" s="137">
        <f ca="1">IF(ISNA(MATCH($A47,CashFlow!$C$4:$AO$4,0))=TRUE,0,OFFSET(CashFlow!$B$35,0,MATCH($A47,CashFlow!$C$4:$AO$4,0),1,1))</f>
        <v>0</v>
      </c>
      <c r="D47" s="138">
        <f t="shared" ca="1" si="3"/>
        <v>16024.680225213191</v>
      </c>
      <c r="E47" s="138">
        <f t="shared" ca="1" si="4"/>
        <v>8114.2479836739876</v>
      </c>
      <c r="F47" s="138">
        <f t="shared" ca="1" si="0"/>
        <v>7910.4322415392035</v>
      </c>
      <c r="G47" s="139">
        <f ca="1">IF(ROUND(SUM(B47:C47,-F47),0)=0,0,IF($B$6="Yes",SUM($C$9:C47),SUM(B47:C47,-F47)))</f>
        <v>942050.30731053744</v>
      </c>
    </row>
    <row r="48" spans="1:7" ht="16.149999999999999" customHeight="1" x14ac:dyDescent="0.25">
      <c r="A48" s="136">
        <f t="shared" ca="1" si="1"/>
        <v>45443</v>
      </c>
      <c r="B48" s="137">
        <f t="shared" ca="1" si="2"/>
        <v>942050.30731053744</v>
      </c>
      <c r="C48" s="137">
        <f ca="1">IF(ISNA(MATCH($A48,CashFlow!$C$4:$AO$4,0))=TRUE,0,OFFSET(CashFlow!$B$35,0,MATCH($A48,CashFlow!$C$4:$AO$4,0),1,1))</f>
        <v>0</v>
      </c>
      <c r="D48" s="138">
        <f t="shared" ca="1" si="3"/>
        <v>16024.680225213191</v>
      </c>
      <c r="E48" s="138">
        <f t="shared" ca="1" si="4"/>
        <v>8046.6797082775074</v>
      </c>
      <c r="F48" s="138">
        <f t="shared" ca="1" si="0"/>
        <v>7978.0005169356837</v>
      </c>
      <c r="G48" s="139">
        <f ca="1">IF(ROUND(SUM(B48:C48,-F48),0)=0,0,IF($B$6="Yes",SUM($C$9:C48),SUM(B48:C48,-F48)))</f>
        <v>934072.30679360172</v>
      </c>
    </row>
    <row r="49" spans="1:7" ht="16.149999999999999" customHeight="1" x14ac:dyDescent="0.25">
      <c r="A49" s="136">
        <f t="shared" ca="1" si="1"/>
        <v>45473</v>
      </c>
      <c r="B49" s="137">
        <f t="shared" ca="1" si="2"/>
        <v>934072.30679360172</v>
      </c>
      <c r="C49" s="137">
        <f ca="1">IF(ISNA(MATCH($A49,CashFlow!$C$4:$AO$4,0))=TRUE,0,OFFSET(CashFlow!$B$35,0,MATCH($A49,CashFlow!$C$4:$AO$4,0),1,1))</f>
        <v>0</v>
      </c>
      <c r="D49" s="138">
        <f t="shared" ca="1" si="3"/>
        <v>16024.680225213191</v>
      </c>
      <c r="E49" s="138">
        <f t="shared" ca="1" si="4"/>
        <v>7978.5342871953471</v>
      </c>
      <c r="F49" s="138">
        <f t="shared" ca="1" si="0"/>
        <v>8046.1459380178439</v>
      </c>
      <c r="G49" s="139">
        <f ca="1">IF(ROUND(SUM(B49:C49,-F49),0)=0,0,IF($B$6="Yes",SUM($C$9:C49),SUM(B49:C49,-F49)))</f>
        <v>926026.16085558385</v>
      </c>
    </row>
    <row r="50" spans="1:7" ht="16.149999999999999" customHeight="1" x14ac:dyDescent="0.25">
      <c r="A50" s="136">
        <f t="shared" ca="1" si="1"/>
        <v>45504</v>
      </c>
      <c r="B50" s="137">
        <f t="shared" ca="1" si="2"/>
        <v>926026.16085558385</v>
      </c>
      <c r="C50" s="137">
        <f ca="1">IF(ISNA(MATCH($A50,CashFlow!$C$4:$AO$4,0))=TRUE,0,OFFSET(CashFlow!$B$35,0,MATCH($A50,CashFlow!$C$4:$AO$4,0),1,1))</f>
        <v>0</v>
      </c>
      <c r="D50" s="138">
        <f t="shared" ca="1" si="3"/>
        <v>16024.680225213191</v>
      </c>
      <c r="E50" s="138">
        <f t="shared" ca="1" si="4"/>
        <v>7909.8067906414444</v>
      </c>
      <c r="F50" s="138">
        <f t="shared" ca="1" si="0"/>
        <v>8114.8734345717467</v>
      </c>
      <c r="G50" s="139">
        <f ca="1">IF(ROUND(SUM(B50:C50,-F50),0)=0,0,IF($B$6="Yes",SUM($C$9:C50),SUM(B50:C50,-F50)))</f>
        <v>917911.28742101206</v>
      </c>
    </row>
    <row r="51" spans="1:7" ht="16.149999999999999" customHeight="1" x14ac:dyDescent="0.25">
      <c r="A51" s="136">
        <f t="shared" ca="1" si="1"/>
        <v>45535</v>
      </c>
      <c r="B51" s="137">
        <f t="shared" ca="1" si="2"/>
        <v>917911.28742101206</v>
      </c>
      <c r="C51" s="137">
        <f ca="1">IF(ISNA(MATCH($A51,CashFlow!$C$4:$AO$4,0))=TRUE,0,OFFSET(CashFlow!$B$35,0,MATCH($A51,CashFlow!$C$4:$AO$4,0),1,1))</f>
        <v>0</v>
      </c>
      <c r="D51" s="138">
        <f t="shared" ca="1" si="3"/>
        <v>16024.680225213191</v>
      </c>
      <c r="E51" s="138">
        <f t="shared" ca="1" si="4"/>
        <v>7840.4922467211445</v>
      </c>
      <c r="F51" s="138">
        <f t="shared" ca="1" si="0"/>
        <v>8184.1879784920466</v>
      </c>
      <c r="G51" s="139">
        <f ca="1">IF(ROUND(SUM(B51:C51,-F51),0)=0,0,IF($B$6="Yes",SUM($C$9:C51),SUM(B51:C51,-F51)))</f>
        <v>909727.09944252006</v>
      </c>
    </row>
    <row r="52" spans="1:7" ht="16.149999999999999" customHeight="1" x14ac:dyDescent="0.25">
      <c r="A52" s="136">
        <f t="shared" ca="1" si="1"/>
        <v>45565</v>
      </c>
      <c r="B52" s="137">
        <f t="shared" ca="1" si="2"/>
        <v>909727.09944252006</v>
      </c>
      <c r="C52" s="137">
        <f ca="1">IF(ISNA(MATCH($A52,CashFlow!$C$4:$AO$4,0))=TRUE,0,OFFSET(CashFlow!$B$35,0,MATCH($A52,CashFlow!$C$4:$AO$4,0),1,1))</f>
        <v>0</v>
      </c>
      <c r="D52" s="138">
        <f t="shared" ca="1" si="3"/>
        <v>16024.680225213191</v>
      </c>
      <c r="E52" s="138">
        <f t="shared" ca="1" si="4"/>
        <v>7770.5856410715251</v>
      </c>
      <c r="F52" s="138">
        <f t="shared" ca="1" si="0"/>
        <v>8254.0945841416651</v>
      </c>
      <c r="G52" s="139">
        <f ca="1">IF(ROUND(SUM(B52:C52,-F52),0)=0,0,IF($B$6="Yes",SUM($C$9:C52),SUM(B52:C52,-F52)))</f>
        <v>901473.00485837844</v>
      </c>
    </row>
    <row r="53" spans="1:7" ht="16.149999999999999" customHeight="1" x14ac:dyDescent="0.25">
      <c r="A53" s="136">
        <f t="shared" ca="1" si="1"/>
        <v>45596</v>
      </c>
      <c r="B53" s="137">
        <f t="shared" ca="1" si="2"/>
        <v>901473.00485837844</v>
      </c>
      <c r="C53" s="137">
        <f ca="1">IF(ISNA(MATCH($A53,CashFlow!$C$4:$AO$4,0))=TRUE,0,OFFSET(CashFlow!$B$35,0,MATCH($A53,CashFlow!$C$4:$AO$4,0),1,1))</f>
        <v>0</v>
      </c>
      <c r="D53" s="138">
        <f t="shared" ca="1" si="3"/>
        <v>16024.680225213191</v>
      </c>
      <c r="E53" s="138">
        <f t="shared" ca="1" si="4"/>
        <v>7700.0819164986488</v>
      </c>
      <c r="F53" s="138">
        <f t="shared" ca="1" si="0"/>
        <v>8324.5983087145432</v>
      </c>
      <c r="G53" s="139">
        <f ca="1">IF(ROUND(SUM(B53:C53,-F53),0)=0,0,IF($B$6="Yes",SUM($C$9:C53),SUM(B53:C53,-F53)))</f>
        <v>893148.40654966387</v>
      </c>
    </row>
    <row r="54" spans="1:7" ht="16.149999999999999" customHeight="1" x14ac:dyDescent="0.25">
      <c r="A54" s="136">
        <f t="shared" ca="1" si="1"/>
        <v>45626</v>
      </c>
      <c r="B54" s="137">
        <f t="shared" ca="1" si="2"/>
        <v>893148.40654966387</v>
      </c>
      <c r="C54" s="137">
        <f ca="1">IF(ISNA(MATCH($A54,CashFlow!$C$4:$AO$4,0))=TRUE,0,OFFSET(CashFlow!$B$35,0,MATCH($A54,CashFlow!$C$4:$AO$4,0),1,1))</f>
        <v>0</v>
      </c>
      <c r="D54" s="138">
        <f t="shared" ca="1" si="3"/>
        <v>16024.680225213191</v>
      </c>
      <c r="E54" s="138">
        <f t="shared" ca="1" si="4"/>
        <v>7628.9759726117118</v>
      </c>
      <c r="F54" s="138">
        <f t="shared" ca="1" si="0"/>
        <v>8395.7042526014793</v>
      </c>
      <c r="G54" s="139">
        <f ca="1">IF(ROUND(SUM(B54:C54,-F54),0)=0,0,IF($B$6="Yes",SUM($C$9:C54),SUM(B54:C54,-F54)))</f>
        <v>884752.70229706238</v>
      </c>
    </row>
    <row r="55" spans="1:7" ht="16.149999999999999" customHeight="1" x14ac:dyDescent="0.25">
      <c r="A55" s="136">
        <f t="shared" ca="1" si="1"/>
        <v>45657</v>
      </c>
      <c r="B55" s="137">
        <f t="shared" ca="1" si="2"/>
        <v>884752.70229706238</v>
      </c>
      <c r="C55" s="137">
        <f ca="1">IF(ISNA(MATCH($A55,CashFlow!$C$4:$AO$4,0))=TRUE,0,OFFSET(CashFlow!$B$35,0,MATCH($A55,CashFlow!$C$4:$AO$4,0),1,1))</f>
        <v>0</v>
      </c>
      <c r="D55" s="138">
        <f t="shared" ca="1" si="3"/>
        <v>16024.680225213191</v>
      </c>
      <c r="E55" s="138">
        <f t="shared" ca="1" si="4"/>
        <v>7557.2626654540736</v>
      </c>
      <c r="F55" s="138">
        <f t="shared" ca="1" si="0"/>
        <v>8467.4175597591166</v>
      </c>
      <c r="G55" s="139">
        <f ca="1">IF(ROUND(SUM(B55:C55,-F55),0)=0,0,IF($B$6="Yes",SUM($C$9:C55),SUM(B55:C55,-F55)))</f>
        <v>876285.28473730327</v>
      </c>
    </row>
    <row r="56" spans="1:7" ht="16.149999999999999" customHeight="1" x14ac:dyDescent="0.25">
      <c r="A56" s="136">
        <f t="shared" ca="1" si="1"/>
        <v>45688</v>
      </c>
      <c r="B56" s="137">
        <f t="shared" ca="1" si="2"/>
        <v>876285.28473730327</v>
      </c>
      <c r="C56" s="137">
        <f ca="1">IF(ISNA(MATCH($A56,CashFlow!$C$4:$AO$4,0))=TRUE,0,OFFSET(CashFlow!$B$35,0,MATCH($A56,CashFlow!$C$4:$AO$4,0),1,1))</f>
        <v>0</v>
      </c>
      <c r="D56" s="138">
        <f t="shared" ca="1" si="3"/>
        <v>16024.680225213191</v>
      </c>
      <c r="E56" s="138">
        <f t="shared" ca="1" si="4"/>
        <v>7484.9368071311319</v>
      </c>
      <c r="F56" s="138">
        <f t="shared" ca="1" si="0"/>
        <v>8539.7434180820601</v>
      </c>
      <c r="G56" s="139">
        <f ca="1">IF(ROUND(SUM(B56:C56,-F56),0)=0,0,IF($B$6="Yes",SUM($C$9:C56),SUM(B56:C56,-F56)))</f>
        <v>867745.54131922126</v>
      </c>
    </row>
    <row r="57" spans="1:7" ht="16.149999999999999" customHeight="1" x14ac:dyDescent="0.25">
      <c r="A57" s="136">
        <f t="shared" ca="1" si="1"/>
        <v>45716</v>
      </c>
      <c r="B57" s="137">
        <f t="shared" ca="1" si="2"/>
        <v>867745.54131922126</v>
      </c>
      <c r="C57" s="137">
        <f ca="1">IF(ISNA(MATCH($A57,CashFlow!$C$4:$AO$4,0))=TRUE,0,OFFSET(CashFlow!$B$35,0,MATCH($A57,CashFlow!$C$4:$AO$4,0),1,1))</f>
        <v>0</v>
      </c>
      <c r="D57" s="138">
        <f t="shared" ca="1" si="3"/>
        <v>16024.680225213191</v>
      </c>
      <c r="E57" s="138">
        <f t="shared" ca="1" si="4"/>
        <v>7411.9931654350148</v>
      </c>
      <c r="F57" s="138">
        <f t="shared" ca="1" si="0"/>
        <v>8612.6870597781763</v>
      </c>
      <c r="G57" s="139">
        <f ca="1">IF(ROUND(SUM(B57:C57,-F57),0)=0,0,IF($B$6="Yes",SUM($C$9:C57),SUM(B57:C57,-F57)))</f>
        <v>859132.85425944312</v>
      </c>
    </row>
    <row r="58" spans="1:7" ht="16.149999999999999" customHeight="1" x14ac:dyDescent="0.25">
      <c r="A58" s="136">
        <f t="shared" ca="1" si="1"/>
        <v>45747</v>
      </c>
      <c r="B58" s="137">
        <f t="shared" ca="1" si="2"/>
        <v>859132.85425944312</v>
      </c>
      <c r="C58" s="137">
        <f ca="1">IF(ISNA(MATCH($A58,CashFlow!$C$4:$AO$4,0))=TRUE,0,OFFSET(CashFlow!$B$35,0,MATCH($A58,CashFlow!$C$4:$AO$4,0),1,1))</f>
        <v>0</v>
      </c>
      <c r="D58" s="138">
        <f t="shared" ca="1" si="3"/>
        <v>16024.680225213191</v>
      </c>
      <c r="E58" s="138">
        <f t="shared" ca="1" si="4"/>
        <v>7338.4264634660758</v>
      </c>
      <c r="F58" s="138">
        <f t="shared" ca="1" si="0"/>
        <v>8686.2537617471153</v>
      </c>
      <c r="G58" s="139">
        <f ca="1">IF(ROUND(SUM(B58:C58,-F58),0)=0,0,IF($B$6="Yes",SUM($C$9:C58),SUM(B58:C58,-F58)))</f>
        <v>850446.60049769597</v>
      </c>
    </row>
    <row r="59" spans="1:7" ht="16.149999999999999" customHeight="1" x14ac:dyDescent="0.25">
      <c r="A59" s="136">
        <f t="shared" ca="1" si="1"/>
        <v>45777</v>
      </c>
      <c r="B59" s="137">
        <f t="shared" ca="1" si="2"/>
        <v>850446.60049769597</v>
      </c>
      <c r="C59" s="137">
        <f ca="1">IF(ISNA(MATCH($A59,CashFlow!$C$4:$AO$4,0))=TRUE,0,OFFSET(CashFlow!$B$35,0,MATCH($A59,CashFlow!$C$4:$AO$4,0),1,1))</f>
        <v>0</v>
      </c>
      <c r="D59" s="138">
        <f t="shared" ca="1" si="3"/>
        <v>16024.680225213191</v>
      </c>
      <c r="E59" s="138">
        <f t="shared" ca="1" si="4"/>
        <v>7264.2313792511522</v>
      </c>
      <c r="F59" s="138">
        <f t="shared" ca="1" si="0"/>
        <v>8760.4488459620388</v>
      </c>
      <c r="G59" s="139">
        <f ca="1">IF(ROUND(SUM(B59:C59,-F59),0)=0,0,IF($B$6="Yes",SUM($C$9:C59),SUM(B59:C59,-F59)))</f>
        <v>841686.1516517339</v>
      </c>
    </row>
    <row r="60" spans="1:7" ht="16.149999999999999" customHeight="1" x14ac:dyDescent="0.25">
      <c r="A60" s="136">
        <f t="shared" ca="1" si="1"/>
        <v>45808</v>
      </c>
      <c r="B60" s="137">
        <f t="shared" ca="1" si="2"/>
        <v>841686.1516517339</v>
      </c>
      <c r="C60" s="137">
        <f ca="1">IF(ISNA(MATCH($A60,CashFlow!$C$4:$AO$4,0))=TRUE,0,OFFSET(CashFlow!$B$35,0,MATCH($A60,CashFlow!$C$4:$AO$4,0),1,1))</f>
        <v>0</v>
      </c>
      <c r="D60" s="138">
        <f t="shared" ca="1" si="3"/>
        <v>16024.680225213191</v>
      </c>
      <c r="E60" s="138">
        <f t="shared" ca="1" si="4"/>
        <v>7189.40254535856</v>
      </c>
      <c r="F60" s="138">
        <f t="shared" ca="1" si="0"/>
        <v>8835.2776798546311</v>
      </c>
      <c r="G60" s="139">
        <f ca="1">IF(ROUND(SUM(B60:C60,-F60),0)=0,0,IF($B$6="Yes",SUM($C$9:C60),SUM(B60:C60,-F60)))</f>
        <v>832850.87397187925</v>
      </c>
    </row>
    <row r="61" spans="1:7" ht="16.149999999999999" customHeight="1" x14ac:dyDescent="0.25">
      <c r="A61" s="136">
        <f t="shared" ca="1" si="1"/>
        <v>45838</v>
      </c>
      <c r="B61" s="137">
        <f t="shared" ca="1" si="2"/>
        <v>832850.87397187925</v>
      </c>
      <c r="C61" s="137">
        <f ca="1">IF(ISNA(MATCH($A61,CashFlow!$C$4:$AO$4,0))=TRUE,0,OFFSET(CashFlow!$B$35,0,MATCH($A61,CashFlow!$C$4:$AO$4,0),1,1))</f>
        <v>0</v>
      </c>
      <c r="D61" s="138">
        <f t="shared" ca="1" si="3"/>
        <v>16024.680225213191</v>
      </c>
      <c r="E61" s="138">
        <f t="shared" ca="1" si="4"/>
        <v>7113.934548509802</v>
      </c>
      <c r="F61" s="138">
        <f t="shared" ca="1" si="0"/>
        <v>8910.7456767033891</v>
      </c>
      <c r="G61" s="139">
        <f ca="1">IF(ROUND(SUM(B61:C61,-F61),0)=0,0,IF($B$6="Yes",SUM($C$9:C61),SUM(B61:C61,-F61)))</f>
        <v>823940.12829517585</v>
      </c>
    </row>
    <row r="62" spans="1:7" ht="16.149999999999999" customHeight="1" x14ac:dyDescent="0.25">
      <c r="A62" s="136">
        <f t="shared" ca="1" si="1"/>
        <v>45869</v>
      </c>
      <c r="B62" s="137">
        <f t="shared" ca="1" si="2"/>
        <v>823940.12829517585</v>
      </c>
      <c r="C62" s="137">
        <f ca="1">IF(ISNA(MATCH($A62,CashFlow!$C$4:$AO$4,0))=TRUE,0,OFFSET(CashFlow!$B$35,0,MATCH($A62,CashFlow!$C$4:$AO$4,0),1,1))</f>
        <v>0</v>
      </c>
      <c r="D62" s="138">
        <f t="shared" ca="1" si="3"/>
        <v>16024.680225213191</v>
      </c>
      <c r="E62" s="138">
        <f t="shared" ca="1" si="4"/>
        <v>7037.8219291879604</v>
      </c>
      <c r="F62" s="138">
        <f t="shared" ca="1" si="0"/>
        <v>8986.8582960252315</v>
      </c>
      <c r="G62" s="139">
        <f ca="1">IF(ROUND(SUM(B62:C62,-F62),0)=0,0,IF($B$6="Yes",SUM($C$9:C62),SUM(B62:C62,-F62)))</f>
        <v>814953.26999915065</v>
      </c>
    </row>
    <row r="63" spans="1:7" ht="16.149999999999999" customHeight="1" x14ac:dyDescent="0.25">
      <c r="A63" s="136">
        <f t="shared" ca="1" si="1"/>
        <v>45900</v>
      </c>
      <c r="B63" s="137">
        <f t="shared" ca="1" si="2"/>
        <v>814953.26999915065</v>
      </c>
      <c r="C63" s="137">
        <f ca="1">IF(ISNA(MATCH($A63,CashFlow!$C$4:$AO$4,0))=TRUE,0,OFFSET(CashFlow!$B$35,0,MATCH($A63,CashFlow!$C$4:$AO$4,0),1,1))</f>
        <v>0</v>
      </c>
      <c r="D63" s="138">
        <f t="shared" ca="1" si="3"/>
        <v>16024.680225213191</v>
      </c>
      <c r="E63" s="138">
        <f t="shared" ca="1" si="4"/>
        <v>6961.0591812427447</v>
      </c>
      <c r="F63" s="138">
        <f t="shared" ca="1" si="0"/>
        <v>9063.6210439704464</v>
      </c>
      <c r="G63" s="139">
        <f ca="1">IF(ROUND(SUM(B63:C63,-F63),0)=0,0,IF($B$6="Yes",SUM($C$9:C63),SUM(B63:C63,-F63)))</f>
        <v>805889.64895518019</v>
      </c>
    </row>
    <row r="64" spans="1:7" ht="16.149999999999999" customHeight="1" x14ac:dyDescent="0.25">
      <c r="A64" s="136">
        <f t="shared" ca="1" si="1"/>
        <v>45930</v>
      </c>
      <c r="B64" s="137">
        <f t="shared" ca="1" si="2"/>
        <v>805889.64895518019</v>
      </c>
      <c r="C64" s="137">
        <f ca="1">IF(ISNA(MATCH($A64,CashFlow!$C$4:$AO$4,0))=TRUE,0,OFFSET(CashFlow!$B$35,0,MATCH($A64,CashFlow!$C$4:$AO$4,0),1,1))</f>
        <v>0</v>
      </c>
      <c r="D64" s="138">
        <f t="shared" ca="1" si="3"/>
        <v>16024.680225213191</v>
      </c>
      <c r="E64" s="138">
        <f t="shared" ca="1" si="4"/>
        <v>6883.6407514921639</v>
      </c>
      <c r="F64" s="138">
        <f t="shared" ca="1" si="0"/>
        <v>9141.0394737210263</v>
      </c>
      <c r="G64" s="139">
        <f ca="1">IF(ROUND(SUM(B64:C64,-F64),0)=0,0,IF($B$6="Yes",SUM($C$9:C64),SUM(B64:C64,-F64)))</f>
        <v>796748.60948145913</v>
      </c>
    </row>
    <row r="65" spans="1:7" ht="16.149999999999999" customHeight="1" x14ac:dyDescent="0.25">
      <c r="A65" s="136">
        <f t="shared" ca="1" si="1"/>
        <v>45961</v>
      </c>
      <c r="B65" s="137">
        <f t="shared" ca="1" si="2"/>
        <v>796748.60948145913</v>
      </c>
      <c r="C65" s="137">
        <f ca="1">IF(ISNA(MATCH($A65,CashFlow!$C$4:$AO$4,0))=TRUE,0,OFFSET(CashFlow!$B$35,0,MATCH($A65,CashFlow!$C$4:$AO$4,0),1,1))</f>
        <v>0</v>
      </c>
      <c r="D65" s="138">
        <f t="shared" ca="1" si="3"/>
        <v>16024.680225213191</v>
      </c>
      <c r="E65" s="138">
        <f t="shared" ca="1" si="4"/>
        <v>6805.5610393207962</v>
      </c>
      <c r="F65" s="138">
        <f t="shared" ca="1" si="0"/>
        <v>9219.1191858923958</v>
      </c>
      <c r="G65" s="139">
        <f ca="1">IF(ROUND(SUM(B65:C65,-F65),0)=0,0,IF($B$6="Yes",SUM($C$9:C65),SUM(B65:C65,-F65)))</f>
        <v>787529.49029556673</v>
      </c>
    </row>
    <row r="66" spans="1:7" ht="16.149999999999999" customHeight="1" x14ac:dyDescent="0.25">
      <c r="A66" s="136">
        <f t="shared" ca="1" si="1"/>
        <v>45991</v>
      </c>
      <c r="B66" s="137">
        <f t="shared" ca="1" si="2"/>
        <v>787529.49029556673</v>
      </c>
      <c r="C66" s="137">
        <f ca="1">IF(ISNA(MATCH($A66,CashFlow!$C$4:$AO$4,0))=TRUE,0,OFFSET(CashFlow!$B$35,0,MATCH($A66,CashFlow!$C$4:$AO$4,0),1,1))</f>
        <v>0</v>
      </c>
      <c r="D66" s="138">
        <f t="shared" ca="1" si="3"/>
        <v>16024.680225213191</v>
      </c>
      <c r="E66" s="138">
        <f t="shared" ca="1" si="4"/>
        <v>6726.8143962746326</v>
      </c>
      <c r="F66" s="138">
        <f t="shared" ca="1" si="0"/>
        <v>9297.8658289385585</v>
      </c>
      <c r="G66" s="139">
        <f ca="1">IF(ROUND(SUM(B66:C66,-F66),0)=0,0,IF($B$6="Yes",SUM($C$9:C66),SUM(B66:C66,-F66)))</f>
        <v>778231.62446662819</v>
      </c>
    </row>
    <row r="67" spans="1:7" ht="16.149999999999999" customHeight="1" x14ac:dyDescent="0.25">
      <c r="A67" s="136">
        <f t="shared" ca="1" si="1"/>
        <v>46022</v>
      </c>
      <c r="B67" s="137">
        <f t="shared" ca="1" si="2"/>
        <v>778231.62446662819</v>
      </c>
      <c r="C67" s="137">
        <f ca="1">IF(ISNA(MATCH($A67,CashFlow!$C$4:$AO$4,0))=TRUE,0,OFFSET(CashFlow!$B$35,0,MATCH($A67,CashFlow!$C$4:$AO$4,0),1,1))</f>
        <v>0</v>
      </c>
      <c r="D67" s="138">
        <f t="shared" ca="1" si="3"/>
        <v>16024.680225213191</v>
      </c>
      <c r="E67" s="138">
        <f t="shared" ca="1" si="4"/>
        <v>6647.3951256524488</v>
      </c>
      <c r="F67" s="138">
        <f t="shared" ca="1" si="0"/>
        <v>9377.2850995607423</v>
      </c>
      <c r="G67" s="139">
        <f ca="1">IF(ROUND(SUM(B67:C67,-F67),0)=0,0,IF($B$6="Yes",SUM($C$9:C67),SUM(B67:C67,-F67)))</f>
        <v>768854.33936706744</v>
      </c>
    </row>
    <row r="68" spans="1:7" ht="16.149999999999999" customHeight="1" x14ac:dyDescent="0.25">
      <c r="A68" s="136">
        <f t="shared" ca="1" si="1"/>
        <v>46053</v>
      </c>
      <c r="B68" s="137">
        <f t="shared" ca="1" si="2"/>
        <v>768854.33936706744</v>
      </c>
      <c r="C68" s="137">
        <f ca="1">IF(ISNA(MATCH($A68,CashFlow!$C$4:$AO$4,0))=TRUE,0,OFFSET(CashFlow!$B$35,0,MATCH($A68,CashFlow!$C$4:$AO$4,0),1,1))</f>
        <v>0</v>
      </c>
      <c r="D68" s="138">
        <f t="shared" ca="1" si="3"/>
        <v>16024.680225213191</v>
      </c>
      <c r="E68" s="138">
        <f t="shared" ca="1" si="4"/>
        <v>6567.2974820937006</v>
      </c>
      <c r="F68" s="138">
        <f t="shared" ca="1" si="0"/>
        <v>9457.3827431194914</v>
      </c>
      <c r="G68" s="139">
        <f ca="1">IF(ROUND(SUM(B68:C68,-F68),0)=0,0,IF($B$6="Yes",SUM($C$9:C68),SUM(B68:C68,-F68)))</f>
        <v>759396.95662394795</v>
      </c>
    </row>
    <row r="69" spans="1:7" ht="16.149999999999999" customHeight="1" x14ac:dyDescent="0.25">
      <c r="A69" s="136">
        <f t="shared" ca="1" si="1"/>
        <v>46081</v>
      </c>
      <c r="B69" s="137">
        <f t="shared" ca="1" si="2"/>
        <v>759396.95662394795</v>
      </c>
      <c r="C69" s="137">
        <f ca="1">IF(ISNA(MATCH($A69,CashFlow!$C$4:$AO$4,0))=TRUE,0,OFFSET(CashFlow!$B$35,0,MATCH($A69,CashFlow!$C$4:$AO$4,0),1,1))</f>
        <v>0</v>
      </c>
      <c r="D69" s="138">
        <f t="shared" ca="1" si="3"/>
        <v>16024.680225213191</v>
      </c>
      <c r="E69" s="138">
        <f t="shared" ca="1" si="4"/>
        <v>6486.5156711628879</v>
      </c>
      <c r="F69" s="138">
        <f t="shared" ca="1" si="0"/>
        <v>9538.1645540503032</v>
      </c>
      <c r="G69" s="139">
        <f ca="1">IF(ROUND(SUM(B69:C69,-F69),0)=0,0,IF($B$6="Yes",SUM($C$9:C69),SUM(B69:C69,-F69)))</f>
        <v>749858.79206989764</v>
      </c>
    </row>
    <row r="70" spans="1:7" ht="16.149999999999999" customHeight="1" x14ac:dyDescent="0.25">
      <c r="A70" s="136">
        <f t="shared" ca="1" si="1"/>
        <v>46112</v>
      </c>
      <c r="B70" s="137">
        <f t="shared" ca="1" si="2"/>
        <v>749858.79206989764</v>
      </c>
      <c r="C70" s="137">
        <f ca="1">IF(ISNA(MATCH($A70,CashFlow!$C$4:$AO$4,0))=TRUE,0,OFFSET(CashFlow!$B$35,0,MATCH($A70,CashFlow!$C$4:$AO$4,0),1,1))</f>
        <v>0</v>
      </c>
      <c r="D70" s="138">
        <f t="shared" ca="1" si="3"/>
        <v>16024.680225213191</v>
      </c>
      <c r="E70" s="138">
        <f t="shared" ca="1" si="4"/>
        <v>6405.0438489303751</v>
      </c>
      <c r="F70" s="138">
        <f t="shared" ca="1" si="0"/>
        <v>9619.636376282815</v>
      </c>
      <c r="G70" s="139">
        <f ca="1">IF(ROUND(SUM(B70:C70,-F70),0)=0,0,IF($B$6="Yes",SUM($C$9:C70),SUM(B70:C70,-F70)))</f>
        <v>740239.15569361486</v>
      </c>
    </row>
    <row r="71" spans="1:7" ht="16.149999999999999" customHeight="1" x14ac:dyDescent="0.25">
      <c r="A71" s="136">
        <f t="shared" ca="1" si="1"/>
        <v>46142</v>
      </c>
      <c r="B71" s="137">
        <f t="shared" ca="1" si="2"/>
        <v>740239.15569361486</v>
      </c>
      <c r="C71" s="137">
        <f ca="1">IF(ISNA(MATCH($A71,CashFlow!$C$4:$AO$4,0))=TRUE,0,OFFSET(CashFlow!$B$35,0,MATCH($A71,CashFlow!$C$4:$AO$4,0),1,1))</f>
        <v>0</v>
      </c>
      <c r="D71" s="138">
        <f t="shared" ca="1" si="3"/>
        <v>16024.680225213191</v>
      </c>
      <c r="E71" s="138">
        <f t="shared" ca="1" si="4"/>
        <v>6322.876121549627</v>
      </c>
      <c r="F71" s="138">
        <f t="shared" ca="1" si="0"/>
        <v>9701.8041036635641</v>
      </c>
      <c r="G71" s="139">
        <f ca="1">IF(ROUND(SUM(B71:C71,-F71),0)=0,0,IF($B$6="Yes",SUM($C$9:C71),SUM(B71:C71,-F71)))</f>
        <v>730537.35158995131</v>
      </c>
    </row>
    <row r="72" spans="1:7" ht="16.149999999999999" customHeight="1" x14ac:dyDescent="0.25">
      <c r="A72" s="136">
        <f t="shared" ca="1" si="1"/>
        <v>46173</v>
      </c>
      <c r="B72" s="137">
        <f t="shared" ca="1" si="2"/>
        <v>730537.35158995131</v>
      </c>
      <c r="C72" s="137">
        <f ca="1">IF(ISNA(MATCH($A72,CashFlow!$C$4:$AO$4,0))=TRUE,0,OFFSET(CashFlow!$B$35,0,MATCH($A72,CashFlow!$C$4:$AO$4,0),1,1))</f>
        <v>0</v>
      </c>
      <c r="D72" s="138">
        <f t="shared" ca="1" si="3"/>
        <v>16024.680225213191</v>
      </c>
      <c r="E72" s="138">
        <f t="shared" ca="1" si="4"/>
        <v>6240.0065448308342</v>
      </c>
      <c r="F72" s="138">
        <f t="shared" ca="1" si="0"/>
        <v>9784.6736803823569</v>
      </c>
      <c r="G72" s="139">
        <f ca="1">IF(ROUND(SUM(B72:C72,-F72),0)=0,0,IF($B$6="Yes",SUM($C$9:C72),SUM(B72:C72,-F72)))</f>
        <v>720752.677909569</v>
      </c>
    </row>
    <row r="73" spans="1:7" ht="16.149999999999999" customHeight="1" x14ac:dyDescent="0.25">
      <c r="A73" s="136">
        <f t="shared" ca="1" si="1"/>
        <v>46203</v>
      </c>
      <c r="B73" s="137">
        <f t="shared" ca="1" si="2"/>
        <v>720752.677909569</v>
      </c>
      <c r="C73" s="137">
        <f ca="1">IF(ISNA(MATCH($A73,CashFlow!$C$4:$AO$4,0))=TRUE,0,OFFSET(CashFlow!$B$35,0,MATCH($A73,CashFlow!$C$4:$AO$4,0),1,1))</f>
        <v>0</v>
      </c>
      <c r="D73" s="138">
        <f t="shared" ca="1" si="3"/>
        <v>16024.680225213191</v>
      </c>
      <c r="E73" s="138">
        <f t="shared" ca="1" si="4"/>
        <v>6156.4291238109008</v>
      </c>
      <c r="F73" s="138">
        <f t="shared" ca="1" si="0"/>
        <v>9868.2511014022894</v>
      </c>
      <c r="G73" s="139">
        <f ca="1">IF(ROUND(SUM(B73:C73,-F73),0)=0,0,IF($B$6="Yes",SUM($C$9:C73),SUM(B73:C73,-F73)))</f>
        <v>710884.42680816667</v>
      </c>
    </row>
    <row r="74" spans="1:7" ht="16.149999999999999" customHeight="1" x14ac:dyDescent="0.25">
      <c r="A74" s="136">
        <f t="shared" ca="1" si="1"/>
        <v>46234</v>
      </c>
      <c r="B74" s="137">
        <f t="shared" ca="1" si="2"/>
        <v>710884.42680816667</v>
      </c>
      <c r="C74" s="137">
        <f ca="1">IF(ISNA(MATCH($A74,CashFlow!$C$4:$AO$4,0))=TRUE,0,OFFSET(CashFlow!$B$35,0,MATCH($A74,CashFlow!$C$4:$AO$4,0),1,1))</f>
        <v>0</v>
      </c>
      <c r="D74" s="138">
        <f t="shared" ca="1" si="3"/>
        <v>16024.680225213191</v>
      </c>
      <c r="E74" s="138">
        <f t="shared" ca="1" si="4"/>
        <v>6072.1378123197564</v>
      </c>
      <c r="F74" s="138">
        <f t="shared" ref="F74:F128" ca="1" si="5">IF($B$6="Yes",0,D74-E74)</f>
        <v>9952.5424128934355</v>
      </c>
      <c r="G74" s="139">
        <f ca="1">IF(ROUND(SUM(B74:C74,-F74),0)=0,0,IF($B$6="Yes",SUM($C$9:C74),SUM(B74:C74,-F74)))</f>
        <v>700931.88439527329</v>
      </c>
    </row>
    <row r="75" spans="1:7" ht="16.149999999999999" customHeight="1" x14ac:dyDescent="0.25">
      <c r="A75" s="136">
        <f t="shared" ref="A75:A125" ca="1" si="6">DATE(YEAR(A74),MONTH(A74)+2,0)</f>
        <v>46265</v>
      </c>
      <c r="B75" s="137">
        <f t="shared" ref="B75:B128" ca="1" si="7">G74</f>
        <v>700931.88439527329</v>
      </c>
      <c r="C75" s="137">
        <f ca="1">IF(ISNA(MATCH($A75,CashFlow!$C$4:$AO$4,0))=TRUE,0,OFFSET(CashFlow!$B$35,0,MATCH($A75,CashFlow!$C$4:$AO$4,0),1,1))</f>
        <v>0</v>
      </c>
      <c r="D75" s="138">
        <f t="shared" ref="D75:D138" ca="1" si="8">IF($B$6="Yes",0,IF(ROW(C75)-ROW($C$9)&gt;$B$5*12,-PMT($B$4/12,$B$5*12,SUM(OFFSET(C75,0,0,-$B$5*12,1)),0,0),-PMT($B$4/12,$B$5*12,SUM(OFFSET(C75,0,0,ROW($C$8)-ROW(C75),1)),0,0)))</f>
        <v>16024.680225213191</v>
      </c>
      <c r="E75" s="138">
        <f t="shared" ref="E75:E138" ca="1" si="9">(G74+C75)*$B$4/12</f>
        <v>5987.1265125429591</v>
      </c>
      <c r="F75" s="138">
        <f t="shared" ca="1" si="5"/>
        <v>10037.553712670233</v>
      </c>
      <c r="G75" s="139">
        <f ca="1">IF(ROUND(SUM(B75:C75,-F75),0)=0,0,IF($B$6="Yes",SUM($C$9:C75),SUM(B75:C75,-F75)))</f>
        <v>690894.33068260306</v>
      </c>
    </row>
    <row r="76" spans="1:7" ht="16.149999999999999" customHeight="1" x14ac:dyDescent="0.25">
      <c r="A76" s="136">
        <f t="shared" ca="1" si="6"/>
        <v>46295</v>
      </c>
      <c r="B76" s="137">
        <f t="shared" ca="1" si="7"/>
        <v>690894.33068260306</v>
      </c>
      <c r="C76" s="137">
        <f ca="1">IF(ISNA(MATCH($A76,CashFlow!$C$4:$AO$4,0))=TRUE,0,OFFSET(CashFlow!$B$35,0,MATCH($A76,CashFlow!$C$4:$AO$4,0),1,1))</f>
        <v>0</v>
      </c>
      <c r="D76" s="138">
        <f t="shared" ca="1" si="8"/>
        <v>16024.680225213191</v>
      </c>
      <c r="E76" s="138">
        <f t="shared" ca="1" si="9"/>
        <v>5901.3890745805666</v>
      </c>
      <c r="F76" s="138">
        <f t="shared" ca="1" si="5"/>
        <v>10123.291150632624</v>
      </c>
      <c r="G76" s="139">
        <f ca="1">IF(ROUND(SUM(B76:C76,-F76),0)=0,0,IF($B$6="Yes",SUM($C$9:C76),SUM(B76:C76,-F76)))</f>
        <v>680771.0395319704</v>
      </c>
    </row>
    <row r="77" spans="1:7" ht="16.149999999999999" customHeight="1" x14ac:dyDescent="0.25">
      <c r="A77" s="136">
        <f t="shared" ca="1" si="6"/>
        <v>46326</v>
      </c>
      <c r="B77" s="137">
        <f t="shared" ca="1" si="7"/>
        <v>680771.0395319704</v>
      </c>
      <c r="C77" s="137">
        <f ca="1">IF(ISNA(MATCH($A77,CashFlow!$C$4:$AO$4,0))=TRUE,0,OFFSET(CashFlow!$B$35,0,MATCH($A77,CashFlow!$C$4:$AO$4,0),1,1))</f>
        <v>0</v>
      </c>
      <c r="D77" s="138">
        <f t="shared" ca="1" si="8"/>
        <v>16024.680225213191</v>
      </c>
      <c r="E77" s="138">
        <f t="shared" ca="1" si="9"/>
        <v>5814.9192960022474</v>
      </c>
      <c r="F77" s="138">
        <f t="shared" ca="1" si="5"/>
        <v>10209.760929210945</v>
      </c>
      <c r="G77" s="139">
        <f ca="1">IF(ROUND(SUM(B77:C77,-F77),0)=0,0,IF($B$6="Yes",SUM($C$9:C77),SUM(B77:C77,-F77)))</f>
        <v>670561.27860275947</v>
      </c>
    </row>
    <row r="78" spans="1:7" ht="16.149999999999999" customHeight="1" x14ac:dyDescent="0.25">
      <c r="A78" s="136">
        <f t="shared" ca="1" si="6"/>
        <v>46356</v>
      </c>
      <c r="B78" s="137">
        <f t="shared" ca="1" si="7"/>
        <v>670561.27860275947</v>
      </c>
      <c r="C78" s="137">
        <f ca="1">IF(ISNA(MATCH($A78,CashFlow!$C$4:$AO$4,0))=TRUE,0,OFFSET(CashFlow!$B$35,0,MATCH($A78,CashFlow!$C$4:$AO$4,0),1,1))</f>
        <v>0</v>
      </c>
      <c r="D78" s="138">
        <f t="shared" ca="1" si="8"/>
        <v>16024.680225213191</v>
      </c>
      <c r="E78" s="138">
        <f t="shared" ca="1" si="9"/>
        <v>5727.7109213985705</v>
      </c>
      <c r="F78" s="138">
        <f t="shared" ca="1" si="5"/>
        <v>10296.969303814622</v>
      </c>
      <c r="G78" s="139">
        <f ca="1">IF(ROUND(SUM(B78:C78,-F78),0)=0,0,IF($B$6="Yes",SUM($C$9:C78),SUM(B78:C78,-F78)))</f>
        <v>660264.30929894489</v>
      </c>
    </row>
    <row r="79" spans="1:7" ht="16.149999999999999" customHeight="1" x14ac:dyDescent="0.25">
      <c r="A79" s="136">
        <f t="shared" ca="1" si="6"/>
        <v>46387</v>
      </c>
      <c r="B79" s="137">
        <f t="shared" ca="1" si="7"/>
        <v>660264.30929894489</v>
      </c>
      <c r="C79" s="137">
        <f ca="1">IF(ISNA(MATCH($A79,CashFlow!$C$4:$AO$4,0))=TRUE,0,OFFSET(CashFlow!$B$35,0,MATCH($A79,CashFlow!$C$4:$AO$4,0),1,1))</f>
        <v>0</v>
      </c>
      <c r="D79" s="138">
        <f t="shared" ca="1" si="8"/>
        <v>16024.680225213191</v>
      </c>
      <c r="E79" s="138">
        <f t="shared" ca="1" si="9"/>
        <v>5639.7576419284878</v>
      </c>
      <c r="F79" s="138">
        <f t="shared" ca="1" si="5"/>
        <v>10384.922583284704</v>
      </c>
      <c r="G79" s="139">
        <f ca="1">IF(ROUND(SUM(B79:C79,-F79),0)=0,0,IF($B$6="Yes",SUM($C$9:C79),SUM(B79:C79,-F79)))</f>
        <v>649879.38671566022</v>
      </c>
    </row>
    <row r="80" spans="1:7" ht="16.149999999999999" customHeight="1" x14ac:dyDescent="0.25">
      <c r="A80" s="136">
        <f t="shared" ca="1" si="6"/>
        <v>46418</v>
      </c>
      <c r="B80" s="137">
        <f t="shared" ca="1" si="7"/>
        <v>649879.38671566022</v>
      </c>
      <c r="C80" s="137">
        <f ca="1">IF(ISNA(MATCH($A80,CashFlow!$C$4:$AO$4,0))=TRUE,0,OFFSET(CashFlow!$B$35,0,MATCH($A80,CashFlow!$C$4:$AO$4,0),1,1))</f>
        <v>0</v>
      </c>
      <c r="D80" s="138">
        <f t="shared" ca="1" si="8"/>
        <v>16024.680225213191</v>
      </c>
      <c r="E80" s="138">
        <f t="shared" ca="1" si="9"/>
        <v>5551.0530948629312</v>
      </c>
      <c r="F80" s="138">
        <f t="shared" ca="1" si="5"/>
        <v>10473.62713035026</v>
      </c>
      <c r="G80" s="139">
        <f ca="1">IF(ROUND(SUM(B80:C80,-F80),0)=0,0,IF($B$6="Yes",SUM($C$9:C80),SUM(B80:C80,-F80)))</f>
        <v>639405.75958531001</v>
      </c>
    </row>
    <row r="81" spans="1:7" ht="16.149999999999999" customHeight="1" x14ac:dyDescent="0.25">
      <c r="A81" s="136">
        <f t="shared" ca="1" si="6"/>
        <v>46446</v>
      </c>
      <c r="B81" s="137">
        <f t="shared" ca="1" si="7"/>
        <v>639405.75958531001</v>
      </c>
      <c r="C81" s="137">
        <f ca="1">IF(ISNA(MATCH($A81,CashFlow!$C$4:$AO$4,0))=TRUE,0,OFFSET(CashFlow!$B$35,0,MATCH($A81,CashFlow!$C$4:$AO$4,0),1,1))</f>
        <v>0</v>
      </c>
      <c r="D81" s="138">
        <f t="shared" ca="1" si="8"/>
        <v>16024.680225213191</v>
      </c>
      <c r="E81" s="138">
        <f t="shared" ca="1" si="9"/>
        <v>5461.5908631245229</v>
      </c>
      <c r="F81" s="138">
        <f t="shared" ca="1" si="5"/>
        <v>10563.089362088667</v>
      </c>
      <c r="G81" s="139">
        <f ca="1">IF(ROUND(SUM(B81:C81,-F81),0)=0,0,IF($B$6="Yes",SUM($C$9:C81),SUM(B81:C81,-F81)))</f>
        <v>628842.6702232213</v>
      </c>
    </row>
    <row r="82" spans="1:7" ht="16.149999999999999" customHeight="1" x14ac:dyDescent="0.25">
      <c r="A82" s="136">
        <f t="shared" ca="1" si="6"/>
        <v>46477</v>
      </c>
      <c r="B82" s="137">
        <f t="shared" ca="1" si="7"/>
        <v>628842.6702232213</v>
      </c>
      <c r="C82" s="137">
        <f ca="1">IF(ISNA(MATCH($A82,CashFlow!$C$4:$AO$4,0))=TRUE,0,OFFSET(CashFlow!$B$35,0,MATCH($A82,CashFlow!$C$4:$AO$4,0),1,1))</f>
        <v>0</v>
      </c>
      <c r="D82" s="138">
        <f t="shared" ca="1" si="8"/>
        <v>16024.680225213191</v>
      </c>
      <c r="E82" s="138">
        <f t="shared" ca="1" si="9"/>
        <v>5371.3644748233482</v>
      </c>
      <c r="F82" s="138">
        <f t="shared" ca="1" si="5"/>
        <v>10653.315750389844</v>
      </c>
      <c r="G82" s="139">
        <f ca="1">IF(ROUND(SUM(B82:C82,-F82),0)=0,0,IF($B$6="Yes",SUM($C$9:C82),SUM(B82:C82,-F82)))</f>
        <v>618189.35447283147</v>
      </c>
    </row>
    <row r="83" spans="1:7" ht="16.149999999999999" customHeight="1" x14ac:dyDescent="0.25">
      <c r="A83" s="136">
        <f t="shared" ca="1" si="6"/>
        <v>46507</v>
      </c>
      <c r="B83" s="137">
        <f t="shared" ca="1" si="7"/>
        <v>618189.35447283147</v>
      </c>
      <c r="C83" s="137">
        <f ca="1">IF(ISNA(MATCH($A83,CashFlow!$C$4:$AO$4,0))=TRUE,0,OFFSET(CashFlow!$B$35,0,MATCH($A83,CashFlow!$C$4:$AO$4,0),1,1))</f>
        <v>0</v>
      </c>
      <c r="D83" s="138">
        <f t="shared" ca="1" si="8"/>
        <v>16024.680225213191</v>
      </c>
      <c r="E83" s="138">
        <f t="shared" ca="1" si="9"/>
        <v>5280.3674027887682</v>
      </c>
      <c r="F83" s="138">
        <f t="shared" ca="1" si="5"/>
        <v>10744.312822424423</v>
      </c>
      <c r="G83" s="139">
        <f ca="1">IF(ROUND(SUM(B83:C83,-F83),0)=0,0,IF($B$6="Yes",SUM($C$9:C83),SUM(B83:C83,-F83)))</f>
        <v>607445.04165040702</v>
      </c>
    </row>
    <row r="84" spans="1:7" ht="16.149999999999999" customHeight="1" x14ac:dyDescent="0.25">
      <c r="A84" s="136">
        <f t="shared" ca="1" si="6"/>
        <v>46538</v>
      </c>
      <c r="B84" s="137">
        <f t="shared" ca="1" si="7"/>
        <v>607445.04165040702</v>
      </c>
      <c r="C84" s="137">
        <f ca="1">IF(ISNA(MATCH($A84,CashFlow!$C$4:$AO$4,0))=TRUE,0,OFFSET(CashFlow!$B$35,0,MATCH($A84,CashFlow!$C$4:$AO$4,0),1,1))</f>
        <v>0</v>
      </c>
      <c r="D84" s="138">
        <f t="shared" ca="1" si="8"/>
        <v>16024.680225213191</v>
      </c>
      <c r="E84" s="138">
        <f t="shared" ca="1" si="9"/>
        <v>5188.5930640972265</v>
      </c>
      <c r="F84" s="138">
        <f t="shared" ca="1" si="5"/>
        <v>10836.087161115964</v>
      </c>
      <c r="G84" s="139">
        <f ca="1">IF(ROUND(SUM(B84:C84,-F84),0)=0,0,IF($B$6="Yes",SUM($C$9:C84),SUM(B84:C84,-F84)))</f>
        <v>596608.95448929106</v>
      </c>
    </row>
    <row r="85" spans="1:7" ht="16.149999999999999" customHeight="1" x14ac:dyDescent="0.25">
      <c r="A85" s="136">
        <f t="shared" ca="1" si="6"/>
        <v>46568</v>
      </c>
      <c r="B85" s="137">
        <f t="shared" ca="1" si="7"/>
        <v>596608.95448929106</v>
      </c>
      <c r="C85" s="137">
        <f ca="1">IF(ISNA(MATCH($A85,CashFlow!$C$4:$AO$4,0))=TRUE,0,OFFSET(CashFlow!$B$35,0,MATCH($A85,CashFlow!$C$4:$AO$4,0),1,1))</f>
        <v>0</v>
      </c>
      <c r="D85" s="138">
        <f t="shared" ca="1" si="8"/>
        <v>16024.680225213191</v>
      </c>
      <c r="E85" s="138">
        <f t="shared" ca="1" si="9"/>
        <v>5096.0348195960278</v>
      </c>
      <c r="F85" s="138">
        <f t="shared" ca="1" si="5"/>
        <v>10928.645405617164</v>
      </c>
      <c r="G85" s="139">
        <f ca="1">IF(ROUND(SUM(B85:C85,-F85),0)=0,0,IF($B$6="Yes",SUM($C$9:C85),SUM(B85:C85,-F85)))</f>
        <v>585680.30908367387</v>
      </c>
    </row>
    <row r="86" spans="1:7" ht="16.149999999999999" customHeight="1" x14ac:dyDescent="0.25">
      <c r="A86" s="136">
        <f t="shared" ca="1" si="6"/>
        <v>46599</v>
      </c>
      <c r="B86" s="137">
        <f t="shared" ca="1" si="7"/>
        <v>585680.30908367387</v>
      </c>
      <c r="C86" s="137">
        <f ca="1">IF(ISNA(MATCH($A86,CashFlow!$C$4:$AO$4,0))=TRUE,0,OFFSET(CashFlow!$B$35,0,MATCH($A86,CashFlow!$C$4:$AO$4,0),1,1))</f>
        <v>0</v>
      </c>
      <c r="D86" s="138">
        <f t="shared" ca="1" si="8"/>
        <v>16024.680225213191</v>
      </c>
      <c r="E86" s="138">
        <f t="shared" ca="1" si="9"/>
        <v>5002.6859734230475</v>
      </c>
      <c r="F86" s="138">
        <f t="shared" ca="1" si="5"/>
        <v>11021.994251790144</v>
      </c>
      <c r="G86" s="139">
        <f ca="1">IF(ROUND(SUM(B86:C86,-F86),0)=0,0,IF($B$6="Yes",SUM($C$9:C86),SUM(B86:C86,-F86)))</f>
        <v>574658.31483188376</v>
      </c>
    </row>
    <row r="87" spans="1:7" ht="16.149999999999999" customHeight="1" x14ac:dyDescent="0.25">
      <c r="A87" s="136">
        <f t="shared" ca="1" si="6"/>
        <v>46630</v>
      </c>
      <c r="B87" s="137">
        <f t="shared" ca="1" si="7"/>
        <v>574658.31483188376</v>
      </c>
      <c r="C87" s="137">
        <f ca="1">IF(ISNA(MATCH($A87,CashFlow!$C$4:$AO$4,0))=TRUE,0,OFFSET(CashFlow!$B$35,0,MATCH($A87,CashFlow!$C$4:$AO$4,0),1,1))</f>
        <v>0</v>
      </c>
      <c r="D87" s="138">
        <f t="shared" ca="1" si="8"/>
        <v>16024.680225213191</v>
      </c>
      <c r="E87" s="138">
        <f t="shared" ca="1" si="9"/>
        <v>4908.5397725223402</v>
      </c>
      <c r="F87" s="138">
        <f t="shared" ca="1" si="5"/>
        <v>11116.140452690852</v>
      </c>
      <c r="G87" s="139">
        <f ca="1">IF(ROUND(SUM(B87:C87,-F87),0)=0,0,IF($B$6="Yes",SUM($C$9:C87),SUM(B87:C87,-F87)))</f>
        <v>563542.17437919287</v>
      </c>
    </row>
    <row r="88" spans="1:7" ht="16.149999999999999" customHeight="1" x14ac:dyDescent="0.25">
      <c r="A88" s="136">
        <f t="shared" ca="1" si="6"/>
        <v>46660</v>
      </c>
      <c r="B88" s="137">
        <f t="shared" ca="1" si="7"/>
        <v>563542.17437919287</v>
      </c>
      <c r="C88" s="137">
        <f ca="1">IF(ISNA(MATCH($A88,CashFlow!$C$4:$AO$4,0))=TRUE,0,OFFSET(CashFlow!$B$35,0,MATCH($A88,CashFlow!$C$4:$AO$4,0),1,1))</f>
        <v>0</v>
      </c>
      <c r="D88" s="138">
        <f t="shared" ca="1" si="8"/>
        <v>16024.680225213191</v>
      </c>
      <c r="E88" s="138">
        <f t="shared" ca="1" si="9"/>
        <v>4813.5894061556055</v>
      </c>
      <c r="F88" s="138">
        <f t="shared" ca="1" si="5"/>
        <v>11211.090819057586</v>
      </c>
      <c r="G88" s="139">
        <f ca="1">IF(ROUND(SUM(B88:C88,-F88),0)=0,0,IF($B$6="Yes",SUM($C$9:C88),SUM(B88:C88,-F88)))</f>
        <v>552331.08356013533</v>
      </c>
    </row>
    <row r="89" spans="1:7" ht="16.149999999999999" customHeight="1" x14ac:dyDescent="0.25">
      <c r="A89" s="136">
        <f t="shared" ca="1" si="6"/>
        <v>46691</v>
      </c>
      <c r="B89" s="137">
        <f t="shared" ca="1" si="7"/>
        <v>552331.08356013533</v>
      </c>
      <c r="C89" s="137">
        <f ca="1">IF(ISNA(MATCH($A89,CashFlow!$C$4:$AO$4,0))=TRUE,0,OFFSET(CashFlow!$B$35,0,MATCH($A89,CashFlow!$C$4:$AO$4,0),1,1))</f>
        <v>0</v>
      </c>
      <c r="D89" s="138">
        <f t="shared" ca="1" si="8"/>
        <v>16024.680225213191</v>
      </c>
      <c r="E89" s="138">
        <f t="shared" ca="1" si="9"/>
        <v>4717.8280054094894</v>
      </c>
      <c r="F89" s="138">
        <f t="shared" ca="1" si="5"/>
        <v>11306.852219803703</v>
      </c>
      <c r="G89" s="139">
        <f ca="1">IF(ROUND(SUM(B89:C89,-F89),0)=0,0,IF($B$6="Yes",SUM($C$9:C89),SUM(B89:C89,-F89)))</f>
        <v>541024.23134033161</v>
      </c>
    </row>
    <row r="90" spans="1:7" ht="16.149999999999999" customHeight="1" x14ac:dyDescent="0.25">
      <c r="A90" s="136">
        <f t="shared" ca="1" si="6"/>
        <v>46721</v>
      </c>
      <c r="B90" s="137">
        <f t="shared" ca="1" si="7"/>
        <v>541024.23134033161</v>
      </c>
      <c r="C90" s="137">
        <f ca="1">IF(ISNA(MATCH($A90,CashFlow!$C$4:$AO$4,0))=TRUE,0,OFFSET(CashFlow!$B$35,0,MATCH($A90,CashFlow!$C$4:$AO$4,0),1,1))</f>
        <v>0</v>
      </c>
      <c r="D90" s="138">
        <f t="shared" ca="1" si="8"/>
        <v>16024.680225213191</v>
      </c>
      <c r="E90" s="138">
        <f t="shared" ca="1" si="9"/>
        <v>4621.2486426986661</v>
      </c>
      <c r="F90" s="138">
        <f t="shared" ca="1" si="5"/>
        <v>11403.431582514524</v>
      </c>
      <c r="G90" s="139">
        <f ca="1">IF(ROUND(SUM(B90:C90,-F90),0)=0,0,IF($B$6="Yes",SUM($C$9:C90),SUM(B90:C90,-F90)))</f>
        <v>529620.79975781706</v>
      </c>
    </row>
    <row r="91" spans="1:7" ht="16.149999999999999" customHeight="1" x14ac:dyDescent="0.25">
      <c r="A91" s="136">
        <f t="shared" ca="1" si="6"/>
        <v>46752</v>
      </c>
      <c r="B91" s="137">
        <f t="shared" ca="1" si="7"/>
        <v>529620.79975781706</v>
      </c>
      <c r="C91" s="137">
        <f ca="1">IF(ISNA(MATCH($A91,CashFlow!$C$4:$AO$4,0))=TRUE,0,OFFSET(CashFlow!$B$35,0,MATCH($A91,CashFlow!$C$4:$AO$4,0),1,1))</f>
        <v>0</v>
      </c>
      <c r="D91" s="138">
        <f t="shared" ca="1" si="8"/>
        <v>16024.680225213191</v>
      </c>
      <c r="E91" s="138">
        <f t="shared" ca="1" si="9"/>
        <v>4523.8443312646868</v>
      </c>
      <c r="F91" s="138">
        <f t="shared" ca="1" si="5"/>
        <v>11500.835893948504</v>
      </c>
      <c r="G91" s="139">
        <f ca="1">IF(ROUND(SUM(B91:C91,-F91),0)=0,0,IF($B$6="Yes",SUM($C$9:C91),SUM(B91:C91,-F91)))</f>
        <v>518119.96386386856</v>
      </c>
    </row>
    <row r="92" spans="1:7" ht="16.149999999999999" customHeight="1" x14ac:dyDescent="0.25">
      <c r="A92" s="136">
        <f t="shared" ca="1" si="6"/>
        <v>46783</v>
      </c>
      <c r="B92" s="137">
        <f t="shared" ca="1" si="7"/>
        <v>518119.96386386856</v>
      </c>
      <c r="C92" s="137">
        <f ca="1">IF(ISNA(MATCH($A92,CashFlow!$C$4:$AO$4,0))=TRUE,0,OFFSET(CashFlow!$B$35,0,MATCH($A92,CashFlow!$C$4:$AO$4,0),1,1))</f>
        <v>0</v>
      </c>
      <c r="D92" s="138">
        <f t="shared" ca="1" si="8"/>
        <v>16024.680225213191</v>
      </c>
      <c r="E92" s="138">
        <f t="shared" ca="1" si="9"/>
        <v>4425.6080246705433</v>
      </c>
      <c r="F92" s="138">
        <f t="shared" ca="1" si="5"/>
        <v>11599.072200542647</v>
      </c>
      <c r="G92" s="139">
        <f ca="1">IF(ROUND(SUM(B92:C92,-F92),0)=0,0,IF($B$6="Yes",SUM($C$9:C92),SUM(B92:C92,-F92)))</f>
        <v>506520.89166332589</v>
      </c>
    </row>
    <row r="93" spans="1:7" ht="16.149999999999999" customHeight="1" x14ac:dyDescent="0.25">
      <c r="A93" s="136">
        <f t="shared" ca="1" si="6"/>
        <v>46812</v>
      </c>
      <c r="B93" s="137">
        <f t="shared" ca="1" si="7"/>
        <v>506520.89166332589</v>
      </c>
      <c r="C93" s="137">
        <f ca="1">IF(ISNA(MATCH($A93,CashFlow!$C$4:$AO$4,0))=TRUE,0,OFFSET(CashFlow!$B$35,0,MATCH($A93,CashFlow!$C$4:$AO$4,0),1,1))</f>
        <v>0</v>
      </c>
      <c r="D93" s="138">
        <f t="shared" ca="1" si="8"/>
        <v>16024.680225213191</v>
      </c>
      <c r="E93" s="138">
        <f t="shared" ca="1" si="9"/>
        <v>4326.5326162909087</v>
      </c>
      <c r="F93" s="138">
        <f t="shared" ca="1" si="5"/>
        <v>11698.147608922282</v>
      </c>
      <c r="G93" s="139">
        <f ca="1">IF(ROUND(SUM(B93:C93,-F93),0)=0,0,IF($B$6="Yes",SUM($C$9:C93),SUM(B93:C93,-F93)))</f>
        <v>494822.74405440362</v>
      </c>
    </row>
    <row r="94" spans="1:7" ht="16.149999999999999" customHeight="1" x14ac:dyDescent="0.25">
      <c r="A94" s="136">
        <f t="shared" ca="1" si="6"/>
        <v>46843</v>
      </c>
      <c r="B94" s="137">
        <f t="shared" ca="1" si="7"/>
        <v>494822.74405440362</v>
      </c>
      <c r="C94" s="137">
        <f ca="1">IF(ISNA(MATCH($A94,CashFlow!$C$4:$AO$4,0))=TRUE,0,OFFSET(CashFlow!$B$35,0,MATCH($A94,CashFlow!$C$4:$AO$4,0),1,1))</f>
        <v>0</v>
      </c>
      <c r="D94" s="138">
        <f t="shared" ca="1" si="8"/>
        <v>16024.680225213191</v>
      </c>
      <c r="E94" s="138">
        <f t="shared" ca="1" si="9"/>
        <v>4226.6109387980305</v>
      </c>
      <c r="F94" s="138">
        <f t="shared" ca="1" si="5"/>
        <v>11798.069286415161</v>
      </c>
      <c r="G94" s="139">
        <f ca="1">IF(ROUND(SUM(B94:C94,-F94),0)=0,0,IF($B$6="Yes",SUM($C$9:C94),SUM(B94:C94,-F94)))</f>
        <v>483024.67476798844</v>
      </c>
    </row>
    <row r="95" spans="1:7" ht="16.149999999999999" customHeight="1" x14ac:dyDescent="0.25">
      <c r="A95" s="136">
        <f t="shared" ca="1" si="6"/>
        <v>46873</v>
      </c>
      <c r="B95" s="137">
        <f t="shared" ca="1" si="7"/>
        <v>483024.67476798844</v>
      </c>
      <c r="C95" s="137">
        <f ca="1">IF(ISNA(MATCH($A95,CashFlow!$C$4:$AO$4,0))=TRUE,0,OFFSET(CashFlow!$B$35,0,MATCH($A95,CashFlow!$C$4:$AO$4,0),1,1))</f>
        <v>0</v>
      </c>
      <c r="D95" s="138">
        <f t="shared" ca="1" si="8"/>
        <v>16024.680225213191</v>
      </c>
      <c r="E95" s="138">
        <f t="shared" ca="1" si="9"/>
        <v>4125.8357636432347</v>
      </c>
      <c r="F95" s="138">
        <f t="shared" ca="1" si="5"/>
        <v>11898.844461569955</v>
      </c>
      <c r="G95" s="139">
        <f ca="1">IF(ROUND(SUM(B95:C95,-F95),0)=0,0,IF($B$6="Yes",SUM($C$9:C95),SUM(B95:C95,-F95)))</f>
        <v>471125.83030641847</v>
      </c>
    </row>
    <row r="96" spans="1:7" ht="16.149999999999999" customHeight="1" x14ac:dyDescent="0.25">
      <c r="A96" s="136">
        <f t="shared" ca="1" si="6"/>
        <v>46904</v>
      </c>
      <c r="B96" s="137">
        <f t="shared" ca="1" si="7"/>
        <v>471125.83030641847</v>
      </c>
      <c r="C96" s="137">
        <f ca="1">IF(ISNA(MATCH($A96,CashFlow!$C$4:$AO$4,0))=TRUE,0,OFFSET(CashFlow!$B$35,0,MATCH($A96,CashFlow!$C$4:$AO$4,0),1,1))</f>
        <v>0</v>
      </c>
      <c r="D96" s="138">
        <f t="shared" ca="1" si="8"/>
        <v>16024.680225213191</v>
      </c>
      <c r="E96" s="138">
        <f t="shared" ca="1" si="9"/>
        <v>4024.1998005339906</v>
      </c>
      <c r="F96" s="138">
        <f t="shared" ca="1" si="5"/>
        <v>12000.480424679201</v>
      </c>
      <c r="G96" s="139">
        <f ca="1">IF(ROUND(SUM(B96:C96,-F96),0)=0,0,IF($B$6="Yes",SUM($C$9:C96),SUM(B96:C96,-F96)))</f>
        <v>459125.3498817393</v>
      </c>
    </row>
    <row r="97" spans="1:7" ht="16.149999999999999" customHeight="1" x14ac:dyDescent="0.25">
      <c r="A97" s="136">
        <f t="shared" ca="1" si="6"/>
        <v>46934</v>
      </c>
      <c r="B97" s="137">
        <f t="shared" ca="1" si="7"/>
        <v>459125.3498817393</v>
      </c>
      <c r="C97" s="137">
        <f ca="1">IF(ISNA(MATCH($A97,CashFlow!$C$4:$AO$4,0))=TRUE,0,OFFSET(CashFlow!$B$35,0,MATCH($A97,CashFlow!$C$4:$AO$4,0),1,1))</f>
        <v>0</v>
      </c>
      <c r="D97" s="138">
        <f t="shared" ca="1" si="8"/>
        <v>16024.680225213191</v>
      </c>
      <c r="E97" s="138">
        <f t="shared" ca="1" si="9"/>
        <v>3921.6956969065232</v>
      </c>
      <c r="F97" s="138">
        <f t="shared" ca="1" si="5"/>
        <v>12102.984528306668</v>
      </c>
      <c r="G97" s="139">
        <f ca="1">IF(ROUND(SUM(B97:C97,-F97),0)=0,0,IF($B$6="Yes",SUM($C$9:C97),SUM(B97:C97,-F97)))</f>
        <v>447022.3653534326</v>
      </c>
    </row>
    <row r="98" spans="1:7" ht="16.149999999999999" customHeight="1" x14ac:dyDescent="0.25">
      <c r="A98" s="136">
        <f t="shared" ca="1" si="6"/>
        <v>46965</v>
      </c>
      <c r="B98" s="137">
        <f t="shared" ca="1" si="7"/>
        <v>447022.3653534326</v>
      </c>
      <c r="C98" s="137">
        <f ca="1">IF(ISNA(MATCH($A98,CashFlow!$C$4:$AO$4,0))=TRUE,0,OFFSET(CashFlow!$B$35,0,MATCH($A98,CashFlow!$C$4:$AO$4,0),1,1))</f>
        <v>0</v>
      </c>
      <c r="D98" s="138">
        <f t="shared" ca="1" si="8"/>
        <v>16024.680225213191</v>
      </c>
      <c r="E98" s="138">
        <f t="shared" ca="1" si="9"/>
        <v>3818.3160373939031</v>
      </c>
      <c r="F98" s="138">
        <f t="shared" ca="1" si="5"/>
        <v>12206.364187819288</v>
      </c>
      <c r="G98" s="139">
        <f ca="1">IF(ROUND(SUM(B98:C98,-F98),0)=0,0,IF($B$6="Yes",SUM($C$9:C98),SUM(B98:C98,-F98)))</f>
        <v>434816.0011656133</v>
      </c>
    </row>
    <row r="99" spans="1:7" ht="16.149999999999999" customHeight="1" x14ac:dyDescent="0.25">
      <c r="A99" s="136">
        <f t="shared" ca="1" si="6"/>
        <v>46996</v>
      </c>
      <c r="B99" s="137">
        <f t="shared" ca="1" si="7"/>
        <v>434816.0011656133</v>
      </c>
      <c r="C99" s="137">
        <f ca="1">IF(ISNA(MATCH($A99,CashFlow!$C$4:$AO$4,0))=TRUE,0,OFFSET(CashFlow!$B$35,0,MATCH($A99,CashFlow!$C$4:$AO$4,0),1,1))</f>
        <v>0</v>
      </c>
      <c r="D99" s="138">
        <f t="shared" ca="1" si="8"/>
        <v>16024.680225213191</v>
      </c>
      <c r="E99" s="138">
        <f t="shared" ca="1" si="9"/>
        <v>3714.0533432896136</v>
      </c>
      <c r="F99" s="138">
        <f t="shared" ca="1" si="5"/>
        <v>12310.626881923577</v>
      </c>
      <c r="G99" s="139">
        <f ca="1">IF(ROUND(SUM(B99:C99,-F99),0)=0,0,IF($B$6="Yes",SUM($C$9:C99),SUM(B99:C99,-F99)))</f>
        <v>422505.37428368971</v>
      </c>
    </row>
    <row r="100" spans="1:7" ht="16.149999999999999" customHeight="1" x14ac:dyDescent="0.25">
      <c r="A100" s="136">
        <f t="shared" ca="1" si="6"/>
        <v>47026</v>
      </c>
      <c r="B100" s="137">
        <f t="shared" ca="1" si="7"/>
        <v>422505.37428368971</v>
      </c>
      <c r="C100" s="137">
        <f ca="1">IF(ISNA(MATCH($A100,CashFlow!$C$4:$AO$4,0))=TRUE,0,OFFSET(CashFlow!$B$35,0,MATCH($A100,CashFlow!$C$4:$AO$4,0),1,1))</f>
        <v>0</v>
      </c>
      <c r="D100" s="138">
        <f t="shared" ca="1" si="8"/>
        <v>16024.680225213191</v>
      </c>
      <c r="E100" s="138">
        <f t="shared" ca="1" si="9"/>
        <v>3608.900072006516</v>
      </c>
      <c r="F100" s="138">
        <f t="shared" ca="1" si="5"/>
        <v>12415.780153206675</v>
      </c>
      <c r="G100" s="139">
        <f ca="1">IF(ROUND(SUM(B100:C100,-F100),0)=0,0,IF($B$6="Yes",SUM($C$9:C100),SUM(B100:C100,-F100)))</f>
        <v>410089.59413048305</v>
      </c>
    </row>
    <row r="101" spans="1:7" ht="16.149999999999999" customHeight="1" x14ac:dyDescent="0.25">
      <c r="A101" s="136">
        <f t="shared" ca="1" si="6"/>
        <v>47057</v>
      </c>
      <c r="B101" s="137">
        <f t="shared" ca="1" si="7"/>
        <v>410089.59413048305</v>
      </c>
      <c r="C101" s="137">
        <f ca="1">IF(ISNA(MATCH($A101,CashFlow!$C$4:$AO$4,0))=TRUE,0,OFFSET(CashFlow!$B$35,0,MATCH($A101,CashFlow!$C$4:$AO$4,0),1,1))</f>
        <v>0</v>
      </c>
      <c r="D101" s="138">
        <f t="shared" ca="1" si="8"/>
        <v>16024.680225213191</v>
      </c>
      <c r="E101" s="138">
        <f t="shared" ca="1" si="9"/>
        <v>3502.8486165312092</v>
      </c>
      <c r="F101" s="138">
        <f t="shared" ca="1" si="5"/>
        <v>12521.831608681981</v>
      </c>
      <c r="G101" s="139">
        <f ca="1">IF(ROUND(SUM(B101:C101,-F101),0)=0,0,IF($B$6="Yes",SUM($C$9:C101),SUM(B101:C101,-F101)))</f>
        <v>397567.76252180105</v>
      </c>
    </row>
    <row r="102" spans="1:7" ht="16.149999999999999" customHeight="1" x14ac:dyDescent="0.25">
      <c r="A102" s="136">
        <f t="shared" ca="1" si="6"/>
        <v>47087</v>
      </c>
      <c r="B102" s="137">
        <f t="shared" ca="1" si="7"/>
        <v>397567.76252180105</v>
      </c>
      <c r="C102" s="137">
        <f ca="1">IF(ISNA(MATCH($A102,CashFlow!$C$4:$AO$4,0))=TRUE,0,OFFSET(CashFlow!$B$35,0,MATCH($A102,CashFlow!$C$4:$AO$4,0),1,1))</f>
        <v>0</v>
      </c>
      <c r="D102" s="138">
        <f t="shared" ca="1" si="8"/>
        <v>16024.680225213191</v>
      </c>
      <c r="E102" s="138">
        <f t="shared" ca="1" si="9"/>
        <v>3395.8913048737172</v>
      </c>
      <c r="F102" s="138">
        <f t="shared" ca="1" si="5"/>
        <v>12628.788920339473</v>
      </c>
      <c r="G102" s="139">
        <f ca="1">IF(ROUND(SUM(B102:C102,-F102),0)=0,0,IF($B$6="Yes",SUM($C$9:C102),SUM(B102:C102,-F102)))</f>
        <v>384938.97360146156</v>
      </c>
    </row>
    <row r="103" spans="1:7" ht="16.149999999999999" customHeight="1" x14ac:dyDescent="0.25">
      <c r="A103" s="136">
        <f t="shared" ca="1" si="6"/>
        <v>47118</v>
      </c>
      <c r="B103" s="137">
        <f t="shared" ca="1" si="7"/>
        <v>384938.97360146156</v>
      </c>
      <c r="C103" s="137">
        <f ca="1">IF(ISNA(MATCH($A103,CashFlow!$C$4:$AO$4,0))=TRUE,0,OFFSET(CashFlow!$B$35,0,MATCH($A103,CashFlow!$C$4:$AO$4,0),1,1))</f>
        <v>0</v>
      </c>
      <c r="D103" s="138">
        <f t="shared" ca="1" si="8"/>
        <v>16024.680225213191</v>
      </c>
      <c r="E103" s="138">
        <f t="shared" ca="1" si="9"/>
        <v>3288.0203995124843</v>
      </c>
      <c r="F103" s="138">
        <f t="shared" ca="1" si="5"/>
        <v>12736.659825700706</v>
      </c>
      <c r="G103" s="139">
        <f ca="1">IF(ROUND(SUM(B103:C103,-F103),0)=0,0,IF($B$6="Yes",SUM($C$9:C103),SUM(B103:C103,-F103)))</f>
        <v>372202.31377576088</v>
      </c>
    </row>
    <row r="104" spans="1:7" ht="16.149999999999999" customHeight="1" x14ac:dyDescent="0.25">
      <c r="A104" s="136">
        <f t="shared" ca="1" si="6"/>
        <v>47149</v>
      </c>
      <c r="B104" s="137">
        <f t="shared" ca="1" si="7"/>
        <v>372202.31377576088</v>
      </c>
      <c r="C104" s="137">
        <f ca="1">IF(ISNA(MATCH($A104,CashFlow!$C$4:$AO$4,0))=TRUE,0,OFFSET(CashFlow!$B$35,0,MATCH($A104,CashFlow!$C$4:$AO$4,0),1,1))</f>
        <v>0</v>
      </c>
      <c r="D104" s="138">
        <f t="shared" ca="1" si="8"/>
        <v>16024.680225213191</v>
      </c>
      <c r="E104" s="138">
        <f t="shared" ca="1" si="9"/>
        <v>3179.228096834624</v>
      </c>
      <c r="F104" s="138">
        <f t="shared" ca="1" si="5"/>
        <v>12845.452128378567</v>
      </c>
      <c r="G104" s="139">
        <f ca="1">IF(ROUND(SUM(B104:C104,-F104),0)=0,0,IF($B$6="Yes",SUM($C$9:C104),SUM(B104:C104,-F104)))</f>
        <v>359356.86164738232</v>
      </c>
    </row>
    <row r="105" spans="1:7" ht="16.149999999999999" customHeight="1" x14ac:dyDescent="0.25">
      <c r="A105" s="136">
        <f t="shared" ca="1" si="6"/>
        <v>47177</v>
      </c>
      <c r="B105" s="137">
        <f t="shared" ca="1" si="7"/>
        <v>359356.86164738232</v>
      </c>
      <c r="C105" s="137">
        <f ca="1">IF(ISNA(MATCH($A105,CashFlow!$C$4:$AO$4,0))=TRUE,0,OFFSET(CashFlow!$B$35,0,MATCH($A105,CashFlow!$C$4:$AO$4,0),1,1))</f>
        <v>0</v>
      </c>
      <c r="D105" s="138">
        <f t="shared" ca="1" si="8"/>
        <v>16024.680225213191</v>
      </c>
      <c r="E105" s="138">
        <f t="shared" ca="1" si="9"/>
        <v>3069.5065265713906</v>
      </c>
      <c r="F105" s="138">
        <f t="shared" ca="1" si="5"/>
        <v>12955.1736986418</v>
      </c>
      <c r="G105" s="139">
        <f ca="1">IF(ROUND(SUM(B105:C105,-F105),0)=0,0,IF($B$6="Yes",SUM($C$9:C105),SUM(B105:C105,-F105)))</f>
        <v>346401.68794874049</v>
      </c>
    </row>
    <row r="106" spans="1:7" ht="16.149999999999999" customHeight="1" x14ac:dyDescent="0.25">
      <c r="A106" s="136">
        <f t="shared" ca="1" si="6"/>
        <v>47208</v>
      </c>
      <c r="B106" s="137">
        <f t="shared" ca="1" si="7"/>
        <v>346401.68794874049</v>
      </c>
      <c r="C106" s="137">
        <f ca="1">IF(ISNA(MATCH($A106,CashFlow!$C$4:$AO$4,0))=TRUE,0,OFFSET(CashFlow!$B$35,0,MATCH($A106,CashFlow!$C$4:$AO$4,0),1,1))</f>
        <v>0</v>
      </c>
      <c r="D106" s="138">
        <f t="shared" ca="1" si="8"/>
        <v>16024.680225213191</v>
      </c>
      <c r="E106" s="138">
        <f t="shared" ca="1" si="9"/>
        <v>2958.847751228825</v>
      </c>
      <c r="F106" s="138">
        <f t="shared" ca="1" si="5"/>
        <v>13065.832473984367</v>
      </c>
      <c r="G106" s="139">
        <f ca="1">IF(ROUND(SUM(B106:C106,-F106),0)=0,0,IF($B$6="Yes",SUM($C$9:C106),SUM(B106:C106,-F106)))</f>
        <v>333335.8554747561</v>
      </c>
    </row>
    <row r="107" spans="1:7" ht="16.149999999999999" customHeight="1" x14ac:dyDescent="0.25">
      <c r="A107" s="136">
        <f t="shared" ca="1" si="6"/>
        <v>47238</v>
      </c>
      <c r="B107" s="137">
        <f t="shared" ca="1" si="7"/>
        <v>333335.8554747561</v>
      </c>
      <c r="C107" s="137">
        <f ca="1">IF(ISNA(MATCH($A107,CashFlow!$C$4:$AO$4,0))=TRUE,0,OFFSET(CashFlow!$B$35,0,MATCH($A107,CashFlow!$C$4:$AO$4,0),1,1))</f>
        <v>0</v>
      </c>
      <c r="D107" s="138">
        <f t="shared" ca="1" si="8"/>
        <v>16024.680225213191</v>
      </c>
      <c r="E107" s="138">
        <f t="shared" ca="1" si="9"/>
        <v>2847.2437655135418</v>
      </c>
      <c r="F107" s="138">
        <f t="shared" ca="1" si="5"/>
        <v>13177.436459699649</v>
      </c>
      <c r="G107" s="139">
        <f ca="1">IF(ROUND(SUM(B107:C107,-F107),0)=0,0,IF($B$6="Yes",SUM($C$9:C107),SUM(B107:C107,-F107)))</f>
        <v>320158.41901505645</v>
      </c>
    </row>
    <row r="108" spans="1:7" ht="16.149999999999999" customHeight="1" x14ac:dyDescent="0.25">
      <c r="A108" s="136">
        <f t="shared" ca="1" si="6"/>
        <v>47269</v>
      </c>
      <c r="B108" s="137">
        <f t="shared" ca="1" si="7"/>
        <v>320158.41901505645</v>
      </c>
      <c r="C108" s="137">
        <f ca="1">IF(ISNA(MATCH($A108,CashFlow!$C$4:$AO$4,0))=TRUE,0,OFFSET(CashFlow!$B$35,0,MATCH($A108,CashFlow!$C$4:$AO$4,0),1,1))</f>
        <v>0</v>
      </c>
      <c r="D108" s="138">
        <f t="shared" ca="1" si="8"/>
        <v>16024.680225213191</v>
      </c>
      <c r="E108" s="138">
        <f t="shared" ca="1" si="9"/>
        <v>2734.6864957536072</v>
      </c>
      <c r="F108" s="138">
        <f t="shared" ca="1" si="5"/>
        <v>13289.993729459584</v>
      </c>
      <c r="G108" s="139">
        <f ca="1">IF(ROUND(SUM(B108:C108,-F108),0)=0,0,IF($B$6="Yes",SUM($C$9:C108),SUM(B108:C108,-F108)))</f>
        <v>306868.42528559687</v>
      </c>
    </row>
    <row r="109" spans="1:7" ht="16.149999999999999" customHeight="1" x14ac:dyDescent="0.25">
      <c r="A109" s="136">
        <f t="shared" ca="1" si="6"/>
        <v>47299</v>
      </c>
      <c r="B109" s="137">
        <f t="shared" ca="1" si="7"/>
        <v>306868.42528559687</v>
      </c>
      <c r="C109" s="137">
        <f ca="1">IF(ISNA(MATCH($A109,CashFlow!$C$4:$AO$4,0))=TRUE,0,OFFSET(CashFlow!$B$35,0,MATCH($A109,CashFlow!$C$4:$AO$4,0),1,1))</f>
        <v>0</v>
      </c>
      <c r="D109" s="138">
        <f t="shared" ca="1" si="8"/>
        <v>16024.680225213191</v>
      </c>
      <c r="E109" s="138">
        <f t="shared" ca="1" si="9"/>
        <v>2621.1677993144731</v>
      </c>
      <c r="F109" s="138">
        <f t="shared" ca="1" si="5"/>
        <v>13403.512425898718</v>
      </c>
      <c r="G109" s="139">
        <f ca="1">IF(ROUND(SUM(B109:C109,-F109),0)=0,0,IF($B$6="Yes",SUM($C$9:C109),SUM(B109:C109,-F109)))</f>
        <v>293464.91285969818</v>
      </c>
    </row>
    <row r="110" spans="1:7" ht="16.149999999999999" customHeight="1" x14ac:dyDescent="0.25">
      <c r="A110" s="136">
        <f t="shared" ca="1" si="6"/>
        <v>47330</v>
      </c>
      <c r="B110" s="137">
        <f t="shared" ca="1" si="7"/>
        <v>293464.91285969818</v>
      </c>
      <c r="C110" s="137">
        <f ca="1">IF(ISNA(MATCH($A110,CashFlow!$C$4:$AO$4,0))=TRUE,0,OFFSET(CashFlow!$B$35,0,MATCH($A110,CashFlow!$C$4:$AO$4,0),1,1))</f>
        <v>0</v>
      </c>
      <c r="D110" s="138">
        <f t="shared" ca="1" si="8"/>
        <v>16024.680225213191</v>
      </c>
      <c r="E110" s="138">
        <f t="shared" ca="1" si="9"/>
        <v>2506.679464009922</v>
      </c>
      <c r="F110" s="138">
        <f t="shared" ca="1" si="5"/>
        <v>13518.00076120327</v>
      </c>
      <c r="G110" s="139">
        <f ca="1">IF(ROUND(SUM(B110:C110,-F110),0)=0,0,IF($B$6="Yes",SUM($C$9:C110),SUM(B110:C110,-F110)))</f>
        <v>279946.91209849488</v>
      </c>
    </row>
    <row r="111" spans="1:7" ht="16.149999999999999" customHeight="1" x14ac:dyDescent="0.25">
      <c r="A111" s="136">
        <f t="shared" ca="1" si="6"/>
        <v>47361</v>
      </c>
      <c r="B111" s="137">
        <f t="shared" ca="1" si="7"/>
        <v>279946.91209849488</v>
      </c>
      <c r="C111" s="137">
        <f ca="1">IF(ISNA(MATCH($A111,CashFlow!$C$4:$AO$4,0))=TRUE,0,OFFSET(CashFlow!$B$35,0,MATCH($A111,CashFlow!$C$4:$AO$4,0),1,1))</f>
        <v>0</v>
      </c>
      <c r="D111" s="138">
        <f t="shared" ca="1" si="8"/>
        <v>16024.680225213191</v>
      </c>
      <c r="E111" s="138">
        <f t="shared" ca="1" si="9"/>
        <v>2391.2132075079767</v>
      </c>
      <c r="F111" s="138">
        <f t="shared" ca="1" si="5"/>
        <v>13633.467017705214</v>
      </c>
      <c r="G111" s="139">
        <f ca="1">IF(ROUND(SUM(B111:C111,-F111),0)=0,0,IF($B$6="Yes",SUM($C$9:C111),SUM(B111:C111,-F111)))</f>
        <v>266313.44508078968</v>
      </c>
    </row>
    <row r="112" spans="1:7" ht="16.149999999999999" customHeight="1" x14ac:dyDescent="0.25">
      <c r="A112" s="136">
        <f t="shared" ca="1" si="6"/>
        <v>47391</v>
      </c>
      <c r="B112" s="137">
        <f t="shared" ca="1" si="7"/>
        <v>266313.44508078968</v>
      </c>
      <c r="C112" s="137">
        <f ca="1">IF(ISNA(MATCH($A112,CashFlow!$C$4:$AO$4,0))=TRUE,0,OFFSET(CashFlow!$B$35,0,MATCH($A112,CashFlow!$C$4:$AO$4,0),1,1))</f>
        <v>0</v>
      </c>
      <c r="D112" s="138">
        <f t="shared" ca="1" si="8"/>
        <v>16024.680225213191</v>
      </c>
      <c r="E112" s="138">
        <f t="shared" ca="1" si="9"/>
        <v>2274.7606767317452</v>
      </c>
      <c r="F112" s="138">
        <f t="shared" ca="1" si="5"/>
        <v>13749.919548481446</v>
      </c>
      <c r="G112" s="139">
        <f ca="1">IF(ROUND(SUM(B112:C112,-F112),0)=0,0,IF($B$6="Yes",SUM($C$9:C112),SUM(B112:C112,-F112)))</f>
        <v>252563.52553230824</v>
      </c>
    </row>
    <row r="113" spans="1:7" ht="16.149999999999999" customHeight="1" x14ac:dyDescent="0.25">
      <c r="A113" s="136">
        <f t="shared" ca="1" si="6"/>
        <v>47422</v>
      </c>
      <c r="B113" s="137">
        <f t="shared" ca="1" si="7"/>
        <v>252563.52553230824</v>
      </c>
      <c r="C113" s="137">
        <f ca="1">IF(ISNA(MATCH($A113,CashFlow!$C$4:$AO$4,0))=TRUE,0,OFFSET(CashFlow!$B$35,0,MATCH($A113,CashFlow!$C$4:$AO$4,0),1,1))</f>
        <v>0</v>
      </c>
      <c r="D113" s="138">
        <f t="shared" ca="1" si="8"/>
        <v>16024.680225213191</v>
      </c>
      <c r="E113" s="138">
        <f t="shared" ca="1" si="9"/>
        <v>2157.3134472551328</v>
      </c>
      <c r="F113" s="138">
        <f t="shared" ca="1" si="5"/>
        <v>13867.366777958057</v>
      </c>
      <c r="G113" s="139">
        <f ca="1">IF(ROUND(SUM(B113:C113,-F113),0)=0,0,IF($B$6="Yes",SUM($C$9:C113),SUM(B113:C113,-F113)))</f>
        <v>238696.15875435018</v>
      </c>
    </row>
    <row r="114" spans="1:7" ht="16.149999999999999" customHeight="1" x14ac:dyDescent="0.25">
      <c r="A114" s="136">
        <f t="shared" ca="1" si="6"/>
        <v>47452</v>
      </c>
      <c r="B114" s="137">
        <f t="shared" ca="1" si="7"/>
        <v>238696.15875435018</v>
      </c>
      <c r="C114" s="137">
        <f ca="1">IF(ISNA(MATCH($A114,CashFlow!$C$4:$AO$4,0))=TRUE,0,OFFSET(CashFlow!$B$35,0,MATCH($A114,CashFlow!$C$4:$AO$4,0),1,1))</f>
        <v>0</v>
      </c>
      <c r="D114" s="138">
        <f t="shared" ca="1" si="8"/>
        <v>16024.680225213191</v>
      </c>
      <c r="E114" s="138">
        <f t="shared" ca="1" si="9"/>
        <v>2038.8630226934076</v>
      </c>
      <c r="F114" s="138">
        <f t="shared" ca="1" si="5"/>
        <v>13985.817202519784</v>
      </c>
      <c r="G114" s="139">
        <f ca="1">IF(ROUND(SUM(B114:C114,-F114),0)=0,0,IF($B$6="Yes",SUM($C$9:C114),SUM(B114:C114,-F114)))</f>
        <v>224710.34155183041</v>
      </c>
    </row>
    <row r="115" spans="1:7" ht="16.149999999999999" customHeight="1" x14ac:dyDescent="0.25">
      <c r="A115" s="136">
        <f t="shared" ca="1" si="6"/>
        <v>47483</v>
      </c>
      <c r="B115" s="137">
        <f t="shared" ca="1" si="7"/>
        <v>224710.34155183041</v>
      </c>
      <c r="C115" s="137">
        <f ca="1">IF(ISNA(MATCH($A115,CashFlow!$C$4:$AO$4,0))=TRUE,0,OFFSET(CashFlow!$B$35,0,MATCH($A115,CashFlow!$C$4:$AO$4,0),1,1))</f>
        <v>0</v>
      </c>
      <c r="D115" s="138">
        <f t="shared" ca="1" si="8"/>
        <v>16024.680225213191</v>
      </c>
      <c r="E115" s="138">
        <f t="shared" ca="1" si="9"/>
        <v>1919.4008340885512</v>
      </c>
      <c r="F115" s="138">
        <f t="shared" ca="1" si="5"/>
        <v>14105.279391124641</v>
      </c>
      <c r="G115" s="139">
        <f ca="1">IF(ROUND(SUM(B115:C115,-F115),0)=0,0,IF($B$6="Yes",SUM($C$9:C115),SUM(B115:C115,-F115)))</f>
        <v>210605.06216070577</v>
      </c>
    </row>
    <row r="116" spans="1:7" ht="16.149999999999999" customHeight="1" x14ac:dyDescent="0.25">
      <c r="A116" s="136">
        <f t="shared" ca="1" si="6"/>
        <v>47514</v>
      </c>
      <c r="B116" s="137">
        <f t="shared" ca="1" si="7"/>
        <v>210605.06216070577</v>
      </c>
      <c r="C116" s="137">
        <f ca="1">IF(ISNA(MATCH($A116,CashFlow!$C$4:$AO$4,0))=TRUE,0,OFFSET(CashFlow!$B$35,0,MATCH($A116,CashFlow!$C$4:$AO$4,0),1,1))</f>
        <v>0</v>
      </c>
      <c r="D116" s="138">
        <f t="shared" ca="1" si="8"/>
        <v>16024.680225213191</v>
      </c>
      <c r="E116" s="138">
        <f t="shared" ca="1" si="9"/>
        <v>1798.9182392893617</v>
      </c>
      <c r="F116" s="138">
        <f t="shared" ca="1" si="5"/>
        <v>14225.761985923829</v>
      </c>
      <c r="G116" s="139">
        <f ca="1">IF(ROUND(SUM(B116:C116,-F116),0)=0,0,IF($B$6="Yes",SUM($C$9:C116),SUM(B116:C116,-F116)))</f>
        <v>196379.30017478194</v>
      </c>
    </row>
    <row r="117" spans="1:7" ht="16.149999999999999" customHeight="1" x14ac:dyDescent="0.25">
      <c r="A117" s="136">
        <f t="shared" ca="1" si="6"/>
        <v>47542</v>
      </c>
      <c r="B117" s="137">
        <f t="shared" ca="1" si="7"/>
        <v>196379.30017478194</v>
      </c>
      <c r="C117" s="137">
        <f ca="1">IF(ISNA(MATCH($A117,CashFlow!$C$4:$AO$4,0))=TRUE,0,OFFSET(CashFlow!$B$35,0,MATCH($A117,CashFlow!$C$4:$AO$4,0),1,1))</f>
        <v>0</v>
      </c>
      <c r="D117" s="138">
        <f t="shared" ca="1" si="8"/>
        <v>16024.680225213191</v>
      </c>
      <c r="E117" s="138">
        <f t="shared" ca="1" si="9"/>
        <v>1677.4065223262623</v>
      </c>
      <c r="F117" s="138">
        <f t="shared" ca="1" si="5"/>
        <v>14347.273702886929</v>
      </c>
      <c r="G117" s="139">
        <f ca="1">IF(ROUND(SUM(B117:C117,-F117),0)=0,0,IF($B$6="Yes",SUM($C$9:C117),SUM(B117:C117,-F117)))</f>
        <v>182032.02647189502</v>
      </c>
    </row>
    <row r="118" spans="1:7" ht="16.149999999999999" customHeight="1" x14ac:dyDescent="0.25">
      <c r="A118" s="136">
        <f t="shared" ca="1" si="6"/>
        <v>47573</v>
      </c>
      <c r="B118" s="137">
        <f t="shared" ca="1" si="7"/>
        <v>182032.02647189502</v>
      </c>
      <c r="C118" s="137">
        <f ca="1">IF(ISNA(MATCH($A118,CashFlow!$C$4:$AO$4,0))=TRUE,0,OFFSET(CashFlow!$B$35,0,MATCH($A118,CashFlow!$C$4:$AO$4,0),1,1))</f>
        <v>0</v>
      </c>
      <c r="D118" s="138">
        <f t="shared" ca="1" si="8"/>
        <v>16024.680225213191</v>
      </c>
      <c r="E118" s="138">
        <f t="shared" ca="1" si="9"/>
        <v>1554.8568927807698</v>
      </c>
      <c r="F118" s="138">
        <f t="shared" ca="1" si="5"/>
        <v>14469.823332432421</v>
      </c>
      <c r="G118" s="139">
        <f ca="1">IF(ROUND(SUM(B118:C118,-F118),0)=0,0,IF($B$6="Yes",SUM($C$9:C118),SUM(B118:C118,-F118)))</f>
        <v>167562.2031394626</v>
      </c>
    </row>
    <row r="119" spans="1:7" ht="16.149999999999999" customHeight="1" x14ac:dyDescent="0.25">
      <c r="A119" s="136">
        <f t="shared" ca="1" si="6"/>
        <v>47603</v>
      </c>
      <c r="B119" s="137">
        <f t="shared" ca="1" si="7"/>
        <v>167562.2031394626</v>
      </c>
      <c r="C119" s="137">
        <f ca="1">IF(ISNA(MATCH($A119,CashFlow!$C$4:$AO$4,0))=TRUE,0,OFFSET(CashFlow!$B$35,0,MATCH($A119,CashFlow!$C$4:$AO$4,0),1,1))</f>
        <v>0</v>
      </c>
      <c r="D119" s="138">
        <f t="shared" ca="1" si="8"/>
        <v>16024.680225213191</v>
      </c>
      <c r="E119" s="138">
        <f t="shared" ca="1" si="9"/>
        <v>1431.2604851495762</v>
      </c>
      <c r="F119" s="138">
        <f t="shared" ca="1" si="5"/>
        <v>14593.419740063615</v>
      </c>
      <c r="G119" s="139">
        <f ca="1">IF(ROUND(SUM(B119:C119,-F119),0)=0,0,IF($B$6="Yes",SUM($C$9:C119),SUM(B119:C119,-F119)))</f>
        <v>152968.78339939899</v>
      </c>
    </row>
    <row r="120" spans="1:7" ht="16.149999999999999" customHeight="1" x14ac:dyDescent="0.25">
      <c r="A120" s="136">
        <f t="shared" ca="1" si="6"/>
        <v>47634</v>
      </c>
      <c r="B120" s="137">
        <f t="shared" ca="1" si="7"/>
        <v>152968.78339939899</v>
      </c>
      <c r="C120" s="137">
        <f ca="1">IF(ISNA(MATCH($A120,CashFlow!$C$4:$AO$4,0))=TRUE,0,OFFSET(CashFlow!$B$35,0,MATCH($A120,CashFlow!$C$4:$AO$4,0),1,1))</f>
        <v>0</v>
      </c>
      <c r="D120" s="138">
        <f t="shared" ca="1" si="8"/>
        <v>16024.680225213191</v>
      </c>
      <c r="E120" s="138">
        <f t="shared" ca="1" si="9"/>
        <v>1306.6083582031997</v>
      </c>
      <c r="F120" s="138">
        <f t="shared" ca="1" si="5"/>
        <v>14718.071867009992</v>
      </c>
      <c r="G120" s="139">
        <f ca="1">IF(ROUND(SUM(B120:C120,-F120),0)=0,0,IF($B$6="Yes",SUM($C$9:C120),SUM(B120:C120,-F120)))</f>
        <v>138250.71153238899</v>
      </c>
    </row>
    <row r="121" spans="1:7" ht="16.149999999999999" customHeight="1" x14ac:dyDescent="0.25">
      <c r="A121" s="136">
        <f t="shared" ca="1" si="6"/>
        <v>47664</v>
      </c>
      <c r="B121" s="137">
        <f t="shared" ca="1" si="7"/>
        <v>138250.71153238899</v>
      </c>
      <c r="C121" s="137">
        <f ca="1">IF(ISNA(MATCH($A121,CashFlow!$C$4:$AO$4,0))=TRUE,0,OFFSET(CashFlow!$B$35,0,MATCH($A121,CashFlow!$C$4:$AO$4,0),1,1))</f>
        <v>0</v>
      </c>
      <c r="D121" s="138">
        <f t="shared" ca="1" si="8"/>
        <v>16024.680225213191</v>
      </c>
      <c r="E121" s="138">
        <f t="shared" ca="1" si="9"/>
        <v>1180.8914943391558</v>
      </c>
      <c r="F121" s="138">
        <f t="shared" ca="1" si="5"/>
        <v>14843.788730874036</v>
      </c>
      <c r="G121" s="139">
        <f ca="1">IF(ROUND(SUM(B121:C121,-F121),0)=0,0,IF($B$6="Yes",SUM($C$9:C121),SUM(B121:C121,-F121)))</f>
        <v>123406.92280151496</v>
      </c>
    </row>
    <row r="122" spans="1:7" ht="16.149999999999999" customHeight="1" x14ac:dyDescent="0.25">
      <c r="A122" s="136">
        <f t="shared" ca="1" si="6"/>
        <v>47695</v>
      </c>
      <c r="B122" s="137">
        <f t="shared" ca="1" si="7"/>
        <v>123406.92280151496</v>
      </c>
      <c r="C122" s="137">
        <f ca="1">IF(ISNA(MATCH($A122,CashFlow!$C$4:$AO$4,0))=TRUE,0,OFFSET(CashFlow!$B$35,0,MATCH($A122,CashFlow!$C$4:$AO$4,0),1,1))</f>
        <v>0</v>
      </c>
      <c r="D122" s="138">
        <f t="shared" ca="1" si="8"/>
        <v>16024.680225213191</v>
      </c>
      <c r="E122" s="138">
        <f t="shared" ca="1" si="9"/>
        <v>1054.100798929607</v>
      </c>
      <c r="F122" s="138">
        <f t="shared" ca="1" si="5"/>
        <v>14970.579426283584</v>
      </c>
      <c r="G122" s="139">
        <f ca="1">IF(ROUND(SUM(B122:C122,-F122),0)=0,0,IF($B$6="Yes",SUM($C$9:C122),SUM(B122:C122,-F122)))</f>
        <v>108436.34337523137</v>
      </c>
    </row>
    <row r="123" spans="1:7" ht="16.149999999999999" customHeight="1" x14ac:dyDescent="0.25">
      <c r="A123" s="136">
        <f t="shared" ca="1" si="6"/>
        <v>47726</v>
      </c>
      <c r="B123" s="137">
        <f t="shared" ca="1" si="7"/>
        <v>108436.34337523137</v>
      </c>
      <c r="C123" s="137">
        <f ca="1">IF(ISNA(MATCH($A123,CashFlow!$C$4:$AO$4,0))=TRUE,0,OFFSET(CashFlow!$B$35,0,MATCH($A123,CashFlow!$C$4:$AO$4,0),1,1))</f>
        <v>0</v>
      </c>
      <c r="D123" s="138">
        <f t="shared" ca="1" si="8"/>
        <v>16024.680225213191</v>
      </c>
      <c r="E123" s="138">
        <f t="shared" ca="1" si="9"/>
        <v>926.22709966343461</v>
      </c>
      <c r="F123" s="138">
        <f t="shared" ca="1" si="5"/>
        <v>15098.453125549757</v>
      </c>
      <c r="G123" s="139">
        <f ca="1">IF(ROUND(SUM(B123:C123,-F123),0)=0,0,IF($B$6="Yes",SUM($C$9:C123),SUM(B123:C123,-F123)))</f>
        <v>93337.890249681615</v>
      </c>
    </row>
    <row r="124" spans="1:7" ht="16.149999999999999" customHeight="1" x14ac:dyDescent="0.25">
      <c r="A124" s="136">
        <f t="shared" ca="1" si="6"/>
        <v>47756</v>
      </c>
      <c r="B124" s="137">
        <f t="shared" ca="1" si="7"/>
        <v>93337.890249681615</v>
      </c>
      <c r="C124" s="137">
        <f ca="1">IF(ISNA(MATCH($A124,CashFlow!$C$4:$AO$4,0))=TRUE,0,OFFSET(CashFlow!$B$35,0,MATCH($A124,CashFlow!$C$4:$AO$4,0),1,1))</f>
        <v>0</v>
      </c>
      <c r="D124" s="138">
        <f t="shared" ca="1" si="8"/>
        <v>16024.680225213191</v>
      </c>
      <c r="E124" s="138">
        <f t="shared" ca="1" si="9"/>
        <v>797.26114588269718</v>
      </c>
      <c r="F124" s="138">
        <f t="shared" ca="1" si="5"/>
        <v>15227.419079330493</v>
      </c>
      <c r="G124" s="139">
        <f ca="1">IF(ROUND(SUM(B124:C124,-F124),0)=0,0,IF($B$6="Yes",SUM($C$9:C124),SUM(B124:C124,-F124)))</f>
        <v>78110.471170351128</v>
      </c>
    </row>
    <row r="125" spans="1:7" ht="16.149999999999999" customHeight="1" x14ac:dyDescent="0.25">
      <c r="A125" s="136">
        <f t="shared" ca="1" si="6"/>
        <v>47787</v>
      </c>
      <c r="B125" s="137">
        <f t="shared" ca="1" si="7"/>
        <v>78110.471170351128</v>
      </c>
      <c r="C125" s="137">
        <f ca="1">IF(ISNA(MATCH($A125,CashFlow!$C$4:$AO$4,0))=TRUE,0,OFFSET(CashFlow!$B$35,0,MATCH($A125,CashFlow!$C$4:$AO$4,0),1,1))</f>
        <v>0</v>
      </c>
      <c r="D125" s="138">
        <f t="shared" ca="1" si="8"/>
        <v>16024.680225213191</v>
      </c>
      <c r="E125" s="138">
        <f t="shared" ca="1" si="9"/>
        <v>667.1936079134158</v>
      </c>
      <c r="F125" s="138">
        <f t="shared" ca="1" si="5"/>
        <v>15357.486617299775</v>
      </c>
      <c r="G125" s="139">
        <f ca="1">IF(ROUND(SUM(B125:C125,-F125),0)=0,0,IF($B$6="Yes",SUM($C$9:C125),SUM(B125:C125,-F125)))</f>
        <v>62752.984553051356</v>
      </c>
    </row>
    <row r="126" spans="1:7" ht="16.149999999999999" customHeight="1" x14ac:dyDescent="0.25">
      <c r="A126" s="136">
        <f ca="1">DATE(YEAR(A125),MONTH(A125)+2,0)</f>
        <v>47817</v>
      </c>
      <c r="B126" s="137">
        <f t="shared" ca="1" si="7"/>
        <v>62752.984553051356</v>
      </c>
      <c r="C126" s="137">
        <f ca="1">IF(ISNA(MATCH($A126,CashFlow!$C$4:$AO$4,0))=TRUE,0,OFFSET(CashFlow!$B$35,0,MATCH($A126,CashFlow!$C$4:$AO$4,0),1,1))</f>
        <v>0</v>
      </c>
      <c r="D126" s="138">
        <f t="shared" ca="1" si="8"/>
        <v>16024.680225213191</v>
      </c>
      <c r="E126" s="138">
        <f t="shared" ca="1" si="9"/>
        <v>536.01507639064698</v>
      </c>
      <c r="F126" s="138">
        <f t="shared" ca="1" si="5"/>
        <v>15488.665148822543</v>
      </c>
      <c r="G126" s="139">
        <f ca="1">IF(ROUND(SUM(B126:C126,-F126),0)=0,0,IF($B$6="Yes",SUM($C$9:C126),SUM(B126:C126,-F126)))</f>
        <v>47264.319404228809</v>
      </c>
    </row>
    <row r="127" spans="1:7" ht="16.149999999999999" customHeight="1" x14ac:dyDescent="0.25">
      <c r="A127" s="136">
        <f ca="1">DATE(YEAR(A126),MONTH(A126)+2,0)</f>
        <v>47848</v>
      </c>
      <c r="B127" s="137">
        <f t="shared" ca="1" si="7"/>
        <v>47264.319404228809</v>
      </c>
      <c r="C127" s="137">
        <f ca="1">IF(ISNA(MATCH($A127,CashFlow!$C$4:$AO$4,0))=TRUE,0,OFFSET(CashFlow!$B$35,0,MATCH($A127,CashFlow!$C$4:$AO$4,0),1,1))</f>
        <v>0</v>
      </c>
      <c r="D127" s="138">
        <f t="shared" ca="1" si="8"/>
        <v>16024.680225213191</v>
      </c>
      <c r="E127" s="138">
        <f t="shared" ca="1" si="9"/>
        <v>403.71606157778774</v>
      </c>
      <c r="F127" s="138">
        <f t="shared" ca="1" si="5"/>
        <v>15620.964163635403</v>
      </c>
      <c r="G127" s="139">
        <f ca="1">IF(ROUND(SUM(B127:C127,-F127),0)=0,0,IF($B$6="Yes",SUM($C$9:C127),SUM(B127:C127,-F127)))</f>
        <v>31643.355240593406</v>
      </c>
    </row>
    <row r="128" spans="1:7" ht="16.149999999999999" customHeight="1" x14ac:dyDescent="0.25">
      <c r="A128" s="136">
        <f ca="1">DATE(YEAR(A127),MONTH(A127)+2,0)</f>
        <v>47879</v>
      </c>
      <c r="B128" s="137">
        <f t="shared" ca="1" si="7"/>
        <v>31643.355240593406</v>
      </c>
      <c r="C128" s="137">
        <f ca="1">IF(ISNA(MATCH($A128,CashFlow!$C$4:$AO$4,0))=TRUE,0,OFFSET(CashFlow!$B$35,0,MATCH($A128,CashFlow!$C$4:$AO$4,0),1,1))</f>
        <v>0</v>
      </c>
      <c r="D128" s="138">
        <f t="shared" ca="1" si="8"/>
        <v>16024.680225213191</v>
      </c>
      <c r="E128" s="138">
        <f t="shared" ca="1" si="9"/>
        <v>270.28699268006864</v>
      </c>
      <c r="F128" s="138">
        <f t="shared" ca="1" si="5"/>
        <v>15754.393232533123</v>
      </c>
      <c r="G128" s="139">
        <f ca="1">IF(ROUND(SUM(B128:C128,-F128),0)=0,0,IF($B$6="Yes",SUM($C$9:C128),SUM(B128:C128,-F128)))</f>
        <v>15888.962008060284</v>
      </c>
    </row>
    <row r="129" spans="1:7" ht="16.149999999999999" customHeight="1" x14ac:dyDescent="0.25">
      <c r="A129" s="136">
        <f t="shared" ref="A129:A165" ca="1" si="10">DATE(YEAR(A128),MONTH(A128)+2,0)</f>
        <v>47907</v>
      </c>
      <c r="B129" s="137">
        <f t="shared" ref="B129:B165" ca="1" si="11">G128</f>
        <v>15888.962008060284</v>
      </c>
      <c r="C129" s="137">
        <f ca="1">IF(ISNA(MATCH($A129,CashFlow!$C$4:$AO$4,0))=TRUE,0,OFFSET(CashFlow!$B$35,0,MATCH($A129,CashFlow!$C$4:$AO$4,0),1,1))</f>
        <v>0</v>
      </c>
      <c r="D129" s="138">
        <f t="shared" ca="1" si="8"/>
        <v>16024.680225213191</v>
      </c>
      <c r="E129" s="138">
        <f t="shared" ca="1" si="9"/>
        <v>135.71821715218158</v>
      </c>
      <c r="F129" s="138">
        <f t="shared" ref="F129:F165" ca="1" si="12">IF($B$6="Yes",0,D129-E129)</f>
        <v>15888.962008061009</v>
      </c>
      <c r="G129" s="139">
        <f ca="1">IF(ROUND(SUM(B129:C129,-F129),0)=0,0,IF($B$6="Yes",SUM($C$9:C129),SUM(B129:C129,-F129)))</f>
        <v>0</v>
      </c>
    </row>
    <row r="130" spans="1:7" ht="16.149999999999999" customHeight="1" x14ac:dyDescent="0.25">
      <c r="A130" s="136">
        <f t="shared" ca="1" si="10"/>
        <v>47938</v>
      </c>
      <c r="B130" s="137">
        <f t="shared" ca="1" si="11"/>
        <v>0</v>
      </c>
      <c r="C130" s="137">
        <f ca="1">IF(ISNA(MATCH($A130,CashFlow!$C$4:$AO$4,0))=TRUE,0,OFFSET(CashFlow!$B$35,0,MATCH($A130,CashFlow!$C$4:$AO$4,0),1,1))</f>
        <v>0</v>
      </c>
      <c r="D130" s="138">
        <f t="shared" ca="1" si="8"/>
        <v>0</v>
      </c>
      <c r="E130" s="138">
        <f t="shared" ca="1" si="9"/>
        <v>0</v>
      </c>
      <c r="F130" s="138">
        <f t="shared" ca="1" si="12"/>
        <v>0</v>
      </c>
      <c r="G130" s="139">
        <f ca="1">IF(ROUND(SUM(B130:C130,-F130),0)=0,0,IF($B$6="Yes",SUM($C$9:C130),SUM(B130:C130,-F130)))</f>
        <v>0</v>
      </c>
    </row>
    <row r="131" spans="1:7" ht="16.149999999999999" customHeight="1" x14ac:dyDescent="0.25">
      <c r="A131" s="136">
        <f t="shared" ca="1" si="10"/>
        <v>47968</v>
      </c>
      <c r="B131" s="137">
        <f t="shared" ca="1" si="11"/>
        <v>0</v>
      </c>
      <c r="C131" s="137">
        <f ca="1">IF(ISNA(MATCH($A131,CashFlow!$C$4:$AO$4,0))=TRUE,0,OFFSET(CashFlow!$B$35,0,MATCH($A131,CashFlow!$C$4:$AO$4,0),1,1))</f>
        <v>0</v>
      </c>
      <c r="D131" s="138">
        <f t="shared" ca="1" si="8"/>
        <v>0</v>
      </c>
      <c r="E131" s="138">
        <f t="shared" ca="1" si="9"/>
        <v>0</v>
      </c>
      <c r="F131" s="138">
        <f t="shared" ca="1" si="12"/>
        <v>0</v>
      </c>
      <c r="G131" s="139">
        <f ca="1">IF(ROUND(SUM(B131:C131,-F131),0)=0,0,IF($B$6="Yes",SUM($C$9:C131),SUM(B131:C131,-F131)))</f>
        <v>0</v>
      </c>
    </row>
    <row r="132" spans="1:7" ht="16.149999999999999" customHeight="1" x14ac:dyDescent="0.25">
      <c r="A132" s="136">
        <f t="shared" ca="1" si="10"/>
        <v>47999</v>
      </c>
      <c r="B132" s="137">
        <f t="shared" ca="1" si="11"/>
        <v>0</v>
      </c>
      <c r="C132" s="137">
        <f ca="1">IF(ISNA(MATCH($A132,CashFlow!$C$4:$AO$4,0))=TRUE,0,OFFSET(CashFlow!$B$35,0,MATCH($A132,CashFlow!$C$4:$AO$4,0),1,1))</f>
        <v>0</v>
      </c>
      <c r="D132" s="138">
        <f t="shared" ca="1" si="8"/>
        <v>0</v>
      </c>
      <c r="E132" s="138">
        <f t="shared" ca="1" si="9"/>
        <v>0</v>
      </c>
      <c r="F132" s="138">
        <f t="shared" ca="1" si="12"/>
        <v>0</v>
      </c>
      <c r="G132" s="139">
        <f ca="1">IF(ROUND(SUM(B132:C132,-F132),0)=0,0,IF($B$6="Yes",SUM($C$9:C132),SUM(B132:C132,-F132)))</f>
        <v>0</v>
      </c>
    </row>
    <row r="133" spans="1:7" ht="16.149999999999999" customHeight="1" x14ac:dyDescent="0.25">
      <c r="A133" s="136">
        <f t="shared" ca="1" si="10"/>
        <v>48029</v>
      </c>
      <c r="B133" s="137">
        <f t="shared" ca="1" si="11"/>
        <v>0</v>
      </c>
      <c r="C133" s="137">
        <f ca="1">IF(ISNA(MATCH($A133,CashFlow!$C$4:$AO$4,0))=TRUE,0,OFFSET(CashFlow!$B$35,0,MATCH($A133,CashFlow!$C$4:$AO$4,0),1,1))</f>
        <v>0</v>
      </c>
      <c r="D133" s="138">
        <f t="shared" ca="1" si="8"/>
        <v>0</v>
      </c>
      <c r="E133" s="138">
        <f t="shared" ca="1" si="9"/>
        <v>0</v>
      </c>
      <c r="F133" s="138">
        <f t="shared" ca="1" si="12"/>
        <v>0</v>
      </c>
      <c r="G133" s="139">
        <f ca="1">IF(ROUND(SUM(B133:C133,-F133),0)=0,0,IF($B$6="Yes",SUM($C$9:C133),SUM(B133:C133,-F133)))</f>
        <v>0</v>
      </c>
    </row>
    <row r="134" spans="1:7" ht="16.149999999999999" customHeight="1" x14ac:dyDescent="0.25">
      <c r="A134" s="136">
        <f t="shared" ca="1" si="10"/>
        <v>48060</v>
      </c>
      <c r="B134" s="137">
        <f t="shared" ca="1" si="11"/>
        <v>0</v>
      </c>
      <c r="C134" s="137">
        <f ca="1">IF(ISNA(MATCH($A134,CashFlow!$C$4:$AO$4,0))=TRUE,0,OFFSET(CashFlow!$B$35,0,MATCH($A134,CashFlow!$C$4:$AO$4,0),1,1))</f>
        <v>0</v>
      </c>
      <c r="D134" s="138">
        <f t="shared" ca="1" si="8"/>
        <v>0</v>
      </c>
      <c r="E134" s="138">
        <f t="shared" ca="1" si="9"/>
        <v>0</v>
      </c>
      <c r="F134" s="138">
        <f t="shared" ca="1" si="12"/>
        <v>0</v>
      </c>
      <c r="G134" s="139">
        <f ca="1">IF(ROUND(SUM(B134:C134,-F134),0)=0,0,IF($B$6="Yes",SUM($C$9:C134),SUM(B134:C134,-F134)))</f>
        <v>0</v>
      </c>
    </row>
    <row r="135" spans="1:7" ht="16.149999999999999" customHeight="1" x14ac:dyDescent="0.25">
      <c r="A135" s="136">
        <f t="shared" ca="1" si="10"/>
        <v>48091</v>
      </c>
      <c r="B135" s="137">
        <f t="shared" ca="1" si="11"/>
        <v>0</v>
      </c>
      <c r="C135" s="137">
        <f ca="1">IF(ISNA(MATCH($A135,CashFlow!$C$4:$AO$4,0))=TRUE,0,OFFSET(CashFlow!$B$35,0,MATCH($A135,CashFlow!$C$4:$AO$4,0),1,1))</f>
        <v>0</v>
      </c>
      <c r="D135" s="138">
        <f t="shared" ca="1" si="8"/>
        <v>0</v>
      </c>
      <c r="E135" s="138">
        <f t="shared" ca="1" si="9"/>
        <v>0</v>
      </c>
      <c r="F135" s="138">
        <f t="shared" ca="1" si="12"/>
        <v>0</v>
      </c>
      <c r="G135" s="139">
        <f ca="1">IF(ROUND(SUM(B135:C135,-F135),0)=0,0,IF($B$6="Yes",SUM($C$9:C135),SUM(B135:C135,-F135)))</f>
        <v>0</v>
      </c>
    </row>
    <row r="136" spans="1:7" ht="16.149999999999999" customHeight="1" x14ac:dyDescent="0.25">
      <c r="A136" s="136">
        <f t="shared" ca="1" si="10"/>
        <v>48121</v>
      </c>
      <c r="B136" s="137">
        <f t="shared" ca="1" si="11"/>
        <v>0</v>
      </c>
      <c r="C136" s="137">
        <f ca="1">IF(ISNA(MATCH($A136,CashFlow!$C$4:$AO$4,0))=TRUE,0,OFFSET(CashFlow!$B$35,0,MATCH($A136,CashFlow!$C$4:$AO$4,0),1,1))</f>
        <v>0</v>
      </c>
      <c r="D136" s="138">
        <f t="shared" ca="1" si="8"/>
        <v>0</v>
      </c>
      <c r="E136" s="138">
        <f t="shared" ca="1" si="9"/>
        <v>0</v>
      </c>
      <c r="F136" s="138">
        <f t="shared" ca="1" si="12"/>
        <v>0</v>
      </c>
      <c r="G136" s="139">
        <f ca="1">IF(ROUND(SUM(B136:C136,-F136),0)=0,0,IF($B$6="Yes",SUM($C$9:C136),SUM(B136:C136,-F136)))</f>
        <v>0</v>
      </c>
    </row>
    <row r="137" spans="1:7" ht="16.149999999999999" customHeight="1" x14ac:dyDescent="0.25">
      <c r="A137" s="136">
        <f t="shared" ca="1" si="10"/>
        <v>48152</v>
      </c>
      <c r="B137" s="137">
        <f t="shared" ca="1" si="11"/>
        <v>0</v>
      </c>
      <c r="C137" s="137">
        <f ca="1">IF(ISNA(MATCH($A137,CashFlow!$C$4:$AO$4,0))=TRUE,0,OFFSET(CashFlow!$B$35,0,MATCH($A137,CashFlow!$C$4:$AO$4,0),1,1))</f>
        <v>0</v>
      </c>
      <c r="D137" s="138">
        <f t="shared" ca="1" si="8"/>
        <v>0</v>
      </c>
      <c r="E137" s="138">
        <f t="shared" ca="1" si="9"/>
        <v>0</v>
      </c>
      <c r="F137" s="138">
        <f t="shared" ca="1" si="12"/>
        <v>0</v>
      </c>
      <c r="G137" s="139">
        <f ca="1">IF(ROUND(SUM(B137:C137,-F137),0)=0,0,IF($B$6="Yes",SUM($C$9:C137),SUM(B137:C137,-F137)))</f>
        <v>0</v>
      </c>
    </row>
    <row r="138" spans="1:7" ht="16.149999999999999" customHeight="1" x14ac:dyDescent="0.25">
      <c r="A138" s="136">
        <f t="shared" ca="1" si="10"/>
        <v>48182</v>
      </c>
      <c r="B138" s="137">
        <f t="shared" ca="1" si="11"/>
        <v>0</v>
      </c>
      <c r="C138" s="137">
        <f ca="1">IF(ISNA(MATCH($A138,CashFlow!$C$4:$AO$4,0))=TRUE,0,OFFSET(CashFlow!$B$35,0,MATCH($A138,CashFlow!$C$4:$AO$4,0),1,1))</f>
        <v>0</v>
      </c>
      <c r="D138" s="138">
        <f t="shared" ca="1" si="8"/>
        <v>0</v>
      </c>
      <c r="E138" s="138">
        <f t="shared" ca="1" si="9"/>
        <v>0</v>
      </c>
      <c r="F138" s="138">
        <f t="shared" ca="1" si="12"/>
        <v>0</v>
      </c>
      <c r="G138" s="139">
        <f ca="1">IF(ROUND(SUM(B138:C138,-F138),0)=0,0,IF($B$6="Yes",SUM($C$9:C138),SUM(B138:C138,-F138)))</f>
        <v>0</v>
      </c>
    </row>
    <row r="139" spans="1:7" ht="16.149999999999999" customHeight="1" x14ac:dyDescent="0.25">
      <c r="A139" s="136">
        <f t="shared" ca="1" si="10"/>
        <v>48213</v>
      </c>
      <c r="B139" s="137">
        <f t="shared" ca="1" si="11"/>
        <v>0</v>
      </c>
      <c r="C139" s="137">
        <f ca="1">IF(ISNA(MATCH($A139,CashFlow!$C$4:$AO$4,0))=TRUE,0,OFFSET(CashFlow!$B$35,0,MATCH($A139,CashFlow!$C$4:$AO$4,0),1,1))</f>
        <v>0</v>
      </c>
      <c r="D139" s="138">
        <f t="shared" ref="D139:D165" ca="1" si="13">IF($B$6="Yes",0,IF(ROW(C139)-ROW($C$9)&gt;$B$5*12,-PMT($B$4/12,$B$5*12,SUM(OFFSET(C139,0,0,-$B$5*12,1)),0,0),-PMT($B$4/12,$B$5*12,SUM(OFFSET(C139,0,0,ROW($C$8)-ROW(C139),1)),0,0)))</f>
        <v>0</v>
      </c>
      <c r="E139" s="138">
        <f t="shared" ref="E139:E165" ca="1" si="14">(G138+C139)*$B$4/12</f>
        <v>0</v>
      </c>
      <c r="F139" s="138">
        <f t="shared" ca="1" si="12"/>
        <v>0</v>
      </c>
      <c r="G139" s="139">
        <f ca="1">IF(ROUND(SUM(B139:C139,-F139),0)=0,0,IF($B$6="Yes",SUM($C$9:C139),SUM(B139:C139,-F139)))</f>
        <v>0</v>
      </c>
    </row>
    <row r="140" spans="1:7" ht="16.149999999999999" customHeight="1" x14ac:dyDescent="0.25">
      <c r="A140" s="136">
        <f t="shared" ca="1" si="10"/>
        <v>48244</v>
      </c>
      <c r="B140" s="137">
        <f t="shared" ca="1" si="11"/>
        <v>0</v>
      </c>
      <c r="C140" s="137">
        <f ca="1">IF(ISNA(MATCH($A140,CashFlow!$C$4:$AO$4,0))=TRUE,0,OFFSET(CashFlow!$B$35,0,MATCH($A140,CashFlow!$C$4:$AO$4,0),1,1))</f>
        <v>0</v>
      </c>
      <c r="D140" s="138">
        <f t="shared" ca="1" si="13"/>
        <v>0</v>
      </c>
      <c r="E140" s="138">
        <f t="shared" ca="1" si="14"/>
        <v>0</v>
      </c>
      <c r="F140" s="138">
        <f t="shared" ca="1" si="12"/>
        <v>0</v>
      </c>
      <c r="G140" s="139">
        <f ca="1">IF(ROUND(SUM(B140:C140,-F140),0)=0,0,IF($B$6="Yes",SUM($C$9:C140),SUM(B140:C140,-F140)))</f>
        <v>0</v>
      </c>
    </row>
    <row r="141" spans="1:7" ht="16.149999999999999" customHeight="1" x14ac:dyDescent="0.25">
      <c r="A141" s="136">
        <f t="shared" ca="1" si="10"/>
        <v>48273</v>
      </c>
      <c r="B141" s="137">
        <f t="shared" ca="1" si="11"/>
        <v>0</v>
      </c>
      <c r="C141" s="137">
        <f ca="1">IF(ISNA(MATCH($A141,CashFlow!$C$4:$AO$4,0))=TRUE,0,OFFSET(CashFlow!$B$35,0,MATCH($A141,CashFlow!$C$4:$AO$4,0),1,1))</f>
        <v>0</v>
      </c>
      <c r="D141" s="138">
        <f t="shared" ca="1" si="13"/>
        <v>0</v>
      </c>
      <c r="E141" s="138">
        <f t="shared" ca="1" si="14"/>
        <v>0</v>
      </c>
      <c r="F141" s="138">
        <f t="shared" ca="1" si="12"/>
        <v>0</v>
      </c>
      <c r="G141" s="139">
        <f ca="1">IF(ROUND(SUM(B141:C141,-F141),0)=0,0,IF($B$6="Yes",SUM($C$9:C141),SUM(B141:C141,-F141)))</f>
        <v>0</v>
      </c>
    </row>
    <row r="142" spans="1:7" ht="16.149999999999999" customHeight="1" x14ac:dyDescent="0.25">
      <c r="A142" s="136">
        <f t="shared" ca="1" si="10"/>
        <v>48304</v>
      </c>
      <c r="B142" s="137">
        <f t="shared" ca="1" si="11"/>
        <v>0</v>
      </c>
      <c r="C142" s="137">
        <f ca="1">IF(ISNA(MATCH($A142,CashFlow!$C$4:$AO$4,0))=TRUE,0,OFFSET(CashFlow!$B$35,0,MATCH($A142,CashFlow!$C$4:$AO$4,0),1,1))</f>
        <v>0</v>
      </c>
      <c r="D142" s="138">
        <f t="shared" ca="1" si="13"/>
        <v>0</v>
      </c>
      <c r="E142" s="138">
        <f t="shared" ca="1" si="14"/>
        <v>0</v>
      </c>
      <c r="F142" s="138">
        <f t="shared" ca="1" si="12"/>
        <v>0</v>
      </c>
      <c r="G142" s="139">
        <f ca="1">IF(ROUND(SUM(B142:C142,-F142),0)=0,0,IF($B$6="Yes",SUM($C$9:C142),SUM(B142:C142,-F142)))</f>
        <v>0</v>
      </c>
    </row>
    <row r="143" spans="1:7" ht="16.149999999999999" customHeight="1" x14ac:dyDescent="0.25">
      <c r="A143" s="136">
        <f t="shared" ca="1" si="10"/>
        <v>48334</v>
      </c>
      <c r="B143" s="137">
        <f t="shared" ca="1" si="11"/>
        <v>0</v>
      </c>
      <c r="C143" s="137">
        <f ca="1">IF(ISNA(MATCH($A143,CashFlow!$C$4:$AO$4,0))=TRUE,0,OFFSET(CashFlow!$B$35,0,MATCH($A143,CashFlow!$C$4:$AO$4,0),1,1))</f>
        <v>0</v>
      </c>
      <c r="D143" s="138">
        <f t="shared" ca="1" si="13"/>
        <v>0</v>
      </c>
      <c r="E143" s="138">
        <f t="shared" ca="1" si="14"/>
        <v>0</v>
      </c>
      <c r="F143" s="138">
        <f t="shared" ca="1" si="12"/>
        <v>0</v>
      </c>
      <c r="G143" s="139">
        <f ca="1">IF(ROUND(SUM(B143:C143,-F143),0)=0,0,IF($B$6="Yes",SUM($C$9:C143),SUM(B143:C143,-F143)))</f>
        <v>0</v>
      </c>
    </row>
    <row r="144" spans="1:7" ht="16.149999999999999" customHeight="1" x14ac:dyDescent="0.25">
      <c r="A144" s="136">
        <f t="shared" ca="1" si="10"/>
        <v>48365</v>
      </c>
      <c r="B144" s="137">
        <f t="shared" ca="1" si="11"/>
        <v>0</v>
      </c>
      <c r="C144" s="137">
        <f ca="1">IF(ISNA(MATCH($A144,CashFlow!$C$4:$AO$4,0))=TRUE,0,OFFSET(CashFlow!$B$35,0,MATCH($A144,CashFlow!$C$4:$AO$4,0),1,1))</f>
        <v>0</v>
      </c>
      <c r="D144" s="138">
        <f t="shared" ca="1" si="13"/>
        <v>0</v>
      </c>
      <c r="E144" s="138">
        <f t="shared" ca="1" si="14"/>
        <v>0</v>
      </c>
      <c r="F144" s="138">
        <f t="shared" ca="1" si="12"/>
        <v>0</v>
      </c>
      <c r="G144" s="139">
        <f ca="1">IF(ROUND(SUM(B144:C144,-F144),0)=0,0,IF($B$6="Yes",SUM($C$9:C144),SUM(B144:C144,-F144)))</f>
        <v>0</v>
      </c>
    </row>
    <row r="145" spans="1:7" ht="16.149999999999999" customHeight="1" x14ac:dyDescent="0.25">
      <c r="A145" s="136">
        <f t="shared" ca="1" si="10"/>
        <v>48395</v>
      </c>
      <c r="B145" s="137">
        <f t="shared" ca="1" si="11"/>
        <v>0</v>
      </c>
      <c r="C145" s="137">
        <f ca="1">IF(ISNA(MATCH($A145,CashFlow!$C$4:$AO$4,0))=TRUE,0,OFFSET(CashFlow!$B$35,0,MATCH($A145,CashFlow!$C$4:$AO$4,0),1,1))</f>
        <v>0</v>
      </c>
      <c r="D145" s="138">
        <f t="shared" ca="1" si="13"/>
        <v>0</v>
      </c>
      <c r="E145" s="138">
        <f t="shared" ca="1" si="14"/>
        <v>0</v>
      </c>
      <c r="F145" s="138">
        <f t="shared" ca="1" si="12"/>
        <v>0</v>
      </c>
      <c r="G145" s="139">
        <f ca="1">IF(ROUND(SUM(B145:C145,-F145),0)=0,0,IF($B$6="Yes",SUM($C$9:C145),SUM(B145:C145,-F145)))</f>
        <v>0</v>
      </c>
    </row>
    <row r="146" spans="1:7" ht="16.149999999999999" customHeight="1" x14ac:dyDescent="0.25">
      <c r="A146" s="136">
        <f t="shared" ca="1" si="10"/>
        <v>48426</v>
      </c>
      <c r="B146" s="137">
        <f t="shared" ca="1" si="11"/>
        <v>0</v>
      </c>
      <c r="C146" s="137">
        <f ca="1">IF(ISNA(MATCH($A146,CashFlow!$C$4:$AO$4,0))=TRUE,0,OFFSET(CashFlow!$B$35,0,MATCH($A146,CashFlow!$C$4:$AO$4,0),1,1))</f>
        <v>0</v>
      </c>
      <c r="D146" s="138">
        <f t="shared" ca="1" si="13"/>
        <v>0</v>
      </c>
      <c r="E146" s="138">
        <f t="shared" ca="1" si="14"/>
        <v>0</v>
      </c>
      <c r="F146" s="138">
        <f t="shared" ca="1" si="12"/>
        <v>0</v>
      </c>
      <c r="G146" s="139">
        <f ca="1">IF(ROUND(SUM(B146:C146,-F146),0)=0,0,IF($B$6="Yes",SUM($C$9:C146),SUM(B146:C146,-F146)))</f>
        <v>0</v>
      </c>
    </row>
    <row r="147" spans="1:7" ht="16.149999999999999" customHeight="1" x14ac:dyDescent="0.25">
      <c r="A147" s="136">
        <f t="shared" ca="1" si="10"/>
        <v>48457</v>
      </c>
      <c r="B147" s="137">
        <f t="shared" ca="1" si="11"/>
        <v>0</v>
      </c>
      <c r="C147" s="137">
        <f ca="1">IF(ISNA(MATCH($A147,CashFlow!$C$4:$AO$4,0))=TRUE,0,OFFSET(CashFlow!$B$35,0,MATCH($A147,CashFlow!$C$4:$AO$4,0),1,1))</f>
        <v>0</v>
      </c>
      <c r="D147" s="138">
        <f t="shared" ca="1" si="13"/>
        <v>0</v>
      </c>
      <c r="E147" s="138">
        <f t="shared" ca="1" si="14"/>
        <v>0</v>
      </c>
      <c r="F147" s="138">
        <f t="shared" ca="1" si="12"/>
        <v>0</v>
      </c>
      <c r="G147" s="139">
        <f ca="1">IF(ROUND(SUM(B147:C147,-F147),0)=0,0,IF($B$6="Yes",SUM($C$9:C147),SUM(B147:C147,-F147)))</f>
        <v>0</v>
      </c>
    </row>
    <row r="148" spans="1:7" ht="16.149999999999999" customHeight="1" x14ac:dyDescent="0.25">
      <c r="A148" s="136">
        <f t="shared" ca="1" si="10"/>
        <v>48487</v>
      </c>
      <c r="B148" s="137">
        <f t="shared" ca="1" si="11"/>
        <v>0</v>
      </c>
      <c r="C148" s="137">
        <f ca="1">IF(ISNA(MATCH($A148,CashFlow!$C$4:$AO$4,0))=TRUE,0,OFFSET(CashFlow!$B$35,0,MATCH($A148,CashFlow!$C$4:$AO$4,0),1,1))</f>
        <v>0</v>
      </c>
      <c r="D148" s="138">
        <f t="shared" ca="1" si="13"/>
        <v>0</v>
      </c>
      <c r="E148" s="138">
        <f t="shared" ca="1" si="14"/>
        <v>0</v>
      </c>
      <c r="F148" s="138">
        <f t="shared" ca="1" si="12"/>
        <v>0</v>
      </c>
      <c r="G148" s="139">
        <f ca="1">IF(ROUND(SUM(B148:C148,-F148),0)=0,0,IF($B$6="Yes",SUM($C$9:C148),SUM(B148:C148,-F148)))</f>
        <v>0</v>
      </c>
    </row>
    <row r="149" spans="1:7" ht="16.149999999999999" customHeight="1" x14ac:dyDescent="0.25">
      <c r="A149" s="136">
        <f t="shared" ca="1" si="10"/>
        <v>48518</v>
      </c>
      <c r="B149" s="137">
        <f t="shared" ca="1" si="11"/>
        <v>0</v>
      </c>
      <c r="C149" s="137">
        <f ca="1">IF(ISNA(MATCH($A149,CashFlow!$C$4:$AO$4,0))=TRUE,0,OFFSET(CashFlow!$B$35,0,MATCH($A149,CashFlow!$C$4:$AO$4,0),1,1))</f>
        <v>0</v>
      </c>
      <c r="D149" s="138">
        <f t="shared" ca="1" si="13"/>
        <v>0</v>
      </c>
      <c r="E149" s="138">
        <f t="shared" ca="1" si="14"/>
        <v>0</v>
      </c>
      <c r="F149" s="138">
        <f t="shared" ca="1" si="12"/>
        <v>0</v>
      </c>
      <c r="G149" s="139">
        <f ca="1">IF(ROUND(SUM(B149:C149,-F149),0)=0,0,IF($B$6="Yes",SUM($C$9:C149),SUM(B149:C149,-F149)))</f>
        <v>0</v>
      </c>
    </row>
    <row r="150" spans="1:7" ht="16.149999999999999" customHeight="1" x14ac:dyDescent="0.25">
      <c r="A150" s="136">
        <f t="shared" ca="1" si="10"/>
        <v>48548</v>
      </c>
      <c r="B150" s="137">
        <f t="shared" ca="1" si="11"/>
        <v>0</v>
      </c>
      <c r="C150" s="137">
        <f ca="1">IF(ISNA(MATCH($A150,CashFlow!$C$4:$AO$4,0))=TRUE,0,OFFSET(CashFlow!$B$35,0,MATCH($A150,CashFlow!$C$4:$AO$4,0),1,1))</f>
        <v>0</v>
      </c>
      <c r="D150" s="138">
        <f t="shared" ca="1" si="13"/>
        <v>0</v>
      </c>
      <c r="E150" s="138">
        <f t="shared" ca="1" si="14"/>
        <v>0</v>
      </c>
      <c r="F150" s="138">
        <f t="shared" ca="1" si="12"/>
        <v>0</v>
      </c>
      <c r="G150" s="139">
        <f ca="1">IF(ROUND(SUM(B150:C150,-F150),0)=0,0,IF($B$6="Yes",SUM($C$9:C150),SUM(B150:C150,-F150)))</f>
        <v>0</v>
      </c>
    </row>
    <row r="151" spans="1:7" ht="16.149999999999999" customHeight="1" x14ac:dyDescent="0.25">
      <c r="A151" s="136">
        <f t="shared" ca="1" si="10"/>
        <v>48579</v>
      </c>
      <c r="B151" s="137">
        <f t="shared" ca="1" si="11"/>
        <v>0</v>
      </c>
      <c r="C151" s="137">
        <f ca="1">IF(ISNA(MATCH($A151,CashFlow!$C$4:$AO$4,0))=TRUE,0,OFFSET(CashFlow!$B$35,0,MATCH($A151,CashFlow!$C$4:$AO$4,0),1,1))</f>
        <v>0</v>
      </c>
      <c r="D151" s="138">
        <f t="shared" ca="1" si="13"/>
        <v>0</v>
      </c>
      <c r="E151" s="138">
        <f t="shared" ca="1" si="14"/>
        <v>0</v>
      </c>
      <c r="F151" s="138">
        <f t="shared" ca="1" si="12"/>
        <v>0</v>
      </c>
      <c r="G151" s="139">
        <f ca="1">IF(ROUND(SUM(B151:C151,-F151),0)=0,0,IF($B$6="Yes",SUM($C$9:C151),SUM(B151:C151,-F151)))</f>
        <v>0</v>
      </c>
    </row>
    <row r="152" spans="1:7" ht="16.149999999999999" customHeight="1" x14ac:dyDescent="0.25">
      <c r="A152" s="136">
        <f t="shared" ca="1" si="10"/>
        <v>48610</v>
      </c>
      <c r="B152" s="137">
        <f t="shared" ca="1" si="11"/>
        <v>0</v>
      </c>
      <c r="C152" s="137">
        <f ca="1">IF(ISNA(MATCH($A152,CashFlow!$C$4:$AO$4,0))=TRUE,0,OFFSET(CashFlow!$B$35,0,MATCH($A152,CashFlow!$C$4:$AO$4,0),1,1))</f>
        <v>0</v>
      </c>
      <c r="D152" s="138">
        <f t="shared" ca="1" si="13"/>
        <v>0</v>
      </c>
      <c r="E152" s="138">
        <f t="shared" ca="1" si="14"/>
        <v>0</v>
      </c>
      <c r="F152" s="138">
        <f t="shared" ca="1" si="12"/>
        <v>0</v>
      </c>
      <c r="G152" s="139">
        <f ca="1">IF(ROUND(SUM(B152:C152,-F152),0)=0,0,IF($B$6="Yes",SUM($C$9:C152),SUM(B152:C152,-F152)))</f>
        <v>0</v>
      </c>
    </row>
    <row r="153" spans="1:7" ht="16.149999999999999" customHeight="1" x14ac:dyDescent="0.25">
      <c r="A153" s="136">
        <f t="shared" ca="1" si="10"/>
        <v>48638</v>
      </c>
      <c r="B153" s="137">
        <f t="shared" ca="1" si="11"/>
        <v>0</v>
      </c>
      <c r="C153" s="137">
        <f ca="1">IF(ISNA(MATCH($A153,CashFlow!$C$4:$AO$4,0))=TRUE,0,OFFSET(CashFlow!$B$35,0,MATCH($A153,CashFlow!$C$4:$AO$4,0),1,1))</f>
        <v>0</v>
      </c>
      <c r="D153" s="138">
        <f t="shared" ca="1" si="13"/>
        <v>0</v>
      </c>
      <c r="E153" s="138">
        <f t="shared" ca="1" si="14"/>
        <v>0</v>
      </c>
      <c r="F153" s="138">
        <f t="shared" ca="1" si="12"/>
        <v>0</v>
      </c>
      <c r="G153" s="139">
        <f ca="1">IF(ROUND(SUM(B153:C153,-F153),0)=0,0,IF($B$6="Yes",SUM($C$9:C153),SUM(B153:C153,-F153)))</f>
        <v>0</v>
      </c>
    </row>
    <row r="154" spans="1:7" ht="16.149999999999999" customHeight="1" x14ac:dyDescent="0.25">
      <c r="A154" s="136">
        <f t="shared" ca="1" si="10"/>
        <v>48669</v>
      </c>
      <c r="B154" s="137">
        <f t="shared" ca="1" si="11"/>
        <v>0</v>
      </c>
      <c r="C154" s="137">
        <f ca="1">IF(ISNA(MATCH($A154,CashFlow!$C$4:$AO$4,0))=TRUE,0,OFFSET(CashFlow!$B$35,0,MATCH($A154,CashFlow!$C$4:$AO$4,0),1,1))</f>
        <v>0</v>
      </c>
      <c r="D154" s="138">
        <f t="shared" ca="1" si="13"/>
        <v>0</v>
      </c>
      <c r="E154" s="138">
        <f t="shared" ca="1" si="14"/>
        <v>0</v>
      </c>
      <c r="F154" s="138">
        <f t="shared" ca="1" si="12"/>
        <v>0</v>
      </c>
      <c r="G154" s="139">
        <f ca="1">IF(ROUND(SUM(B154:C154,-F154),0)=0,0,IF($B$6="Yes",SUM($C$9:C154),SUM(B154:C154,-F154)))</f>
        <v>0</v>
      </c>
    </row>
    <row r="155" spans="1:7" ht="16.149999999999999" customHeight="1" x14ac:dyDescent="0.25">
      <c r="A155" s="136">
        <f t="shared" ca="1" si="10"/>
        <v>48699</v>
      </c>
      <c r="B155" s="137">
        <f t="shared" ca="1" si="11"/>
        <v>0</v>
      </c>
      <c r="C155" s="137">
        <f ca="1">IF(ISNA(MATCH($A155,CashFlow!$C$4:$AO$4,0))=TRUE,0,OFFSET(CashFlow!$B$35,0,MATCH($A155,CashFlow!$C$4:$AO$4,0),1,1))</f>
        <v>0</v>
      </c>
      <c r="D155" s="138">
        <f t="shared" ca="1" si="13"/>
        <v>0</v>
      </c>
      <c r="E155" s="138">
        <f t="shared" ca="1" si="14"/>
        <v>0</v>
      </c>
      <c r="F155" s="138">
        <f t="shared" ca="1" si="12"/>
        <v>0</v>
      </c>
      <c r="G155" s="139">
        <f ca="1">IF(ROUND(SUM(B155:C155,-F155),0)=0,0,IF($B$6="Yes",SUM($C$9:C155),SUM(B155:C155,-F155)))</f>
        <v>0</v>
      </c>
    </row>
    <row r="156" spans="1:7" ht="16.149999999999999" customHeight="1" x14ac:dyDescent="0.25">
      <c r="A156" s="136">
        <f t="shared" ca="1" si="10"/>
        <v>48730</v>
      </c>
      <c r="B156" s="137">
        <f t="shared" ca="1" si="11"/>
        <v>0</v>
      </c>
      <c r="C156" s="137">
        <f ca="1">IF(ISNA(MATCH($A156,CashFlow!$C$4:$AO$4,0))=TRUE,0,OFFSET(CashFlow!$B$35,0,MATCH($A156,CashFlow!$C$4:$AO$4,0),1,1))</f>
        <v>0</v>
      </c>
      <c r="D156" s="138">
        <f t="shared" ca="1" si="13"/>
        <v>0</v>
      </c>
      <c r="E156" s="138">
        <f t="shared" ca="1" si="14"/>
        <v>0</v>
      </c>
      <c r="F156" s="138">
        <f t="shared" ca="1" si="12"/>
        <v>0</v>
      </c>
      <c r="G156" s="139">
        <f ca="1">IF(ROUND(SUM(B156:C156,-F156),0)=0,0,IF($B$6="Yes",SUM($C$9:C156),SUM(B156:C156,-F156)))</f>
        <v>0</v>
      </c>
    </row>
    <row r="157" spans="1:7" ht="16.149999999999999" customHeight="1" x14ac:dyDescent="0.25">
      <c r="A157" s="136">
        <f t="shared" ca="1" si="10"/>
        <v>48760</v>
      </c>
      <c r="B157" s="137">
        <f t="shared" ca="1" si="11"/>
        <v>0</v>
      </c>
      <c r="C157" s="137">
        <f ca="1">IF(ISNA(MATCH($A157,CashFlow!$C$4:$AO$4,0))=TRUE,0,OFFSET(CashFlow!$B$35,0,MATCH($A157,CashFlow!$C$4:$AO$4,0),1,1))</f>
        <v>0</v>
      </c>
      <c r="D157" s="138">
        <f t="shared" ca="1" si="13"/>
        <v>0</v>
      </c>
      <c r="E157" s="138">
        <f t="shared" ca="1" si="14"/>
        <v>0</v>
      </c>
      <c r="F157" s="138">
        <f t="shared" ca="1" si="12"/>
        <v>0</v>
      </c>
      <c r="G157" s="139">
        <f ca="1">IF(ROUND(SUM(B157:C157,-F157),0)=0,0,IF($B$6="Yes",SUM($C$9:C157),SUM(B157:C157,-F157)))</f>
        <v>0</v>
      </c>
    </row>
    <row r="158" spans="1:7" ht="16.149999999999999" customHeight="1" x14ac:dyDescent="0.25">
      <c r="A158" s="136">
        <f t="shared" ca="1" si="10"/>
        <v>48791</v>
      </c>
      <c r="B158" s="137">
        <f t="shared" ca="1" si="11"/>
        <v>0</v>
      </c>
      <c r="C158" s="137">
        <f ca="1">IF(ISNA(MATCH($A158,CashFlow!$C$4:$AO$4,0))=TRUE,0,OFFSET(CashFlow!$B$35,0,MATCH($A158,CashFlow!$C$4:$AO$4,0),1,1))</f>
        <v>0</v>
      </c>
      <c r="D158" s="138">
        <f t="shared" ca="1" si="13"/>
        <v>0</v>
      </c>
      <c r="E158" s="138">
        <f t="shared" ca="1" si="14"/>
        <v>0</v>
      </c>
      <c r="F158" s="138">
        <f t="shared" ca="1" si="12"/>
        <v>0</v>
      </c>
      <c r="G158" s="139">
        <f ca="1">IF(ROUND(SUM(B158:C158,-F158),0)=0,0,IF($B$6="Yes",SUM($C$9:C158),SUM(B158:C158,-F158)))</f>
        <v>0</v>
      </c>
    </row>
    <row r="159" spans="1:7" ht="16.149999999999999" customHeight="1" x14ac:dyDescent="0.25">
      <c r="A159" s="136">
        <f t="shared" ca="1" si="10"/>
        <v>48822</v>
      </c>
      <c r="B159" s="137">
        <f t="shared" ca="1" si="11"/>
        <v>0</v>
      </c>
      <c r="C159" s="137">
        <f ca="1">IF(ISNA(MATCH($A159,CashFlow!$C$4:$AO$4,0))=TRUE,0,OFFSET(CashFlow!$B$35,0,MATCH($A159,CashFlow!$C$4:$AO$4,0),1,1))</f>
        <v>0</v>
      </c>
      <c r="D159" s="138">
        <f t="shared" ca="1" si="13"/>
        <v>0</v>
      </c>
      <c r="E159" s="138">
        <f t="shared" ca="1" si="14"/>
        <v>0</v>
      </c>
      <c r="F159" s="138">
        <f t="shared" ca="1" si="12"/>
        <v>0</v>
      </c>
      <c r="G159" s="139">
        <f ca="1">IF(ROUND(SUM(B159:C159,-F159),0)=0,0,IF($B$6="Yes",SUM($C$9:C159),SUM(B159:C159,-F159)))</f>
        <v>0</v>
      </c>
    </row>
    <row r="160" spans="1:7" ht="16.149999999999999" customHeight="1" x14ac:dyDescent="0.25">
      <c r="A160" s="136">
        <f t="shared" ca="1" si="10"/>
        <v>48852</v>
      </c>
      <c r="B160" s="137">
        <f t="shared" ca="1" si="11"/>
        <v>0</v>
      </c>
      <c r="C160" s="137">
        <f ca="1">IF(ISNA(MATCH($A160,CashFlow!$C$4:$AO$4,0))=TRUE,0,OFFSET(CashFlow!$B$35,0,MATCH($A160,CashFlow!$C$4:$AO$4,0),1,1))</f>
        <v>0</v>
      </c>
      <c r="D160" s="138">
        <f t="shared" ca="1" si="13"/>
        <v>0</v>
      </c>
      <c r="E160" s="138">
        <f t="shared" ca="1" si="14"/>
        <v>0</v>
      </c>
      <c r="F160" s="138">
        <f t="shared" ca="1" si="12"/>
        <v>0</v>
      </c>
      <c r="G160" s="139">
        <f ca="1">IF(ROUND(SUM(B160:C160,-F160),0)=0,0,IF($B$6="Yes",SUM($C$9:C160),SUM(B160:C160,-F160)))</f>
        <v>0</v>
      </c>
    </row>
    <row r="161" spans="1:7" ht="16.149999999999999" customHeight="1" x14ac:dyDescent="0.25">
      <c r="A161" s="136">
        <f t="shared" ca="1" si="10"/>
        <v>48883</v>
      </c>
      <c r="B161" s="137">
        <f t="shared" ca="1" si="11"/>
        <v>0</v>
      </c>
      <c r="C161" s="137">
        <f ca="1">IF(ISNA(MATCH($A161,CashFlow!$C$4:$AO$4,0))=TRUE,0,OFFSET(CashFlow!$B$35,0,MATCH($A161,CashFlow!$C$4:$AO$4,0),1,1))</f>
        <v>0</v>
      </c>
      <c r="D161" s="138">
        <f t="shared" ca="1" si="13"/>
        <v>0</v>
      </c>
      <c r="E161" s="138">
        <f t="shared" ca="1" si="14"/>
        <v>0</v>
      </c>
      <c r="F161" s="138">
        <f t="shared" ca="1" si="12"/>
        <v>0</v>
      </c>
      <c r="G161" s="139">
        <f ca="1">IF(ROUND(SUM(B161:C161,-F161),0)=0,0,IF($B$6="Yes",SUM($C$9:C161),SUM(B161:C161,-F161)))</f>
        <v>0</v>
      </c>
    </row>
    <row r="162" spans="1:7" ht="16.149999999999999" customHeight="1" x14ac:dyDescent="0.25">
      <c r="A162" s="136">
        <f t="shared" ca="1" si="10"/>
        <v>48913</v>
      </c>
      <c r="B162" s="137">
        <f t="shared" ca="1" si="11"/>
        <v>0</v>
      </c>
      <c r="C162" s="137">
        <f ca="1">IF(ISNA(MATCH($A162,CashFlow!$C$4:$AO$4,0))=TRUE,0,OFFSET(CashFlow!$B$35,0,MATCH($A162,CashFlow!$C$4:$AO$4,0),1,1))</f>
        <v>0</v>
      </c>
      <c r="D162" s="138">
        <f t="shared" ca="1" si="13"/>
        <v>0</v>
      </c>
      <c r="E162" s="138">
        <f t="shared" ca="1" si="14"/>
        <v>0</v>
      </c>
      <c r="F162" s="138">
        <f t="shared" ca="1" si="12"/>
        <v>0</v>
      </c>
      <c r="G162" s="139">
        <f ca="1">IF(ROUND(SUM(B162:C162,-F162),0)=0,0,IF($B$6="Yes",SUM($C$9:C162),SUM(B162:C162,-F162)))</f>
        <v>0</v>
      </c>
    </row>
    <row r="163" spans="1:7" ht="16.149999999999999" customHeight="1" x14ac:dyDescent="0.25">
      <c r="A163" s="136">
        <f t="shared" ca="1" si="10"/>
        <v>48944</v>
      </c>
      <c r="B163" s="137">
        <f t="shared" ca="1" si="11"/>
        <v>0</v>
      </c>
      <c r="C163" s="137">
        <f ca="1">IF(ISNA(MATCH($A163,CashFlow!$C$4:$AO$4,0))=TRUE,0,OFFSET(CashFlow!$B$35,0,MATCH($A163,CashFlow!$C$4:$AO$4,0),1,1))</f>
        <v>0</v>
      </c>
      <c r="D163" s="138">
        <f t="shared" ca="1" si="13"/>
        <v>0</v>
      </c>
      <c r="E163" s="138">
        <f t="shared" ca="1" si="14"/>
        <v>0</v>
      </c>
      <c r="F163" s="138">
        <f t="shared" ca="1" si="12"/>
        <v>0</v>
      </c>
      <c r="G163" s="139">
        <f ca="1">IF(ROUND(SUM(B163:C163,-F163),0)=0,0,IF($B$6="Yes",SUM($C$9:C163),SUM(B163:C163,-F163)))</f>
        <v>0</v>
      </c>
    </row>
    <row r="164" spans="1:7" ht="16.149999999999999" customHeight="1" x14ac:dyDescent="0.25">
      <c r="A164" s="136">
        <f t="shared" ca="1" si="10"/>
        <v>48975</v>
      </c>
      <c r="B164" s="137">
        <f t="shared" ca="1" si="11"/>
        <v>0</v>
      </c>
      <c r="C164" s="137">
        <f ca="1">IF(ISNA(MATCH($A164,CashFlow!$C$4:$AO$4,0))=TRUE,0,OFFSET(CashFlow!$B$35,0,MATCH($A164,CashFlow!$C$4:$AO$4,0),1,1))</f>
        <v>0</v>
      </c>
      <c r="D164" s="138">
        <f t="shared" ca="1" si="13"/>
        <v>0</v>
      </c>
      <c r="E164" s="138">
        <f t="shared" ca="1" si="14"/>
        <v>0</v>
      </c>
      <c r="F164" s="138">
        <f t="shared" ca="1" si="12"/>
        <v>0</v>
      </c>
      <c r="G164" s="139">
        <f ca="1">IF(ROUND(SUM(B164:C164,-F164),0)=0,0,IF($B$6="Yes",SUM($C$9:C164),SUM(B164:C164,-F164)))</f>
        <v>0</v>
      </c>
    </row>
    <row r="165" spans="1:7" ht="16.149999999999999" customHeight="1" x14ac:dyDescent="0.25">
      <c r="A165" s="136">
        <f t="shared" ca="1" si="10"/>
        <v>49003</v>
      </c>
      <c r="B165" s="137">
        <f t="shared" ca="1" si="11"/>
        <v>0</v>
      </c>
      <c r="C165" s="137">
        <f ca="1">IF(ISNA(MATCH($A165,CashFlow!$C$4:$AO$4,0))=TRUE,0,OFFSET(CashFlow!$B$35,0,MATCH($A165,CashFlow!$C$4:$AO$4,0),1,1))</f>
        <v>0</v>
      </c>
      <c r="D165" s="138">
        <f t="shared" ca="1" si="13"/>
        <v>0</v>
      </c>
      <c r="E165" s="138">
        <f t="shared" ca="1" si="14"/>
        <v>0</v>
      </c>
      <c r="F165" s="138">
        <f t="shared" ca="1" si="12"/>
        <v>0</v>
      </c>
      <c r="G165" s="139">
        <f ca="1">IF(ROUND(SUM(B165:C165,-F165),0)=0,0,IF($B$6="Yes",SUM($C$9:C165),SUM(B165:C165,-F165)))</f>
        <v>0</v>
      </c>
    </row>
  </sheetData>
  <phoneticPr fontId="3" type="noConversion"/>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65"/>
  <sheetViews>
    <sheetView zoomScale="95" workbookViewId="0">
      <pane ySplit="8" topLeftCell="A9" activePane="bottomLeft" state="frozen"/>
      <selection pane="bottomLeft" activeCell="A8" sqref="A8"/>
    </sheetView>
  </sheetViews>
  <sheetFormatPr defaultColWidth="9.140625" defaultRowHeight="16.149999999999999" customHeight="1" x14ac:dyDescent="0.25"/>
  <cols>
    <col min="1" max="1" width="15.7109375" style="126" customWidth="1"/>
    <col min="2" max="7" width="13.7109375" style="11" customWidth="1"/>
    <col min="8" max="20" width="15.7109375" style="5" customWidth="1"/>
    <col min="21" max="16384" width="9.140625" style="5"/>
  </cols>
  <sheetData>
    <row r="1" spans="1:9" ht="16.149999999999999" customHeight="1" x14ac:dyDescent="0.25">
      <c r="A1" s="142" t="str">
        <f>IF(ISBLANK(Assumptions!$C$4),"Example Limited",Assumptions!$C$4)</f>
        <v>Example (Pty) Limited</v>
      </c>
      <c r="B1" s="3"/>
      <c r="C1" s="3"/>
      <c r="G1" s="89"/>
    </row>
    <row r="2" spans="1:9" ht="16.149999999999999" customHeight="1" x14ac:dyDescent="0.25">
      <c r="A2" s="6" t="s">
        <v>152</v>
      </c>
    </row>
    <row r="3" spans="1:9" ht="16.149999999999999" customHeight="1" x14ac:dyDescent="0.25">
      <c r="A3" s="6"/>
    </row>
    <row r="4" spans="1:9" ht="16.149999999999999" customHeight="1" x14ac:dyDescent="0.25">
      <c r="A4" s="126" t="s">
        <v>33</v>
      </c>
      <c r="B4" s="127">
        <f>Assumptions!$D$67</f>
        <v>9.2499999999999999E-2</v>
      </c>
      <c r="C4" s="128"/>
    </row>
    <row r="5" spans="1:9" ht="16.149999999999999" customHeight="1" x14ac:dyDescent="0.25">
      <c r="A5" s="129" t="s">
        <v>38</v>
      </c>
      <c r="B5" s="130">
        <f>Assumptions!$D$68</f>
        <v>8</v>
      </c>
      <c r="C5" s="131"/>
    </row>
    <row r="6" spans="1:9" ht="16.149999999999999" customHeight="1" x14ac:dyDescent="0.25">
      <c r="A6" s="129" t="s">
        <v>39</v>
      </c>
      <c r="B6" s="132" t="str">
        <f>Assumptions!$D$69</f>
        <v>No</v>
      </c>
      <c r="C6" s="133"/>
    </row>
    <row r="7" spans="1:9" ht="16.149999999999999" customHeight="1" x14ac:dyDescent="0.25">
      <c r="A7" s="73" t="s">
        <v>59</v>
      </c>
    </row>
    <row r="8" spans="1:9" s="92" customFormat="1" ht="25.5" x14ac:dyDescent="0.25">
      <c r="A8" s="134" t="s">
        <v>47</v>
      </c>
      <c r="B8" s="135" t="s">
        <v>43</v>
      </c>
      <c r="C8" s="135" t="s">
        <v>290</v>
      </c>
      <c r="D8" s="135" t="s">
        <v>42</v>
      </c>
      <c r="E8" s="135" t="s">
        <v>397</v>
      </c>
      <c r="F8" s="135" t="s">
        <v>58</v>
      </c>
      <c r="G8" s="135" t="s">
        <v>44</v>
      </c>
    </row>
    <row r="9" spans="1:9" s="102" customFormat="1" ht="16.149999999999999" customHeight="1" x14ac:dyDescent="0.25">
      <c r="A9" s="136">
        <f ca="1">IF(ISBLANK(Assumptions!$C$5)=TRUE,DATE(YEAR(TODAY()),MONTH(TODAY()),0),DATE(YEAR(Assumptions!$C$5),MONTH(Assumptions!$C$5),0))</f>
        <v>44255</v>
      </c>
      <c r="B9" s="137">
        <v>0</v>
      </c>
      <c r="C9" s="137">
        <f ca="1">-SUMIF(Assumptions!$A$71:$C$95,"LT2",Assumptions!$C$71:$C$95)</f>
        <v>500000</v>
      </c>
      <c r="D9" s="137">
        <v>0</v>
      </c>
      <c r="E9" s="137">
        <v>0</v>
      </c>
      <c r="F9" s="138">
        <f>IF($B$6="Yes",0,D9-E9)</f>
        <v>0</v>
      </c>
      <c r="G9" s="139">
        <f ca="1">IF(ROUND(SUM(B9:C9,-F9),0)=0,0,IF($B$6="Yes",SUM($C$9:C9),SUM(B9:C9,-F9)))</f>
        <v>500000</v>
      </c>
      <c r="I9" s="140"/>
    </row>
    <row r="10" spans="1:9" s="102" customFormat="1" ht="16.149999999999999" customHeight="1" x14ac:dyDescent="0.25">
      <c r="A10" s="136">
        <f ca="1">DATE(YEAR(A9),MONTH(A9)+2,0)</f>
        <v>44286</v>
      </c>
      <c r="B10" s="137">
        <f ca="1">G9</f>
        <v>500000</v>
      </c>
      <c r="C10" s="137">
        <f ca="1">IF(ISNA(MATCH($A10,CashFlow!$C$4:$AO$4,0))=TRUE,0,OFFSET(CashFlow!$B$36,0,MATCH($A10,CashFlow!$C$4:$AO$4,0),1,1))</f>
        <v>0</v>
      </c>
      <c r="D10" s="138">
        <f ca="1">IF($B$6="Yes",0,IF(ROW(C10)-ROW($C$9)&gt;$B$5*12,-PMT($B$4/12,$B$5*12,SUM(OFFSET(C10,0,0,-$B$5*12,1)),0,0),-PMT($B$4/12,$B$5*12,SUM(OFFSET(C10,0,0,ROW($C$8)-ROW(C10),1)),0,0)))</f>
        <v>7390.1100802133533</v>
      </c>
      <c r="E10" s="138">
        <f ca="1">(G9+C10)*$B$4/12</f>
        <v>3854.1666666666665</v>
      </c>
      <c r="F10" s="138">
        <f t="shared" ref="F10:F73" ca="1" si="0">IF($B$6="Yes",0,D10-E10)</f>
        <v>3535.9434135466868</v>
      </c>
      <c r="G10" s="139">
        <f ca="1">IF(ROUND(SUM(B10:C10,-F10),0)=0,0,IF($B$6="Yes",SUM($C$9:C10),SUM(B10:C10,-F10)))</f>
        <v>496464.05658645334</v>
      </c>
      <c r="I10" s="140"/>
    </row>
    <row r="11" spans="1:9" s="102" customFormat="1" ht="16.149999999999999" customHeight="1" x14ac:dyDescent="0.25">
      <c r="A11" s="136">
        <f t="shared" ref="A11:A74" ca="1" si="1">DATE(YEAR(A10),MONTH(A10)+2,0)</f>
        <v>44316</v>
      </c>
      <c r="B11" s="137">
        <f t="shared" ref="B11:B74" ca="1" si="2">G10</f>
        <v>496464.05658645334</v>
      </c>
      <c r="C11" s="137">
        <f ca="1">IF(ISNA(MATCH($A11,CashFlow!$C$4:$AO$4,0))=TRUE,0,OFFSET(CashFlow!$B$36,0,MATCH($A11,CashFlow!$C$4:$AO$4,0),1,1))</f>
        <v>0</v>
      </c>
      <c r="D11" s="138">
        <f t="shared" ref="D11:D74" ca="1" si="3">IF($B$6="Yes",0,IF(ROW(C11)-ROW($C$9)&gt;$B$5*12,-PMT($B$4/12,$B$5*12,SUM(OFFSET(C11,0,0,-$B$5*12,1)),0,0),-PMT($B$4/12,$B$5*12,SUM(OFFSET(C11,0,0,ROW($C$8)-ROW(C11),1)),0,0)))</f>
        <v>7390.1100802133533</v>
      </c>
      <c r="E11" s="138">
        <f t="shared" ref="E11:E74" ca="1" si="4">(G10+C11)*$B$4/12</f>
        <v>3826.9104361872446</v>
      </c>
      <c r="F11" s="138">
        <f t="shared" ca="1" si="0"/>
        <v>3563.1996440261087</v>
      </c>
      <c r="G11" s="139">
        <f ca="1">IF(ROUND(SUM(B11:C11,-F11),0)=0,0,IF($B$6="Yes",SUM($C$9:C11),SUM(B11:C11,-F11)))</f>
        <v>492900.85694242723</v>
      </c>
    </row>
    <row r="12" spans="1:9" s="102" customFormat="1" ht="16.149999999999999" customHeight="1" x14ac:dyDescent="0.25">
      <c r="A12" s="136">
        <f t="shared" ca="1" si="1"/>
        <v>44347</v>
      </c>
      <c r="B12" s="137">
        <f t="shared" ca="1" si="2"/>
        <v>492900.85694242723</v>
      </c>
      <c r="C12" s="137">
        <f ca="1">IF(ISNA(MATCH($A12,CashFlow!$C$4:$AO$4,0))=TRUE,0,OFFSET(CashFlow!$B$36,0,MATCH($A12,CashFlow!$C$4:$AO$4,0),1,1))</f>
        <v>0</v>
      </c>
      <c r="D12" s="138">
        <f t="shared" ca="1" si="3"/>
        <v>7390.1100802133533</v>
      </c>
      <c r="E12" s="138">
        <f t="shared" ca="1" si="4"/>
        <v>3799.4441055978764</v>
      </c>
      <c r="F12" s="138">
        <f t="shared" ca="1" si="0"/>
        <v>3590.6659746154769</v>
      </c>
      <c r="G12" s="139">
        <f ca="1">IF(ROUND(SUM(B12:C12,-F12),0)=0,0,IF($B$6="Yes",SUM($C$9:C12),SUM(B12:C12,-F12)))</f>
        <v>489310.19096781174</v>
      </c>
    </row>
    <row r="13" spans="1:9" s="102" customFormat="1" ht="16.149999999999999" customHeight="1" x14ac:dyDescent="0.25">
      <c r="A13" s="136">
        <f t="shared" ca="1" si="1"/>
        <v>44377</v>
      </c>
      <c r="B13" s="137">
        <f t="shared" ca="1" si="2"/>
        <v>489310.19096781174</v>
      </c>
      <c r="C13" s="137">
        <f ca="1">IF(ISNA(MATCH($A13,CashFlow!$C$4:$AO$4,0))=TRUE,0,OFFSET(CashFlow!$B$36,0,MATCH($A13,CashFlow!$C$4:$AO$4,0),1,1))</f>
        <v>0</v>
      </c>
      <c r="D13" s="138">
        <f t="shared" ca="1" si="3"/>
        <v>7390.1100802133533</v>
      </c>
      <c r="E13" s="138">
        <f t="shared" ca="1" si="4"/>
        <v>3771.7660553768819</v>
      </c>
      <c r="F13" s="138">
        <f t="shared" ca="1" si="0"/>
        <v>3618.3440248364714</v>
      </c>
      <c r="G13" s="139">
        <f ca="1">IF(ROUND(SUM(B13:C13,-F13),0)=0,0,IF($B$6="Yes",SUM($C$9:C13),SUM(B13:C13,-F13)))</f>
        <v>485691.84694297524</v>
      </c>
    </row>
    <row r="14" spans="1:9" s="102" customFormat="1" ht="16.149999999999999" customHeight="1" x14ac:dyDescent="0.25">
      <c r="A14" s="136">
        <f t="shared" ca="1" si="1"/>
        <v>44408</v>
      </c>
      <c r="B14" s="137">
        <f t="shared" ca="1" si="2"/>
        <v>485691.84694297524</v>
      </c>
      <c r="C14" s="137">
        <f ca="1">IF(ISNA(MATCH($A14,CashFlow!$C$4:$AO$4,0))=TRUE,0,OFFSET(CashFlow!$B$36,0,MATCH($A14,CashFlow!$C$4:$AO$4,0),1,1))</f>
        <v>0</v>
      </c>
      <c r="D14" s="138">
        <f t="shared" ca="1" si="3"/>
        <v>7390.1100802133533</v>
      </c>
      <c r="E14" s="138">
        <f t="shared" ca="1" si="4"/>
        <v>3743.8746535187674</v>
      </c>
      <c r="F14" s="138">
        <f t="shared" ca="1" si="0"/>
        <v>3646.2354266945858</v>
      </c>
      <c r="G14" s="139">
        <f ca="1">IF(ROUND(SUM(B14:C14,-F14),0)=0,0,IF($B$6="Yes",SUM($C$9:C14),SUM(B14:C14,-F14)))</f>
        <v>482045.61151628068</v>
      </c>
    </row>
    <row r="15" spans="1:9" s="102" customFormat="1" ht="16.149999999999999" customHeight="1" x14ac:dyDescent="0.25">
      <c r="A15" s="136">
        <f t="shared" ca="1" si="1"/>
        <v>44439</v>
      </c>
      <c r="B15" s="137">
        <f t="shared" ca="1" si="2"/>
        <v>482045.61151628068</v>
      </c>
      <c r="C15" s="137">
        <f ca="1">IF(ISNA(MATCH($A15,CashFlow!$C$4:$AO$4,0))=TRUE,0,OFFSET(CashFlow!$B$36,0,MATCH($A15,CashFlow!$C$4:$AO$4,0),1,1))</f>
        <v>100000</v>
      </c>
      <c r="D15" s="138">
        <f t="shared" ca="1" si="3"/>
        <v>8868.1320962560239</v>
      </c>
      <c r="E15" s="138">
        <f t="shared" ca="1" si="4"/>
        <v>4486.6015887713302</v>
      </c>
      <c r="F15" s="138">
        <f t="shared" ca="1" si="0"/>
        <v>4381.5305074846938</v>
      </c>
      <c r="G15" s="139">
        <f ca="1">IF(ROUND(SUM(B15:C15,-F15),0)=0,0,IF($B$6="Yes",SUM($C$9:C15),SUM(B15:C15,-F15)))</f>
        <v>577664.081008796</v>
      </c>
    </row>
    <row r="16" spans="1:9" s="102" customFormat="1" ht="16.149999999999999" customHeight="1" x14ac:dyDescent="0.25">
      <c r="A16" s="136">
        <f t="shared" ca="1" si="1"/>
        <v>44469</v>
      </c>
      <c r="B16" s="137">
        <f t="shared" ca="1" si="2"/>
        <v>577664.081008796</v>
      </c>
      <c r="C16" s="137">
        <f ca="1">IF(ISNA(MATCH($A16,CashFlow!$C$4:$AO$4,0))=TRUE,0,OFFSET(CashFlow!$B$36,0,MATCH($A16,CashFlow!$C$4:$AO$4,0),1,1))</f>
        <v>0</v>
      </c>
      <c r="D16" s="138">
        <f t="shared" ca="1" si="3"/>
        <v>8868.1320962560239</v>
      </c>
      <c r="E16" s="138">
        <f t="shared" ca="1" si="4"/>
        <v>4452.8272911094691</v>
      </c>
      <c r="F16" s="138">
        <f t="shared" ca="1" si="0"/>
        <v>4415.3048051465548</v>
      </c>
      <c r="G16" s="139">
        <f ca="1">IF(ROUND(SUM(B16:C16,-F16),0)=0,0,IF($B$6="Yes",SUM($C$9:C16),SUM(B16:C16,-F16)))</f>
        <v>573248.77620364947</v>
      </c>
    </row>
    <row r="17" spans="1:7" s="102" customFormat="1" ht="16.149999999999999" customHeight="1" x14ac:dyDescent="0.25">
      <c r="A17" s="136">
        <f t="shared" ca="1" si="1"/>
        <v>44500</v>
      </c>
      <c r="B17" s="137">
        <f t="shared" ca="1" si="2"/>
        <v>573248.77620364947</v>
      </c>
      <c r="C17" s="137">
        <f ca="1">IF(ISNA(MATCH($A17,CashFlow!$C$4:$AO$4,0))=TRUE,0,OFFSET(CashFlow!$B$36,0,MATCH($A17,CashFlow!$C$4:$AO$4,0),1,1))</f>
        <v>0</v>
      </c>
      <c r="D17" s="138">
        <f t="shared" ca="1" si="3"/>
        <v>8868.1320962560239</v>
      </c>
      <c r="E17" s="138">
        <f t="shared" ca="1" si="4"/>
        <v>4418.7926499031319</v>
      </c>
      <c r="F17" s="138">
        <f t="shared" ca="1" si="0"/>
        <v>4449.3394463528921</v>
      </c>
      <c r="G17" s="139">
        <f ca="1">IF(ROUND(SUM(B17:C17,-F17),0)=0,0,IF($B$6="Yes",SUM($C$9:C17),SUM(B17:C17,-F17)))</f>
        <v>568799.43675729656</v>
      </c>
    </row>
    <row r="18" spans="1:7" s="102" customFormat="1" ht="16.149999999999999" customHeight="1" x14ac:dyDescent="0.25">
      <c r="A18" s="136">
        <f t="shared" ca="1" si="1"/>
        <v>44530</v>
      </c>
      <c r="B18" s="137">
        <f t="shared" ca="1" si="2"/>
        <v>568799.43675729656</v>
      </c>
      <c r="C18" s="137">
        <f ca="1">IF(ISNA(MATCH($A18,CashFlow!$C$4:$AO$4,0))=TRUE,0,OFFSET(CashFlow!$B$36,0,MATCH($A18,CashFlow!$C$4:$AO$4,0),1,1))</f>
        <v>0</v>
      </c>
      <c r="D18" s="138">
        <f t="shared" ca="1" si="3"/>
        <v>8868.1320962560239</v>
      </c>
      <c r="E18" s="138">
        <f t="shared" ca="1" si="4"/>
        <v>4384.4956583374942</v>
      </c>
      <c r="F18" s="138">
        <f t="shared" ca="1" si="0"/>
        <v>4483.6364379185297</v>
      </c>
      <c r="G18" s="139">
        <f ca="1">IF(ROUND(SUM(B18:C18,-F18),0)=0,0,IF($B$6="Yes",SUM($C$9:C18),SUM(B18:C18,-F18)))</f>
        <v>564315.80031937803</v>
      </c>
    </row>
    <row r="19" spans="1:7" s="102" customFormat="1" ht="16.149999999999999" customHeight="1" x14ac:dyDescent="0.25">
      <c r="A19" s="136">
        <f t="shared" ca="1" si="1"/>
        <v>44561</v>
      </c>
      <c r="B19" s="137">
        <f t="shared" ca="1" si="2"/>
        <v>564315.80031937803</v>
      </c>
      <c r="C19" s="137">
        <f ca="1">IF(ISNA(MATCH($A19,CashFlow!$C$4:$AO$4,0))=TRUE,0,OFFSET(CashFlow!$B$36,0,MATCH($A19,CashFlow!$C$4:$AO$4,0),1,1))</f>
        <v>0</v>
      </c>
      <c r="D19" s="138">
        <f t="shared" ca="1" si="3"/>
        <v>8868.1320962560239</v>
      </c>
      <c r="E19" s="138">
        <f t="shared" ca="1" si="4"/>
        <v>4349.9342941285386</v>
      </c>
      <c r="F19" s="138">
        <f t="shared" ca="1" si="0"/>
        <v>4518.1978021274854</v>
      </c>
      <c r="G19" s="139">
        <f ca="1">IF(ROUND(SUM(B19:C19,-F19),0)=0,0,IF($B$6="Yes",SUM($C$9:C19),SUM(B19:C19,-F19)))</f>
        <v>559797.60251725058</v>
      </c>
    </row>
    <row r="20" spans="1:7" ht="16.149999999999999" customHeight="1" x14ac:dyDescent="0.25">
      <c r="A20" s="136">
        <f t="shared" ca="1" si="1"/>
        <v>44592</v>
      </c>
      <c r="B20" s="137">
        <f t="shared" ca="1" si="2"/>
        <v>559797.60251725058</v>
      </c>
      <c r="C20" s="137">
        <f ca="1">IF(ISNA(MATCH($A20,CashFlow!$C$4:$AO$4,0))=TRUE,0,OFFSET(CashFlow!$B$36,0,MATCH($A20,CashFlow!$C$4:$AO$4,0),1,1))</f>
        <v>0</v>
      </c>
      <c r="D20" s="138">
        <f t="shared" ca="1" si="3"/>
        <v>8868.1320962560239</v>
      </c>
      <c r="E20" s="138">
        <f t="shared" ca="1" si="4"/>
        <v>4315.1065194038065</v>
      </c>
      <c r="F20" s="138">
        <f t="shared" ca="1" si="0"/>
        <v>4553.0255768522175</v>
      </c>
      <c r="G20" s="139">
        <f ca="1">IF(ROUND(SUM(B20:C20,-F20),0)=0,0,IF($B$6="Yes",SUM($C$9:C20),SUM(B20:C20,-F20)))</f>
        <v>555244.57694039831</v>
      </c>
    </row>
    <row r="21" spans="1:7" ht="16.149999999999999" customHeight="1" x14ac:dyDescent="0.25">
      <c r="A21" s="136">
        <f t="shared" ca="1" si="1"/>
        <v>44620</v>
      </c>
      <c r="B21" s="137">
        <f t="shared" ca="1" si="2"/>
        <v>555244.57694039831</v>
      </c>
      <c r="C21" s="137">
        <f ca="1">IF(ISNA(MATCH($A21,CashFlow!$C$4:$AO$4,0))=TRUE,0,OFFSET(CashFlow!$B$36,0,MATCH($A21,CashFlow!$C$4:$AO$4,0),1,1))</f>
        <v>0</v>
      </c>
      <c r="D21" s="138">
        <f t="shared" ca="1" si="3"/>
        <v>8868.1320962560239</v>
      </c>
      <c r="E21" s="138">
        <f t="shared" ca="1" si="4"/>
        <v>4280.0102805822371</v>
      </c>
      <c r="F21" s="138">
        <f t="shared" ca="1" si="0"/>
        <v>4588.1218156737868</v>
      </c>
      <c r="G21" s="139">
        <f ca="1">IF(ROUND(SUM(B21:C21,-F21),0)=0,0,IF($B$6="Yes",SUM($C$9:C21),SUM(B21:C21,-F21)))</f>
        <v>550656.45512472454</v>
      </c>
    </row>
    <row r="22" spans="1:7" ht="16.149999999999999" customHeight="1" x14ac:dyDescent="0.25">
      <c r="A22" s="136">
        <f t="shared" ca="1" si="1"/>
        <v>44651</v>
      </c>
      <c r="B22" s="137">
        <f t="shared" ca="1" si="2"/>
        <v>550656.45512472454</v>
      </c>
      <c r="C22" s="137">
        <f ca="1">IF(ISNA(MATCH($A22,CashFlow!$C$4:$AO$4,0))=TRUE,0,OFFSET(CashFlow!$B$36,0,MATCH($A22,CashFlow!$C$4:$AO$4,0),1,1))</f>
        <v>0</v>
      </c>
      <c r="D22" s="138">
        <f t="shared" ca="1" si="3"/>
        <v>8868.1320962560239</v>
      </c>
      <c r="E22" s="138">
        <f t="shared" ca="1" si="4"/>
        <v>4244.6435082530852</v>
      </c>
      <c r="F22" s="138">
        <f t="shared" ca="1" si="0"/>
        <v>4623.4885880029387</v>
      </c>
      <c r="G22" s="139">
        <f ca="1">IF(ROUND(SUM(B22:C22,-F22),0)=0,0,IF($B$6="Yes",SUM($C$9:C22),SUM(B22:C22,-F22)))</f>
        <v>546032.96653672156</v>
      </c>
    </row>
    <row r="23" spans="1:7" s="141" customFormat="1" ht="16.149999999999999" customHeight="1" x14ac:dyDescent="0.25">
      <c r="A23" s="136">
        <f t="shared" ca="1" si="1"/>
        <v>44681</v>
      </c>
      <c r="B23" s="137">
        <f t="shared" ca="1" si="2"/>
        <v>546032.96653672156</v>
      </c>
      <c r="C23" s="137">
        <f ca="1">IF(ISNA(MATCH($A23,CashFlow!$C$4:$AO$4,0))=TRUE,0,OFFSET(CashFlow!$B$36,0,MATCH($A23,CashFlow!$C$4:$AO$4,0),1,1))</f>
        <v>0</v>
      </c>
      <c r="D23" s="138">
        <f t="shared" ca="1" si="3"/>
        <v>8868.1320962560239</v>
      </c>
      <c r="E23" s="138">
        <f t="shared" ca="1" si="4"/>
        <v>4209.0041170538952</v>
      </c>
      <c r="F23" s="138">
        <f t="shared" ca="1" si="0"/>
        <v>4659.1279792021287</v>
      </c>
      <c r="G23" s="139">
        <f ca="1">IF(ROUND(SUM(B23:C23,-F23),0)=0,0,IF($B$6="Yes",SUM($C$9:C23),SUM(B23:C23,-F23)))</f>
        <v>541373.83855751948</v>
      </c>
    </row>
    <row r="24" spans="1:7" ht="16.149999999999999" customHeight="1" x14ac:dyDescent="0.25">
      <c r="A24" s="136">
        <f t="shared" ca="1" si="1"/>
        <v>44712</v>
      </c>
      <c r="B24" s="137">
        <f t="shared" ca="1" si="2"/>
        <v>541373.83855751948</v>
      </c>
      <c r="C24" s="137">
        <f ca="1">IF(ISNA(MATCH($A24,CashFlow!$C$4:$AO$4,0))=TRUE,0,OFFSET(CashFlow!$B$36,0,MATCH($A24,CashFlow!$C$4:$AO$4,0),1,1))</f>
        <v>0</v>
      </c>
      <c r="D24" s="138">
        <f t="shared" ca="1" si="3"/>
        <v>8868.1320962560239</v>
      </c>
      <c r="E24" s="138">
        <f t="shared" ca="1" si="4"/>
        <v>4173.0900055475458</v>
      </c>
      <c r="F24" s="138">
        <f t="shared" ca="1" si="0"/>
        <v>4695.0420907084781</v>
      </c>
      <c r="G24" s="139">
        <f ca="1">IF(ROUND(SUM(B24:C24,-F24),0)=0,0,IF($B$6="Yes",SUM($C$9:C24),SUM(B24:C24,-F24)))</f>
        <v>536678.79646681098</v>
      </c>
    </row>
    <row r="25" spans="1:7" ht="16.149999999999999" customHeight="1" x14ac:dyDescent="0.25">
      <c r="A25" s="136">
        <f t="shared" ca="1" si="1"/>
        <v>44742</v>
      </c>
      <c r="B25" s="137">
        <f t="shared" ca="1" si="2"/>
        <v>536678.79646681098</v>
      </c>
      <c r="C25" s="137">
        <f ca="1">IF(ISNA(MATCH($A25,CashFlow!$C$4:$AO$4,0))=TRUE,0,OFFSET(CashFlow!$B$36,0,MATCH($A25,CashFlow!$C$4:$AO$4,0),1,1))</f>
        <v>0</v>
      </c>
      <c r="D25" s="138">
        <f t="shared" ca="1" si="3"/>
        <v>8868.1320962560239</v>
      </c>
      <c r="E25" s="138">
        <f t="shared" ca="1" si="4"/>
        <v>4136.8990560983348</v>
      </c>
      <c r="F25" s="138">
        <f t="shared" ca="1" si="0"/>
        <v>4731.2330401576892</v>
      </c>
      <c r="G25" s="139">
        <f ca="1">IF(ROUND(SUM(B25:C25,-F25),0)=0,0,IF($B$6="Yes",SUM($C$9:C25),SUM(B25:C25,-F25)))</f>
        <v>531947.56342665327</v>
      </c>
    </row>
    <row r="26" spans="1:7" ht="16.149999999999999" customHeight="1" x14ac:dyDescent="0.25">
      <c r="A26" s="136">
        <f t="shared" ca="1" si="1"/>
        <v>44773</v>
      </c>
      <c r="B26" s="137">
        <f t="shared" ca="1" si="2"/>
        <v>531947.56342665327</v>
      </c>
      <c r="C26" s="137">
        <f ca="1">IF(ISNA(MATCH($A26,CashFlow!$C$4:$AO$4,0))=TRUE,0,OFFSET(CashFlow!$B$36,0,MATCH($A26,CashFlow!$C$4:$AO$4,0),1,1))</f>
        <v>0</v>
      </c>
      <c r="D26" s="138">
        <f t="shared" ca="1" si="3"/>
        <v>8868.1320962560239</v>
      </c>
      <c r="E26" s="138">
        <f t="shared" ca="1" si="4"/>
        <v>4100.429134747119</v>
      </c>
      <c r="F26" s="138">
        <f t="shared" ca="1" si="0"/>
        <v>4767.702961508905</v>
      </c>
      <c r="G26" s="139">
        <f ca="1">IF(ROUND(SUM(B26:C26,-F26),0)=0,0,IF($B$6="Yes",SUM($C$9:C26),SUM(B26:C26,-F26)))</f>
        <v>527179.86046514439</v>
      </c>
    </row>
    <row r="27" spans="1:7" ht="16.149999999999999" customHeight="1" x14ac:dyDescent="0.25">
      <c r="A27" s="136">
        <f t="shared" ca="1" si="1"/>
        <v>44804</v>
      </c>
      <c r="B27" s="137">
        <f t="shared" ca="1" si="2"/>
        <v>527179.86046514439</v>
      </c>
      <c r="C27" s="137">
        <f ca="1">IF(ISNA(MATCH($A27,CashFlow!$C$4:$AO$4,0))=TRUE,0,OFFSET(CashFlow!$B$36,0,MATCH($A27,CashFlow!$C$4:$AO$4,0),1,1))</f>
        <v>0</v>
      </c>
      <c r="D27" s="138">
        <f t="shared" ca="1" si="3"/>
        <v>8868.1320962560239</v>
      </c>
      <c r="E27" s="138">
        <f t="shared" ca="1" si="4"/>
        <v>4063.6780910854882</v>
      </c>
      <c r="F27" s="138">
        <f t="shared" ca="1" si="0"/>
        <v>4804.4540051705353</v>
      </c>
      <c r="G27" s="139">
        <f ca="1">IF(ROUND(SUM(B27:C27,-F27),0)=0,0,IF($B$6="Yes",SUM($C$9:C27),SUM(B27:C27,-F27)))</f>
        <v>522375.40645997383</v>
      </c>
    </row>
    <row r="28" spans="1:7" ht="16.149999999999999" customHeight="1" x14ac:dyDescent="0.25">
      <c r="A28" s="136">
        <f t="shared" ca="1" si="1"/>
        <v>44834</v>
      </c>
      <c r="B28" s="137">
        <f t="shared" ca="1" si="2"/>
        <v>522375.40645997383</v>
      </c>
      <c r="C28" s="137">
        <f ca="1">IF(ISNA(MATCH($A28,CashFlow!$C$4:$AO$4,0))=TRUE,0,OFFSET(CashFlow!$B$36,0,MATCH($A28,CashFlow!$C$4:$AO$4,0),1,1))</f>
        <v>0</v>
      </c>
      <c r="D28" s="138">
        <f t="shared" ca="1" si="3"/>
        <v>8868.1320962560239</v>
      </c>
      <c r="E28" s="138">
        <f t="shared" ca="1" si="4"/>
        <v>4026.6437581289647</v>
      </c>
      <c r="F28" s="138">
        <f t="shared" ca="1" si="0"/>
        <v>4841.4883381270593</v>
      </c>
      <c r="G28" s="139">
        <f ca="1">IF(ROUND(SUM(B28:C28,-F28),0)=0,0,IF($B$6="Yes",SUM($C$9:C28),SUM(B28:C28,-F28)))</f>
        <v>517533.9181218468</v>
      </c>
    </row>
    <row r="29" spans="1:7" ht="16.149999999999999" customHeight="1" x14ac:dyDescent="0.25">
      <c r="A29" s="136">
        <f t="shared" ca="1" si="1"/>
        <v>44865</v>
      </c>
      <c r="B29" s="137">
        <f t="shared" ca="1" si="2"/>
        <v>517533.9181218468</v>
      </c>
      <c r="C29" s="137">
        <f ca="1">IF(ISNA(MATCH($A29,CashFlow!$C$4:$AO$4,0))=TRUE,0,OFFSET(CashFlow!$B$36,0,MATCH($A29,CashFlow!$C$4:$AO$4,0),1,1))</f>
        <v>0</v>
      </c>
      <c r="D29" s="138">
        <f t="shared" ca="1" si="3"/>
        <v>8868.1320962560239</v>
      </c>
      <c r="E29" s="138">
        <f t="shared" ca="1" si="4"/>
        <v>3989.3239521892356</v>
      </c>
      <c r="F29" s="138">
        <f t="shared" ca="1" si="0"/>
        <v>4878.8081440667884</v>
      </c>
      <c r="G29" s="139">
        <f ca="1">IF(ROUND(SUM(B29:C29,-F29),0)=0,0,IF($B$6="Yes",SUM($C$9:C29),SUM(B29:C29,-F29)))</f>
        <v>512655.10997778003</v>
      </c>
    </row>
    <row r="30" spans="1:7" ht="16.149999999999999" customHeight="1" x14ac:dyDescent="0.25">
      <c r="A30" s="136">
        <f t="shared" ca="1" si="1"/>
        <v>44895</v>
      </c>
      <c r="B30" s="137">
        <f t="shared" ca="1" si="2"/>
        <v>512655.10997778003</v>
      </c>
      <c r="C30" s="137">
        <f ca="1">IF(ISNA(MATCH($A30,CashFlow!$C$4:$AO$4,0))=TRUE,0,OFFSET(CashFlow!$B$36,0,MATCH($A30,CashFlow!$C$4:$AO$4,0),1,1))</f>
        <v>0</v>
      </c>
      <c r="D30" s="138">
        <f t="shared" ca="1" si="3"/>
        <v>8868.1320962560239</v>
      </c>
      <c r="E30" s="138">
        <f t="shared" ca="1" si="4"/>
        <v>3951.7164727453874</v>
      </c>
      <c r="F30" s="138">
        <f t="shared" ca="1" si="0"/>
        <v>4916.4156235106366</v>
      </c>
      <c r="G30" s="139">
        <f ca="1">IF(ROUND(SUM(B30:C30,-F30),0)=0,0,IF($B$6="Yes",SUM($C$9:C30),SUM(B30:C30,-F30)))</f>
        <v>507738.69435426936</v>
      </c>
    </row>
    <row r="31" spans="1:7" ht="16.149999999999999" customHeight="1" x14ac:dyDescent="0.25">
      <c r="A31" s="136">
        <f t="shared" ca="1" si="1"/>
        <v>44926</v>
      </c>
      <c r="B31" s="137">
        <f t="shared" ca="1" si="2"/>
        <v>507738.69435426936</v>
      </c>
      <c r="C31" s="137">
        <f ca="1">IF(ISNA(MATCH($A31,CashFlow!$C$4:$AO$4,0))=TRUE,0,OFFSET(CashFlow!$B$36,0,MATCH($A31,CashFlow!$C$4:$AO$4,0),1,1))</f>
        <v>0</v>
      </c>
      <c r="D31" s="138">
        <f t="shared" ca="1" si="3"/>
        <v>8868.1320962560239</v>
      </c>
      <c r="E31" s="138">
        <f t="shared" ca="1" si="4"/>
        <v>3913.8191023141594</v>
      </c>
      <c r="F31" s="138">
        <f t="shared" ca="1" si="0"/>
        <v>4954.312993941865</v>
      </c>
      <c r="G31" s="139">
        <f ca="1">IF(ROUND(SUM(B31:C31,-F31),0)=0,0,IF($B$6="Yes",SUM($C$9:C31),SUM(B31:C31,-F31)))</f>
        <v>502784.38136032748</v>
      </c>
    </row>
    <row r="32" spans="1:7" ht="16.149999999999999" customHeight="1" x14ac:dyDescent="0.25">
      <c r="A32" s="136">
        <f t="shared" ca="1" si="1"/>
        <v>44957</v>
      </c>
      <c r="B32" s="137">
        <f t="shared" ca="1" si="2"/>
        <v>502784.38136032748</v>
      </c>
      <c r="C32" s="137">
        <f ca="1">IF(ISNA(MATCH($A32,CashFlow!$C$4:$AO$4,0))=TRUE,0,OFFSET(CashFlow!$B$36,0,MATCH($A32,CashFlow!$C$4:$AO$4,0),1,1))</f>
        <v>0</v>
      </c>
      <c r="D32" s="138">
        <f t="shared" ca="1" si="3"/>
        <v>8868.1320962560239</v>
      </c>
      <c r="E32" s="138">
        <f t="shared" ca="1" si="4"/>
        <v>3875.6296063191908</v>
      </c>
      <c r="F32" s="138">
        <f t="shared" ca="1" si="0"/>
        <v>4992.5024899368327</v>
      </c>
      <c r="G32" s="139">
        <f ca="1">IF(ROUND(SUM(B32:C32,-F32),0)=0,0,IF($B$6="Yes",SUM($C$9:C32),SUM(B32:C32,-F32)))</f>
        <v>497791.87887039065</v>
      </c>
    </row>
    <row r="33" spans="1:7" ht="16.149999999999999" customHeight="1" x14ac:dyDescent="0.25">
      <c r="A33" s="136">
        <f t="shared" ca="1" si="1"/>
        <v>44985</v>
      </c>
      <c r="B33" s="137">
        <f t="shared" ca="1" si="2"/>
        <v>497791.87887039065</v>
      </c>
      <c r="C33" s="137">
        <f ca="1">IF(ISNA(MATCH($A33,CashFlow!$C$4:$AO$4,0))=TRUE,0,OFFSET(CashFlow!$B$36,0,MATCH($A33,CashFlow!$C$4:$AO$4,0),1,1))</f>
        <v>0</v>
      </c>
      <c r="D33" s="138">
        <f t="shared" ca="1" si="3"/>
        <v>8868.1320962560239</v>
      </c>
      <c r="E33" s="138">
        <f t="shared" ca="1" si="4"/>
        <v>3837.1457329592613</v>
      </c>
      <c r="F33" s="138">
        <f t="shared" ca="1" si="0"/>
        <v>5030.9863632967626</v>
      </c>
      <c r="G33" s="139">
        <f ca="1">IF(ROUND(SUM(B33:C33,-F33),0)=0,0,IF($B$6="Yes",SUM($C$9:C33),SUM(B33:C33,-F33)))</f>
        <v>492760.8925070939</v>
      </c>
    </row>
    <row r="34" spans="1:7" ht="16.149999999999999" customHeight="1" x14ac:dyDescent="0.25">
      <c r="A34" s="136">
        <f t="shared" ca="1" si="1"/>
        <v>45016</v>
      </c>
      <c r="B34" s="137">
        <f t="shared" ca="1" si="2"/>
        <v>492760.8925070939</v>
      </c>
      <c r="C34" s="137">
        <f ca="1">IF(ISNA(MATCH($A34,CashFlow!$C$4:$AO$4,0))=TRUE,0,OFFSET(CashFlow!$B$36,0,MATCH($A34,CashFlow!$C$4:$AO$4,0),1,1))</f>
        <v>0</v>
      </c>
      <c r="D34" s="138">
        <f t="shared" ca="1" si="3"/>
        <v>8868.1320962560239</v>
      </c>
      <c r="E34" s="138">
        <f t="shared" ca="1" si="4"/>
        <v>3798.3652130755158</v>
      </c>
      <c r="F34" s="138">
        <f t="shared" ca="1" si="0"/>
        <v>5069.7668831805076</v>
      </c>
      <c r="G34" s="139">
        <f ca="1">IF(ROUND(SUM(B34:C34,-F34),0)=0,0,IF($B$6="Yes",SUM($C$9:C34),SUM(B34:C34,-F34)))</f>
        <v>487691.12562391337</v>
      </c>
    </row>
    <row r="35" spans="1:7" ht="16.149999999999999" customHeight="1" x14ac:dyDescent="0.25">
      <c r="A35" s="136">
        <f t="shared" ca="1" si="1"/>
        <v>45046</v>
      </c>
      <c r="B35" s="137">
        <f t="shared" ca="1" si="2"/>
        <v>487691.12562391337</v>
      </c>
      <c r="C35" s="137">
        <f ca="1">IF(ISNA(MATCH($A35,CashFlow!$C$4:$AO$4,0))=TRUE,0,OFFSET(CashFlow!$B$36,0,MATCH($A35,CashFlow!$C$4:$AO$4,0),1,1))</f>
        <v>0</v>
      </c>
      <c r="D35" s="138">
        <f t="shared" ca="1" si="3"/>
        <v>8868.1320962560239</v>
      </c>
      <c r="E35" s="138">
        <f t="shared" ca="1" si="4"/>
        <v>3759.2857600176653</v>
      </c>
      <c r="F35" s="138">
        <f t="shared" ca="1" si="0"/>
        <v>5108.8463362383591</v>
      </c>
      <c r="G35" s="139">
        <f ca="1">IF(ROUND(SUM(B35:C35,-F35),0)=0,0,IF($B$6="Yes",SUM($C$9:C35),SUM(B35:C35,-F35)))</f>
        <v>482582.27928767499</v>
      </c>
    </row>
    <row r="36" spans="1:7" ht="16.149999999999999" customHeight="1" x14ac:dyDescent="0.25">
      <c r="A36" s="136">
        <f t="shared" ca="1" si="1"/>
        <v>45077</v>
      </c>
      <c r="B36" s="137">
        <f t="shared" ca="1" si="2"/>
        <v>482582.27928767499</v>
      </c>
      <c r="C36" s="137">
        <f ca="1">IF(ISNA(MATCH($A36,CashFlow!$C$4:$AO$4,0))=TRUE,0,OFFSET(CashFlow!$B$36,0,MATCH($A36,CashFlow!$C$4:$AO$4,0),1,1))</f>
        <v>0</v>
      </c>
      <c r="D36" s="138">
        <f t="shared" ca="1" si="3"/>
        <v>8868.1320962560239</v>
      </c>
      <c r="E36" s="138">
        <f t="shared" ca="1" si="4"/>
        <v>3719.9050695091614</v>
      </c>
      <c r="F36" s="138">
        <f t="shared" ca="1" si="0"/>
        <v>5148.227026746863</v>
      </c>
      <c r="G36" s="139">
        <f ca="1">IF(ROUND(SUM(B36:C36,-F36),0)=0,0,IF($B$6="Yes",SUM($C$9:C36),SUM(B36:C36,-F36)))</f>
        <v>477434.05226092815</v>
      </c>
    </row>
    <row r="37" spans="1:7" ht="16.149999999999999" customHeight="1" x14ac:dyDescent="0.25">
      <c r="A37" s="136">
        <f t="shared" ca="1" si="1"/>
        <v>45107</v>
      </c>
      <c r="B37" s="137">
        <f t="shared" ca="1" si="2"/>
        <v>477434.05226092815</v>
      </c>
      <c r="C37" s="137">
        <f ca="1">IF(ISNA(MATCH($A37,CashFlow!$C$4:$AO$4,0))=TRUE,0,OFFSET(CashFlow!$B$36,0,MATCH($A37,CashFlow!$C$4:$AO$4,0),1,1))</f>
        <v>0</v>
      </c>
      <c r="D37" s="138">
        <f t="shared" ca="1" si="3"/>
        <v>8868.1320962560239</v>
      </c>
      <c r="E37" s="138">
        <f t="shared" ca="1" si="4"/>
        <v>3680.2208195113212</v>
      </c>
      <c r="F37" s="138">
        <f t="shared" ca="1" si="0"/>
        <v>5187.9112767447023</v>
      </c>
      <c r="G37" s="139">
        <f ca="1">IF(ROUND(SUM(B37:C37,-F37),0)=0,0,IF($B$6="Yes",SUM($C$9:C37),SUM(B37:C37,-F37)))</f>
        <v>472246.14098418347</v>
      </c>
    </row>
    <row r="38" spans="1:7" ht="16.149999999999999" customHeight="1" x14ac:dyDescent="0.25">
      <c r="A38" s="136">
        <f t="shared" ca="1" si="1"/>
        <v>45138</v>
      </c>
      <c r="B38" s="137">
        <f t="shared" ca="1" si="2"/>
        <v>472246.14098418347</v>
      </c>
      <c r="C38" s="137">
        <f ca="1">IF(ISNA(MATCH($A38,CashFlow!$C$4:$AO$4,0))=TRUE,0,OFFSET(CashFlow!$B$36,0,MATCH($A38,CashFlow!$C$4:$AO$4,0),1,1))</f>
        <v>0</v>
      </c>
      <c r="D38" s="138">
        <f t="shared" ca="1" si="3"/>
        <v>8868.1320962560239</v>
      </c>
      <c r="E38" s="138">
        <f t="shared" ca="1" si="4"/>
        <v>3640.2306700864142</v>
      </c>
      <c r="F38" s="138">
        <f t="shared" ca="1" si="0"/>
        <v>5227.9014261696102</v>
      </c>
      <c r="G38" s="139">
        <f ca="1">IF(ROUND(SUM(B38:C38,-F38),0)=0,0,IF($B$6="Yes",SUM($C$9:C38),SUM(B38:C38,-F38)))</f>
        <v>467018.23955801385</v>
      </c>
    </row>
    <row r="39" spans="1:7" ht="16.149999999999999" customHeight="1" x14ac:dyDescent="0.25">
      <c r="A39" s="136">
        <f t="shared" ca="1" si="1"/>
        <v>45169</v>
      </c>
      <c r="B39" s="137">
        <f t="shared" ca="1" si="2"/>
        <v>467018.23955801385</v>
      </c>
      <c r="C39" s="137">
        <f ca="1">IF(ISNA(MATCH($A39,CashFlow!$C$4:$AO$4,0))=TRUE,0,OFFSET(CashFlow!$B$36,0,MATCH($A39,CashFlow!$C$4:$AO$4,0),1,1))</f>
        <v>0</v>
      </c>
      <c r="D39" s="138">
        <f t="shared" ca="1" si="3"/>
        <v>8868.1320962560239</v>
      </c>
      <c r="E39" s="138">
        <f t="shared" ca="1" si="4"/>
        <v>3599.93226325969</v>
      </c>
      <c r="F39" s="138">
        <f t="shared" ca="1" si="0"/>
        <v>5268.1998329963335</v>
      </c>
      <c r="G39" s="139">
        <f ca="1">IF(ROUND(SUM(B39:C39,-F39),0)=0,0,IF($B$6="Yes",SUM($C$9:C39),SUM(B39:C39,-F39)))</f>
        <v>461750.0397250175</v>
      </c>
    </row>
    <row r="40" spans="1:7" ht="16.149999999999999" customHeight="1" x14ac:dyDescent="0.25">
      <c r="A40" s="136">
        <f t="shared" ca="1" si="1"/>
        <v>45199</v>
      </c>
      <c r="B40" s="137">
        <f t="shared" ca="1" si="2"/>
        <v>461750.0397250175</v>
      </c>
      <c r="C40" s="137">
        <f ca="1">IF(ISNA(MATCH($A40,CashFlow!$C$4:$AO$4,0))=TRUE,0,OFFSET(CashFlow!$B$36,0,MATCH($A40,CashFlow!$C$4:$AO$4,0),1,1))</f>
        <v>0</v>
      </c>
      <c r="D40" s="138">
        <f t="shared" ca="1" si="3"/>
        <v>8868.1320962560239</v>
      </c>
      <c r="E40" s="138">
        <f t="shared" ca="1" si="4"/>
        <v>3559.3232228803431</v>
      </c>
      <c r="F40" s="138">
        <f t="shared" ca="1" si="0"/>
        <v>5308.8088733756813</v>
      </c>
      <c r="G40" s="139">
        <f ca="1">IF(ROUND(SUM(B40:C40,-F40),0)=0,0,IF($B$6="Yes",SUM($C$9:C40),SUM(B40:C40,-F40)))</f>
        <v>456441.2308516418</v>
      </c>
    </row>
    <row r="41" spans="1:7" ht="16.149999999999999" customHeight="1" x14ac:dyDescent="0.25">
      <c r="A41" s="136">
        <f t="shared" ca="1" si="1"/>
        <v>45230</v>
      </c>
      <c r="B41" s="137">
        <f t="shared" ca="1" si="2"/>
        <v>456441.2308516418</v>
      </c>
      <c r="C41" s="137">
        <f ca="1">IF(ISNA(MATCH($A41,CashFlow!$C$4:$AO$4,0))=TRUE,0,OFFSET(CashFlow!$B$36,0,MATCH($A41,CashFlow!$C$4:$AO$4,0),1,1))</f>
        <v>0</v>
      </c>
      <c r="D41" s="138">
        <f t="shared" ca="1" si="3"/>
        <v>8868.1320962560239</v>
      </c>
      <c r="E41" s="138">
        <f t="shared" ca="1" si="4"/>
        <v>3518.4011544814057</v>
      </c>
      <c r="F41" s="138">
        <f t="shared" ca="1" si="0"/>
        <v>5349.7309417746183</v>
      </c>
      <c r="G41" s="139">
        <f ca="1">IF(ROUND(SUM(B41:C41,-F41),0)=0,0,IF($B$6="Yes",SUM($C$9:C41),SUM(B41:C41,-F41)))</f>
        <v>451091.49990986718</v>
      </c>
    </row>
    <row r="42" spans="1:7" ht="16.149999999999999" customHeight="1" x14ac:dyDescent="0.25">
      <c r="A42" s="136">
        <f t="shared" ca="1" si="1"/>
        <v>45260</v>
      </c>
      <c r="B42" s="137">
        <f t="shared" ca="1" si="2"/>
        <v>451091.49990986718</v>
      </c>
      <c r="C42" s="137">
        <f ca="1">IF(ISNA(MATCH($A42,CashFlow!$C$4:$AO$4,0))=TRUE,0,OFFSET(CashFlow!$B$36,0,MATCH($A42,CashFlow!$C$4:$AO$4,0),1,1))</f>
        <v>0</v>
      </c>
      <c r="D42" s="138">
        <f t="shared" ca="1" si="3"/>
        <v>8868.1320962560239</v>
      </c>
      <c r="E42" s="138">
        <f t="shared" ca="1" si="4"/>
        <v>3477.1636451385598</v>
      </c>
      <c r="F42" s="138">
        <f t="shared" ca="1" si="0"/>
        <v>5390.9684511174637</v>
      </c>
      <c r="G42" s="139">
        <f ca="1">IF(ROUND(SUM(B42:C42,-F42),0)=0,0,IF($B$6="Yes",SUM($C$9:C42),SUM(B42:C42,-F42)))</f>
        <v>445700.53145874973</v>
      </c>
    </row>
    <row r="43" spans="1:7" ht="16.149999999999999" customHeight="1" x14ac:dyDescent="0.25">
      <c r="A43" s="136">
        <f t="shared" ca="1" si="1"/>
        <v>45291</v>
      </c>
      <c r="B43" s="137">
        <f t="shared" ca="1" si="2"/>
        <v>445700.53145874973</v>
      </c>
      <c r="C43" s="137">
        <f ca="1">IF(ISNA(MATCH($A43,CashFlow!$C$4:$AO$4,0))=TRUE,0,OFFSET(CashFlow!$B$36,0,MATCH($A43,CashFlow!$C$4:$AO$4,0),1,1))</f>
        <v>0</v>
      </c>
      <c r="D43" s="138">
        <f t="shared" ca="1" si="3"/>
        <v>8868.1320962560239</v>
      </c>
      <c r="E43" s="138">
        <f t="shared" ca="1" si="4"/>
        <v>3435.6082633278625</v>
      </c>
      <c r="F43" s="138">
        <f t="shared" ca="1" si="0"/>
        <v>5432.5238329281619</v>
      </c>
      <c r="G43" s="139">
        <f ca="1">IF(ROUND(SUM(B43:C43,-F43),0)=0,0,IF($B$6="Yes",SUM($C$9:C43),SUM(B43:C43,-F43)))</f>
        <v>440268.00762582157</v>
      </c>
    </row>
    <row r="44" spans="1:7" ht="16.149999999999999" customHeight="1" x14ac:dyDescent="0.25">
      <c r="A44" s="136">
        <f t="shared" ca="1" si="1"/>
        <v>45322</v>
      </c>
      <c r="B44" s="137">
        <f t="shared" ca="1" si="2"/>
        <v>440268.00762582157</v>
      </c>
      <c r="C44" s="137">
        <f ca="1">IF(ISNA(MATCH($A44,CashFlow!$C$4:$AO$4,0))=TRUE,0,OFFSET(CashFlow!$B$36,0,MATCH($A44,CashFlow!$C$4:$AO$4,0),1,1))</f>
        <v>0</v>
      </c>
      <c r="D44" s="138">
        <f t="shared" ca="1" si="3"/>
        <v>8868.1320962560239</v>
      </c>
      <c r="E44" s="138">
        <f t="shared" ca="1" si="4"/>
        <v>3393.7325587823743</v>
      </c>
      <c r="F44" s="138">
        <f t="shared" ca="1" si="0"/>
        <v>5474.3995374736496</v>
      </c>
      <c r="G44" s="139">
        <f ca="1">IF(ROUND(SUM(B44:C44,-F44),0)=0,0,IF($B$6="Yes",SUM($C$9:C44),SUM(B44:C44,-F44)))</f>
        <v>434793.60808834794</v>
      </c>
    </row>
    <row r="45" spans="1:7" ht="16.149999999999999" customHeight="1" x14ac:dyDescent="0.25">
      <c r="A45" s="136">
        <f t="shared" ca="1" si="1"/>
        <v>45351</v>
      </c>
      <c r="B45" s="137">
        <f t="shared" ca="1" si="2"/>
        <v>434793.60808834794</v>
      </c>
      <c r="C45" s="137">
        <f ca="1">IF(ISNA(MATCH($A45,CashFlow!$C$4:$AO$4,0))=TRUE,0,OFFSET(CashFlow!$B$36,0,MATCH($A45,CashFlow!$C$4:$AO$4,0),1,1))</f>
        <v>0</v>
      </c>
      <c r="D45" s="138">
        <f t="shared" ca="1" si="3"/>
        <v>8868.1320962560239</v>
      </c>
      <c r="E45" s="138">
        <f t="shared" ca="1" si="4"/>
        <v>3351.5340623476823</v>
      </c>
      <c r="F45" s="138">
        <f t="shared" ca="1" si="0"/>
        <v>5516.5980339083417</v>
      </c>
      <c r="G45" s="139">
        <f ca="1">IF(ROUND(SUM(B45:C45,-F45),0)=0,0,IF($B$6="Yes",SUM($C$9:C45),SUM(B45:C45,-F45)))</f>
        <v>429277.0100544396</v>
      </c>
    </row>
    <row r="46" spans="1:7" ht="16.149999999999999" customHeight="1" x14ac:dyDescent="0.25">
      <c r="A46" s="136">
        <f t="shared" ca="1" si="1"/>
        <v>45382</v>
      </c>
      <c r="B46" s="137">
        <f t="shared" ca="1" si="2"/>
        <v>429277.0100544396</v>
      </c>
      <c r="C46" s="137">
        <f ca="1">IF(ISNA(MATCH($A46,CashFlow!$C$4:$AO$4,0))=TRUE,0,OFFSET(CashFlow!$B$36,0,MATCH($A46,CashFlow!$C$4:$AO$4,0),1,1))</f>
        <v>0</v>
      </c>
      <c r="D46" s="138">
        <f t="shared" ca="1" si="3"/>
        <v>8868.1320962560239</v>
      </c>
      <c r="E46" s="138">
        <f t="shared" ca="1" si="4"/>
        <v>3309.0102858363048</v>
      </c>
      <c r="F46" s="138">
        <f t="shared" ca="1" si="0"/>
        <v>5559.1218104197196</v>
      </c>
      <c r="G46" s="139">
        <f ca="1">IF(ROUND(SUM(B46:C46,-F46),0)=0,0,IF($B$6="Yes",SUM($C$9:C46),SUM(B46:C46,-F46)))</f>
        <v>423717.88824401988</v>
      </c>
    </row>
    <row r="47" spans="1:7" ht="16.149999999999999" customHeight="1" x14ac:dyDescent="0.25">
      <c r="A47" s="136">
        <f t="shared" ca="1" si="1"/>
        <v>45412</v>
      </c>
      <c r="B47" s="137">
        <f t="shared" ca="1" si="2"/>
        <v>423717.88824401988</v>
      </c>
      <c r="C47" s="137">
        <f ca="1">IF(ISNA(MATCH($A47,CashFlow!$C$4:$AO$4,0))=TRUE,0,OFFSET(CashFlow!$B$36,0,MATCH($A47,CashFlow!$C$4:$AO$4,0),1,1))</f>
        <v>0</v>
      </c>
      <c r="D47" s="138">
        <f t="shared" ca="1" si="3"/>
        <v>8868.1320962560239</v>
      </c>
      <c r="E47" s="138">
        <f t="shared" ca="1" si="4"/>
        <v>3266.1587218809868</v>
      </c>
      <c r="F47" s="138">
        <f t="shared" ca="1" si="0"/>
        <v>5601.9733743750367</v>
      </c>
      <c r="G47" s="139">
        <f ca="1">IF(ROUND(SUM(B47:C47,-F47),0)=0,0,IF($B$6="Yes",SUM($C$9:C47),SUM(B47:C47,-F47)))</f>
        <v>418115.91486964485</v>
      </c>
    </row>
    <row r="48" spans="1:7" ht="16.149999999999999" customHeight="1" x14ac:dyDescent="0.25">
      <c r="A48" s="136">
        <f t="shared" ca="1" si="1"/>
        <v>45443</v>
      </c>
      <c r="B48" s="137">
        <f t="shared" ca="1" si="2"/>
        <v>418115.91486964485</v>
      </c>
      <c r="C48" s="137">
        <f ca="1">IF(ISNA(MATCH($A48,CashFlow!$C$4:$AO$4,0))=TRUE,0,OFFSET(CashFlow!$B$36,0,MATCH($A48,CashFlow!$C$4:$AO$4,0),1,1))</f>
        <v>0</v>
      </c>
      <c r="D48" s="138">
        <f t="shared" ca="1" si="3"/>
        <v>8868.1320962560239</v>
      </c>
      <c r="E48" s="138">
        <f t="shared" ca="1" si="4"/>
        <v>3222.9768437868456</v>
      </c>
      <c r="F48" s="138">
        <f t="shared" ca="1" si="0"/>
        <v>5645.1552524691779</v>
      </c>
      <c r="G48" s="139">
        <f ca="1">IF(ROUND(SUM(B48:C48,-F48),0)=0,0,IF($B$6="Yes",SUM($C$9:C48),SUM(B48:C48,-F48)))</f>
        <v>412470.75961717567</v>
      </c>
    </row>
    <row r="49" spans="1:7" ht="16.149999999999999" customHeight="1" x14ac:dyDescent="0.25">
      <c r="A49" s="136">
        <f t="shared" ca="1" si="1"/>
        <v>45473</v>
      </c>
      <c r="B49" s="137">
        <f t="shared" ca="1" si="2"/>
        <v>412470.75961717567</v>
      </c>
      <c r="C49" s="137">
        <f ca="1">IF(ISNA(MATCH($A49,CashFlow!$C$4:$AO$4,0))=TRUE,0,OFFSET(CashFlow!$B$36,0,MATCH($A49,CashFlow!$C$4:$AO$4,0),1,1))</f>
        <v>0</v>
      </c>
      <c r="D49" s="138">
        <f t="shared" ca="1" si="3"/>
        <v>8868.1320962560239</v>
      </c>
      <c r="E49" s="138">
        <f t="shared" ca="1" si="4"/>
        <v>3179.4621053823957</v>
      </c>
      <c r="F49" s="138">
        <f t="shared" ca="1" si="0"/>
        <v>5688.6699908736282</v>
      </c>
      <c r="G49" s="139">
        <f ca="1">IF(ROUND(SUM(B49:C49,-F49),0)=0,0,IF($B$6="Yes",SUM($C$9:C49),SUM(B49:C49,-F49)))</f>
        <v>406782.08962630207</v>
      </c>
    </row>
    <row r="50" spans="1:7" ht="16.149999999999999" customHeight="1" x14ac:dyDescent="0.25">
      <c r="A50" s="136">
        <f t="shared" ca="1" si="1"/>
        <v>45504</v>
      </c>
      <c r="B50" s="137">
        <f t="shared" ca="1" si="2"/>
        <v>406782.08962630207</v>
      </c>
      <c r="C50" s="137">
        <f ca="1">IF(ISNA(MATCH($A50,CashFlow!$C$4:$AO$4,0))=TRUE,0,OFFSET(CashFlow!$B$36,0,MATCH($A50,CashFlow!$C$4:$AO$4,0),1,1))</f>
        <v>0</v>
      </c>
      <c r="D50" s="138">
        <f t="shared" ca="1" si="3"/>
        <v>8868.1320962560239</v>
      </c>
      <c r="E50" s="138">
        <f t="shared" ca="1" si="4"/>
        <v>3135.6119408694117</v>
      </c>
      <c r="F50" s="138">
        <f t="shared" ca="1" si="0"/>
        <v>5732.5201553866118</v>
      </c>
      <c r="G50" s="139">
        <f ca="1">IF(ROUND(SUM(B50:C50,-F50),0)=0,0,IF($B$6="Yes",SUM($C$9:C50),SUM(B50:C50,-F50)))</f>
        <v>401049.56947091548</v>
      </c>
    </row>
    <row r="51" spans="1:7" ht="16.149999999999999" customHeight="1" x14ac:dyDescent="0.25">
      <c r="A51" s="136">
        <f t="shared" ca="1" si="1"/>
        <v>45535</v>
      </c>
      <c r="B51" s="137">
        <f t="shared" ca="1" si="2"/>
        <v>401049.56947091548</v>
      </c>
      <c r="C51" s="137">
        <f ca="1">IF(ISNA(MATCH($A51,CashFlow!$C$4:$AO$4,0))=TRUE,0,OFFSET(CashFlow!$B$36,0,MATCH($A51,CashFlow!$C$4:$AO$4,0),1,1))</f>
        <v>0</v>
      </c>
      <c r="D51" s="138">
        <f t="shared" ca="1" si="3"/>
        <v>8868.1320962560239</v>
      </c>
      <c r="E51" s="138">
        <f t="shared" ca="1" si="4"/>
        <v>3091.4237646716397</v>
      </c>
      <c r="F51" s="138">
        <f t="shared" ca="1" si="0"/>
        <v>5776.7083315843847</v>
      </c>
      <c r="G51" s="139">
        <f ca="1">IF(ROUND(SUM(B51:C51,-F51),0)=0,0,IF($B$6="Yes",SUM($C$9:C51),SUM(B51:C51,-F51)))</f>
        <v>395272.86113933107</v>
      </c>
    </row>
    <row r="52" spans="1:7" ht="16.149999999999999" customHeight="1" x14ac:dyDescent="0.25">
      <c r="A52" s="136">
        <f t="shared" ca="1" si="1"/>
        <v>45565</v>
      </c>
      <c r="B52" s="137">
        <f t="shared" ca="1" si="2"/>
        <v>395272.86113933107</v>
      </c>
      <c r="C52" s="137">
        <f ca="1">IF(ISNA(MATCH($A52,CashFlow!$C$4:$AO$4,0))=TRUE,0,OFFSET(CashFlow!$B$36,0,MATCH($A52,CashFlow!$C$4:$AO$4,0),1,1))</f>
        <v>0</v>
      </c>
      <c r="D52" s="138">
        <f t="shared" ca="1" si="3"/>
        <v>8868.1320962560239</v>
      </c>
      <c r="E52" s="138">
        <f t="shared" ca="1" si="4"/>
        <v>3046.8949712823437</v>
      </c>
      <c r="F52" s="138">
        <f t="shared" ca="1" si="0"/>
        <v>5821.2371249736807</v>
      </c>
      <c r="G52" s="139">
        <f ca="1">IF(ROUND(SUM(B52:C52,-F52),0)=0,0,IF($B$6="Yes",SUM($C$9:C52),SUM(B52:C52,-F52)))</f>
        <v>389451.6240143574</v>
      </c>
    </row>
    <row r="53" spans="1:7" ht="16.149999999999999" customHeight="1" x14ac:dyDescent="0.25">
      <c r="A53" s="136">
        <f t="shared" ca="1" si="1"/>
        <v>45596</v>
      </c>
      <c r="B53" s="137">
        <f t="shared" ca="1" si="2"/>
        <v>389451.6240143574</v>
      </c>
      <c r="C53" s="137">
        <f ca="1">IF(ISNA(MATCH($A53,CashFlow!$C$4:$AO$4,0))=TRUE,0,OFFSET(CashFlow!$B$36,0,MATCH($A53,CashFlow!$C$4:$AO$4,0),1,1))</f>
        <v>0</v>
      </c>
      <c r="D53" s="138">
        <f t="shared" ca="1" si="3"/>
        <v>8868.1320962560239</v>
      </c>
      <c r="E53" s="138">
        <f t="shared" ca="1" si="4"/>
        <v>3002.0229351106718</v>
      </c>
      <c r="F53" s="138">
        <f t="shared" ca="1" si="0"/>
        <v>5866.1091611453521</v>
      </c>
      <c r="G53" s="139">
        <f ca="1">IF(ROUND(SUM(B53:C53,-F53),0)=0,0,IF($B$6="Yes",SUM($C$9:C53),SUM(B53:C53,-F53)))</f>
        <v>383585.51485321205</v>
      </c>
    </row>
    <row r="54" spans="1:7" ht="16.149999999999999" customHeight="1" x14ac:dyDescent="0.25">
      <c r="A54" s="136">
        <f t="shared" ca="1" si="1"/>
        <v>45626</v>
      </c>
      <c r="B54" s="137">
        <f t="shared" ca="1" si="2"/>
        <v>383585.51485321205</v>
      </c>
      <c r="C54" s="137">
        <f ca="1">IF(ISNA(MATCH($A54,CashFlow!$C$4:$AO$4,0))=TRUE,0,OFFSET(CashFlow!$B$36,0,MATCH($A54,CashFlow!$C$4:$AO$4,0),1,1))</f>
        <v>0</v>
      </c>
      <c r="D54" s="138">
        <f t="shared" ca="1" si="3"/>
        <v>8868.1320962560239</v>
      </c>
      <c r="E54" s="138">
        <f t="shared" ca="1" si="4"/>
        <v>2956.8050103268429</v>
      </c>
      <c r="F54" s="138">
        <f t="shared" ca="1" si="0"/>
        <v>5911.3270859291806</v>
      </c>
      <c r="G54" s="139">
        <f ca="1">IF(ROUND(SUM(B54:C54,-F54),0)=0,0,IF($B$6="Yes",SUM($C$9:C54),SUM(B54:C54,-F54)))</f>
        <v>377674.18776728289</v>
      </c>
    </row>
    <row r="55" spans="1:7" ht="16.149999999999999" customHeight="1" x14ac:dyDescent="0.25">
      <c r="A55" s="136">
        <f t="shared" ca="1" si="1"/>
        <v>45657</v>
      </c>
      <c r="B55" s="137">
        <f t="shared" ca="1" si="2"/>
        <v>377674.18776728289</v>
      </c>
      <c r="C55" s="137">
        <f ca="1">IF(ISNA(MATCH($A55,CashFlow!$C$4:$AO$4,0))=TRUE,0,OFFSET(CashFlow!$B$36,0,MATCH($A55,CashFlow!$C$4:$AO$4,0),1,1))</f>
        <v>0</v>
      </c>
      <c r="D55" s="138">
        <f t="shared" ca="1" si="3"/>
        <v>8868.1320962560239</v>
      </c>
      <c r="E55" s="138">
        <f t="shared" ca="1" si="4"/>
        <v>2911.238530706139</v>
      </c>
      <c r="F55" s="138">
        <f t="shared" ca="1" si="0"/>
        <v>5956.8935655498844</v>
      </c>
      <c r="G55" s="139">
        <f ca="1">IF(ROUND(SUM(B55:C55,-F55),0)=0,0,IF($B$6="Yes",SUM($C$9:C55),SUM(B55:C55,-F55)))</f>
        <v>371717.29420173302</v>
      </c>
    </row>
    <row r="56" spans="1:7" ht="16.149999999999999" customHeight="1" x14ac:dyDescent="0.25">
      <c r="A56" s="136">
        <f t="shared" ca="1" si="1"/>
        <v>45688</v>
      </c>
      <c r="B56" s="137">
        <f t="shared" ca="1" si="2"/>
        <v>371717.29420173302</v>
      </c>
      <c r="C56" s="137">
        <f ca="1">IF(ISNA(MATCH($A56,CashFlow!$C$4:$AO$4,0))=TRUE,0,OFFSET(CashFlow!$B$36,0,MATCH($A56,CashFlow!$C$4:$AO$4,0),1,1))</f>
        <v>0</v>
      </c>
      <c r="D56" s="138">
        <f t="shared" ca="1" si="3"/>
        <v>8868.1320962560239</v>
      </c>
      <c r="E56" s="138">
        <f t="shared" ca="1" si="4"/>
        <v>2865.320809471692</v>
      </c>
      <c r="F56" s="138">
        <f t="shared" ca="1" si="0"/>
        <v>6002.811286784332</v>
      </c>
      <c r="G56" s="139">
        <f ca="1">IF(ROUND(SUM(B56:C56,-F56),0)=0,0,IF($B$6="Yes",SUM($C$9:C56),SUM(B56:C56,-F56)))</f>
        <v>365714.48291494866</v>
      </c>
    </row>
    <row r="57" spans="1:7" ht="16.149999999999999" customHeight="1" x14ac:dyDescent="0.25">
      <c r="A57" s="136">
        <f t="shared" ca="1" si="1"/>
        <v>45716</v>
      </c>
      <c r="B57" s="137">
        <f t="shared" ca="1" si="2"/>
        <v>365714.48291494866</v>
      </c>
      <c r="C57" s="137">
        <f ca="1">IF(ISNA(MATCH($A57,CashFlow!$C$4:$AO$4,0))=TRUE,0,OFFSET(CashFlow!$B$36,0,MATCH($A57,CashFlow!$C$4:$AO$4,0),1,1))</f>
        <v>0</v>
      </c>
      <c r="D57" s="138">
        <f t="shared" ca="1" si="3"/>
        <v>8868.1320962560239</v>
      </c>
      <c r="E57" s="138">
        <f t="shared" ca="1" si="4"/>
        <v>2819.0491391360624</v>
      </c>
      <c r="F57" s="138">
        <f t="shared" ca="1" si="0"/>
        <v>6049.0829571199611</v>
      </c>
      <c r="G57" s="139">
        <f ca="1">IF(ROUND(SUM(B57:C57,-F57),0)=0,0,IF($B$6="Yes",SUM($C$9:C57),SUM(B57:C57,-F57)))</f>
        <v>359665.39995782869</v>
      </c>
    </row>
    <row r="58" spans="1:7" ht="16.149999999999999" customHeight="1" x14ac:dyDescent="0.25">
      <c r="A58" s="136">
        <f t="shared" ca="1" si="1"/>
        <v>45747</v>
      </c>
      <c r="B58" s="137">
        <f t="shared" ca="1" si="2"/>
        <v>359665.39995782869</v>
      </c>
      <c r="C58" s="137">
        <f ca="1">IF(ISNA(MATCH($A58,CashFlow!$C$4:$AO$4,0))=TRUE,0,OFFSET(CashFlow!$B$36,0,MATCH($A58,CashFlow!$C$4:$AO$4,0),1,1))</f>
        <v>0</v>
      </c>
      <c r="D58" s="138">
        <f t="shared" ca="1" si="3"/>
        <v>8868.1320962560239</v>
      </c>
      <c r="E58" s="138">
        <f t="shared" ca="1" si="4"/>
        <v>2772.4207913415962</v>
      </c>
      <c r="F58" s="138">
        <f t="shared" ca="1" si="0"/>
        <v>6095.7113049144282</v>
      </c>
      <c r="G58" s="139">
        <f ca="1">IF(ROUND(SUM(B58:C58,-F58),0)=0,0,IF($B$6="Yes",SUM($C$9:C58),SUM(B58:C58,-F58)))</f>
        <v>353569.68865291425</v>
      </c>
    </row>
    <row r="59" spans="1:7" ht="16.149999999999999" customHeight="1" x14ac:dyDescent="0.25">
      <c r="A59" s="136">
        <f t="shared" ca="1" si="1"/>
        <v>45777</v>
      </c>
      <c r="B59" s="137">
        <f t="shared" ca="1" si="2"/>
        <v>353569.68865291425</v>
      </c>
      <c r="C59" s="137">
        <f ca="1">IF(ISNA(MATCH($A59,CashFlow!$C$4:$AO$4,0))=TRUE,0,OFFSET(CashFlow!$B$36,0,MATCH($A59,CashFlow!$C$4:$AO$4,0),1,1))</f>
        <v>0</v>
      </c>
      <c r="D59" s="138">
        <f t="shared" ca="1" si="3"/>
        <v>8868.1320962560239</v>
      </c>
      <c r="E59" s="138">
        <f t="shared" ca="1" si="4"/>
        <v>2725.4330166995474</v>
      </c>
      <c r="F59" s="138">
        <f t="shared" ca="1" si="0"/>
        <v>6142.6990795564761</v>
      </c>
      <c r="G59" s="139">
        <f ca="1">IF(ROUND(SUM(B59:C59,-F59),0)=0,0,IF($B$6="Yes",SUM($C$9:C59),SUM(B59:C59,-F59)))</f>
        <v>347426.9895733578</v>
      </c>
    </row>
    <row r="60" spans="1:7" ht="16.149999999999999" customHeight="1" x14ac:dyDescent="0.25">
      <c r="A60" s="136">
        <f t="shared" ca="1" si="1"/>
        <v>45808</v>
      </c>
      <c r="B60" s="137">
        <f t="shared" ca="1" si="2"/>
        <v>347426.9895733578</v>
      </c>
      <c r="C60" s="137">
        <f ca="1">IF(ISNA(MATCH($A60,CashFlow!$C$4:$AO$4,0))=TRUE,0,OFFSET(CashFlow!$B$36,0,MATCH($A60,CashFlow!$C$4:$AO$4,0),1,1))</f>
        <v>0</v>
      </c>
      <c r="D60" s="138">
        <f t="shared" ca="1" si="3"/>
        <v>8868.1320962560239</v>
      </c>
      <c r="E60" s="138">
        <f t="shared" ca="1" si="4"/>
        <v>2678.0830446279665</v>
      </c>
      <c r="F60" s="138">
        <f t="shared" ca="1" si="0"/>
        <v>6190.049051628057</v>
      </c>
      <c r="G60" s="139">
        <f ca="1">IF(ROUND(SUM(B60:C60,-F60),0)=0,0,IF($B$6="Yes",SUM($C$9:C60),SUM(B60:C60,-F60)))</f>
        <v>341236.94052172976</v>
      </c>
    </row>
    <row r="61" spans="1:7" ht="16.149999999999999" customHeight="1" x14ac:dyDescent="0.25">
      <c r="A61" s="136">
        <f t="shared" ca="1" si="1"/>
        <v>45838</v>
      </c>
      <c r="B61" s="137">
        <f t="shared" ca="1" si="2"/>
        <v>341236.94052172976</v>
      </c>
      <c r="C61" s="137">
        <f ca="1">IF(ISNA(MATCH($A61,CashFlow!$C$4:$AO$4,0))=TRUE,0,OFFSET(CashFlow!$B$36,0,MATCH($A61,CashFlow!$C$4:$AO$4,0),1,1))</f>
        <v>0</v>
      </c>
      <c r="D61" s="138">
        <f t="shared" ca="1" si="3"/>
        <v>8868.1320962560239</v>
      </c>
      <c r="E61" s="138">
        <f t="shared" ca="1" si="4"/>
        <v>2630.3680831883335</v>
      </c>
      <c r="F61" s="138">
        <f t="shared" ca="1" si="0"/>
        <v>6237.76401306769</v>
      </c>
      <c r="G61" s="139">
        <f ca="1">IF(ROUND(SUM(B61:C61,-F61),0)=0,0,IF($B$6="Yes",SUM($C$9:C61),SUM(B61:C61,-F61)))</f>
        <v>334999.17650866206</v>
      </c>
    </row>
    <row r="62" spans="1:7" ht="16.149999999999999" customHeight="1" x14ac:dyDescent="0.25">
      <c r="A62" s="136">
        <f t="shared" ca="1" si="1"/>
        <v>45869</v>
      </c>
      <c r="B62" s="137">
        <f t="shared" ca="1" si="2"/>
        <v>334999.17650866206</v>
      </c>
      <c r="C62" s="137">
        <f ca="1">IF(ISNA(MATCH($A62,CashFlow!$C$4:$AO$4,0))=TRUE,0,OFFSET(CashFlow!$B$36,0,MATCH($A62,CashFlow!$C$4:$AO$4,0),1,1))</f>
        <v>0</v>
      </c>
      <c r="D62" s="138">
        <f t="shared" ca="1" si="3"/>
        <v>8868.1320962560239</v>
      </c>
      <c r="E62" s="138">
        <f t="shared" ca="1" si="4"/>
        <v>2582.2853189209368</v>
      </c>
      <c r="F62" s="138">
        <f t="shared" ca="1" si="0"/>
        <v>6285.8467773350876</v>
      </c>
      <c r="G62" s="139">
        <f ca="1">IF(ROUND(SUM(B62:C62,-F62),0)=0,0,IF($B$6="Yes",SUM($C$9:C62),SUM(B62:C62,-F62)))</f>
        <v>328713.32973132696</v>
      </c>
    </row>
    <row r="63" spans="1:7" ht="16.149999999999999" customHeight="1" x14ac:dyDescent="0.25">
      <c r="A63" s="136">
        <f t="shared" ca="1" si="1"/>
        <v>45900</v>
      </c>
      <c r="B63" s="137">
        <f t="shared" ca="1" si="2"/>
        <v>328713.32973132696</v>
      </c>
      <c r="C63" s="137">
        <f ca="1">IF(ISNA(MATCH($A63,CashFlow!$C$4:$AO$4,0))=TRUE,0,OFFSET(CashFlow!$B$36,0,MATCH($A63,CashFlow!$C$4:$AO$4,0),1,1))</f>
        <v>0</v>
      </c>
      <c r="D63" s="138">
        <f t="shared" ca="1" si="3"/>
        <v>8868.1320962560239</v>
      </c>
      <c r="E63" s="138">
        <f t="shared" ca="1" si="4"/>
        <v>2533.8319166789784</v>
      </c>
      <c r="F63" s="138">
        <f t="shared" ca="1" si="0"/>
        <v>6334.3001795770451</v>
      </c>
      <c r="G63" s="139">
        <f ca="1">IF(ROUND(SUM(B63:C63,-F63),0)=0,0,IF($B$6="Yes",SUM($C$9:C63),SUM(B63:C63,-F63)))</f>
        <v>322379.02955174993</v>
      </c>
    </row>
    <row r="64" spans="1:7" ht="16.149999999999999" customHeight="1" x14ac:dyDescent="0.25">
      <c r="A64" s="136">
        <f t="shared" ca="1" si="1"/>
        <v>45930</v>
      </c>
      <c r="B64" s="137">
        <f t="shared" ca="1" si="2"/>
        <v>322379.02955174993</v>
      </c>
      <c r="C64" s="137">
        <f ca="1">IF(ISNA(MATCH($A64,CashFlow!$C$4:$AO$4,0))=TRUE,0,OFFSET(CashFlow!$B$36,0,MATCH($A64,CashFlow!$C$4:$AO$4,0),1,1))</f>
        <v>0</v>
      </c>
      <c r="D64" s="138">
        <f t="shared" ca="1" si="3"/>
        <v>8868.1320962560239</v>
      </c>
      <c r="E64" s="138">
        <f t="shared" ca="1" si="4"/>
        <v>2485.0050194614055</v>
      </c>
      <c r="F64" s="138">
        <f t="shared" ca="1" si="0"/>
        <v>6383.1270767946189</v>
      </c>
      <c r="G64" s="139">
        <f ca="1">IF(ROUND(SUM(B64:C64,-F64),0)=0,0,IF($B$6="Yes",SUM($C$9:C64),SUM(B64:C64,-F64)))</f>
        <v>315995.90247495531</v>
      </c>
    </row>
    <row r="65" spans="1:7" ht="16.149999999999999" customHeight="1" x14ac:dyDescent="0.25">
      <c r="A65" s="136">
        <f t="shared" ca="1" si="1"/>
        <v>45961</v>
      </c>
      <c r="B65" s="137">
        <f t="shared" ca="1" si="2"/>
        <v>315995.90247495531</v>
      </c>
      <c r="C65" s="137">
        <f ca="1">IF(ISNA(MATCH($A65,CashFlow!$C$4:$AO$4,0))=TRUE,0,OFFSET(CashFlow!$B$36,0,MATCH($A65,CashFlow!$C$4:$AO$4,0),1,1))</f>
        <v>0</v>
      </c>
      <c r="D65" s="138">
        <f t="shared" ca="1" si="3"/>
        <v>8868.1320962560239</v>
      </c>
      <c r="E65" s="138">
        <f t="shared" ca="1" si="4"/>
        <v>2435.801748244447</v>
      </c>
      <c r="F65" s="138">
        <f t="shared" ca="1" si="0"/>
        <v>6432.3303480115774</v>
      </c>
      <c r="G65" s="139">
        <f ca="1">IF(ROUND(SUM(B65:C65,-F65),0)=0,0,IF($B$6="Yes",SUM($C$9:C65),SUM(B65:C65,-F65)))</f>
        <v>309563.57212694373</v>
      </c>
    </row>
    <row r="66" spans="1:7" ht="16.149999999999999" customHeight="1" x14ac:dyDescent="0.25">
      <c r="A66" s="136">
        <f t="shared" ca="1" si="1"/>
        <v>45991</v>
      </c>
      <c r="B66" s="137">
        <f t="shared" ca="1" si="2"/>
        <v>309563.57212694373</v>
      </c>
      <c r="C66" s="137">
        <f ca="1">IF(ISNA(MATCH($A66,CashFlow!$C$4:$AO$4,0))=TRUE,0,OFFSET(CashFlow!$B$36,0,MATCH($A66,CashFlow!$C$4:$AO$4,0),1,1))</f>
        <v>0</v>
      </c>
      <c r="D66" s="138">
        <f t="shared" ca="1" si="3"/>
        <v>8868.1320962560239</v>
      </c>
      <c r="E66" s="138">
        <f t="shared" ca="1" si="4"/>
        <v>2386.2192018118581</v>
      </c>
      <c r="F66" s="138">
        <f t="shared" ca="1" si="0"/>
        <v>6481.9128944441654</v>
      </c>
      <c r="G66" s="139">
        <f ca="1">IF(ROUND(SUM(B66:C66,-F66),0)=0,0,IF($B$6="Yes",SUM($C$9:C66),SUM(B66:C66,-F66)))</f>
        <v>303081.65923249954</v>
      </c>
    </row>
    <row r="67" spans="1:7" ht="16.149999999999999" customHeight="1" x14ac:dyDescent="0.25">
      <c r="A67" s="136">
        <f t="shared" ca="1" si="1"/>
        <v>46022</v>
      </c>
      <c r="B67" s="137">
        <f t="shared" ca="1" si="2"/>
        <v>303081.65923249954</v>
      </c>
      <c r="C67" s="137">
        <f ca="1">IF(ISNA(MATCH($A67,CashFlow!$C$4:$AO$4,0))=TRUE,0,OFFSET(CashFlow!$B$36,0,MATCH($A67,CashFlow!$C$4:$AO$4,0),1,1))</f>
        <v>0</v>
      </c>
      <c r="D67" s="138">
        <f t="shared" ca="1" si="3"/>
        <v>8868.1320962560239</v>
      </c>
      <c r="E67" s="138">
        <f t="shared" ca="1" si="4"/>
        <v>2336.2544565838507</v>
      </c>
      <c r="F67" s="138">
        <f t="shared" ca="1" si="0"/>
        <v>6531.8776396721732</v>
      </c>
      <c r="G67" s="139">
        <f ca="1">IF(ROUND(SUM(B67:C67,-F67),0)=0,0,IF($B$6="Yes",SUM($C$9:C67),SUM(B67:C67,-F67)))</f>
        <v>296549.78159282735</v>
      </c>
    </row>
    <row r="68" spans="1:7" ht="16.149999999999999" customHeight="1" x14ac:dyDescent="0.25">
      <c r="A68" s="136">
        <f t="shared" ca="1" si="1"/>
        <v>46053</v>
      </c>
      <c r="B68" s="137">
        <f t="shared" ca="1" si="2"/>
        <v>296549.78159282735</v>
      </c>
      <c r="C68" s="137">
        <f ca="1">IF(ISNA(MATCH($A68,CashFlow!$C$4:$AO$4,0))=TRUE,0,OFFSET(CashFlow!$B$36,0,MATCH($A68,CashFlow!$C$4:$AO$4,0),1,1))</f>
        <v>0</v>
      </c>
      <c r="D68" s="138">
        <f t="shared" ca="1" si="3"/>
        <v>8868.1320962560239</v>
      </c>
      <c r="E68" s="138">
        <f t="shared" ca="1" si="4"/>
        <v>2285.9045664447108</v>
      </c>
      <c r="F68" s="138">
        <f t="shared" ca="1" si="0"/>
        <v>6582.2275298113127</v>
      </c>
      <c r="G68" s="139">
        <f ca="1">IF(ROUND(SUM(B68:C68,-F68),0)=0,0,IF($B$6="Yes",SUM($C$9:C68),SUM(B68:C68,-F68)))</f>
        <v>289967.55406301602</v>
      </c>
    </row>
    <row r="69" spans="1:7" ht="16.149999999999999" customHeight="1" x14ac:dyDescent="0.25">
      <c r="A69" s="136">
        <f t="shared" ca="1" si="1"/>
        <v>46081</v>
      </c>
      <c r="B69" s="137">
        <f t="shared" ca="1" si="2"/>
        <v>289967.55406301602</v>
      </c>
      <c r="C69" s="137">
        <f ca="1">IF(ISNA(MATCH($A69,CashFlow!$C$4:$AO$4,0))=TRUE,0,OFFSET(CashFlow!$B$36,0,MATCH($A69,CashFlow!$C$4:$AO$4,0),1,1))</f>
        <v>0</v>
      </c>
      <c r="D69" s="138">
        <f t="shared" ca="1" si="3"/>
        <v>8868.1320962560239</v>
      </c>
      <c r="E69" s="138">
        <f t="shared" ca="1" si="4"/>
        <v>2235.1665625690816</v>
      </c>
      <c r="F69" s="138">
        <f t="shared" ca="1" si="0"/>
        <v>6632.9655336869419</v>
      </c>
      <c r="G69" s="139">
        <f ca="1">IF(ROUND(SUM(B69:C69,-F69),0)=0,0,IF($B$6="Yes",SUM($C$9:C69),SUM(B69:C69,-F69)))</f>
        <v>283334.58852932911</v>
      </c>
    </row>
    <row r="70" spans="1:7" ht="16.149999999999999" customHeight="1" x14ac:dyDescent="0.25">
      <c r="A70" s="136">
        <f t="shared" ca="1" si="1"/>
        <v>46112</v>
      </c>
      <c r="B70" s="137">
        <f t="shared" ca="1" si="2"/>
        <v>283334.58852932911</v>
      </c>
      <c r="C70" s="137">
        <f ca="1">IF(ISNA(MATCH($A70,CashFlow!$C$4:$AO$4,0))=TRUE,0,OFFSET(CashFlow!$B$36,0,MATCH($A70,CashFlow!$C$4:$AO$4,0),1,1))</f>
        <v>0</v>
      </c>
      <c r="D70" s="138">
        <f t="shared" ca="1" si="3"/>
        <v>8868.1320962560239</v>
      </c>
      <c r="E70" s="138">
        <f t="shared" ca="1" si="4"/>
        <v>2184.0374532469118</v>
      </c>
      <c r="F70" s="138">
        <f t="shared" ca="1" si="0"/>
        <v>6684.0946430091117</v>
      </c>
      <c r="G70" s="139">
        <f ca="1">IF(ROUND(SUM(B70:C70,-F70),0)=0,0,IF($B$6="Yes",SUM($C$9:C70),SUM(B70:C70,-F70)))</f>
        <v>276650.49388631998</v>
      </c>
    </row>
    <row r="71" spans="1:7" ht="16.149999999999999" customHeight="1" x14ac:dyDescent="0.25">
      <c r="A71" s="136">
        <f t="shared" ca="1" si="1"/>
        <v>46142</v>
      </c>
      <c r="B71" s="137">
        <f t="shared" ca="1" si="2"/>
        <v>276650.49388631998</v>
      </c>
      <c r="C71" s="137">
        <f ca="1">IF(ISNA(MATCH($A71,CashFlow!$C$4:$AO$4,0))=TRUE,0,OFFSET(CashFlow!$B$36,0,MATCH($A71,CashFlow!$C$4:$AO$4,0),1,1))</f>
        <v>0</v>
      </c>
      <c r="D71" s="138">
        <f t="shared" ca="1" si="3"/>
        <v>8868.1320962560239</v>
      </c>
      <c r="E71" s="138">
        <f t="shared" ca="1" si="4"/>
        <v>2132.51422370705</v>
      </c>
      <c r="F71" s="138">
        <f t="shared" ca="1" si="0"/>
        <v>6735.6178725489735</v>
      </c>
      <c r="G71" s="139">
        <f ca="1">IF(ROUND(SUM(B71:C71,-F71),0)=0,0,IF($B$6="Yes",SUM($C$9:C71),SUM(B71:C71,-F71)))</f>
        <v>269914.87601377099</v>
      </c>
    </row>
    <row r="72" spans="1:7" ht="16.149999999999999" customHeight="1" x14ac:dyDescent="0.25">
      <c r="A72" s="136">
        <f t="shared" ca="1" si="1"/>
        <v>46173</v>
      </c>
      <c r="B72" s="137">
        <f t="shared" ca="1" si="2"/>
        <v>269914.87601377099</v>
      </c>
      <c r="C72" s="137">
        <f ca="1">IF(ISNA(MATCH($A72,CashFlow!$C$4:$AO$4,0))=TRUE,0,OFFSET(CashFlow!$B$36,0,MATCH($A72,CashFlow!$C$4:$AO$4,0),1,1))</f>
        <v>0</v>
      </c>
      <c r="D72" s="138">
        <f t="shared" ca="1" si="3"/>
        <v>8868.1320962560239</v>
      </c>
      <c r="E72" s="138">
        <f t="shared" ca="1" si="4"/>
        <v>2080.5938359394845</v>
      </c>
      <c r="F72" s="138">
        <f t="shared" ca="1" si="0"/>
        <v>6787.5382603165399</v>
      </c>
      <c r="G72" s="139">
        <f ca="1">IF(ROUND(SUM(B72:C72,-F72),0)=0,0,IF($B$6="Yes",SUM($C$9:C72),SUM(B72:C72,-F72)))</f>
        <v>263127.33775345446</v>
      </c>
    </row>
    <row r="73" spans="1:7" ht="16.149999999999999" customHeight="1" x14ac:dyDescent="0.25">
      <c r="A73" s="136">
        <f t="shared" ca="1" si="1"/>
        <v>46203</v>
      </c>
      <c r="B73" s="137">
        <f t="shared" ca="1" si="2"/>
        <v>263127.33775345446</v>
      </c>
      <c r="C73" s="137">
        <f ca="1">IF(ISNA(MATCH($A73,CashFlow!$C$4:$AO$4,0))=TRUE,0,OFFSET(CashFlow!$B$36,0,MATCH($A73,CashFlow!$C$4:$AO$4,0),1,1))</f>
        <v>0</v>
      </c>
      <c r="D73" s="138">
        <f t="shared" ca="1" si="3"/>
        <v>8868.1320962560239</v>
      </c>
      <c r="E73" s="138">
        <f t="shared" ca="1" si="4"/>
        <v>2028.2732285162112</v>
      </c>
      <c r="F73" s="138">
        <f t="shared" ca="1" si="0"/>
        <v>6839.8588677398129</v>
      </c>
      <c r="G73" s="139">
        <f ca="1">IF(ROUND(SUM(B73:C73,-F73),0)=0,0,IF($B$6="Yes",SUM($C$9:C73),SUM(B73:C73,-F73)))</f>
        <v>256287.47888571463</v>
      </c>
    </row>
    <row r="74" spans="1:7" ht="16.149999999999999" customHeight="1" x14ac:dyDescent="0.25">
      <c r="A74" s="136">
        <f t="shared" ca="1" si="1"/>
        <v>46234</v>
      </c>
      <c r="B74" s="137">
        <f t="shared" ca="1" si="2"/>
        <v>256287.47888571463</v>
      </c>
      <c r="C74" s="137">
        <f ca="1">IF(ISNA(MATCH($A74,CashFlow!$C$4:$AO$4,0))=TRUE,0,OFFSET(CashFlow!$B$36,0,MATCH($A74,CashFlow!$C$4:$AO$4,0),1,1))</f>
        <v>0</v>
      </c>
      <c r="D74" s="138">
        <f t="shared" ca="1" si="3"/>
        <v>8868.1320962560239</v>
      </c>
      <c r="E74" s="138">
        <f t="shared" ca="1" si="4"/>
        <v>1975.5493164107168</v>
      </c>
      <c r="F74" s="138">
        <f t="shared" ref="F74:F137" ca="1" si="5">IF($B$6="Yes",0,D74-E74)</f>
        <v>6892.5827798453074</v>
      </c>
      <c r="G74" s="139">
        <f ca="1">IF(ROUND(SUM(B74:C74,-F74),0)=0,0,IF($B$6="Yes",SUM($C$9:C74),SUM(B74:C74,-F74)))</f>
        <v>249394.89610586932</v>
      </c>
    </row>
    <row r="75" spans="1:7" ht="16.149999999999999" customHeight="1" x14ac:dyDescent="0.25">
      <c r="A75" s="136">
        <f t="shared" ref="A75:A125" ca="1" si="6">DATE(YEAR(A74),MONTH(A74)+2,0)</f>
        <v>46265</v>
      </c>
      <c r="B75" s="137">
        <f t="shared" ref="B75:B138" ca="1" si="7">G74</f>
        <v>249394.89610586932</v>
      </c>
      <c r="C75" s="137">
        <f ca="1">IF(ISNA(MATCH($A75,CashFlow!$C$4:$AO$4,0))=TRUE,0,OFFSET(CashFlow!$B$36,0,MATCH($A75,CashFlow!$C$4:$AO$4,0),1,1))</f>
        <v>0</v>
      </c>
      <c r="D75" s="138">
        <f t="shared" ref="D75:D138" ca="1" si="8">IF($B$6="Yes",0,IF(ROW(C75)-ROW($C$9)&gt;$B$5*12,-PMT($B$4/12,$B$5*12,SUM(OFFSET(C75,0,0,-$B$5*12,1)),0,0),-PMT($B$4/12,$B$5*12,SUM(OFFSET(C75,0,0,ROW($C$8)-ROW(C75),1)),0,0)))</f>
        <v>8868.1320962560239</v>
      </c>
      <c r="E75" s="138">
        <f t="shared" ref="E75:E138" ca="1" si="9">(G74+C75)*$B$4/12</f>
        <v>1922.4189908160761</v>
      </c>
      <c r="F75" s="138">
        <f t="shared" ca="1" si="5"/>
        <v>6945.7131054399479</v>
      </c>
      <c r="G75" s="139">
        <f ca="1">IF(ROUND(SUM(B75:C75,-F75),0)=0,0,IF($B$6="Yes",SUM($C$9:C75),SUM(B75:C75,-F75)))</f>
        <v>242449.18300042939</v>
      </c>
    </row>
    <row r="76" spans="1:7" ht="16.149999999999999" customHeight="1" x14ac:dyDescent="0.25">
      <c r="A76" s="136">
        <f t="shared" ca="1" si="6"/>
        <v>46295</v>
      </c>
      <c r="B76" s="137">
        <f t="shared" ca="1" si="7"/>
        <v>242449.18300042939</v>
      </c>
      <c r="C76" s="137">
        <f ca="1">IF(ISNA(MATCH($A76,CashFlow!$C$4:$AO$4,0))=TRUE,0,OFFSET(CashFlow!$B$36,0,MATCH($A76,CashFlow!$C$4:$AO$4,0),1,1))</f>
        <v>0</v>
      </c>
      <c r="D76" s="138">
        <f t="shared" ca="1" si="8"/>
        <v>8868.1320962560239</v>
      </c>
      <c r="E76" s="138">
        <f t="shared" ca="1" si="9"/>
        <v>1868.8791189616431</v>
      </c>
      <c r="F76" s="138">
        <f t="shared" ca="1" si="5"/>
        <v>6999.2529772943808</v>
      </c>
      <c r="G76" s="139">
        <f ca="1">IF(ROUND(SUM(B76:C76,-F76),0)=0,0,IF($B$6="Yes",SUM($C$9:C76),SUM(B76:C76,-F76)))</f>
        <v>235449.93002313501</v>
      </c>
    </row>
    <row r="77" spans="1:7" ht="16.149999999999999" customHeight="1" x14ac:dyDescent="0.25">
      <c r="A77" s="136">
        <f t="shared" ca="1" si="6"/>
        <v>46326</v>
      </c>
      <c r="B77" s="137">
        <f t="shared" ca="1" si="7"/>
        <v>235449.93002313501</v>
      </c>
      <c r="C77" s="137">
        <f ca="1">IF(ISNA(MATCH($A77,CashFlow!$C$4:$AO$4,0))=TRUE,0,OFFSET(CashFlow!$B$36,0,MATCH($A77,CashFlow!$C$4:$AO$4,0),1,1))</f>
        <v>0</v>
      </c>
      <c r="D77" s="138">
        <f t="shared" ca="1" si="8"/>
        <v>8868.1320962560239</v>
      </c>
      <c r="E77" s="138">
        <f t="shared" ca="1" si="9"/>
        <v>1814.9265439283324</v>
      </c>
      <c r="F77" s="138">
        <f t="shared" ca="1" si="5"/>
        <v>7053.2055523276913</v>
      </c>
      <c r="G77" s="139">
        <f ca="1">IF(ROUND(SUM(B77:C77,-F77),0)=0,0,IF($B$6="Yes",SUM($C$9:C77),SUM(B77:C77,-F77)))</f>
        <v>228396.72447080733</v>
      </c>
    </row>
    <row r="78" spans="1:7" ht="16.149999999999999" customHeight="1" x14ac:dyDescent="0.25">
      <c r="A78" s="136">
        <f t="shared" ca="1" si="6"/>
        <v>46356</v>
      </c>
      <c r="B78" s="137">
        <f t="shared" ca="1" si="7"/>
        <v>228396.72447080733</v>
      </c>
      <c r="C78" s="137">
        <f ca="1">IF(ISNA(MATCH($A78,CashFlow!$C$4:$AO$4,0))=TRUE,0,OFFSET(CashFlow!$B$36,0,MATCH($A78,CashFlow!$C$4:$AO$4,0),1,1))</f>
        <v>0</v>
      </c>
      <c r="D78" s="138">
        <f t="shared" ca="1" si="8"/>
        <v>8868.1320962560239</v>
      </c>
      <c r="E78" s="138">
        <f t="shared" ca="1" si="9"/>
        <v>1760.5580844624731</v>
      </c>
      <c r="F78" s="138">
        <f t="shared" ca="1" si="5"/>
        <v>7107.5740117935511</v>
      </c>
      <c r="G78" s="139">
        <f ca="1">IF(ROUND(SUM(B78:C78,-F78),0)=0,0,IF($B$6="Yes",SUM($C$9:C78),SUM(B78:C78,-F78)))</f>
        <v>221289.15045901376</v>
      </c>
    </row>
    <row r="79" spans="1:7" ht="16.149999999999999" customHeight="1" x14ac:dyDescent="0.25">
      <c r="A79" s="136">
        <f t="shared" ca="1" si="6"/>
        <v>46387</v>
      </c>
      <c r="B79" s="137">
        <f t="shared" ca="1" si="7"/>
        <v>221289.15045901376</v>
      </c>
      <c r="C79" s="137">
        <f ca="1">IF(ISNA(MATCH($A79,CashFlow!$C$4:$AO$4,0))=TRUE,0,OFFSET(CashFlow!$B$36,0,MATCH($A79,CashFlow!$C$4:$AO$4,0),1,1))</f>
        <v>0</v>
      </c>
      <c r="D79" s="138">
        <f t="shared" ca="1" si="8"/>
        <v>8868.1320962560239</v>
      </c>
      <c r="E79" s="138">
        <f t="shared" ca="1" si="9"/>
        <v>1705.7705347882311</v>
      </c>
      <c r="F79" s="138">
        <f t="shared" ca="1" si="5"/>
        <v>7162.3615614677929</v>
      </c>
      <c r="G79" s="139">
        <f ca="1">IF(ROUND(SUM(B79:C79,-F79),0)=0,0,IF($B$6="Yes",SUM($C$9:C79),SUM(B79:C79,-F79)))</f>
        <v>214126.78889754598</v>
      </c>
    </row>
    <row r="80" spans="1:7" ht="16.149999999999999" customHeight="1" x14ac:dyDescent="0.25">
      <c r="A80" s="136">
        <f t="shared" ca="1" si="6"/>
        <v>46418</v>
      </c>
      <c r="B80" s="137">
        <f t="shared" ca="1" si="7"/>
        <v>214126.78889754598</v>
      </c>
      <c r="C80" s="137">
        <f ca="1">IF(ISNA(MATCH($A80,CashFlow!$C$4:$AO$4,0))=TRUE,0,OFFSET(CashFlow!$B$36,0,MATCH($A80,CashFlow!$C$4:$AO$4,0),1,1))</f>
        <v>0</v>
      </c>
      <c r="D80" s="138">
        <f t="shared" ca="1" si="8"/>
        <v>8868.1320962560239</v>
      </c>
      <c r="E80" s="138">
        <f t="shared" ca="1" si="9"/>
        <v>1650.5606644185837</v>
      </c>
      <c r="F80" s="138">
        <f t="shared" ca="1" si="5"/>
        <v>7217.5714318374403</v>
      </c>
      <c r="G80" s="139">
        <f ca="1">IF(ROUND(SUM(B80:C80,-F80),0)=0,0,IF($B$6="Yes",SUM($C$9:C80),SUM(B80:C80,-F80)))</f>
        <v>206909.21746570853</v>
      </c>
    </row>
    <row r="81" spans="1:7" ht="16.149999999999999" customHeight="1" x14ac:dyDescent="0.25">
      <c r="A81" s="136">
        <f t="shared" ca="1" si="6"/>
        <v>46446</v>
      </c>
      <c r="B81" s="137">
        <f t="shared" ca="1" si="7"/>
        <v>206909.21746570853</v>
      </c>
      <c r="C81" s="137">
        <f ca="1">IF(ISNA(MATCH($A81,CashFlow!$C$4:$AO$4,0))=TRUE,0,OFFSET(CashFlow!$B$36,0,MATCH($A81,CashFlow!$C$4:$AO$4,0),1,1))</f>
        <v>0</v>
      </c>
      <c r="D81" s="138">
        <f t="shared" ca="1" si="8"/>
        <v>8868.1320962560239</v>
      </c>
      <c r="E81" s="138">
        <f t="shared" ca="1" si="9"/>
        <v>1594.9252179648365</v>
      </c>
      <c r="F81" s="138">
        <f t="shared" ca="1" si="5"/>
        <v>7273.2068782911874</v>
      </c>
      <c r="G81" s="139">
        <f ca="1">IF(ROUND(SUM(B81:C81,-F81),0)=0,0,IF($B$6="Yes",SUM($C$9:C81),SUM(B81:C81,-F81)))</f>
        <v>199636.01058741735</v>
      </c>
    </row>
    <row r="82" spans="1:7" ht="16.149999999999999" customHeight="1" x14ac:dyDescent="0.25">
      <c r="A82" s="136">
        <f t="shared" ca="1" si="6"/>
        <v>46477</v>
      </c>
      <c r="B82" s="137">
        <f t="shared" ca="1" si="7"/>
        <v>199636.01058741735</v>
      </c>
      <c r="C82" s="137">
        <f ca="1">IF(ISNA(MATCH($A82,CashFlow!$C$4:$AO$4,0))=TRUE,0,OFFSET(CashFlow!$B$36,0,MATCH($A82,CashFlow!$C$4:$AO$4,0),1,1))</f>
        <v>0</v>
      </c>
      <c r="D82" s="138">
        <f t="shared" ca="1" si="8"/>
        <v>8868.1320962560239</v>
      </c>
      <c r="E82" s="138">
        <f t="shared" ca="1" si="9"/>
        <v>1538.8609149446754</v>
      </c>
      <c r="F82" s="138">
        <f t="shared" ca="1" si="5"/>
        <v>7329.2711813113483</v>
      </c>
      <c r="G82" s="139">
        <f ca="1">IF(ROUND(SUM(B82:C82,-F82),0)=0,0,IF($B$6="Yes",SUM($C$9:C82),SUM(B82:C82,-F82)))</f>
        <v>192306.739406106</v>
      </c>
    </row>
    <row r="83" spans="1:7" ht="16.149999999999999" customHeight="1" x14ac:dyDescent="0.25">
      <c r="A83" s="136">
        <f t="shared" ca="1" si="6"/>
        <v>46507</v>
      </c>
      <c r="B83" s="137">
        <f t="shared" ca="1" si="7"/>
        <v>192306.739406106</v>
      </c>
      <c r="C83" s="137">
        <f ca="1">IF(ISNA(MATCH($A83,CashFlow!$C$4:$AO$4,0))=TRUE,0,OFFSET(CashFlow!$B$36,0,MATCH($A83,CashFlow!$C$4:$AO$4,0),1,1))</f>
        <v>0</v>
      </c>
      <c r="D83" s="138">
        <f t="shared" ca="1" si="8"/>
        <v>8868.1320962560239</v>
      </c>
      <c r="E83" s="138">
        <f t="shared" ca="1" si="9"/>
        <v>1482.3644495887338</v>
      </c>
      <c r="F83" s="138">
        <f t="shared" ca="1" si="5"/>
        <v>7385.7676466672901</v>
      </c>
      <c r="G83" s="139">
        <f ca="1">IF(ROUND(SUM(B83:C83,-F83),0)=0,0,IF($B$6="Yes",SUM($C$9:C83),SUM(B83:C83,-F83)))</f>
        <v>184920.97175943872</v>
      </c>
    </row>
    <row r="84" spans="1:7" ht="16.149999999999999" customHeight="1" x14ac:dyDescent="0.25">
      <c r="A84" s="136">
        <f t="shared" ca="1" si="6"/>
        <v>46538</v>
      </c>
      <c r="B84" s="137">
        <f t="shared" ca="1" si="7"/>
        <v>184920.97175943872</v>
      </c>
      <c r="C84" s="137">
        <f ca="1">IF(ISNA(MATCH($A84,CashFlow!$C$4:$AO$4,0))=TRUE,0,OFFSET(CashFlow!$B$36,0,MATCH($A84,CashFlow!$C$4:$AO$4,0),1,1))</f>
        <v>0</v>
      </c>
      <c r="D84" s="138">
        <f t="shared" ca="1" si="8"/>
        <v>8868.1320962560239</v>
      </c>
      <c r="E84" s="138">
        <f t="shared" ca="1" si="9"/>
        <v>1425.4324906456734</v>
      </c>
      <c r="F84" s="138">
        <f t="shared" ca="1" si="5"/>
        <v>7442.6996056103508</v>
      </c>
      <c r="G84" s="139">
        <f ca="1">IF(ROUND(SUM(B84:C84,-F84),0)=0,0,IF($B$6="Yes",SUM($C$9:C84),SUM(B84:C84,-F84)))</f>
        <v>177478.27215382838</v>
      </c>
    </row>
    <row r="85" spans="1:7" ht="16.149999999999999" customHeight="1" x14ac:dyDescent="0.25">
      <c r="A85" s="136">
        <f t="shared" ca="1" si="6"/>
        <v>46568</v>
      </c>
      <c r="B85" s="137">
        <f t="shared" ca="1" si="7"/>
        <v>177478.27215382838</v>
      </c>
      <c r="C85" s="137">
        <f ca="1">IF(ISNA(MATCH($A85,CashFlow!$C$4:$AO$4,0))=TRUE,0,OFFSET(CashFlow!$B$36,0,MATCH($A85,CashFlow!$C$4:$AO$4,0),1,1))</f>
        <v>0</v>
      </c>
      <c r="D85" s="138">
        <f t="shared" ca="1" si="8"/>
        <v>8868.1320962560239</v>
      </c>
      <c r="E85" s="138">
        <f t="shared" ca="1" si="9"/>
        <v>1368.0616811857606</v>
      </c>
      <c r="F85" s="138">
        <f t="shared" ca="1" si="5"/>
        <v>7500.0704150702632</v>
      </c>
      <c r="G85" s="139">
        <f ca="1">IF(ROUND(SUM(B85:C85,-F85),0)=0,0,IF($B$6="Yes",SUM($C$9:C85),SUM(B85:C85,-F85)))</f>
        <v>169978.20173875813</v>
      </c>
    </row>
    <row r="86" spans="1:7" ht="16.149999999999999" customHeight="1" x14ac:dyDescent="0.25">
      <c r="A86" s="136">
        <f t="shared" ca="1" si="6"/>
        <v>46599</v>
      </c>
      <c r="B86" s="137">
        <f t="shared" ca="1" si="7"/>
        <v>169978.20173875813</v>
      </c>
      <c r="C86" s="137">
        <f ca="1">IF(ISNA(MATCH($A86,CashFlow!$C$4:$AO$4,0))=TRUE,0,OFFSET(CashFlow!$B$36,0,MATCH($A86,CashFlow!$C$4:$AO$4,0),1,1))</f>
        <v>0</v>
      </c>
      <c r="D86" s="138">
        <f t="shared" ca="1" si="8"/>
        <v>8868.1320962560239</v>
      </c>
      <c r="E86" s="138">
        <f t="shared" ca="1" si="9"/>
        <v>1310.2486384029273</v>
      </c>
      <c r="F86" s="138">
        <f t="shared" ca="1" si="5"/>
        <v>7557.8834578530968</v>
      </c>
      <c r="G86" s="139">
        <f ca="1">IF(ROUND(SUM(B86:C86,-F86),0)=0,0,IF($B$6="Yes",SUM($C$9:C86),SUM(B86:C86,-F86)))</f>
        <v>162420.31828090502</v>
      </c>
    </row>
    <row r="87" spans="1:7" ht="16.149999999999999" customHeight="1" x14ac:dyDescent="0.25">
      <c r="A87" s="136">
        <f t="shared" ca="1" si="6"/>
        <v>46630</v>
      </c>
      <c r="B87" s="137">
        <f t="shared" ca="1" si="7"/>
        <v>162420.31828090502</v>
      </c>
      <c r="C87" s="137">
        <f ca="1">IF(ISNA(MATCH($A87,CashFlow!$C$4:$AO$4,0))=TRUE,0,OFFSET(CashFlow!$B$36,0,MATCH($A87,CashFlow!$C$4:$AO$4,0),1,1))</f>
        <v>0</v>
      </c>
      <c r="D87" s="138">
        <f t="shared" ca="1" si="8"/>
        <v>8868.1320962560239</v>
      </c>
      <c r="E87" s="138">
        <f t="shared" ca="1" si="9"/>
        <v>1251.9899534153094</v>
      </c>
      <c r="F87" s="138">
        <f t="shared" ca="1" si="5"/>
        <v>7616.1421428407148</v>
      </c>
      <c r="G87" s="139">
        <f ca="1">IF(ROUND(SUM(B87:C87,-F87),0)=0,0,IF($B$6="Yes",SUM($C$9:C87),SUM(B87:C87,-F87)))</f>
        <v>154804.1761380643</v>
      </c>
    </row>
    <row r="88" spans="1:7" ht="16.149999999999999" customHeight="1" x14ac:dyDescent="0.25">
      <c r="A88" s="136">
        <f t="shared" ca="1" si="6"/>
        <v>46660</v>
      </c>
      <c r="B88" s="137">
        <f t="shared" ca="1" si="7"/>
        <v>154804.1761380643</v>
      </c>
      <c r="C88" s="137">
        <f ca="1">IF(ISNA(MATCH($A88,CashFlow!$C$4:$AO$4,0))=TRUE,0,OFFSET(CashFlow!$B$36,0,MATCH($A88,CashFlow!$C$4:$AO$4,0),1,1))</f>
        <v>0</v>
      </c>
      <c r="D88" s="138">
        <f t="shared" ca="1" si="8"/>
        <v>8868.1320962560239</v>
      </c>
      <c r="E88" s="138">
        <f t="shared" ca="1" si="9"/>
        <v>1193.2821910642456</v>
      </c>
      <c r="F88" s="138">
        <f t="shared" ca="1" si="5"/>
        <v>7674.8499051917788</v>
      </c>
      <c r="G88" s="139">
        <f ca="1">IF(ROUND(SUM(B88:C88,-F88),0)=0,0,IF($B$6="Yes",SUM($C$9:C88),SUM(B88:C88,-F88)))</f>
        <v>147129.32623287252</v>
      </c>
    </row>
    <row r="89" spans="1:7" ht="16.149999999999999" customHeight="1" x14ac:dyDescent="0.25">
      <c r="A89" s="136">
        <f t="shared" ca="1" si="6"/>
        <v>46691</v>
      </c>
      <c r="B89" s="137">
        <f t="shared" ca="1" si="7"/>
        <v>147129.32623287252</v>
      </c>
      <c r="C89" s="137">
        <f ca="1">IF(ISNA(MATCH($A89,CashFlow!$C$4:$AO$4,0))=TRUE,0,OFFSET(CashFlow!$B$36,0,MATCH($A89,CashFlow!$C$4:$AO$4,0),1,1))</f>
        <v>0</v>
      </c>
      <c r="D89" s="138">
        <f t="shared" ca="1" si="8"/>
        <v>8868.1320962560239</v>
      </c>
      <c r="E89" s="138">
        <f t="shared" ca="1" si="9"/>
        <v>1134.1218897117258</v>
      </c>
      <c r="F89" s="138">
        <f t="shared" ca="1" si="5"/>
        <v>7734.0102065442979</v>
      </c>
      <c r="G89" s="139">
        <f ca="1">IF(ROUND(SUM(B89:C89,-F89),0)=0,0,IF($B$6="Yes",SUM($C$9:C89),SUM(B89:C89,-F89)))</f>
        <v>139395.31602632822</v>
      </c>
    </row>
    <row r="90" spans="1:7" ht="16.149999999999999" customHeight="1" x14ac:dyDescent="0.25">
      <c r="A90" s="136">
        <f t="shared" ca="1" si="6"/>
        <v>46721</v>
      </c>
      <c r="B90" s="137">
        <f t="shared" ca="1" si="7"/>
        <v>139395.31602632822</v>
      </c>
      <c r="C90" s="137">
        <f ca="1">IF(ISNA(MATCH($A90,CashFlow!$C$4:$AO$4,0))=TRUE,0,OFFSET(CashFlow!$B$36,0,MATCH($A90,CashFlow!$C$4:$AO$4,0),1,1))</f>
        <v>0</v>
      </c>
      <c r="D90" s="138">
        <f t="shared" ca="1" si="8"/>
        <v>8868.1320962560239</v>
      </c>
      <c r="E90" s="138">
        <f t="shared" ca="1" si="9"/>
        <v>1074.5055610362799</v>
      </c>
      <c r="F90" s="138">
        <f t="shared" ca="1" si="5"/>
        <v>7793.6265352197443</v>
      </c>
      <c r="G90" s="139">
        <f ca="1">IF(ROUND(SUM(B90:C90,-F90),0)=0,0,IF($B$6="Yes",SUM($C$9:C90),SUM(B90:C90,-F90)))</f>
        <v>131601.68949110847</v>
      </c>
    </row>
    <row r="91" spans="1:7" ht="16.149999999999999" customHeight="1" x14ac:dyDescent="0.25">
      <c r="A91" s="136">
        <f t="shared" ca="1" si="6"/>
        <v>46752</v>
      </c>
      <c r="B91" s="137">
        <f t="shared" ca="1" si="7"/>
        <v>131601.68949110847</v>
      </c>
      <c r="C91" s="137">
        <f ca="1">IF(ISNA(MATCH($A91,CashFlow!$C$4:$AO$4,0))=TRUE,0,OFFSET(CashFlow!$B$36,0,MATCH($A91,CashFlow!$C$4:$AO$4,0),1,1))</f>
        <v>0</v>
      </c>
      <c r="D91" s="138">
        <f t="shared" ca="1" si="8"/>
        <v>8868.1320962560239</v>
      </c>
      <c r="E91" s="138">
        <f t="shared" ca="1" si="9"/>
        <v>1014.4296898272945</v>
      </c>
      <c r="F91" s="138">
        <f t="shared" ca="1" si="5"/>
        <v>7853.7024064287298</v>
      </c>
      <c r="G91" s="139">
        <f ca="1">IF(ROUND(SUM(B91:C91,-F91),0)=0,0,IF($B$6="Yes",SUM($C$9:C91),SUM(B91:C91,-F91)))</f>
        <v>123747.98708467974</v>
      </c>
    </row>
    <row r="92" spans="1:7" ht="16.149999999999999" customHeight="1" x14ac:dyDescent="0.25">
      <c r="A92" s="136">
        <f t="shared" ca="1" si="6"/>
        <v>46783</v>
      </c>
      <c r="B92" s="137">
        <f t="shared" ca="1" si="7"/>
        <v>123747.98708467974</v>
      </c>
      <c r="C92" s="137">
        <f ca="1">IF(ISNA(MATCH($A92,CashFlow!$C$4:$AO$4,0))=TRUE,0,OFFSET(CashFlow!$B$36,0,MATCH($A92,CashFlow!$C$4:$AO$4,0),1,1))</f>
        <v>0</v>
      </c>
      <c r="D92" s="138">
        <f t="shared" ca="1" si="8"/>
        <v>8868.1320962560239</v>
      </c>
      <c r="E92" s="138">
        <f t="shared" ca="1" si="9"/>
        <v>953.89073377773968</v>
      </c>
      <c r="F92" s="138">
        <f t="shared" ca="1" si="5"/>
        <v>7914.2413624782839</v>
      </c>
      <c r="G92" s="139">
        <f ca="1">IF(ROUND(SUM(B92:C92,-F92),0)=0,0,IF($B$6="Yes",SUM($C$9:C92),SUM(B92:C92,-F92)))</f>
        <v>115833.74572220146</v>
      </c>
    </row>
    <row r="93" spans="1:7" ht="16.149999999999999" customHeight="1" x14ac:dyDescent="0.25">
      <c r="A93" s="136">
        <f t="shared" ca="1" si="6"/>
        <v>46812</v>
      </c>
      <c r="B93" s="137">
        <f t="shared" ca="1" si="7"/>
        <v>115833.74572220146</v>
      </c>
      <c r="C93" s="137">
        <f ca="1">IF(ISNA(MATCH($A93,CashFlow!$C$4:$AO$4,0))=TRUE,0,OFFSET(CashFlow!$B$36,0,MATCH($A93,CashFlow!$C$4:$AO$4,0),1,1))</f>
        <v>0</v>
      </c>
      <c r="D93" s="138">
        <f t="shared" ca="1" si="8"/>
        <v>8868.1320962560239</v>
      </c>
      <c r="E93" s="138">
        <f t="shared" ca="1" si="9"/>
        <v>892.88512327530304</v>
      </c>
      <c r="F93" s="138">
        <f t="shared" ca="1" si="5"/>
        <v>7975.2469729807208</v>
      </c>
      <c r="G93" s="139">
        <f ca="1">IF(ROUND(SUM(B93:C93,-F93),0)=0,0,IF($B$6="Yes",SUM($C$9:C93),SUM(B93:C93,-F93)))</f>
        <v>107858.49874922074</v>
      </c>
    </row>
    <row r="94" spans="1:7" ht="16.149999999999999" customHeight="1" x14ac:dyDescent="0.25">
      <c r="A94" s="136">
        <f t="shared" ca="1" si="6"/>
        <v>46843</v>
      </c>
      <c r="B94" s="137">
        <f t="shared" ca="1" si="7"/>
        <v>107858.49874922074</v>
      </c>
      <c r="C94" s="137">
        <f ca="1">IF(ISNA(MATCH($A94,CashFlow!$C$4:$AO$4,0))=TRUE,0,OFFSET(CashFlow!$B$36,0,MATCH($A94,CashFlow!$C$4:$AO$4,0),1,1))</f>
        <v>0</v>
      </c>
      <c r="D94" s="138">
        <f t="shared" ca="1" si="8"/>
        <v>8868.1320962560239</v>
      </c>
      <c r="E94" s="138">
        <f t="shared" ca="1" si="9"/>
        <v>831.40926119190988</v>
      </c>
      <c r="F94" s="138">
        <f t="shared" ca="1" si="5"/>
        <v>8036.7228350641144</v>
      </c>
      <c r="G94" s="139">
        <f ca="1">IF(ROUND(SUM(B94:C94,-F94),0)=0,0,IF($B$6="Yes",SUM($C$9:C94),SUM(B94:C94,-F94)))</f>
        <v>99821.775914156635</v>
      </c>
    </row>
    <row r="95" spans="1:7" ht="16.149999999999999" customHeight="1" x14ac:dyDescent="0.25">
      <c r="A95" s="136">
        <f t="shared" ca="1" si="6"/>
        <v>46873</v>
      </c>
      <c r="B95" s="137">
        <f t="shared" ca="1" si="7"/>
        <v>99821.775914156635</v>
      </c>
      <c r="C95" s="137">
        <f ca="1">IF(ISNA(MATCH($A95,CashFlow!$C$4:$AO$4,0))=TRUE,0,OFFSET(CashFlow!$B$36,0,MATCH($A95,CashFlow!$C$4:$AO$4,0),1,1))</f>
        <v>0</v>
      </c>
      <c r="D95" s="138">
        <f t="shared" ca="1" si="8"/>
        <v>8868.1320962560239</v>
      </c>
      <c r="E95" s="138">
        <f t="shared" ca="1" si="9"/>
        <v>769.45952267162409</v>
      </c>
      <c r="F95" s="138">
        <f t="shared" ca="1" si="5"/>
        <v>8098.6725735844002</v>
      </c>
      <c r="G95" s="139">
        <f ca="1">IF(ROUND(SUM(B95:C95,-F95),0)=0,0,IF($B$6="Yes",SUM($C$9:C95),SUM(B95:C95,-F95)))</f>
        <v>91723.103340572241</v>
      </c>
    </row>
    <row r="96" spans="1:7" ht="16.149999999999999" customHeight="1" x14ac:dyDescent="0.25">
      <c r="A96" s="136">
        <f t="shared" ca="1" si="6"/>
        <v>46904</v>
      </c>
      <c r="B96" s="137">
        <f t="shared" ca="1" si="7"/>
        <v>91723.103340572241</v>
      </c>
      <c r="C96" s="137">
        <f ca="1">IF(ISNA(MATCH($A96,CashFlow!$C$4:$AO$4,0))=TRUE,0,OFFSET(CashFlow!$B$36,0,MATCH($A96,CashFlow!$C$4:$AO$4,0),1,1))</f>
        <v>0</v>
      </c>
      <c r="D96" s="138">
        <f t="shared" ca="1" si="8"/>
        <v>8868.1320962560239</v>
      </c>
      <c r="E96" s="138">
        <f t="shared" ca="1" si="9"/>
        <v>707.03225491691103</v>
      </c>
      <c r="F96" s="138">
        <f t="shared" ca="1" si="5"/>
        <v>8161.0998413391126</v>
      </c>
      <c r="G96" s="139">
        <f ca="1">IF(ROUND(SUM(B96:C96,-F96),0)=0,0,IF($B$6="Yes",SUM($C$9:C96),SUM(B96:C96,-F96)))</f>
        <v>83562.003499233135</v>
      </c>
    </row>
    <row r="97" spans="1:7" ht="16.149999999999999" customHeight="1" x14ac:dyDescent="0.25">
      <c r="A97" s="136">
        <f t="shared" ca="1" si="6"/>
        <v>46934</v>
      </c>
      <c r="B97" s="137">
        <f t="shared" ca="1" si="7"/>
        <v>83562.003499233135</v>
      </c>
      <c r="C97" s="137">
        <f ca="1">IF(ISNA(MATCH($A97,CashFlow!$C$4:$AO$4,0))=TRUE,0,OFFSET(CashFlow!$B$36,0,MATCH($A97,CashFlow!$C$4:$AO$4,0),1,1))</f>
        <v>0</v>
      </c>
      <c r="D97" s="138">
        <f t="shared" ca="1" si="8"/>
        <v>8868.1320962560239</v>
      </c>
      <c r="E97" s="138">
        <f t="shared" ca="1" si="9"/>
        <v>644.12377697325542</v>
      </c>
      <c r="F97" s="138">
        <f t="shared" ca="1" si="5"/>
        <v>8224.0083192827678</v>
      </c>
      <c r="G97" s="139">
        <f ca="1">IF(ROUND(SUM(B97:C97,-F97),0)=0,0,IF($B$6="Yes",SUM($C$9:C97),SUM(B97:C97,-F97)))</f>
        <v>75337.995179950361</v>
      </c>
    </row>
    <row r="98" spans="1:7" ht="16.149999999999999" customHeight="1" x14ac:dyDescent="0.25">
      <c r="A98" s="136">
        <f t="shared" ca="1" si="6"/>
        <v>46965</v>
      </c>
      <c r="B98" s="137">
        <f t="shared" ca="1" si="7"/>
        <v>75337.995179950361</v>
      </c>
      <c r="C98" s="137">
        <f ca="1">IF(ISNA(MATCH($A98,CashFlow!$C$4:$AO$4,0))=TRUE,0,OFFSET(CashFlow!$B$36,0,MATCH($A98,CashFlow!$C$4:$AO$4,0),1,1))</f>
        <v>0</v>
      </c>
      <c r="D98" s="138">
        <f t="shared" ca="1" si="8"/>
        <v>8868.1320962560239</v>
      </c>
      <c r="E98" s="138">
        <f t="shared" ca="1" si="9"/>
        <v>580.73037951211734</v>
      </c>
      <c r="F98" s="138">
        <f t="shared" ca="1" si="5"/>
        <v>8287.4017167439069</v>
      </c>
      <c r="G98" s="139">
        <f ca="1">IF(ROUND(SUM(B98:C98,-F98),0)=0,0,IF($B$6="Yes",SUM($C$9:C98),SUM(B98:C98,-F98)))</f>
        <v>67050.59346320646</v>
      </c>
    </row>
    <row r="99" spans="1:7" ht="16.149999999999999" customHeight="1" x14ac:dyDescent="0.25">
      <c r="A99" s="136">
        <f t="shared" ca="1" si="6"/>
        <v>46996</v>
      </c>
      <c r="B99" s="137">
        <f t="shared" ca="1" si="7"/>
        <v>67050.59346320646</v>
      </c>
      <c r="C99" s="137">
        <f ca="1">IF(ISNA(MATCH($A99,CashFlow!$C$4:$AO$4,0))=TRUE,0,OFFSET(CashFlow!$B$36,0,MATCH($A99,CashFlow!$C$4:$AO$4,0),1,1))</f>
        <v>0</v>
      </c>
      <c r="D99" s="138">
        <f t="shared" ca="1" si="8"/>
        <v>8868.1320962560239</v>
      </c>
      <c r="E99" s="138">
        <f t="shared" ca="1" si="9"/>
        <v>516.84832461221652</v>
      </c>
      <c r="F99" s="138">
        <f t="shared" ca="1" si="5"/>
        <v>8351.283771643808</v>
      </c>
      <c r="G99" s="139">
        <f ca="1">IF(ROUND(SUM(B99:C99,-F99),0)=0,0,IF($B$6="Yes",SUM($C$9:C99),SUM(B99:C99,-F99)))</f>
        <v>58699.309691562652</v>
      </c>
    </row>
    <row r="100" spans="1:7" ht="16.149999999999999" customHeight="1" x14ac:dyDescent="0.25">
      <c r="A100" s="136">
        <f t="shared" ca="1" si="6"/>
        <v>47026</v>
      </c>
      <c r="B100" s="137">
        <f t="shared" ca="1" si="7"/>
        <v>58699.309691562652</v>
      </c>
      <c r="C100" s="137">
        <f ca="1">IF(ISNA(MATCH($A100,CashFlow!$C$4:$AO$4,0))=TRUE,0,OFFSET(CashFlow!$B$36,0,MATCH($A100,CashFlow!$C$4:$AO$4,0),1,1))</f>
        <v>0</v>
      </c>
      <c r="D100" s="138">
        <f t="shared" ca="1" si="8"/>
        <v>8868.1320962560239</v>
      </c>
      <c r="E100" s="138">
        <f t="shared" ca="1" si="9"/>
        <v>452.47384553912872</v>
      </c>
      <c r="F100" s="138">
        <f t="shared" ca="1" si="5"/>
        <v>8415.6582507168951</v>
      </c>
      <c r="G100" s="139">
        <f ca="1">IF(ROUND(SUM(B100:C100,-F100),0)=0,0,IF($B$6="Yes",SUM($C$9:C100),SUM(B100:C100,-F100)))</f>
        <v>50283.651440845759</v>
      </c>
    </row>
    <row r="101" spans="1:7" ht="16.149999999999999" customHeight="1" x14ac:dyDescent="0.25">
      <c r="A101" s="136">
        <f t="shared" ca="1" si="6"/>
        <v>47057</v>
      </c>
      <c r="B101" s="137">
        <f t="shared" ca="1" si="7"/>
        <v>50283.651440845759</v>
      </c>
      <c r="C101" s="137">
        <f ca="1">IF(ISNA(MATCH($A101,CashFlow!$C$4:$AO$4,0))=TRUE,0,OFFSET(CashFlow!$B$36,0,MATCH($A101,CashFlow!$C$4:$AO$4,0),1,1))</f>
        <v>0</v>
      </c>
      <c r="D101" s="138">
        <f t="shared" ca="1" si="8"/>
        <v>8868.1320962560239</v>
      </c>
      <c r="E101" s="138">
        <f t="shared" ca="1" si="9"/>
        <v>387.60314652318607</v>
      </c>
      <c r="F101" s="138">
        <f t="shared" ca="1" si="5"/>
        <v>8480.5289497328376</v>
      </c>
      <c r="G101" s="139">
        <f ca="1">IF(ROUND(SUM(B101:C101,-F101),0)=0,0,IF($B$6="Yes",SUM($C$9:C101),SUM(B101:C101,-F101)))</f>
        <v>41803.122491112925</v>
      </c>
    </row>
    <row r="102" spans="1:7" ht="16.149999999999999" customHeight="1" x14ac:dyDescent="0.25">
      <c r="A102" s="136">
        <f t="shared" ca="1" si="6"/>
        <v>47087</v>
      </c>
      <c r="B102" s="137">
        <f t="shared" ca="1" si="7"/>
        <v>41803.122491112925</v>
      </c>
      <c r="C102" s="137">
        <f ca="1">IF(ISNA(MATCH($A102,CashFlow!$C$4:$AO$4,0))=TRUE,0,OFFSET(CashFlow!$B$36,0,MATCH($A102,CashFlow!$C$4:$AO$4,0),1,1))</f>
        <v>0</v>
      </c>
      <c r="D102" s="138">
        <f t="shared" ca="1" si="8"/>
        <v>8868.1320962560239</v>
      </c>
      <c r="E102" s="138">
        <f t="shared" ca="1" si="9"/>
        <v>322.23240253566212</v>
      </c>
      <c r="F102" s="138">
        <f t="shared" ca="1" si="5"/>
        <v>8545.899693720361</v>
      </c>
      <c r="G102" s="139">
        <f ca="1">IF(ROUND(SUM(B102:C102,-F102),0)=0,0,IF($B$6="Yes",SUM($C$9:C102),SUM(B102:C102,-F102)))</f>
        <v>33257.222797392562</v>
      </c>
    </row>
    <row r="103" spans="1:7" ht="16.149999999999999" customHeight="1" x14ac:dyDescent="0.25">
      <c r="A103" s="136">
        <f t="shared" ca="1" si="6"/>
        <v>47118</v>
      </c>
      <c r="B103" s="137">
        <f t="shared" ca="1" si="7"/>
        <v>33257.222797392562</v>
      </c>
      <c r="C103" s="137">
        <f ca="1">IF(ISNA(MATCH($A103,CashFlow!$C$4:$AO$4,0))=TRUE,0,OFFSET(CashFlow!$B$36,0,MATCH($A103,CashFlow!$C$4:$AO$4,0),1,1))</f>
        <v>0</v>
      </c>
      <c r="D103" s="138">
        <f t="shared" ca="1" si="8"/>
        <v>8868.1320962560239</v>
      </c>
      <c r="E103" s="138">
        <f t="shared" ca="1" si="9"/>
        <v>256.35775906323431</v>
      </c>
      <c r="F103" s="138">
        <f t="shared" ca="1" si="5"/>
        <v>8611.77433719279</v>
      </c>
      <c r="G103" s="139">
        <f ca="1">IF(ROUND(SUM(B103:C103,-F103),0)=0,0,IF($B$6="Yes",SUM($C$9:C103),SUM(B103:C103,-F103)))</f>
        <v>24645.448460199772</v>
      </c>
    </row>
    <row r="104" spans="1:7" ht="16.149999999999999" customHeight="1" x14ac:dyDescent="0.25">
      <c r="A104" s="136">
        <f t="shared" ca="1" si="6"/>
        <v>47149</v>
      </c>
      <c r="B104" s="137">
        <f t="shared" ca="1" si="7"/>
        <v>24645.448460199772</v>
      </c>
      <c r="C104" s="137">
        <f ca="1">IF(ISNA(MATCH($A104,CashFlow!$C$4:$AO$4,0))=TRUE,0,OFFSET(CashFlow!$B$36,0,MATCH($A104,CashFlow!$C$4:$AO$4,0),1,1))</f>
        <v>0</v>
      </c>
      <c r="D104" s="138">
        <f t="shared" ca="1" si="8"/>
        <v>8868.1320962560239</v>
      </c>
      <c r="E104" s="138">
        <f t="shared" ca="1" si="9"/>
        <v>189.97533188070656</v>
      </c>
      <c r="F104" s="138">
        <f t="shared" ca="1" si="5"/>
        <v>8678.1567643753169</v>
      </c>
      <c r="G104" s="139">
        <f ca="1">IF(ROUND(SUM(B104:C104,-F104),0)=0,0,IF($B$6="Yes",SUM($C$9:C104),SUM(B104:C104,-F104)))</f>
        <v>15967.291695824455</v>
      </c>
    </row>
    <row r="105" spans="1:7" ht="16.149999999999999" customHeight="1" x14ac:dyDescent="0.25">
      <c r="A105" s="136">
        <f t="shared" ca="1" si="6"/>
        <v>47177</v>
      </c>
      <c r="B105" s="137">
        <f t="shared" ca="1" si="7"/>
        <v>15967.291695824455</v>
      </c>
      <c r="C105" s="137">
        <f ca="1">IF(ISNA(MATCH($A105,CashFlow!$C$4:$AO$4,0))=TRUE,0,OFFSET(CashFlow!$B$36,0,MATCH($A105,CashFlow!$C$4:$AO$4,0),1,1))</f>
        <v>0</v>
      </c>
      <c r="D105" s="138">
        <f t="shared" ca="1" si="8"/>
        <v>8868.1320962560239</v>
      </c>
      <c r="E105" s="138">
        <f t="shared" ca="1" si="9"/>
        <v>123.08120682198017</v>
      </c>
      <c r="F105" s="138">
        <f t="shared" ca="1" si="5"/>
        <v>8745.0508894340437</v>
      </c>
      <c r="G105" s="139">
        <f ca="1">IF(ROUND(SUM(B105:C105,-F105),0)=0,0,IF($B$6="Yes",SUM($C$9:C105),SUM(B105:C105,-F105)))</f>
        <v>7222.2408063904113</v>
      </c>
    </row>
    <row r="106" spans="1:7" ht="16.149999999999999" customHeight="1" x14ac:dyDescent="0.25">
      <c r="A106" s="136">
        <f t="shared" ca="1" si="6"/>
        <v>47208</v>
      </c>
      <c r="B106" s="137">
        <f t="shared" ca="1" si="7"/>
        <v>7222.2408063904113</v>
      </c>
      <c r="C106" s="137">
        <f ca="1">IF(ISNA(MATCH($A106,CashFlow!$C$4:$AO$4,0))=TRUE,0,OFFSET(CashFlow!$B$36,0,MATCH($A106,CashFlow!$C$4:$AO$4,0),1,1))</f>
        <v>0</v>
      </c>
      <c r="D106" s="138">
        <f t="shared" ca="1" si="8"/>
        <v>1478.0220160426707</v>
      </c>
      <c r="E106" s="138">
        <f t="shared" ca="1" si="9"/>
        <v>55.671439549259418</v>
      </c>
      <c r="F106" s="138">
        <f t="shared" ca="1" si="5"/>
        <v>1422.3505764934112</v>
      </c>
      <c r="G106" s="139">
        <f ca="1">IF(ROUND(SUM(B106:C106,-F106),0)=0,0,IF($B$6="Yes",SUM($C$9:C106),SUM(B106:C106,-F106)))</f>
        <v>5799.8902298970006</v>
      </c>
    </row>
    <row r="107" spans="1:7" ht="16.149999999999999" customHeight="1" x14ac:dyDescent="0.25">
      <c r="A107" s="136">
        <f t="shared" ca="1" si="6"/>
        <v>47238</v>
      </c>
      <c r="B107" s="137">
        <f t="shared" ca="1" si="7"/>
        <v>5799.8902298970006</v>
      </c>
      <c r="C107" s="137">
        <f ca="1">IF(ISNA(MATCH($A107,CashFlow!$C$4:$AO$4,0))=TRUE,0,OFFSET(CashFlow!$B$36,0,MATCH($A107,CashFlow!$C$4:$AO$4,0),1,1))</f>
        <v>0</v>
      </c>
      <c r="D107" s="138">
        <f t="shared" ca="1" si="8"/>
        <v>1478.0220160426707</v>
      </c>
      <c r="E107" s="138">
        <f t="shared" ca="1" si="9"/>
        <v>44.707487188789379</v>
      </c>
      <c r="F107" s="138">
        <f t="shared" ca="1" si="5"/>
        <v>1433.3145288538813</v>
      </c>
      <c r="G107" s="139">
        <f ca="1">IF(ROUND(SUM(B107:C107,-F107),0)=0,0,IF($B$6="Yes",SUM($C$9:C107),SUM(B107:C107,-F107)))</f>
        <v>4366.5757010431189</v>
      </c>
    </row>
    <row r="108" spans="1:7" ht="16.149999999999999" customHeight="1" x14ac:dyDescent="0.25">
      <c r="A108" s="136">
        <f t="shared" ca="1" si="6"/>
        <v>47269</v>
      </c>
      <c r="B108" s="137">
        <f t="shared" ca="1" si="7"/>
        <v>4366.5757010431189</v>
      </c>
      <c r="C108" s="137">
        <f ca="1">IF(ISNA(MATCH($A108,CashFlow!$C$4:$AO$4,0))=TRUE,0,OFFSET(CashFlow!$B$36,0,MATCH($A108,CashFlow!$C$4:$AO$4,0),1,1))</f>
        <v>0</v>
      </c>
      <c r="D108" s="138">
        <f t="shared" ca="1" si="8"/>
        <v>1478.0220160426707</v>
      </c>
      <c r="E108" s="138">
        <f t="shared" ca="1" si="9"/>
        <v>33.659021028874044</v>
      </c>
      <c r="F108" s="138">
        <f t="shared" ca="1" si="5"/>
        <v>1444.3629950137965</v>
      </c>
      <c r="G108" s="139">
        <f ca="1">IF(ROUND(SUM(B108:C108,-F108),0)=0,0,IF($B$6="Yes",SUM($C$9:C108),SUM(B108:C108,-F108)))</f>
        <v>2922.2127060293224</v>
      </c>
    </row>
    <row r="109" spans="1:7" ht="16.149999999999999" customHeight="1" x14ac:dyDescent="0.25">
      <c r="A109" s="136">
        <f t="shared" ca="1" si="6"/>
        <v>47299</v>
      </c>
      <c r="B109" s="137">
        <f t="shared" ca="1" si="7"/>
        <v>2922.2127060293224</v>
      </c>
      <c r="C109" s="137">
        <f ca="1">IF(ISNA(MATCH($A109,CashFlow!$C$4:$AO$4,0))=TRUE,0,OFFSET(CashFlow!$B$36,0,MATCH($A109,CashFlow!$C$4:$AO$4,0),1,1))</f>
        <v>0</v>
      </c>
      <c r="D109" s="138">
        <f t="shared" ca="1" si="8"/>
        <v>1478.0220160426707</v>
      </c>
      <c r="E109" s="138">
        <f t="shared" ca="1" si="9"/>
        <v>22.525389608976027</v>
      </c>
      <c r="F109" s="138">
        <f t="shared" ca="1" si="5"/>
        <v>1455.4966264336947</v>
      </c>
      <c r="G109" s="139">
        <f ca="1">IF(ROUND(SUM(B109:C109,-F109),0)=0,0,IF($B$6="Yes",SUM($C$9:C109),SUM(B109:C109,-F109)))</f>
        <v>1466.7160795956277</v>
      </c>
    </row>
    <row r="110" spans="1:7" ht="16.149999999999999" customHeight="1" x14ac:dyDescent="0.25">
      <c r="A110" s="136">
        <f t="shared" ca="1" si="6"/>
        <v>47330</v>
      </c>
      <c r="B110" s="137">
        <f t="shared" ca="1" si="7"/>
        <v>1466.7160795956277</v>
      </c>
      <c r="C110" s="137">
        <f ca="1">IF(ISNA(MATCH($A110,CashFlow!$C$4:$AO$4,0))=TRUE,0,OFFSET(CashFlow!$B$36,0,MATCH($A110,CashFlow!$C$4:$AO$4,0),1,1))</f>
        <v>0</v>
      </c>
      <c r="D110" s="138">
        <f t="shared" ca="1" si="8"/>
        <v>1478.0220160426707</v>
      </c>
      <c r="E110" s="138">
        <f t="shared" ca="1" si="9"/>
        <v>11.305936446882962</v>
      </c>
      <c r="F110" s="138">
        <f t="shared" ca="1" si="5"/>
        <v>1466.7160795957877</v>
      </c>
      <c r="G110" s="139">
        <f ca="1">IF(ROUND(SUM(B110:C110,-F110),0)=0,0,IF($B$6="Yes",SUM($C$9:C110),SUM(B110:C110,-F110)))</f>
        <v>0</v>
      </c>
    </row>
    <row r="111" spans="1:7" ht="16.149999999999999" customHeight="1" x14ac:dyDescent="0.25">
      <c r="A111" s="136">
        <f t="shared" ca="1" si="6"/>
        <v>47361</v>
      </c>
      <c r="B111" s="137">
        <f t="shared" ca="1" si="7"/>
        <v>0</v>
      </c>
      <c r="C111" s="137">
        <f ca="1">IF(ISNA(MATCH($A111,CashFlow!$C$4:$AO$4,0))=TRUE,0,OFFSET(CashFlow!$B$36,0,MATCH($A111,CashFlow!$C$4:$AO$4,0),1,1))</f>
        <v>0</v>
      </c>
      <c r="D111" s="138">
        <f t="shared" ca="1" si="8"/>
        <v>0</v>
      </c>
      <c r="E111" s="138">
        <f t="shared" ca="1" si="9"/>
        <v>0</v>
      </c>
      <c r="F111" s="138">
        <f t="shared" ca="1" si="5"/>
        <v>0</v>
      </c>
      <c r="G111" s="139">
        <f ca="1">IF(ROUND(SUM(B111:C111,-F111),0)=0,0,IF($B$6="Yes",SUM($C$9:C111),SUM(B111:C111,-F111)))</f>
        <v>0</v>
      </c>
    </row>
    <row r="112" spans="1:7" ht="16.149999999999999" customHeight="1" x14ac:dyDescent="0.25">
      <c r="A112" s="136">
        <f t="shared" ca="1" si="6"/>
        <v>47391</v>
      </c>
      <c r="B112" s="137">
        <f t="shared" ca="1" si="7"/>
        <v>0</v>
      </c>
      <c r="C112" s="137">
        <f ca="1">IF(ISNA(MATCH($A112,CashFlow!$C$4:$AO$4,0))=TRUE,0,OFFSET(CashFlow!$B$36,0,MATCH($A112,CashFlow!$C$4:$AO$4,0),1,1))</f>
        <v>0</v>
      </c>
      <c r="D112" s="138">
        <f t="shared" ca="1" si="8"/>
        <v>0</v>
      </c>
      <c r="E112" s="138">
        <f t="shared" ca="1" si="9"/>
        <v>0</v>
      </c>
      <c r="F112" s="138">
        <f t="shared" ca="1" si="5"/>
        <v>0</v>
      </c>
      <c r="G112" s="139">
        <f ca="1">IF(ROUND(SUM(B112:C112,-F112),0)=0,0,IF($B$6="Yes",SUM($C$9:C112),SUM(B112:C112,-F112)))</f>
        <v>0</v>
      </c>
    </row>
    <row r="113" spans="1:7" ht="16.149999999999999" customHeight="1" x14ac:dyDescent="0.25">
      <c r="A113" s="136">
        <f t="shared" ca="1" si="6"/>
        <v>47422</v>
      </c>
      <c r="B113" s="137">
        <f t="shared" ca="1" si="7"/>
        <v>0</v>
      </c>
      <c r="C113" s="137">
        <f ca="1">IF(ISNA(MATCH($A113,CashFlow!$C$4:$AO$4,0))=TRUE,0,OFFSET(CashFlow!$B$36,0,MATCH($A113,CashFlow!$C$4:$AO$4,0),1,1))</f>
        <v>0</v>
      </c>
      <c r="D113" s="138">
        <f t="shared" ca="1" si="8"/>
        <v>0</v>
      </c>
      <c r="E113" s="138">
        <f t="shared" ca="1" si="9"/>
        <v>0</v>
      </c>
      <c r="F113" s="138">
        <f t="shared" ca="1" si="5"/>
        <v>0</v>
      </c>
      <c r="G113" s="139">
        <f ca="1">IF(ROUND(SUM(B113:C113,-F113),0)=0,0,IF($B$6="Yes",SUM($C$9:C113),SUM(B113:C113,-F113)))</f>
        <v>0</v>
      </c>
    </row>
    <row r="114" spans="1:7" ht="16.149999999999999" customHeight="1" x14ac:dyDescent="0.25">
      <c r="A114" s="136">
        <f t="shared" ca="1" si="6"/>
        <v>47452</v>
      </c>
      <c r="B114" s="137">
        <f t="shared" ca="1" si="7"/>
        <v>0</v>
      </c>
      <c r="C114" s="137">
        <f ca="1">IF(ISNA(MATCH($A114,CashFlow!$C$4:$AO$4,0))=TRUE,0,OFFSET(CashFlow!$B$36,0,MATCH($A114,CashFlow!$C$4:$AO$4,0),1,1))</f>
        <v>0</v>
      </c>
      <c r="D114" s="138">
        <f t="shared" ca="1" si="8"/>
        <v>0</v>
      </c>
      <c r="E114" s="138">
        <f t="shared" ca="1" si="9"/>
        <v>0</v>
      </c>
      <c r="F114" s="138">
        <f t="shared" ca="1" si="5"/>
        <v>0</v>
      </c>
      <c r="G114" s="139">
        <f ca="1">IF(ROUND(SUM(B114:C114,-F114),0)=0,0,IF($B$6="Yes",SUM($C$9:C114),SUM(B114:C114,-F114)))</f>
        <v>0</v>
      </c>
    </row>
    <row r="115" spans="1:7" ht="16.149999999999999" customHeight="1" x14ac:dyDescent="0.25">
      <c r="A115" s="136">
        <f t="shared" ca="1" si="6"/>
        <v>47483</v>
      </c>
      <c r="B115" s="137">
        <f t="shared" ca="1" si="7"/>
        <v>0</v>
      </c>
      <c r="C115" s="137">
        <f ca="1">IF(ISNA(MATCH($A115,CashFlow!$C$4:$AO$4,0))=TRUE,0,OFFSET(CashFlow!$B$36,0,MATCH($A115,CashFlow!$C$4:$AO$4,0),1,1))</f>
        <v>0</v>
      </c>
      <c r="D115" s="138">
        <f t="shared" ca="1" si="8"/>
        <v>0</v>
      </c>
      <c r="E115" s="138">
        <f t="shared" ca="1" si="9"/>
        <v>0</v>
      </c>
      <c r="F115" s="138">
        <f t="shared" ca="1" si="5"/>
        <v>0</v>
      </c>
      <c r="G115" s="139">
        <f ca="1">IF(ROUND(SUM(B115:C115,-F115),0)=0,0,IF($B$6="Yes",SUM($C$9:C115),SUM(B115:C115,-F115)))</f>
        <v>0</v>
      </c>
    </row>
    <row r="116" spans="1:7" ht="16.149999999999999" customHeight="1" x14ac:dyDescent="0.25">
      <c r="A116" s="136">
        <f t="shared" ca="1" si="6"/>
        <v>47514</v>
      </c>
      <c r="B116" s="137">
        <f t="shared" ca="1" si="7"/>
        <v>0</v>
      </c>
      <c r="C116" s="137">
        <f ca="1">IF(ISNA(MATCH($A116,CashFlow!$C$4:$AO$4,0))=TRUE,0,OFFSET(CashFlow!$B$36,0,MATCH($A116,CashFlow!$C$4:$AO$4,0),1,1))</f>
        <v>0</v>
      </c>
      <c r="D116" s="138">
        <f t="shared" ca="1" si="8"/>
        <v>0</v>
      </c>
      <c r="E116" s="138">
        <f t="shared" ca="1" si="9"/>
        <v>0</v>
      </c>
      <c r="F116" s="138">
        <f t="shared" ca="1" si="5"/>
        <v>0</v>
      </c>
      <c r="G116" s="139">
        <f ca="1">IF(ROUND(SUM(B116:C116,-F116),0)=0,0,IF($B$6="Yes",SUM($C$9:C116),SUM(B116:C116,-F116)))</f>
        <v>0</v>
      </c>
    </row>
    <row r="117" spans="1:7" ht="16.149999999999999" customHeight="1" x14ac:dyDescent="0.25">
      <c r="A117" s="136">
        <f t="shared" ca="1" si="6"/>
        <v>47542</v>
      </c>
      <c r="B117" s="137">
        <f t="shared" ca="1" si="7"/>
        <v>0</v>
      </c>
      <c r="C117" s="137">
        <f ca="1">IF(ISNA(MATCH($A117,CashFlow!$C$4:$AO$4,0))=TRUE,0,OFFSET(CashFlow!$B$36,0,MATCH($A117,CashFlow!$C$4:$AO$4,0),1,1))</f>
        <v>0</v>
      </c>
      <c r="D117" s="138">
        <f t="shared" ca="1" si="8"/>
        <v>0</v>
      </c>
      <c r="E117" s="138">
        <f t="shared" ca="1" si="9"/>
        <v>0</v>
      </c>
      <c r="F117" s="138">
        <f t="shared" ca="1" si="5"/>
        <v>0</v>
      </c>
      <c r="G117" s="139">
        <f ca="1">IF(ROUND(SUM(B117:C117,-F117),0)=0,0,IF($B$6="Yes",SUM($C$9:C117),SUM(B117:C117,-F117)))</f>
        <v>0</v>
      </c>
    </row>
    <row r="118" spans="1:7" ht="16.149999999999999" customHeight="1" x14ac:dyDescent="0.25">
      <c r="A118" s="136">
        <f t="shared" ca="1" si="6"/>
        <v>47573</v>
      </c>
      <c r="B118" s="137">
        <f t="shared" ca="1" si="7"/>
        <v>0</v>
      </c>
      <c r="C118" s="137">
        <f ca="1">IF(ISNA(MATCH($A118,CashFlow!$C$4:$AO$4,0))=TRUE,0,OFFSET(CashFlow!$B$36,0,MATCH($A118,CashFlow!$C$4:$AO$4,0),1,1))</f>
        <v>0</v>
      </c>
      <c r="D118" s="138">
        <f t="shared" ca="1" si="8"/>
        <v>0</v>
      </c>
      <c r="E118" s="138">
        <f t="shared" ca="1" si="9"/>
        <v>0</v>
      </c>
      <c r="F118" s="138">
        <f t="shared" ca="1" si="5"/>
        <v>0</v>
      </c>
      <c r="G118" s="139">
        <f ca="1">IF(ROUND(SUM(B118:C118,-F118),0)=0,0,IF($B$6="Yes",SUM($C$9:C118),SUM(B118:C118,-F118)))</f>
        <v>0</v>
      </c>
    </row>
    <row r="119" spans="1:7" ht="16.149999999999999" customHeight="1" x14ac:dyDescent="0.25">
      <c r="A119" s="136">
        <f t="shared" ca="1" si="6"/>
        <v>47603</v>
      </c>
      <c r="B119" s="137">
        <f t="shared" ca="1" si="7"/>
        <v>0</v>
      </c>
      <c r="C119" s="137">
        <f ca="1">IF(ISNA(MATCH($A119,CashFlow!$C$4:$AO$4,0))=TRUE,0,OFFSET(CashFlow!$B$36,0,MATCH($A119,CashFlow!$C$4:$AO$4,0),1,1))</f>
        <v>0</v>
      </c>
      <c r="D119" s="138">
        <f t="shared" ca="1" si="8"/>
        <v>0</v>
      </c>
      <c r="E119" s="138">
        <f t="shared" ca="1" si="9"/>
        <v>0</v>
      </c>
      <c r="F119" s="138">
        <f t="shared" ca="1" si="5"/>
        <v>0</v>
      </c>
      <c r="G119" s="139">
        <f ca="1">IF(ROUND(SUM(B119:C119,-F119),0)=0,0,IF($B$6="Yes",SUM($C$9:C119),SUM(B119:C119,-F119)))</f>
        <v>0</v>
      </c>
    </row>
    <row r="120" spans="1:7" ht="16.149999999999999" customHeight="1" x14ac:dyDescent="0.25">
      <c r="A120" s="136">
        <f t="shared" ca="1" si="6"/>
        <v>47634</v>
      </c>
      <c r="B120" s="137">
        <f t="shared" ca="1" si="7"/>
        <v>0</v>
      </c>
      <c r="C120" s="137">
        <f ca="1">IF(ISNA(MATCH($A120,CashFlow!$C$4:$AO$4,0))=TRUE,0,OFFSET(CashFlow!$B$36,0,MATCH($A120,CashFlow!$C$4:$AO$4,0),1,1))</f>
        <v>0</v>
      </c>
      <c r="D120" s="138">
        <f t="shared" ca="1" si="8"/>
        <v>0</v>
      </c>
      <c r="E120" s="138">
        <f t="shared" ca="1" si="9"/>
        <v>0</v>
      </c>
      <c r="F120" s="138">
        <f t="shared" ca="1" si="5"/>
        <v>0</v>
      </c>
      <c r="G120" s="139">
        <f ca="1">IF(ROUND(SUM(B120:C120,-F120),0)=0,0,IF($B$6="Yes",SUM($C$9:C120),SUM(B120:C120,-F120)))</f>
        <v>0</v>
      </c>
    </row>
    <row r="121" spans="1:7" ht="16.149999999999999" customHeight="1" x14ac:dyDescent="0.25">
      <c r="A121" s="136">
        <f t="shared" ca="1" si="6"/>
        <v>47664</v>
      </c>
      <c r="B121" s="137">
        <f t="shared" ca="1" si="7"/>
        <v>0</v>
      </c>
      <c r="C121" s="137">
        <f ca="1">IF(ISNA(MATCH($A121,CashFlow!$C$4:$AO$4,0))=TRUE,0,OFFSET(CashFlow!$B$36,0,MATCH($A121,CashFlow!$C$4:$AO$4,0),1,1))</f>
        <v>0</v>
      </c>
      <c r="D121" s="138">
        <f t="shared" ca="1" si="8"/>
        <v>0</v>
      </c>
      <c r="E121" s="138">
        <f t="shared" ca="1" si="9"/>
        <v>0</v>
      </c>
      <c r="F121" s="138">
        <f t="shared" ca="1" si="5"/>
        <v>0</v>
      </c>
      <c r="G121" s="139">
        <f ca="1">IF(ROUND(SUM(B121:C121,-F121),0)=0,0,IF($B$6="Yes",SUM($C$9:C121),SUM(B121:C121,-F121)))</f>
        <v>0</v>
      </c>
    </row>
    <row r="122" spans="1:7" ht="16.149999999999999" customHeight="1" x14ac:dyDescent="0.25">
      <c r="A122" s="136">
        <f t="shared" ca="1" si="6"/>
        <v>47695</v>
      </c>
      <c r="B122" s="137">
        <f t="shared" ca="1" si="7"/>
        <v>0</v>
      </c>
      <c r="C122" s="137">
        <f ca="1">IF(ISNA(MATCH($A122,CashFlow!$C$4:$AO$4,0))=TRUE,0,OFFSET(CashFlow!$B$36,0,MATCH($A122,CashFlow!$C$4:$AO$4,0),1,1))</f>
        <v>0</v>
      </c>
      <c r="D122" s="138">
        <f t="shared" ca="1" si="8"/>
        <v>0</v>
      </c>
      <c r="E122" s="138">
        <f t="shared" ca="1" si="9"/>
        <v>0</v>
      </c>
      <c r="F122" s="138">
        <f t="shared" ca="1" si="5"/>
        <v>0</v>
      </c>
      <c r="G122" s="139">
        <f ca="1">IF(ROUND(SUM(B122:C122,-F122),0)=0,0,IF($B$6="Yes",SUM($C$9:C122),SUM(B122:C122,-F122)))</f>
        <v>0</v>
      </c>
    </row>
    <row r="123" spans="1:7" ht="16.149999999999999" customHeight="1" x14ac:dyDescent="0.25">
      <c r="A123" s="136">
        <f t="shared" ca="1" si="6"/>
        <v>47726</v>
      </c>
      <c r="B123" s="137">
        <f t="shared" ca="1" si="7"/>
        <v>0</v>
      </c>
      <c r="C123" s="137">
        <f ca="1">IF(ISNA(MATCH($A123,CashFlow!$C$4:$AO$4,0))=TRUE,0,OFFSET(CashFlow!$B$36,0,MATCH($A123,CashFlow!$C$4:$AO$4,0),1,1))</f>
        <v>0</v>
      </c>
      <c r="D123" s="138">
        <f t="shared" ca="1" si="8"/>
        <v>0</v>
      </c>
      <c r="E123" s="138">
        <f t="shared" ca="1" si="9"/>
        <v>0</v>
      </c>
      <c r="F123" s="138">
        <f t="shared" ca="1" si="5"/>
        <v>0</v>
      </c>
      <c r="G123" s="139">
        <f ca="1">IF(ROUND(SUM(B123:C123,-F123),0)=0,0,IF($B$6="Yes",SUM($C$9:C123),SUM(B123:C123,-F123)))</f>
        <v>0</v>
      </c>
    </row>
    <row r="124" spans="1:7" ht="16.149999999999999" customHeight="1" x14ac:dyDescent="0.25">
      <c r="A124" s="136">
        <f t="shared" ca="1" si="6"/>
        <v>47756</v>
      </c>
      <c r="B124" s="137">
        <f t="shared" ca="1" si="7"/>
        <v>0</v>
      </c>
      <c r="C124" s="137">
        <f ca="1">IF(ISNA(MATCH($A124,CashFlow!$C$4:$AO$4,0))=TRUE,0,OFFSET(CashFlow!$B$36,0,MATCH($A124,CashFlow!$C$4:$AO$4,0),1,1))</f>
        <v>0</v>
      </c>
      <c r="D124" s="138">
        <f t="shared" ca="1" si="8"/>
        <v>0</v>
      </c>
      <c r="E124" s="138">
        <f t="shared" ca="1" si="9"/>
        <v>0</v>
      </c>
      <c r="F124" s="138">
        <f t="shared" ca="1" si="5"/>
        <v>0</v>
      </c>
      <c r="G124" s="139">
        <f ca="1">IF(ROUND(SUM(B124:C124,-F124),0)=0,0,IF($B$6="Yes",SUM($C$9:C124),SUM(B124:C124,-F124)))</f>
        <v>0</v>
      </c>
    </row>
    <row r="125" spans="1:7" ht="16.149999999999999" customHeight="1" x14ac:dyDescent="0.25">
      <c r="A125" s="136">
        <f t="shared" ca="1" si="6"/>
        <v>47787</v>
      </c>
      <c r="B125" s="137">
        <f t="shared" ca="1" si="7"/>
        <v>0</v>
      </c>
      <c r="C125" s="137">
        <f ca="1">IF(ISNA(MATCH($A125,CashFlow!$C$4:$AO$4,0))=TRUE,0,OFFSET(CashFlow!$B$36,0,MATCH($A125,CashFlow!$C$4:$AO$4,0),1,1))</f>
        <v>0</v>
      </c>
      <c r="D125" s="138">
        <f t="shared" ca="1" si="8"/>
        <v>0</v>
      </c>
      <c r="E125" s="138">
        <f t="shared" ca="1" si="9"/>
        <v>0</v>
      </c>
      <c r="F125" s="138">
        <f t="shared" ca="1" si="5"/>
        <v>0</v>
      </c>
      <c r="G125" s="139">
        <f ca="1">IF(ROUND(SUM(B125:C125,-F125),0)=0,0,IF($B$6="Yes",SUM($C$9:C125),SUM(B125:C125,-F125)))</f>
        <v>0</v>
      </c>
    </row>
    <row r="126" spans="1:7" ht="16.149999999999999" customHeight="1" x14ac:dyDescent="0.25">
      <c r="A126" s="136">
        <f ca="1">DATE(YEAR(A125),MONTH(A125)+2,0)</f>
        <v>47817</v>
      </c>
      <c r="B126" s="137">
        <f t="shared" ca="1" si="7"/>
        <v>0</v>
      </c>
      <c r="C126" s="137">
        <f ca="1">IF(ISNA(MATCH($A126,CashFlow!$C$4:$AO$4,0))=TRUE,0,OFFSET(CashFlow!$B$36,0,MATCH($A126,CashFlow!$C$4:$AO$4,0),1,1))</f>
        <v>0</v>
      </c>
      <c r="D126" s="138">
        <f t="shared" ca="1" si="8"/>
        <v>0</v>
      </c>
      <c r="E126" s="138">
        <f t="shared" ca="1" si="9"/>
        <v>0</v>
      </c>
      <c r="F126" s="138">
        <f t="shared" ca="1" si="5"/>
        <v>0</v>
      </c>
      <c r="G126" s="139">
        <f ca="1">IF(ROUND(SUM(B126:C126,-F126),0)=0,0,IF($B$6="Yes",SUM($C$9:C126),SUM(B126:C126,-F126)))</f>
        <v>0</v>
      </c>
    </row>
    <row r="127" spans="1:7" ht="16.149999999999999" customHeight="1" x14ac:dyDescent="0.25">
      <c r="A127" s="136">
        <f ca="1">DATE(YEAR(A126),MONTH(A126)+2,0)</f>
        <v>47848</v>
      </c>
      <c r="B127" s="137">
        <f t="shared" ca="1" si="7"/>
        <v>0</v>
      </c>
      <c r="C127" s="137">
        <f ca="1">IF(ISNA(MATCH($A127,CashFlow!$C$4:$AO$4,0))=TRUE,0,OFFSET(CashFlow!$B$36,0,MATCH($A127,CashFlow!$C$4:$AO$4,0),1,1))</f>
        <v>0</v>
      </c>
      <c r="D127" s="138">
        <f t="shared" ca="1" si="8"/>
        <v>0</v>
      </c>
      <c r="E127" s="138">
        <f t="shared" ca="1" si="9"/>
        <v>0</v>
      </c>
      <c r="F127" s="138">
        <f t="shared" ca="1" si="5"/>
        <v>0</v>
      </c>
      <c r="G127" s="139">
        <f ca="1">IF(ROUND(SUM(B127:C127,-F127),0)=0,0,IF($B$6="Yes",SUM($C$9:C127),SUM(B127:C127,-F127)))</f>
        <v>0</v>
      </c>
    </row>
    <row r="128" spans="1:7" ht="16.149999999999999" customHeight="1" x14ac:dyDescent="0.25">
      <c r="A128" s="136">
        <f ca="1">DATE(YEAR(A127),MONTH(A127)+2,0)</f>
        <v>47879</v>
      </c>
      <c r="B128" s="137">
        <f t="shared" ca="1" si="7"/>
        <v>0</v>
      </c>
      <c r="C128" s="137">
        <f ca="1">IF(ISNA(MATCH($A128,CashFlow!$C$4:$AO$4,0))=TRUE,0,OFFSET(CashFlow!$B$36,0,MATCH($A128,CashFlow!$C$4:$AO$4,0),1,1))</f>
        <v>0</v>
      </c>
      <c r="D128" s="138">
        <f t="shared" ca="1" si="8"/>
        <v>0</v>
      </c>
      <c r="E128" s="138">
        <f t="shared" ca="1" si="9"/>
        <v>0</v>
      </c>
      <c r="F128" s="138">
        <f t="shared" ca="1" si="5"/>
        <v>0</v>
      </c>
      <c r="G128" s="139">
        <f ca="1">IF(ROUND(SUM(B128:C128,-F128),0)=0,0,IF($B$6="Yes",SUM($C$9:C128),SUM(B128:C128,-F128)))</f>
        <v>0</v>
      </c>
    </row>
    <row r="129" spans="1:7" ht="16.149999999999999" customHeight="1" x14ac:dyDescent="0.25">
      <c r="A129" s="136">
        <f t="shared" ref="A129:A165" ca="1" si="10">DATE(YEAR(A128),MONTH(A128)+2,0)</f>
        <v>47907</v>
      </c>
      <c r="B129" s="137">
        <f t="shared" ca="1" si="7"/>
        <v>0</v>
      </c>
      <c r="C129" s="137">
        <f ca="1">IF(ISNA(MATCH($A129,CashFlow!$C$4:$AO$4,0))=TRUE,0,OFFSET(CashFlow!$B$36,0,MATCH($A129,CashFlow!$C$4:$AO$4,0),1,1))</f>
        <v>0</v>
      </c>
      <c r="D129" s="138">
        <f t="shared" ca="1" si="8"/>
        <v>0</v>
      </c>
      <c r="E129" s="138">
        <f t="shared" ca="1" si="9"/>
        <v>0</v>
      </c>
      <c r="F129" s="138">
        <f t="shared" ca="1" si="5"/>
        <v>0</v>
      </c>
      <c r="G129" s="139">
        <f ca="1">IF(ROUND(SUM(B129:C129,-F129),0)=0,0,IF($B$6="Yes",SUM($C$9:C129),SUM(B129:C129,-F129)))</f>
        <v>0</v>
      </c>
    </row>
    <row r="130" spans="1:7" ht="16.149999999999999" customHeight="1" x14ac:dyDescent="0.25">
      <c r="A130" s="136">
        <f t="shared" ca="1" si="10"/>
        <v>47938</v>
      </c>
      <c r="B130" s="137">
        <f t="shared" ca="1" si="7"/>
        <v>0</v>
      </c>
      <c r="C130" s="137">
        <f ca="1">IF(ISNA(MATCH($A130,CashFlow!$C$4:$AO$4,0))=TRUE,0,OFFSET(CashFlow!$B$36,0,MATCH($A130,CashFlow!$C$4:$AO$4,0),1,1))</f>
        <v>0</v>
      </c>
      <c r="D130" s="138">
        <f t="shared" ca="1" si="8"/>
        <v>0</v>
      </c>
      <c r="E130" s="138">
        <f t="shared" ca="1" si="9"/>
        <v>0</v>
      </c>
      <c r="F130" s="138">
        <f t="shared" ca="1" si="5"/>
        <v>0</v>
      </c>
      <c r="G130" s="139">
        <f ca="1">IF(ROUND(SUM(B130:C130,-F130),0)=0,0,IF($B$6="Yes",SUM($C$9:C130),SUM(B130:C130,-F130)))</f>
        <v>0</v>
      </c>
    </row>
    <row r="131" spans="1:7" ht="16.149999999999999" customHeight="1" x14ac:dyDescent="0.25">
      <c r="A131" s="136">
        <f t="shared" ca="1" si="10"/>
        <v>47968</v>
      </c>
      <c r="B131" s="137">
        <f t="shared" ca="1" si="7"/>
        <v>0</v>
      </c>
      <c r="C131" s="137">
        <f ca="1">IF(ISNA(MATCH($A131,CashFlow!$C$4:$AO$4,0))=TRUE,0,OFFSET(CashFlow!$B$36,0,MATCH($A131,CashFlow!$C$4:$AO$4,0),1,1))</f>
        <v>0</v>
      </c>
      <c r="D131" s="138">
        <f t="shared" ca="1" si="8"/>
        <v>0</v>
      </c>
      <c r="E131" s="138">
        <f t="shared" ca="1" si="9"/>
        <v>0</v>
      </c>
      <c r="F131" s="138">
        <f t="shared" ca="1" si="5"/>
        <v>0</v>
      </c>
      <c r="G131" s="139">
        <f ca="1">IF(ROUND(SUM(B131:C131,-F131),0)=0,0,IF($B$6="Yes",SUM($C$9:C131),SUM(B131:C131,-F131)))</f>
        <v>0</v>
      </c>
    </row>
    <row r="132" spans="1:7" ht="16.149999999999999" customHeight="1" x14ac:dyDescent="0.25">
      <c r="A132" s="136">
        <f t="shared" ca="1" si="10"/>
        <v>47999</v>
      </c>
      <c r="B132" s="137">
        <f t="shared" ca="1" si="7"/>
        <v>0</v>
      </c>
      <c r="C132" s="137">
        <f ca="1">IF(ISNA(MATCH($A132,CashFlow!$C$4:$AO$4,0))=TRUE,0,OFFSET(CashFlow!$B$36,0,MATCH($A132,CashFlow!$C$4:$AO$4,0),1,1))</f>
        <v>0</v>
      </c>
      <c r="D132" s="138">
        <f t="shared" ca="1" si="8"/>
        <v>0</v>
      </c>
      <c r="E132" s="138">
        <f t="shared" ca="1" si="9"/>
        <v>0</v>
      </c>
      <c r="F132" s="138">
        <f t="shared" ca="1" si="5"/>
        <v>0</v>
      </c>
      <c r="G132" s="139">
        <f ca="1">IF(ROUND(SUM(B132:C132,-F132),0)=0,0,IF($B$6="Yes",SUM($C$9:C132),SUM(B132:C132,-F132)))</f>
        <v>0</v>
      </c>
    </row>
    <row r="133" spans="1:7" ht="16.149999999999999" customHeight="1" x14ac:dyDescent="0.25">
      <c r="A133" s="136">
        <f t="shared" ca="1" si="10"/>
        <v>48029</v>
      </c>
      <c r="B133" s="137">
        <f t="shared" ca="1" si="7"/>
        <v>0</v>
      </c>
      <c r="C133" s="137">
        <f ca="1">IF(ISNA(MATCH($A133,CashFlow!$C$4:$AO$4,0))=TRUE,0,OFFSET(CashFlow!$B$36,0,MATCH($A133,CashFlow!$C$4:$AO$4,0),1,1))</f>
        <v>0</v>
      </c>
      <c r="D133" s="138">
        <f t="shared" ca="1" si="8"/>
        <v>0</v>
      </c>
      <c r="E133" s="138">
        <f t="shared" ca="1" si="9"/>
        <v>0</v>
      </c>
      <c r="F133" s="138">
        <f t="shared" ca="1" si="5"/>
        <v>0</v>
      </c>
      <c r="G133" s="139">
        <f ca="1">IF(ROUND(SUM(B133:C133,-F133),0)=0,0,IF($B$6="Yes",SUM($C$9:C133),SUM(B133:C133,-F133)))</f>
        <v>0</v>
      </c>
    </row>
    <row r="134" spans="1:7" ht="16.149999999999999" customHeight="1" x14ac:dyDescent="0.25">
      <c r="A134" s="136">
        <f t="shared" ca="1" si="10"/>
        <v>48060</v>
      </c>
      <c r="B134" s="137">
        <f t="shared" ca="1" si="7"/>
        <v>0</v>
      </c>
      <c r="C134" s="137">
        <f ca="1">IF(ISNA(MATCH($A134,CashFlow!$C$4:$AO$4,0))=TRUE,0,OFFSET(CashFlow!$B$36,0,MATCH($A134,CashFlow!$C$4:$AO$4,0),1,1))</f>
        <v>0</v>
      </c>
      <c r="D134" s="138">
        <f t="shared" ca="1" si="8"/>
        <v>0</v>
      </c>
      <c r="E134" s="138">
        <f t="shared" ca="1" si="9"/>
        <v>0</v>
      </c>
      <c r="F134" s="138">
        <f t="shared" ca="1" si="5"/>
        <v>0</v>
      </c>
      <c r="G134" s="139">
        <f ca="1">IF(ROUND(SUM(B134:C134,-F134),0)=0,0,IF($B$6="Yes",SUM($C$9:C134),SUM(B134:C134,-F134)))</f>
        <v>0</v>
      </c>
    </row>
    <row r="135" spans="1:7" ht="16.149999999999999" customHeight="1" x14ac:dyDescent="0.25">
      <c r="A135" s="136">
        <f t="shared" ca="1" si="10"/>
        <v>48091</v>
      </c>
      <c r="B135" s="137">
        <f t="shared" ca="1" si="7"/>
        <v>0</v>
      </c>
      <c r="C135" s="137">
        <f ca="1">IF(ISNA(MATCH($A135,CashFlow!$C$4:$AO$4,0))=TRUE,0,OFFSET(CashFlow!$B$36,0,MATCH($A135,CashFlow!$C$4:$AO$4,0),1,1))</f>
        <v>0</v>
      </c>
      <c r="D135" s="138">
        <f t="shared" ca="1" si="8"/>
        <v>0</v>
      </c>
      <c r="E135" s="138">
        <f t="shared" ca="1" si="9"/>
        <v>0</v>
      </c>
      <c r="F135" s="138">
        <f t="shared" ca="1" si="5"/>
        <v>0</v>
      </c>
      <c r="G135" s="139">
        <f ca="1">IF(ROUND(SUM(B135:C135,-F135),0)=0,0,IF($B$6="Yes",SUM($C$9:C135),SUM(B135:C135,-F135)))</f>
        <v>0</v>
      </c>
    </row>
    <row r="136" spans="1:7" ht="16.149999999999999" customHeight="1" x14ac:dyDescent="0.25">
      <c r="A136" s="136">
        <f t="shared" ca="1" si="10"/>
        <v>48121</v>
      </c>
      <c r="B136" s="137">
        <f t="shared" ca="1" si="7"/>
        <v>0</v>
      </c>
      <c r="C136" s="137">
        <f ca="1">IF(ISNA(MATCH($A136,CashFlow!$C$4:$AO$4,0))=TRUE,0,OFFSET(CashFlow!$B$36,0,MATCH($A136,CashFlow!$C$4:$AO$4,0),1,1))</f>
        <v>0</v>
      </c>
      <c r="D136" s="138">
        <f t="shared" ca="1" si="8"/>
        <v>0</v>
      </c>
      <c r="E136" s="138">
        <f t="shared" ca="1" si="9"/>
        <v>0</v>
      </c>
      <c r="F136" s="138">
        <f t="shared" ca="1" si="5"/>
        <v>0</v>
      </c>
      <c r="G136" s="139">
        <f ca="1">IF(ROUND(SUM(B136:C136,-F136),0)=0,0,IF($B$6="Yes",SUM($C$9:C136),SUM(B136:C136,-F136)))</f>
        <v>0</v>
      </c>
    </row>
    <row r="137" spans="1:7" ht="16.149999999999999" customHeight="1" x14ac:dyDescent="0.25">
      <c r="A137" s="136">
        <f t="shared" ca="1" si="10"/>
        <v>48152</v>
      </c>
      <c r="B137" s="137">
        <f t="shared" ca="1" si="7"/>
        <v>0</v>
      </c>
      <c r="C137" s="137">
        <f ca="1">IF(ISNA(MATCH($A137,CashFlow!$C$4:$AO$4,0))=TRUE,0,OFFSET(CashFlow!$B$36,0,MATCH($A137,CashFlow!$C$4:$AO$4,0),1,1))</f>
        <v>0</v>
      </c>
      <c r="D137" s="138">
        <f t="shared" ca="1" si="8"/>
        <v>0</v>
      </c>
      <c r="E137" s="138">
        <f t="shared" ca="1" si="9"/>
        <v>0</v>
      </c>
      <c r="F137" s="138">
        <f t="shared" ca="1" si="5"/>
        <v>0</v>
      </c>
      <c r="G137" s="139">
        <f ca="1">IF(ROUND(SUM(B137:C137,-F137),0)=0,0,IF($B$6="Yes",SUM($C$9:C137),SUM(B137:C137,-F137)))</f>
        <v>0</v>
      </c>
    </row>
    <row r="138" spans="1:7" ht="16.149999999999999" customHeight="1" x14ac:dyDescent="0.25">
      <c r="A138" s="136">
        <f t="shared" ca="1" si="10"/>
        <v>48182</v>
      </c>
      <c r="B138" s="137">
        <f t="shared" ca="1" si="7"/>
        <v>0</v>
      </c>
      <c r="C138" s="137">
        <f ca="1">IF(ISNA(MATCH($A138,CashFlow!$C$4:$AO$4,0))=TRUE,0,OFFSET(CashFlow!$B$36,0,MATCH($A138,CashFlow!$C$4:$AO$4,0),1,1))</f>
        <v>0</v>
      </c>
      <c r="D138" s="138">
        <f t="shared" ca="1" si="8"/>
        <v>0</v>
      </c>
      <c r="E138" s="138">
        <f t="shared" ca="1" si="9"/>
        <v>0</v>
      </c>
      <c r="F138" s="138">
        <f t="shared" ref="F138:F165" ca="1" si="11">IF($B$6="Yes",0,D138-E138)</f>
        <v>0</v>
      </c>
      <c r="G138" s="139">
        <f ca="1">IF(ROUND(SUM(B138:C138,-F138),0)=0,0,IF($B$6="Yes",SUM($C$9:C138),SUM(B138:C138,-F138)))</f>
        <v>0</v>
      </c>
    </row>
    <row r="139" spans="1:7" ht="16.149999999999999" customHeight="1" x14ac:dyDescent="0.25">
      <c r="A139" s="136">
        <f t="shared" ca="1" si="10"/>
        <v>48213</v>
      </c>
      <c r="B139" s="137">
        <f t="shared" ref="B139:B165" ca="1" si="12">G138</f>
        <v>0</v>
      </c>
      <c r="C139" s="137">
        <f ca="1">IF(ISNA(MATCH($A139,CashFlow!$C$4:$AO$4,0))=TRUE,0,OFFSET(CashFlow!$B$36,0,MATCH($A139,CashFlow!$C$4:$AO$4,0),1,1))</f>
        <v>0</v>
      </c>
      <c r="D139" s="138">
        <f t="shared" ref="D139:D165" ca="1" si="13">IF($B$6="Yes",0,IF(ROW(C139)-ROW($C$9)&gt;$B$5*12,-PMT($B$4/12,$B$5*12,SUM(OFFSET(C139,0,0,-$B$5*12,1)),0,0),-PMT($B$4/12,$B$5*12,SUM(OFFSET(C139,0,0,ROW($C$8)-ROW(C139),1)),0,0)))</f>
        <v>0</v>
      </c>
      <c r="E139" s="138">
        <f t="shared" ref="E139:E165" ca="1" si="14">(G138+C139)*$B$4/12</f>
        <v>0</v>
      </c>
      <c r="F139" s="138">
        <f t="shared" ca="1" si="11"/>
        <v>0</v>
      </c>
      <c r="G139" s="139">
        <f ca="1">IF(ROUND(SUM(B139:C139,-F139),0)=0,0,IF($B$6="Yes",SUM($C$9:C139),SUM(B139:C139,-F139)))</f>
        <v>0</v>
      </c>
    </row>
    <row r="140" spans="1:7" ht="16.149999999999999" customHeight="1" x14ac:dyDescent="0.25">
      <c r="A140" s="136">
        <f t="shared" ca="1" si="10"/>
        <v>48244</v>
      </c>
      <c r="B140" s="137">
        <f t="shared" ca="1" si="12"/>
        <v>0</v>
      </c>
      <c r="C140" s="137">
        <f ca="1">IF(ISNA(MATCH($A140,CashFlow!$C$4:$AO$4,0))=TRUE,0,OFFSET(CashFlow!$B$36,0,MATCH($A140,CashFlow!$C$4:$AO$4,0),1,1))</f>
        <v>0</v>
      </c>
      <c r="D140" s="138">
        <f t="shared" ca="1" si="13"/>
        <v>0</v>
      </c>
      <c r="E140" s="138">
        <f t="shared" ca="1" si="14"/>
        <v>0</v>
      </c>
      <c r="F140" s="138">
        <f t="shared" ca="1" si="11"/>
        <v>0</v>
      </c>
      <c r="G140" s="139">
        <f ca="1">IF(ROUND(SUM(B140:C140,-F140),0)=0,0,IF($B$6="Yes",SUM($C$9:C140),SUM(B140:C140,-F140)))</f>
        <v>0</v>
      </c>
    </row>
    <row r="141" spans="1:7" ht="16.149999999999999" customHeight="1" x14ac:dyDescent="0.25">
      <c r="A141" s="136">
        <f t="shared" ca="1" si="10"/>
        <v>48273</v>
      </c>
      <c r="B141" s="137">
        <f t="shared" ca="1" si="12"/>
        <v>0</v>
      </c>
      <c r="C141" s="137">
        <f ca="1">IF(ISNA(MATCH($A141,CashFlow!$C$4:$AO$4,0))=TRUE,0,OFFSET(CashFlow!$B$36,0,MATCH($A141,CashFlow!$C$4:$AO$4,0),1,1))</f>
        <v>0</v>
      </c>
      <c r="D141" s="138">
        <f t="shared" ca="1" si="13"/>
        <v>0</v>
      </c>
      <c r="E141" s="138">
        <f t="shared" ca="1" si="14"/>
        <v>0</v>
      </c>
      <c r="F141" s="138">
        <f t="shared" ca="1" si="11"/>
        <v>0</v>
      </c>
      <c r="G141" s="139">
        <f ca="1">IF(ROUND(SUM(B141:C141,-F141),0)=0,0,IF($B$6="Yes",SUM($C$9:C141),SUM(B141:C141,-F141)))</f>
        <v>0</v>
      </c>
    </row>
    <row r="142" spans="1:7" ht="16.149999999999999" customHeight="1" x14ac:dyDescent="0.25">
      <c r="A142" s="136">
        <f t="shared" ca="1" si="10"/>
        <v>48304</v>
      </c>
      <c r="B142" s="137">
        <f t="shared" ca="1" si="12"/>
        <v>0</v>
      </c>
      <c r="C142" s="137">
        <f ca="1">IF(ISNA(MATCH($A142,CashFlow!$C$4:$AO$4,0))=TRUE,0,OFFSET(CashFlow!$B$36,0,MATCH($A142,CashFlow!$C$4:$AO$4,0),1,1))</f>
        <v>0</v>
      </c>
      <c r="D142" s="138">
        <f t="shared" ca="1" si="13"/>
        <v>0</v>
      </c>
      <c r="E142" s="138">
        <f t="shared" ca="1" si="14"/>
        <v>0</v>
      </c>
      <c r="F142" s="138">
        <f t="shared" ca="1" si="11"/>
        <v>0</v>
      </c>
      <c r="G142" s="139">
        <f ca="1">IF(ROUND(SUM(B142:C142,-F142),0)=0,0,IF($B$6="Yes",SUM($C$9:C142),SUM(B142:C142,-F142)))</f>
        <v>0</v>
      </c>
    </row>
    <row r="143" spans="1:7" ht="16.149999999999999" customHeight="1" x14ac:dyDescent="0.25">
      <c r="A143" s="136">
        <f t="shared" ca="1" si="10"/>
        <v>48334</v>
      </c>
      <c r="B143" s="137">
        <f t="shared" ca="1" si="12"/>
        <v>0</v>
      </c>
      <c r="C143" s="137">
        <f ca="1">IF(ISNA(MATCH($A143,CashFlow!$C$4:$AO$4,0))=TRUE,0,OFFSET(CashFlow!$B$36,0,MATCH($A143,CashFlow!$C$4:$AO$4,0),1,1))</f>
        <v>0</v>
      </c>
      <c r="D143" s="138">
        <f t="shared" ca="1" si="13"/>
        <v>0</v>
      </c>
      <c r="E143" s="138">
        <f t="shared" ca="1" si="14"/>
        <v>0</v>
      </c>
      <c r="F143" s="138">
        <f t="shared" ca="1" si="11"/>
        <v>0</v>
      </c>
      <c r="G143" s="139">
        <f ca="1">IF(ROUND(SUM(B143:C143,-F143),0)=0,0,IF($B$6="Yes",SUM($C$9:C143),SUM(B143:C143,-F143)))</f>
        <v>0</v>
      </c>
    </row>
    <row r="144" spans="1:7" ht="16.149999999999999" customHeight="1" x14ac:dyDescent="0.25">
      <c r="A144" s="136">
        <f t="shared" ca="1" si="10"/>
        <v>48365</v>
      </c>
      <c r="B144" s="137">
        <f t="shared" ca="1" si="12"/>
        <v>0</v>
      </c>
      <c r="C144" s="137">
        <f ca="1">IF(ISNA(MATCH($A144,CashFlow!$C$4:$AO$4,0))=TRUE,0,OFFSET(CashFlow!$B$36,0,MATCH($A144,CashFlow!$C$4:$AO$4,0),1,1))</f>
        <v>0</v>
      </c>
      <c r="D144" s="138">
        <f t="shared" ca="1" si="13"/>
        <v>0</v>
      </c>
      <c r="E144" s="138">
        <f t="shared" ca="1" si="14"/>
        <v>0</v>
      </c>
      <c r="F144" s="138">
        <f t="shared" ca="1" si="11"/>
        <v>0</v>
      </c>
      <c r="G144" s="139">
        <f ca="1">IF(ROUND(SUM(B144:C144,-F144),0)=0,0,IF($B$6="Yes",SUM($C$9:C144),SUM(B144:C144,-F144)))</f>
        <v>0</v>
      </c>
    </row>
    <row r="145" spans="1:7" ht="16.149999999999999" customHeight="1" x14ac:dyDescent="0.25">
      <c r="A145" s="136">
        <f t="shared" ca="1" si="10"/>
        <v>48395</v>
      </c>
      <c r="B145" s="137">
        <f t="shared" ca="1" si="12"/>
        <v>0</v>
      </c>
      <c r="C145" s="137">
        <f ca="1">IF(ISNA(MATCH($A145,CashFlow!$C$4:$AO$4,0))=TRUE,0,OFFSET(CashFlow!$B$36,0,MATCH($A145,CashFlow!$C$4:$AO$4,0),1,1))</f>
        <v>0</v>
      </c>
      <c r="D145" s="138">
        <f t="shared" ca="1" si="13"/>
        <v>0</v>
      </c>
      <c r="E145" s="138">
        <f t="shared" ca="1" si="14"/>
        <v>0</v>
      </c>
      <c r="F145" s="138">
        <f t="shared" ca="1" si="11"/>
        <v>0</v>
      </c>
      <c r="G145" s="139">
        <f ca="1">IF(ROUND(SUM(B145:C145,-F145),0)=0,0,IF($B$6="Yes",SUM($C$9:C145),SUM(B145:C145,-F145)))</f>
        <v>0</v>
      </c>
    </row>
    <row r="146" spans="1:7" ht="16.149999999999999" customHeight="1" x14ac:dyDescent="0.25">
      <c r="A146" s="136">
        <f t="shared" ca="1" si="10"/>
        <v>48426</v>
      </c>
      <c r="B146" s="137">
        <f t="shared" ca="1" si="12"/>
        <v>0</v>
      </c>
      <c r="C146" s="137">
        <f ca="1">IF(ISNA(MATCH($A146,CashFlow!$C$4:$AO$4,0))=TRUE,0,OFFSET(CashFlow!$B$36,0,MATCH($A146,CashFlow!$C$4:$AO$4,0),1,1))</f>
        <v>0</v>
      </c>
      <c r="D146" s="138">
        <f t="shared" ca="1" si="13"/>
        <v>0</v>
      </c>
      <c r="E146" s="138">
        <f t="shared" ca="1" si="14"/>
        <v>0</v>
      </c>
      <c r="F146" s="138">
        <f t="shared" ca="1" si="11"/>
        <v>0</v>
      </c>
      <c r="G146" s="139">
        <f ca="1">IF(ROUND(SUM(B146:C146,-F146),0)=0,0,IF($B$6="Yes",SUM($C$9:C146),SUM(B146:C146,-F146)))</f>
        <v>0</v>
      </c>
    </row>
    <row r="147" spans="1:7" ht="16.149999999999999" customHeight="1" x14ac:dyDescent="0.25">
      <c r="A147" s="136">
        <f t="shared" ca="1" si="10"/>
        <v>48457</v>
      </c>
      <c r="B147" s="137">
        <f t="shared" ca="1" si="12"/>
        <v>0</v>
      </c>
      <c r="C147" s="137">
        <f ca="1">IF(ISNA(MATCH($A147,CashFlow!$C$4:$AO$4,0))=TRUE,0,OFFSET(CashFlow!$B$36,0,MATCH($A147,CashFlow!$C$4:$AO$4,0),1,1))</f>
        <v>0</v>
      </c>
      <c r="D147" s="138">
        <f t="shared" ca="1" si="13"/>
        <v>0</v>
      </c>
      <c r="E147" s="138">
        <f t="shared" ca="1" si="14"/>
        <v>0</v>
      </c>
      <c r="F147" s="138">
        <f t="shared" ca="1" si="11"/>
        <v>0</v>
      </c>
      <c r="G147" s="139">
        <f ca="1">IF(ROUND(SUM(B147:C147,-F147),0)=0,0,IF($B$6="Yes",SUM($C$9:C147),SUM(B147:C147,-F147)))</f>
        <v>0</v>
      </c>
    </row>
    <row r="148" spans="1:7" ht="16.149999999999999" customHeight="1" x14ac:dyDescent="0.25">
      <c r="A148" s="136">
        <f t="shared" ca="1" si="10"/>
        <v>48487</v>
      </c>
      <c r="B148" s="137">
        <f t="shared" ca="1" si="12"/>
        <v>0</v>
      </c>
      <c r="C148" s="137">
        <f ca="1">IF(ISNA(MATCH($A148,CashFlow!$C$4:$AO$4,0))=TRUE,0,OFFSET(CashFlow!$B$36,0,MATCH($A148,CashFlow!$C$4:$AO$4,0),1,1))</f>
        <v>0</v>
      </c>
      <c r="D148" s="138">
        <f t="shared" ca="1" si="13"/>
        <v>0</v>
      </c>
      <c r="E148" s="138">
        <f t="shared" ca="1" si="14"/>
        <v>0</v>
      </c>
      <c r="F148" s="138">
        <f t="shared" ca="1" si="11"/>
        <v>0</v>
      </c>
      <c r="G148" s="139">
        <f ca="1">IF(ROUND(SUM(B148:C148,-F148),0)=0,0,IF($B$6="Yes",SUM($C$9:C148),SUM(B148:C148,-F148)))</f>
        <v>0</v>
      </c>
    </row>
    <row r="149" spans="1:7" ht="16.149999999999999" customHeight="1" x14ac:dyDescent="0.25">
      <c r="A149" s="136">
        <f t="shared" ca="1" si="10"/>
        <v>48518</v>
      </c>
      <c r="B149" s="137">
        <f t="shared" ca="1" si="12"/>
        <v>0</v>
      </c>
      <c r="C149" s="137">
        <f ca="1">IF(ISNA(MATCH($A149,CashFlow!$C$4:$AO$4,0))=TRUE,0,OFFSET(CashFlow!$B$36,0,MATCH($A149,CashFlow!$C$4:$AO$4,0),1,1))</f>
        <v>0</v>
      </c>
      <c r="D149" s="138">
        <f t="shared" ca="1" si="13"/>
        <v>0</v>
      </c>
      <c r="E149" s="138">
        <f t="shared" ca="1" si="14"/>
        <v>0</v>
      </c>
      <c r="F149" s="138">
        <f t="shared" ca="1" si="11"/>
        <v>0</v>
      </c>
      <c r="G149" s="139">
        <f ca="1">IF(ROUND(SUM(B149:C149,-F149),0)=0,0,IF($B$6="Yes",SUM($C$9:C149),SUM(B149:C149,-F149)))</f>
        <v>0</v>
      </c>
    </row>
    <row r="150" spans="1:7" ht="16.149999999999999" customHeight="1" x14ac:dyDescent="0.25">
      <c r="A150" s="136">
        <f t="shared" ca="1" si="10"/>
        <v>48548</v>
      </c>
      <c r="B150" s="137">
        <f t="shared" ca="1" si="12"/>
        <v>0</v>
      </c>
      <c r="C150" s="137">
        <f ca="1">IF(ISNA(MATCH($A150,CashFlow!$C$4:$AO$4,0))=TRUE,0,OFFSET(CashFlow!$B$36,0,MATCH($A150,CashFlow!$C$4:$AO$4,0),1,1))</f>
        <v>0</v>
      </c>
      <c r="D150" s="138">
        <f t="shared" ca="1" si="13"/>
        <v>0</v>
      </c>
      <c r="E150" s="138">
        <f t="shared" ca="1" si="14"/>
        <v>0</v>
      </c>
      <c r="F150" s="138">
        <f t="shared" ca="1" si="11"/>
        <v>0</v>
      </c>
      <c r="G150" s="139">
        <f ca="1">IF(ROUND(SUM(B150:C150,-F150),0)=0,0,IF($B$6="Yes",SUM($C$9:C150),SUM(B150:C150,-F150)))</f>
        <v>0</v>
      </c>
    </row>
    <row r="151" spans="1:7" ht="16.149999999999999" customHeight="1" x14ac:dyDescent="0.25">
      <c r="A151" s="136">
        <f t="shared" ca="1" si="10"/>
        <v>48579</v>
      </c>
      <c r="B151" s="137">
        <f t="shared" ca="1" si="12"/>
        <v>0</v>
      </c>
      <c r="C151" s="137">
        <f ca="1">IF(ISNA(MATCH($A151,CashFlow!$C$4:$AO$4,0))=TRUE,0,OFFSET(CashFlow!$B$36,0,MATCH($A151,CashFlow!$C$4:$AO$4,0),1,1))</f>
        <v>0</v>
      </c>
      <c r="D151" s="138">
        <f t="shared" ca="1" si="13"/>
        <v>0</v>
      </c>
      <c r="E151" s="138">
        <f t="shared" ca="1" si="14"/>
        <v>0</v>
      </c>
      <c r="F151" s="138">
        <f t="shared" ca="1" si="11"/>
        <v>0</v>
      </c>
      <c r="G151" s="139">
        <f ca="1">IF(ROUND(SUM(B151:C151,-F151),0)=0,0,IF($B$6="Yes",SUM($C$9:C151),SUM(B151:C151,-F151)))</f>
        <v>0</v>
      </c>
    </row>
    <row r="152" spans="1:7" ht="16.149999999999999" customHeight="1" x14ac:dyDescent="0.25">
      <c r="A152" s="136">
        <f t="shared" ca="1" si="10"/>
        <v>48610</v>
      </c>
      <c r="B152" s="137">
        <f t="shared" ca="1" si="12"/>
        <v>0</v>
      </c>
      <c r="C152" s="137">
        <f ca="1">IF(ISNA(MATCH($A152,CashFlow!$C$4:$AO$4,0))=TRUE,0,OFFSET(CashFlow!$B$36,0,MATCH($A152,CashFlow!$C$4:$AO$4,0),1,1))</f>
        <v>0</v>
      </c>
      <c r="D152" s="138">
        <f t="shared" ca="1" si="13"/>
        <v>0</v>
      </c>
      <c r="E152" s="138">
        <f t="shared" ca="1" si="14"/>
        <v>0</v>
      </c>
      <c r="F152" s="138">
        <f t="shared" ca="1" si="11"/>
        <v>0</v>
      </c>
      <c r="G152" s="139">
        <f ca="1">IF(ROUND(SUM(B152:C152,-F152),0)=0,0,IF($B$6="Yes",SUM($C$9:C152),SUM(B152:C152,-F152)))</f>
        <v>0</v>
      </c>
    </row>
    <row r="153" spans="1:7" ht="16.149999999999999" customHeight="1" x14ac:dyDescent="0.25">
      <c r="A153" s="136">
        <f t="shared" ca="1" si="10"/>
        <v>48638</v>
      </c>
      <c r="B153" s="137">
        <f t="shared" ca="1" si="12"/>
        <v>0</v>
      </c>
      <c r="C153" s="137">
        <f ca="1">IF(ISNA(MATCH($A153,CashFlow!$C$4:$AO$4,0))=TRUE,0,OFFSET(CashFlow!$B$36,0,MATCH($A153,CashFlow!$C$4:$AO$4,0),1,1))</f>
        <v>0</v>
      </c>
      <c r="D153" s="138">
        <f t="shared" ca="1" si="13"/>
        <v>0</v>
      </c>
      <c r="E153" s="138">
        <f t="shared" ca="1" si="14"/>
        <v>0</v>
      </c>
      <c r="F153" s="138">
        <f t="shared" ca="1" si="11"/>
        <v>0</v>
      </c>
      <c r="G153" s="139">
        <f ca="1">IF(ROUND(SUM(B153:C153,-F153),0)=0,0,IF($B$6="Yes",SUM($C$9:C153),SUM(B153:C153,-F153)))</f>
        <v>0</v>
      </c>
    </row>
    <row r="154" spans="1:7" ht="16.149999999999999" customHeight="1" x14ac:dyDescent="0.25">
      <c r="A154" s="136">
        <f t="shared" ca="1" si="10"/>
        <v>48669</v>
      </c>
      <c r="B154" s="137">
        <f t="shared" ca="1" si="12"/>
        <v>0</v>
      </c>
      <c r="C154" s="137">
        <f ca="1">IF(ISNA(MATCH($A154,CashFlow!$C$4:$AO$4,0))=TRUE,0,OFFSET(CashFlow!$B$36,0,MATCH($A154,CashFlow!$C$4:$AO$4,0),1,1))</f>
        <v>0</v>
      </c>
      <c r="D154" s="138">
        <f t="shared" ca="1" si="13"/>
        <v>0</v>
      </c>
      <c r="E154" s="138">
        <f t="shared" ca="1" si="14"/>
        <v>0</v>
      </c>
      <c r="F154" s="138">
        <f t="shared" ca="1" si="11"/>
        <v>0</v>
      </c>
      <c r="G154" s="139">
        <f ca="1">IF(ROUND(SUM(B154:C154,-F154),0)=0,0,IF($B$6="Yes",SUM($C$9:C154),SUM(B154:C154,-F154)))</f>
        <v>0</v>
      </c>
    </row>
    <row r="155" spans="1:7" ht="16.149999999999999" customHeight="1" x14ac:dyDescent="0.25">
      <c r="A155" s="136">
        <f t="shared" ca="1" si="10"/>
        <v>48699</v>
      </c>
      <c r="B155" s="137">
        <f t="shared" ca="1" si="12"/>
        <v>0</v>
      </c>
      <c r="C155" s="137">
        <f ca="1">IF(ISNA(MATCH($A155,CashFlow!$C$4:$AO$4,0))=TRUE,0,OFFSET(CashFlow!$B$36,0,MATCH($A155,CashFlow!$C$4:$AO$4,0),1,1))</f>
        <v>0</v>
      </c>
      <c r="D155" s="138">
        <f t="shared" ca="1" si="13"/>
        <v>0</v>
      </c>
      <c r="E155" s="138">
        <f t="shared" ca="1" si="14"/>
        <v>0</v>
      </c>
      <c r="F155" s="138">
        <f t="shared" ca="1" si="11"/>
        <v>0</v>
      </c>
      <c r="G155" s="139">
        <f ca="1">IF(ROUND(SUM(B155:C155,-F155),0)=0,0,IF($B$6="Yes",SUM($C$9:C155),SUM(B155:C155,-F155)))</f>
        <v>0</v>
      </c>
    </row>
    <row r="156" spans="1:7" ht="16.149999999999999" customHeight="1" x14ac:dyDescent="0.25">
      <c r="A156" s="136">
        <f t="shared" ca="1" si="10"/>
        <v>48730</v>
      </c>
      <c r="B156" s="137">
        <f t="shared" ca="1" si="12"/>
        <v>0</v>
      </c>
      <c r="C156" s="137">
        <f ca="1">IF(ISNA(MATCH($A156,CashFlow!$C$4:$AO$4,0))=TRUE,0,OFFSET(CashFlow!$B$36,0,MATCH($A156,CashFlow!$C$4:$AO$4,0),1,1))</f>
        <v>0</v>
      </c>
      <c r="D156" s="138">
        <f t="shared" ca="1" si="13"/>
        <v>0</v>
      </c>
      <c r="E156" s="138">
        <f t="shared" ca="1" si="14"/>
        <v>0</v>
      </c>
      <c r="F156" s="138">
        <f t="shared" ca="1" si="11"/>
        <v>0</v>
      </c>
      <c r="G156" s="139">
        <f ca="1">IF(ROUND(SUM(B156:C156,-F156),0)=0,0,IF($B$6="Yes",SUM($C$9:C156),SUM(B156:C156,-F156)))</f>
        <v>0</v>
      </c>
    </row>
    <row r="157" spans="1:7" ht="16.149999999999999" customHeight="1" x14ac:dyDescent="0.25">
      <c r="A157" s="136">
        <f t="shared" ca="1" si="10"/>
        <v>48760</v>
      </c>
      <c r="B157" s="137">
        <f t="shared" ca="1" si="12"/>
        <v>0</v>
      </c>
      <c r="C157" s="137">
        <f ca="1">IF(ISNA(MATCH($A157,CashFlow!$C$4:$AO$4,0))=TRUE,0,OFFSET(CashFlow!$B$36,0,MATCH($A157,CashFlow!$C$4:$AO$4,0),1,1))</f>
        <v>0</v>
      </c>
      <c r="D157" s="138">
        <f t="shared" ca="1" si="13"/>
        <v>0</v>
      </c>
      <c r="E157" s="138">
        <f t="shared" ca="1" si="14"/>
        <v>0</v>
      </c>
      <c r="F157" s="138">
        <f t="shared" ca="1" si="11"/>
        <v>0</v>
      </c>
      <c r="G157" s="139">
        <f ca="1">IF(ROUND(SUM(B157:C157,-F157),0)=0,0,IF($B$6="Yes",SUM($C$9:C157),SUM(B157:C157,-F157)))</f>
        <v>0</v>
      </c>
    </row>
    <row r="158" spans="1:7" ht="16.149999999999999" customHeight="1" x14ac:dyDescent="0.25">
      <c r="A158" s="136">
        <f t="shared" ca="1" si="10"/>
        <v>48791</v>
      </c>
      <c r="B158" s="137">
        <f t="shared" ca="1" si="12"/>
        <v>0</v>
      </c>
      <c r="C158" s="137">
        <f ca="1">IF(ISNA(MATCH($A158,CashFlow!$C$4:$AO$4,0))=TRUE,0,OFFSET(CashFlow!$B$36,0,MATCH($A158,CashFlow!$C$4:$AO$4,0),1,1))</f>
        <v>0</v>
      </c>
      <c r="D158" s="138">
        <f t="shared" ca="1" si="13"/>
        <v>0</v>
      </c>
      <c r="E158" s="138">
        <f t="shared" ca="1" si="14"/>
        <v>0</v>
      </c>
      <c r="F158" s="138">
        <f t="shared" ca="1" si="11"/>
        <v>0</v>
      </c>
      <c r="G158" s="139">
        <f ca="1">IF(ROUND(SUM(B158:C158,-F158),0)=0,0,IF($B$6="Yes",SUM($C$9:C158),SUM(B158:C158,-F158)))</f>
        <v>0</v>
      </c>
    </row>
    <row r="159" spans="1:7" ht="16.149999999999999" customHeight="1" x14ac:dyDescent="0.25">
      <c r="A159" s="136">
        <f t="shared" ca="1" si="10"/>
        <v>48822</v>
      </c>
      <c r="B159" s="137">
        <f t="shared" ca="1" si="12"/>
        <v>0</v>
      </c>
      <c r="C159" s="137">
        <f ca="1">IF(ISNA(MATCH($A159,CashFlow!$C$4:$AO$4,0))=TRUE,0,OFFSET(CashFlow!$B$36,0,MATCH($A159,CashFlow!$C$4:$AO$4,0),1,1))</f>
        <v>0</v>
      </c>
      <c r="D159" s="138">
        <f t="shared" ca="1" si="13"/>
        <v>0</v>
      </c>
      <c r="E159" s="138">
        <f t="shared" ca="1" si="14"/>
        <v>0</v>
      </c>
      <c r="F159" s="138">
        <f t="shared" ca="1" si="11"/>
        <v>0</v>
      </c>
      <c r="G159" s="139">
        <f ca="1">IF(ROUND(SUM(B159:C159,-F159),0)=0,0,IF($B$6="Yes",SUM($C$9:C159),SUM(B159:C159,-F159)))</f>
        <v>0</v>
      </c>
    </row>
    <row r="160" spans="1:7" ht="16.149999999999999" customHeight="1" x14ac:dyDescent="0.25">
      <c r="A160" s="136">
        <f t="shared" ca="1" si="10"/>
        <v>48852</v>
      </c>
      <c r="B160" s="137">
        <f t="shared" ca="1" si="12"/>
        <v>0</v>
      </c>
      <c r="C160" s="137">
        <f ca="1">IF(ISNA(MATCH($A160,CashFlow!$C$4:$AO$4,0))=TRUE,0,OFFSET(CashFlow!$B$36,0,MATCH($A160,CashFlow!$C$4:$AO$4,0),1,1))</f>
        <v>0</v>
      </c>
      <c r="D160" s="138">
        <f t="shared" ca="1" si="13"/>
        <v>0</v>
      </c>
      <c r="E160" s="138">
        <f t="shared" ca="1" si="14"/>
        <v>0</v>
      </c>
      <c r="F160" s="138">
        <f t="shared" ca="1" si="11"/>
        <v>0</v>
      </c>
      <c r="G160" s="139">
        <f ca="1">IF(ROUND(SUM(B160:C160,-F160),0)=0,0,IF($B$6="Yes",SUM($C$9:C160),SUM(B160:C160,-F160)))</f>
        <v>0</v>
      </c>
    </row>
    <row r="161" spans="1:7" ht="16.149999999999999" customHeight="1" x14ac:dyDescent="0.25">
      <c r="A161" s="136">
        <f t="shared" ca="1" si="10"/>
        <v>48883</v>
      </c>
      <c r="B161" s="137">
        <f t="shared" ca="1" si="12"/>
        <v>0</v>
      </c>
      <c r="C161" s="137">
        <f ca="1">IF(ISNA(MATCH($A161,CashFlow!$C$4:$AO$4,0))=TRUE,0,OFFSET(CashFlow!$B$36,0,MATCH($A161,CashFlow!$C$4:$AO$4,0),1,1))</f>
        <v>0</v>
      </c>
      <c r="D161" s="138">
        <f t="shared" ca="1" si="13"/>
        <v>0</v>
      </c>
      <c r="E161" s="138">
        <f t="shared" ca="1" si="14"/>
        <v>0</v>
      </c>
      <c r="F161" s="138">
        <f t="shared" ca="1" si="11"/>
        <v>0</v>
      </c>
      <c r="G161" s="139">
        <f ca="1">IF(ROUND(SUM(B161:C161,-F161),0)=0,0,IF($B$6="Yes",SUM($C$9:C161),SUM(B161:C161,-F161)))</f>
        <v>0</v>
      </c>
    </row>
    <row r="162" spans="1:7" ht="16.149999999999999" customHeight="1" x14ac:dyDescent="0.25">
      <c r="A162" s="136">
        <f t="shared" ca="1" si="10"/>
        <v>48913</v>
      </c>
      <c r="B162" s="137">
        <f t="shared" ca="1" si="12"/>
        <v>0</v>
      </c>
      <c r="C162" s="137">
        <f ca="1">IF(ISNA(MATCH($A162,CashFlow!$C$4:$AO$4,0))=TRUE,0,OFFSET(CashFlow!$B$36,0,MATCH($A162,CashFlow!$C$4:$AO$4,0),1,1))</f>
        <v>0</v>
      </c>
      <c r="D162" s="138">
        <f t="shared" ca="1" si="13"/>
        <v>0</v>
      </c>
      <c r="E162" s="138">
        <f t="shared" ca="1" si="14"/>
        <v>0</v>
      </c>
      <c r="F162" s="138">
        <f t="shared" ca="1" si="11"/>
        <v>0</v>
      </c>
      <c r="G162" s="139">
        <f ca="1">IF(ROUND(SUM(B162:C162,-F162),0)=0,0,IF($B$6="Yes",SUM($C$9:C162),SUM(B162:C162,-F162)))</f>
        <v>0</v>
      </c>
    </row>
    <row r="163" spans="1:7" ht="16.149999999999999" customHeight="1" x14ac:dyDescent="0.25">
      <c r="A163" s="136">
        <f t="shared" ca="1" si="10"/>
        <v>48944</v>
      </c>
      <c r="B163" s="137">
        <f t="shared" ca="1" si="12"/>
        <v>0</v>
      </c>
      <c r="C163" s="137">
        <f ca="1">IF(ISNA(MATCH($A163,CashFlow!$C$4:$AO$4,0))=TRUE,0,OFFSET(CashFlow!$B$36,0,MATCH($A163,CashFlow!$C$4:$AO$4,0),1,1))</f>
        <v>0</v>
      </c>
      <c r="D163" s="138">
        <f t="shared" ca="1" si="13"/>
        <v>0</v>
      </c>
      <c r="E163" s="138">
        <f t="shared" ca="1" si="14"/>
        <v>0</v>
      </c>
      <c r="F163" s="138">
        <f t="shared" ca="1" si="11"/>
        <v>0</v>
      </c>
      <c r="G163" s="139">
        <f ca="1">IF(ROUND(SUM(B163:C163,-F163),0)=0,0,IF($B$6="Yes",SUM($C$9:C163),SUM(B163:C163,-F163)))</f>
        <v>0</v>
      </c>
    </row>
    <row r="164" spans="1:7" ht="16.149999999999999" customHeight="1" x14ac:dyDescent="0.25">
      <c r="A164" s="136">
        <f t="shared" ca="1" si="10"/>
        <v>48975</v>
      </c>
      <c r="B164" s="137">
        <f t="shared" ca="1" si="12"/>
        <v>0</v>
      </c>
      <c r="C164" s="137">
        <f ca="1">IF(ISNA(MATCH($A164,CashFlow!$C$4:$AO$4,0))=TRUE,0,OFFSET(CashFlow!$B$36,0,MATCH($A164,CashFlow!$C$4:$AO$4,0),1,1))</f>
        <v>0</v>
      </c>
      <c r="D164" s="138">
        <f t="shared" ca="1" si="13"/>
        <v>0</v>
      </c>
      <c r="E164" s="138">
        <f t="shared" ca="1" si="14"/>
        <v>0</v>
      </c>
      <c r="F164" s="138">
        <f t="shared" ca="1" si="11"/>
        <v>0</v>
      </c>
      <c r="G164" s="139">
        <f ca="1">IF(ROUND(SUM(B164:C164,-F164),0)=0,0,IF($B$6="Yes",SUM($C$9:C164),SUM(B164:C164,-F164)))</f>
        <v>0</v>
      </c>
    </row>
    <row r="165" spans="1:7" ht="16.149999999999999" customHeight="1" x14ac:dyDescent="0.25">
      <c r="A165" s="136">
        <f t="shared" ca="1" si="10"/>
        <v>49003</v>
      </c>
      <c r="B165" s="137">
        <f t="shared" ca="1" si="12"/>
        <v>0</v>
      </c>
      <c r="C165" s="137">
        <f ca="1">IF(ISNA(MATCH($A165,CashFlow!$C$4:$AO$4,0))=TRUE,0,OFFSET(CashFlow!$B$36,0,MATCH($A165,CashFlow!$C$4:$AO$4,0),1,1))</f>
        <v>0</v>
      </c>
      <c r="D165" s="138">
        <f t="shared" ca="1" si="13"/>
        <v>0</v>
      </c>
      <c r="E165" s="138">
        <f t="shared" ca="1" si="14"/>
        <v>0</v>
      </c>
      <c r="F165" s="138">
        <f t="shared" ca="1" si="11"/>
        <v>0</v>
      </c>
      <c r="G165" s="139">
        <f ca="1">IF(ROUND(SUM(B165:C165,-F165),0)=0,0,IF($B$6="Yes",SUM($C$9:C165),SUM(B165:C165,-F165)))</f>
        <v>0</v>
      </c>
    </row>
  </sheetData>
  <printOptions horizontalCentered="1"/>
  <pageMargins left="0.59055118110236227" right="0.59055118110236227" top="0.59055118110236227" bottom="0.59055118110236227" header="0.39370078740157483" footer="0.39370078740157483"/>
  <pageSetup paperSize="9" scale="94" fitToHeight="0" orientation="portrait"/>
  <headerFooter alignWithMargins="0">
    <oddFooter>&amp;C&amp;9Page &amp;P of &amp;N</oddFooter>
  </headerFooter>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Info</vt:lpstr>
      <vt:lpstr>Assumptions!Print_Area</vt:lpstr>
      <vt:lpstr>BalanceSheet!Print_Area</vt:lpstr>
      <vt:lpstr>CashFlow!Print_Area</vt:lpstr>
      <vt:lpstr>IncState!Print_Area</vt:lpstr>
      <vt:lpstr>Instructions!Print_Area</vt:lpstr>
      <vt:lpstr>Assumptions!Print_Titles</vt:lpstr>
      <vt:lpstr>BalanceSheet!Print_Titles</vt:lpstr>
      <vt:lpstr>CashFlow!Print_Titles</vt:lpstr>
      <vt:lpstr>IncState!Print_Titles</vt:lpstr>
      <vt:lpstr>Instructions!Print_Titles</vt:lpstr>
      <vt:lpstr>Leases!Print_Titles</vt:lpstr>
      <vt:lpstr>Loans1!Print_Titles</vt:lpstr>
      <vt:lpstr>Loans2!Print_Titles</vt:lpstr>
      <vt:lpstr>Loans3!Print_Titles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Cash Flow Forecast Template - Excel Skills</dc:title>
  <dc:subject>Cash Flow Forecast</dc:subject>
  <dc:creator>Excel Skills International</dc:creator>
  <cp:keywords>cash flow template, monthly</cp:keywords>
  <cp:lastModifiedBy>cloudconvert_19</cp:lastModifiedBy>
  <cp:lastPrinted>2020-09-25T13:25:06Z</cp:lastPrinted>
  <dcterms:created xsi:type="dcterms:W3CDTF">2009-07-26T08:36:26Z</dcterms:created>
  <dcterms:modified xsi:type="dcterms:W3CDTF">2024-01-30T16:21:19Z</dcterms:modified>
  <cp:category>Excel 2007+</cp:category>
  <cp:contentStatus>Version 4.0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110b196c-69d8-4377-b000-98cc6b48e5e1</vt:lpwstr>
  </property>
</Properties>
</file>